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5564" documentId="8_{D9F5F3D3-D6F0-4F7D-9ACE-C863ABF50B6C}" xr6:coauthVersionLast="47" xr6:coauthVersionMax="47" xr10:uidLastSave="{62AE28DC-ECBA-40AD-A5AF-258677B7224F}"/>
  <bookViews>
    <workbookView xWindow="-120" yWindow="-120" windowWidth="29040" windowHeight="17640" activeTab="6" xr2:uid="{00000000-000D-0000-FFFF-FFFF00000000}"/>
  </bookViews>
  <sheets>
    <sheet name="README" sheetId="18" r:id="rId1"/>
    <sheet name="Figures" sheetId="27" r:id="rId2"/>
    <sheet name="Footprints, results per kg" sheetId="33" r:id="rId3"/>
    <sheet name="GHG detailed, results per kg" sheetId="13" r:id="rId4"/>
    <sheet name="Production" sheetId="23" r:id="rId5"/>
    <sheet name="Parameters, country spec" sheetId="4" r:id="rId6"/>
    <sheet name="Manure" sheetId="25" r:id="rId7"/>
    <sheet name="CO2 per kg feed" sheetId="2" r:id="rId8"/>
    <sheet name="CH4 per kg feed" sheetId="15" r:id="rId9"/>
    <sheet name="N2O per kg feed" sheetId="14" r:id="rId10"/>
    <sheet name="EFP per kg feed" sheetId="16" r:id="rId11"/>
    <sheet name="Parameters, general" sheetId="20" r:id="rId12"/>
    <sheet name="Forage crops, CF" sheetId="32" r:id="rId13"/>
    <sheet name="Forage crops, footprints" sheetId="30" r:id="rId14"/>
    <sheet name="Forage, input data per ha" sheetId="31" r:id="rId15"/>
    <sheet name="Off-farm feed" sheetId="28" r:id="rId16"/>
    <sheet name="References" sheetId="21" r:id="rId17"/>
  </sheets>
  <definedNames>
    <definedName name="_xlnm._FilterDatabase" localSheetId="1" hidden="1">Figures!$A$6:$M$6</definedName>
    <definedName name="_xlnm._FilterDatabase" localSheetId="2" hidden="1">'Footprints, results per kg'!$D$6:$U$6</definedName>
    <definedName name="Ability_to_perceive_handling">'Parameters, general'!#REF!</definedName>
    <definedName name="AF_beef">'Parameters, general'!#REF!</definedName>
    <definedName name="AF_calves">'Parameters, general'!#REF!</definedName>
    <definedName name="AF_milk">'Parameters, general'!#REF!</definedName>
    <definedName name="Boars_per_sow">'Parameters, country spec'!#REF!</definedName>
    <definedName name="CF_GWP_CH4_biog">'Parameters, general'!$B$25</definedName>
    <definedName name="CF_GWP_CH4_biogenic">'Parameters, general'!$B$25</definedName>
    <definedName name="CF_GWP_CH4_fossil">'Parameters, general'!$B$24</definedName>
    <definedName name="CF_GWP_N2O">'Parameters, general'!$B$26</definedName>
    <definedName name="Crop_data" localSheetId="12">'Forage crops, CF'!$A$6:$Z$60</definedName>
    <definedName name="Crop_data" localSheetId="14">'Forage, input data per ha'!#REF!</definedName>
    <definedName name="Crop_data">'Forage crops, footprints'!$A$6:$Z$19</definedName>
    <definedName name="Crop_data_codes" localSheetId="12">'Forage crops, CF'!$A$56:$A$120</definedName>
    <definedName name="Crop_data_codes" localSheetId="14">'Forage, input data per ha'!#REF!</definedName>
    <definedName name="Crop_data_codes">'Forage crops, footprints'!$A$20:$A$33</definedName>
    <definedName name="EF_biofuel_CH4">'Parameters, general'!$C$6</definedName>
    <definedName name="EF_biofuel_N2O">'Parameters, general'!$D$6</definedName>
    <definedName name="EF_biofuels_CO2">'Parameters, general'!$B$6</definedName>
    <definedName name="EF_capital_goods_CH4">'Parameters, general'!$C$10</definedName>
    <definedName name="EF_capital_goods_CO2">'Parameters, general'!$B$10</definedName>
    <definedName name="EF_capital_goods_N2O">'Parameters, general'!$D$10</definedName>
    <definedName name="EF_diesel_CH4">'Parameters, general'!$C$7</definedName>
    <definedName name="EF_diesel_CO2">'Parameters, general'!$B$7</definedName>
    <definedName name="EF_diesel_N2O">'Parameters, general'!$D$7</definedName>
    <definedName name="EF_el_CH4_DE">'Parameters, country spec'!$C$70</definedName>
    <definedName name="EF_el_CH4_DK">'Parameters, country spec'!#REF!</definedName>
    <definedName name="EF_el_CH4_ES">'Parameters, country spec'!$I$70</definedName>
    <definedName name="EF_el_CH4_FR">'Parameters, country spec'!$B$70</definedName>
    <definedName name="EF_el_CH4_GB">'Parameters, country spec'!#REF!</definedName>
    <definedName name="EF_el_CH4_GR">'Parameters, country spec'!$D$70</definedName>
    <definedName name="EF_el_CH4_HU">'Parameters, country spec'!$E$70</definedName>
    <definedName name="EF_el_CH4_IE">'Parameters, country spec'!#REF!</definedName>
    <definedName name="EF_el_CH4_IT">'Parameters, country spec'!$F$70</definedName>
    <definedName name="EF_el_CH4_NL">'Parameters, country spec'!$G$70</definedName>
    <definedName name="EF_el_CH4_PL">'Parameters, country spec'!$H$70</definedName>
    <definedName name="EF_el_CH4_SE">'Parameters, country spec'!$J$70</definedName>
    <definedName name="EF_el_CO2_DE">'Parameters, country spec'!$C$69</definedName>
    <definedName name="EF_el_CO2_DK">'Parameters, country spec'!#REF!</definedName>
    <definedName name="EF_el_CO2_ES">'Parameters, country spec'!$I$69</definedName>
    <definedName name="EF_el_CO2_FR">'Parameters, country spec'!$B$69</definedName>
    <definedName name="EF_el_CO2_GB">'Parameters, country spec'!#REF!</definedName>
    <definedName name="EF_el_CO2_GR">'Parameters, country spec'!$D$69</definedName>
    <definedName name="EF_el_CO2_HU">'Parameters, country spec'!$E$69</definedName>
    <definedName name="EF_el_CO2_IE">'Parameters, country spec'!#REF!</definedName>
    <definedName name="EF_el_CO2_IT">'Parameters, country spec'!$F$69</definedName>
    <definedName name="EF_el_CO2_NL">'Parameters, country spec'!$G$69</definedName>
    <definedName name="EF_el_CO2_PL">'Parameters, country spec'!$H$69</definedName>
    <definedName name="EF_el_CO2_SE">'Parameters, country spec'!$J$69</definedName>
    <definedName name="EF_el_N2O_DE">'Parameters, country spec'!$C$71</definedName>
    <definedName name="EF_el_N2O_DK">'Parameters, country spec'!#REF!</definedName>
    <definedName name="EF_el_N2O_ES">'Parameters, country spec'!$I$71</definedName>
    <definedName name="EF_el_N2O_FR">'Parameters, country spec'!$B$71</definedName>
    <definedName name="EF_el_N2O_GB">'Parameters, country spec'!#REF!</definedName>
    <definedName name="EF_el_N2O_GR">'Parameters, country spec'!$D$71</definedName>
    <definedName name="EF_el_N2O_HU">'Parameters, country spec'!$E$71</definedName>
    <definedName name="EF_el_N2O_IE">'Parameters, country spec'!#REF!</definedName>
    <definedName name="EF_el_N2O_IT">'Parameters, country spec'!$F$71</definedName>
    <definedName name="EF_el_N2O_NL">'Parameters, country spec'!$G$71</definedName>
    <definedName name="EF_el_N2O_PL">'Parameters, country spec'!$H$71</definedName>
    <definedName name="EF_el_N2O_SE">'Parameters, country spec'!$J$71</definedName>
    <definedName name="EF_electricity">'Parameters, country spec'!$J$68</definedName>
    <definedName name="EF_ent_ferm_DE">'Parameters, country spec'!$C$56</definedName>
    <definedName name="EF_ent_ferm_DK">'Parameters, country spec'!#REF!</definedName>
    <definedName name="EF_ent_ferm_ES">'Parameters, country spec'!$I$56</definedName>
    <definedName name="EF_ent_ferm_FR">'Parameters, country spec'!$B$56</definedName>
    <definedName name="EF_ent_ferm_GR">'Parameters, country spec'!$D$56</definedName>
    <definedName name="EF_ent_ferm_heif_DE">'Parameters, country spec'!#REF!</definedName>
    <definedName name="EF_ent_ferm_heif_DK">'Parameters, country spec'!#REF!</definedName>
    <definedName name="EF_ent_ferm_heif_ES">'Parameters, country spec'!#REF!</definedName>
    <definedName name="EF_ent_ferm_heif_FR">'Parameters, country spec'!#REF!</definedName>
    <definedName name="EF_ent_ferm_heif_GR">'Parameters, country spec'!#REF!</definedName>
    <definedName name="EF_ent_ferm_heif_HU">'Parameters, country spec'!#REF!</definedName>
    <definedName name="EF_ent_ferm_heif_IE">'Parameters, country spec'!#REF!</definedName>
    <definedName name="EF_ent_ferm_heif_IT">'Parameters, country spec'!#REF!</definedName>
    <definedName name="EF_ent_ferm_heif_NL">'Parameters, country spec'!#REF!</definedName>
    <definedName name="EF_ent_ferm_heif_PL">'Parameters, country spec'!#REF!</definedName>
    <definedName name="EF_ent_ferm_heif_SE">'Parameters, country spec'!#REF!</definedName>
    <definedName name="EF_ent_ferm_HU">'Parameters, country spec'!$E$56</definedName>
    <definedName name="EF_ent_ferm_IE">'Parameters, country spec'!#REF!</definedName>
    <definedName name="EF_ent_ferm_IT">'Parameters, country spec'!$F$56</definedName>
    <definedName name="EF_ent_ferm_NL">'Parameters, country spec'!$G$56</definedName>
    <definedName name="EF_ent_ferm_PL">'Parameters, country spec'!$H$56</definedName>
    <definedName name="EF_ent_ferm_SE">'Parameters, country spec'!$J$56</definedName>
    <definedName name="EF_GWP_CH4_biog">'Parameters, general'!$B$26</definedName>
    <definedName name="EF_indirect_N2O_DE">'Parameters, country spec'!$C$84</definedName>
    <definedName name="EF_indirect_N2O_DK">'Parameters, country spec'!#REF!</definedName>
    <definedName name="EF_indirect_N2O_ES">'Parameters, country spec'!$I$84</definedName>
    <definedName name="EF_indirect_N2O_FR">'Parameters, country spec'!$B$84</definedName>
    <definedName name="EF_indirect_N2O_GR">'Parameters, country spec'!$D$84</definedName>
    <definedName name="EF_indirect_N2O_HU">'Parameters, country spec'!$E$84</definedName>
    <definedName name="EF_indirect_N2O_IE">'Parameters, country spec'!#REF!</definedName>
    <definedName name="EF_indirect_N2O_IT">'Parameters, country spec'!$F$84</definedName>
    <definedName name="EF_indirect_N2O_NL">'Parameters, country spec'!$G$84</definedName>
    <definedName name="EF_indirect_N2O_PL">'Parameters, country spec'!$H$84</definedName>
    <definedName name="EF_indirect_N2O_SE">'Parameters, country spec'!$J$84</definedName>
    <definedName name="EF_min_fert_AN_CH4">'Parameters, general'!$C$14</definedName>
    <definedName name="EF_min_fert_AN_CO2">'Parameters, general'!$B$14</definedName>
    <definedName name="EF_min_fert_AN_N2O">'Parameters, general'!$D$14</definedName>
    <definedName name="EF_min_fert_BAT_CH4">'Parameters, general'!$C$13</definedName>
    <definedName name="EF_min_fert_BAT_CO2">'Parameters, general'!$B$13</definedName>
    <definedName name="EF_min_fert_BAT_N2O">'Parameters, general'!$D$13</definedName>
    <definedName name="EF_N2O_diff_DE">'Parameters, country spec'!$C$83</definedName>
    <definedName name="EF_N2O_diff_DK">'Parameters, country spec'!#REF!</definedName>
    <definedName name="EF_N2O_diff_ES">'Parameters, country spec'!$I$83</definedName>
    <definedName name="EF_N2O_diff_FR">'Parameters, country spec'!$B$83</definedName>
    <definedName name="EF_N2O_diff_GB">'Parameters, country spec'!#REF!</definedName>
    <definedName name="EF_N2O_diff_GR">'Parameters, country spec'!$D$83</definedName>
    <definedName name="EF_N2O_diff_HU">'Parameters, country spec'!$E$83</definedName>
    <definedName name="EF_N2O_diff_IE">'Parameters, country spec'!#REF!</definedName>
    <definedName name="EF_N2O_diff_IT">'Parameters, country spec'!$F$83</definedName>
    <definedName name="EF_N2O_diff_NL">'Parameters, country spec'!$G$83</definedName>
    <definedName name="EF_N2O_diff_PL">'Parameters, country spec'!$H$83</definedName>
    <definedName name="EF_N2O_diff_SE">'Parameters, country spec'!$J$83</definedName>
    <definedName name="EF_NH3">'Parameters, general'!$B$32</definedName>
    <definedName name="EF_oil_CH4">'Parameters, general'!$C$5</definedName>
    <definedName name="EF_oil_CO2">'Parameters, general'!$B$5</definedName>
    <definedName name="EF_oil_N2O">'Parameters, general'!$D$5</definedName>
    <definedName name="Energy_slaughter_el_DE">'Parameters, country spec'!$C$64</definedName>
    <definedName name="Energy_slaughter_el_DK">'Parameters, country spec'!#REF!</definedName>
    <definedName name="Energy_slaughter_el_ES">'Parameters, country spec'!$I$64</definedName>
    <definedName name="Energy_slaughter_el_FR">'Parameters, country spec'!$B$64</definedName>
    <definedName name="Energy_slaughter_el_GB">'Parameters, country spec'!#REF!</definedName>
    <definedName name="Energy_slaughter_el_GR">'Parameters, country spec'!$D$64</definedName>
    <definedName name="Energy_slaughter_el_HU">'Parameters, country spec'!$E$64</definedName>
    <definedName name="Energy_slaughter_el_IE">'Parameters, country spec'!#REF!</definedName>
    <definedName name="Energy_slaughter_el_IT">'Parameters, country spec'!$F$64</definedName>
    <definedName name="Energy_slaughter_el_NL">'Parameters, country spec'!$G$64</definedName>
    <definedName name="Energy_slaughter_el_PL">'Parameters, country spec'!$H$64</definedName>
    <definedName name="Energy_slaughter_el_SE">'Parameters, country spec'!$J$64</definedName>
    <definedName name="Energy_slaughter_oil_DE">'Parameters, country spec'!$C$65</definedName>
    <definedName name="Energy_slaughter_oil_DK">'Parameters, country spec'!#REF!</definedName>
    <definedName name="Energy_slaughter_oil_ES">'Parameters, country spec'!$I$65</definedName>
    <definedName name="Energy_slaughter_oil_FR">'Parameters, country spec'!$B$65</definedName>
    <definedName name="Energy_slaughter_oil_GB">'Parameters, country spec'!#REF!</definedName>
    <definedName name="Energy_slaughter_oil_GR">'Parameters, country spec'!$D$65</definedName>
    <definedName name="Energy_slaughter_oil_HU">'Parameters, country spec'!$E$65</definedName>
    <definedName name="Energy_slaughter_oil_IE">'Parameters, country spec'!#REF!</definedName>
    <definedName name="Energy_slaughter_oil_IT">'Parameters, country spec'!$F$65</definedName>
    <definedName name="Energy_slaughter_oil_NL">'Parameters, country spec'!$G$65</definedName>
    <definedName name="Energy_slaughter_oil_PL">'Parameters, country spec'!$H$65</definedName>
    <definedName name="Energy_slaughter_oil_SE">'Parameters, country spec'!$J$65</definedName>
    <definedName name="Energy_stables_DE">'Parameters, country spec'!#REF!</definedName>
    <definedName name="Energy_stables_DK">'Parameters, country spec'!#REF!</definedName>
    <definedName name="Energy_stables_ES">'Parameters, country spec'!#REF!</definedName>
    <definedName name="Energy_stables_FR">'Parameters, country spec'!#REF!</definedName>
    <definedName name="Energy_stables_GR">'Parameters, country spec'!#REF!</definedName>
    <definedName name="Energy_stables_HU">'Parameters, country spec'!#REF!</definedName>
    <definedName name="Energy_stables_IE">'Parameters, country spec'!#REF!</definedName>
    <definedName name="Energy_stables_IT">'Parameters, country spec'!#REF!</definedName>
    <definedName name="Energy_stables_NL">'Parameters, country spec'!#REF!</definedName>
    <definedName name="Energy_stables_PL">'Parameters, country spec'!#REF!</definedName>
    <definedName name="Energy_stables_SE">'Parameters, country spec'!#REF!</definedName>
    <definedName name="Excreted_N_after_losses_DE">Manure!$D$146</definedName>
    <definedName name="Excreted_N_after_losses_DK">Manure!#REF!</definedName>
    <definedName name="Excreted_N_after_losses_ES">Manure!$P$146</definedName>
    <definedName name="Excreted_N_after_losses_FR">Manure!$B$146</definedName>
    <definedName name="Excreted_N_after_losses_GB">Manure!#REF!</definedName>
    <definedName name="Excreted_N_after_losses_GR">Manure!$F$146</definedName>
    <definedName name="Excreted_N_after_losses_HU">Manure!$H$146</definedName>
    <definedName name="Excreted_N_after_losses_IE">Manure!#REF!</definedName>
    <definedName name="Excreted_N_after_losses_IT">Manure!$J$146</definedName>
    <definedName name="Excreted_N_after_losses_NL">Manure!$L$146</definedName>
    <definedName name="Excreted_N_after_losses_PL">Manure!$N$146</definedName>
    <definedName name="Excreted_N_after_losses_SE">Manure!$R$146</definedName>
    <definedName name="FCR_bonefree_incl_parents_DE">'Parameters, country spec'!#REF!</definedName>
    <definedName name="FCR_bonefree_incl_parents_DK">'Parameters, country spec'!#REF!</definedName>
    <definedName name="FCR_bonefree_incl_parents_ES">'Parameters, country spec'!#REF!</definedName>
    <definedName name="FCR_bonefree_incl_parents_FR">'Parameters, country spec'!#REF!</definedName>
    <definedName name="FCR_bonefree_incl_parents_GR">'Parameters, country spec'!#REF!</definedName>
    <definedName name="FCR_bonefree_incl_parents_HU">'Parameters, country spec'!#REF!</definedName>
    <definedName name="FCR_bonefree_incl_parents_IE">'Parameters, country spec'!#REF!</definedName>
    <definedName name="FCR_bonefree_incl_parents_IT">'Parameters, country spec'!#REF!</definedName>
    <definedName name="FCR_bonefree_incl_parents_NL">'Parameters, country spec'!#REF!</definedName>
    <definedName name="FCR_bonefree_incl_parents_PL">'Parameters, country spec'!#REF!</definedName>
    <definedName name="FCR_bonefree_incl_parents_SE">'Parameters, country spec'!#REF!</definedName>
    <definedName name="Frac_AN_DE">'Parameters, country spec'!$C$78</definedName>
    <definedName name="Frac_AN_DK">'Parameters, country spec'!#REF!</definedName>
    <definedName name="Frac_AN_ES">'Parameters, country spec'!$I$78</definedName>
    <definedName name="Frac_AN_FR">'Parameters, country spec'!$B$78</definedName>
    <definedName name="Frac_AN_GB">'Parameters, country spec'!#REF!</definedName>
    <definedName name="Frac_AN_GR">'Parameters, country spec'!$D$78</definedName>
    <definedName name="Frac_AN_HU">'Parameters, country spec'!$E$78</definedName>
    <definedName name="Frac_AN_IE">'Parameters, country spec'!#REF!</definedName>
    <definedName name="Frac_AN_IT">'Parameters, country spec'!$F$78</definedName>
    <definedName name="Frac_AN_NL">'Parameters, country spec'!$G$78</definedName>
    <definedName name="Frac_AN_NZ">#REF!</definedName>
    <definedName name="Frac_AN_PL">'Parameters, country spec'!$H$78</definedName>
    <definedName name="Frac_AN_SE">'Parameters, country spec'!$J$78</definedName>
    <definedName name="Frac_BAT_DE">'Parameters, country spec'!$C$77</definedName>
    <definedName name="Frac_BAT_DK">'Parameters, country spec'!#REF!</definedName>
    <definedName name="Frac_BAT_ES">'Parameters, country spec'!$I$77</definedName>
    <definedName name="Frac_BAT_FR">'Parameters, country spec'!$B$77</definedName>
    <definedName name="Frac_BAT_GB">'Parameters, country spec'!#REF!</definedName>
    <definedName name="Frac_BAT_GR">'Parameters, country spec'!$D$77</definedName>
    <definedName name="Frac_BAT_HU">'Parameters, country spec'!$E$77</definedName>
    <definedName name="Frac_BAT_IE">'Parameters, country spec'!#REF!</definedName>
    <definedName name="Frac_BAT_IT">'Parameters, country spec'!$F$77</definedName>
    <definedName name="Frac_BAT_NL">'Parameters, country spec'!$G$77</definedName>
    <definedName name="Frac_BAT_NZ">#REF!</definedName>
    <definedName name="Frac_BAT_PL">'Parameters, country spec'!$H$77</definedName>
    <definedName name="Frac_BAT_SE">'Parameters, country spec'!$J$77</definedName>
    <definedName name="GRAT">'Parameters, country spec'!$D$71</definedName>
    <definedName name="Heating_value_diesel">'Parameters, general'!$E$7</definedName>
    <definedName name="Manure_repl_factor_DE">'Parameters, country spec'!$C$87</definedName>
    <definedName name="Manure_repl_factor_DK">'Parameters, country spec'!#REF!</definedName>
    <definedName name="Manure_repl_factor_ES">'Parameters, country spec'!$I$87</definedName>
    <definedName name="Manure_repl_factor_FR">'Parameters, country spec'!$B$87</definedName>
    <definedName name="Manure_repl_factor_GB">'Parameters, country spec'!#REF!</definedName>
    <definedName name="Manure_repl_factor_GR">'Parameters, country spec'!$D$87</definedName>
    <definedName name="Manure_repl_factor_HU">'Parameters, country spec'!$E$87</definedName>
    <definedName name="Manure_repl_factor_IE">'Parameters, country spec'!#REF!</definedName>
    <definedName name="Manure_repl_factor_IT">'Parameters, country spec'!$F$87</definedName>
    <definedName name="Manure_repl_factor_NL">'Parameters, country spec'!$G$87</definedName>
    <definedName name="Manure_repl_factor_PL">'Parameters, country spec'!$H$87</definedName>
    <definedName name="Manure_repl_factor_SE">'Parameters, country spec'!$J$87</definedName>
    <definedName name="N_fix_DK" localSheetId="2">'Footprints, results per kg'!#REF!</definedName>
    <definedName name="N_fix_DK">#REF!</definedName>
    <definedName name="N_leak_deni_factor">'Parameters, general'!$B$43</definedName>
    <definedName name="N_min_DK" localSheetId="2">'Footprints, results per kg'!#REF!</definedName>
    <definedName name="N_min_DK">#REF!</definedName>
    <definedName name="N_to_NH3">'Parameters, general'!$B$33</definedName>
    <definedName name="N_tot_DK" localSheetId="2">'Footprints, results per kg'!#REF!</definedName>
    <definedName name="N_tot_DK">#REF!</definedName>
    <definedName name="NH3_per_kg_DE">Manure!#REF!</definedName>
    <definedName name="NH3_per_kg_DK">Manure!#REF!</definedName>
    <definedName name="NH3_per_kg_ES">Manure!#REF!</definedName>
    <definedName name="NH3_per_kg_FR">Manure!#REF!</definedName>
    <definedName name="NH3_per_kg_GR">Manure!#REF!</definedName>
    <definedName name="NH3_per_kg_HU">Manure!#REF!</definedName>
    <definedName name="NH3_per_kg_IE">Manure!#REF!</definedName>
    <definedName name="NH3_per_kg_IT">Manure!#REF!</definedName>
    <definedName name="NH3_per_kg_NL">Manure!#REF!</definedName>
    <definedName name="NH3_per_kg_PL">Manure!#REF!</definedName>
    <definedName name="NH3_per_kg_SE">Manure!#REF!</definedName>
    <definedName name="No_species">'Parameters, general'!$B$29</definedName>
    <definedName name="Share_biofuels_DE">'Parameters, country spec'!#REF!</definedName>
    <definedName name="Share_biofuels_DK">'Parameters, country spec'!#REF!</definedName>
    <definedName name="Share_biofuels_ES">'Parameters, country spec'!#REF!</definedName>
    <definedName name="Share_biofuels_FR">'Parameters, country spec'!#REF!</definedName>
    <definedName name="Share_biofuels_GR">'Parameters, country spec'!#REF!</definedName>
    <definedName name="Share_biofuels_HU">'Parameters, country spec'!#REF!</definedName>
    <definedName name="Share_biofuels_IE">'Parameters, country spec'!#REF!</definedName>
    <definedName name="Share_biofuels_IT">'Parameters, country spec'!#REF!</definedName>
    <definedName name="Share_biofuels_NL">'Parameters, country spec'!#REF!</definedName>
    <definedName name="Share_biofuels_PL">'Parameters, country spec'!#REF!</definedName>
    <definedName name="Share_biofuels_SE">'Parameters, country spec'!#REF!</definedName>
    <definedName name="Share_heating_DE">'Parameters, country spec'!#REF!</definedName>
    <definedName name="Share_heating_DK">'Parameters, country spec'!#REF!</definedName>
    <definedName name="Share_heating_ES">'Parameters, country spec'!#REF!</definedName>
    <definedName name="Share_heating_FR">'Parameters, country spec'!#REF!</definedName>
    <definedName name="Share_heating_GR">'Parameters, country spec'!#REF!</definedName>
    <definedName name="Share_heating_HU">'Parameters, country spec'!#REF!</definedName>
    <definedName name="Share_heating_IE">'Parameters, country spec'!#REF!</definedName>
    <definedName name="Share_heating_IT">'Parameters, country spec'!#REF!</definedName>
    <definedName name="Share_heating_NL">'Parameters, country spec'!#REF!</definedName>
    <definedName name="Share_heating_PL">'Parameters, country spec'!#REF!</definedName>
    <definedName name="Share_heating_SE">'Parameters, country spec'!#REF!</definedName>
    <definedName name="Slaughter_duration_class">'Parameters, general'!#REF!</definedName>
    <definedName name="Time_piglet_system_DE">'Parameters, country spec'!#REF!</definedName>
    <definedName name="Time_piglet_system_DK">'Parameters, country spec'!#REF!</definedName>
    <definedName name="Time_piglet_system_ES">'Parameters, country spec'!#REF!</definedName>
    <definedName name="Time_piglet_system_FR">'Parameters, country spec'!#REF!</definedName>
    <definedName name="Time_piglet_system_GR">'Parameters, country spec'!#REF!</definedName>
    <definedName name="Time_piglet_system_HU">'Parameters, country spec'!#REF!</definedName>
    <definedName name="Time_piglet_system_IE">'Parameters, country spec'!#REF!</definedName>
    <definedName name="Time_piglet_system_IT">'Parameters, country spec'!#REF!</definedName>
    <definedName name="Time_piglet_system_NL">'Parameters, country spec'!#REF!</definedName>
    <definedName name="Time_piglet_system_PL">'Parameters, country spec'!#REF!</definedName>
    <definedName name="Time_piglet_system_SE">'Parameters, country spec'!#REF!</definedName>
    <definedName name="Water_stables_DE">'Parameters, country spec'!$C$90</definedName>
    <definedName name="Water_stables_DK">'Parameters, country spec'!#REF!</definedName>
    <definedName name="Water_stables_ES">'Parameters, country spec'!$I$90</definedName>
    <definedName name="Water_stables_FR">'Parameters, country spec'!$B$90</definedName>
    <definedName name="Water_stables_GR">'Parameters, country spec'!$D$90</definedName>
    <definedName name="Water_stables_HU">'Parameters, country spec'!$E$90</definedName>
    <definedName name="Water_stables_IE">'Parameters, country spec'!#REF!</definedName>
    <definedName name="Water_stables_IT">'Parameters, country spec'!$F$90</definedName>
    <definedName name="Water_stables_NL">'Parameters, country spec'!$G$90</definedName>
    <definedName name="Water_stables_PL">'Parameters, country spec'!$H$90</definedName>
    <definedName name="Water_stables_SE">'Parameters, country spec'!$J$90</definedName>
    <definedName name="Weight_ability_to_perceive_handling">'Parameters, general'!#REF!</definedName>
    <definedName name="Weight_diseases">'Parameters, general'!#REF!</definedName>
    <definedName name="Weight_mortality">'Parameters, general'!#REF!</definedName>
    <definedName name="Weight_no_of_animal">'Parameters, general'!#REF!</definedName>
    <definedName name="Weight_slaughter_duration_class">'Parameters, general'!#REF!</definedName>
    <definedName name="Weight_space">'Parameters, general'!#REF!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4" l="1"/>
  <c r="H8" i="4" l="1"/>
  <c r="E8" i="4"/>
  <c r="G8" i="4" l="1"/>
  <c r="D8" i="4"/>
  <c r="F8" i="4"/>
  <c r="C8" i="4"/>
  <c r="I8" i="4"/>
  <c r="B8" i="4"/>
  <c r="J23" i="23"/>
  <c r="B10" i="23"/>
  <c r="J25" i="23" l="1"/>
  <c r="B8" i="23"/>
  <c r="J19" i="4"/>
  <c r="R137" i="15" s="1"/>
  <c r="J23" i="4"/>
  <c r="J26" i="4"/>
  <c r="R144" i="2" s="1"/>
  <c r="J27" i="4"/>
  <c r="R145" i="15" s="1"/>
  <c r="O21" i="4"/>
  <c r="O20" i="4"/>
  <c r="O19" i="4"/>
  <c r="N22" i="4"/>
  <c r="C53" i="4"/>
  <c r="D53" i="4"/>
  <c r="E53" i="4"/>
  <c r="F53" i="4"/>
  <c r="G53" i="4"/>
  <c r="H53" i="4"/>
  <c r="I53" i="4"/>
  <c r="B53" i="4"/>
  <c r="N21" i="4"/>
  <c r="Q145" i="14"/>
  <c r="P145" i="14"/>
  <c r="N145" i="14"/>
  <c r="M145" i="14"/>
  <c r="K145" i="14"/>
  <c r="J145" i="14"/>
  <c r="I145" i="14"/>
  <c r="H145" i="14"/>
  <c r="G145" i="14"/>
  <c r="Q144" i="14"/>
  <c r="N144" i="14"/>
  <c r="M144" i="14"/>
  <c r="K144" i="14"/>
  <c r="J144" i="14"/>
  <c r="I144" i="14"/>
  <c r="H144" i="14"/>
  <c r="G144" i="14"/>
  <c r="Q129" i="14"/>
  <c r="P129" i="14"/>
  <c r="N129" i="14"/>
  <c r="M129" i="14"/>
  <c r="K129" i="14"/>
  <c r="J129" i="14"/>
  <c r="I129" i="14"/>
  <c r="H129" i="14"/>
  <c r="G129" i="14"/>
  <c r="Q128" i="14"/>
  <c r="N128" i="14"/>
  <c r="M128" i="14"/>
  <c r="K128" i="14"/>
  <c r="J128" i="14"/>
  <c r="I128" i="14"/>
  <c r="H128" i="14"/>
  <c r="G128" i="14"/>
  <c r="Q113" i="14"/>
  <c r="P113" i="14"/>
  <c r="N113" i="14"/>
  <c r="M113" i="14"/>
  <c r="K113" i="14"/>
  <c r="J113" i="14"/>
  <c r="I113" i="14"/>
  <c r="H113" i="14"/>
  <c r="G113" i="14"/>
  <c r="Q112" i="14"/>
  <c r="N112" i="14"/>
  <c r="M112" i="14"/>
  <c r="K112" i="14"/>
  <c r="J112" i="14"/>
  <c r="I112" i="14"/>
  <c r="H112" i="14"/>
  <c r="G112" i="14"/>
  <c r="Q97" i="14"/>
  <c r="P97" i="14"/>
  <c r="N97" i="14"/>
  <c r="M97" i="14"/>
  <c r="K97" i="14"/>
  <c r="J97" i="14"/>
  <c r="I97" i="14"/>
  <c r="H97" i="14"/>
  <c r="G97" i="14"/>
  <c r="Q96" i="14"/>
  <c r="N96" i="14"/>
  <c r="M96" i="14"/>
  <c r="K96" i="14"/>
  <c r="J96" i="14"/>
  <c r="I96" i="14"/>
  <c r="H96" i="14"/>
  <c r="G96" i="14"/>
  <c r="Q81" i="14"/>
  <c r="P81" i="14"/>
  <c r="N81" i="14"/>
  <c r="M81" i="14"/>
  <c r="K81" i="14"/>
  <c r="J81" i="14"/>
  <c r="I81" i="14"/>
  <c r="H81" i="14"/>
  <c r="G81" i="14"/>
  <c r="Q80" i="14"/>
  <c r="N80" i="14"/>
  <c r="M80" i="14"/>
  <c r="K80" i="14"/>
  <c r="J80" i="14"/>
  <c r="I80" i="14"/>
  <c r="H80" i="14"/>
  <c r="G80" i="14"/>
  <c r="Q65" i="14"/>
  <c r="P65" i="14"/>
  <c r="N65" i="14"/>
  <c r="M65" i="14"/>
  <c r="K65" i="14"/>
  <c r="J65" i="14"/>
  <c r="I65" i="14"/>
  <c r="H65" i="14"/>
  <c r="G65" i="14"/>
  <c r="Q64" i="14"/>
  <c r="N64" i="14"/>
  <c r="M64" i="14"/>
  <c r="K64" i="14"/>
  <c r="J64" i="14"/>
  <c r="I64" i="14"/>
  <c r="H64" i="14"/>
  <c r="G64" i="14"/>
  <c r="Q49" i="14"/>
  <c r="P49" i="14"/>
  <c r="N49" i="14"/>
  <c r="M49" i="14"/>
  <c r="K49" i="14"/>
  <c r="J49" i="14"/>
  <c r="I49" i="14"/>
  <c r="H49" i="14"/>
  <c r="G49" i="14"/>
  <c r="Q48" i="14"/>
  <c r="N48" i="14"/>
  <c r="M48" i="14"/>
  <c r="K48" i="14"/>
  <c r="J48" i="14"/>
  <c r="I48" i="14"/>
  <c r="H48" i="14"/>
  <c r="G48" i="14"/>
  <c r="Q33" i="14"/>
  <c r="P33" i="14"/>
  <c r="N33" i="14"/>
  <c r="M33" i="14"/>
  <c r="K33" i="14"/>
  <c r="J33" i="14"/>
  <c r="I33" i="14"/>
  <c r="H33" i="14"/>
  <c r="G33" i="14"/>
  <c r="Q32" i="14"/>
  <c r="N32" i="14"/>
  <c r="M32" i="14"/>
  <c r="K32" i="14"/>
  <c r="J32" i="14"/>
  <c r="I32" i="14"/>
  <c r="H32" i="14"/>
  <c r="G32" i="14"/>
  <c r="N16" i="14"/>
  <c r="Q145" i="15"/>
  <c r="P145" i="15"/>
  <c r="N145" i="15"/>
  <c r="M145" i="15"/>
  <c r="K145" i="15"/>
  <c r="H145" i="15"/>
  <c r="G145" i="15"/>
  <c r="Q144" i="15"/>
  <c r="N144" i="15"/>
  <c r="M144" i="15"/>
  <c r="K144" i="15"/>
  <c r="H144" i="15"/>
  <c r="G144" i="15"/>
  <c r="Q129" i="15"/>
  <c r="P129" i="15"/>
  <c r="N129" i="15"/>
  <c r="M129" i="15"/>
  <c r="K129" i="15"/>
  <c r="H129" i="15"/>
  <c r="G129" i="15"/>
  <c r="Q128" i="15"/>
  <c r="N128" i="15"/>
  <c r="M128" i="15"/>
  <c r="K128" i="15"/>
  <c r="H128" i="15"/>
  <c r="G128" i="15"/>
  <c r="Q113" i="15"/>
  <c r="P113" i="15"/>
  <c r="N113" i="15"/>
  <c r="M113" i="15"/>
  <c r="K113" i="15"/>
  <c r="H113" i="15"/>
  <c r="G113" i="15"/>
  <c r="Q112" i="15"/>
  <c r="N112" i="15"/>
  <c r="M112" i="15"/>
  <c r="K112" i="15"/>
  <c r="H112" i="15"/>
  <c r="G112" i="15"/>
  <c r="Q97" i="15"/>
  <c r="P97" i="15"/>
  <c r="N97" i="15"/>
  <c r="M97" i="15"/>
  <c r="K97" i="15"/>
  <c r="H97" i="15"/>
  <c r="G97" i="15"/>
  <c r="Q96" i="15"/>
  <c r="N96" i="15"/>
  <c r="M96" i="15"/>
  <c r="K96" i="15"/>
  <c r="H96" i="15"/>
  <c r="G96" i="15"/>
  <c r="Q81" i="15"/>
  <c r="P81" i="15"/>
  <c r="N81" i="15"/>
  <c r="M81" i="15"/>
  <c r="K81" i="15"/>
  <c r="H81" i="15"/>
  <c r="G81" i="15"/>
  <c r="Q80" i="15"/>
  <c r="N80" i="15"/>
  <c r="M80" i="15"/>
  <c r="K80" i="15"/>
  <c r="H80" i="15"/>
  <c r="G80" i="15"/>
  <c r="Q65" i="15"/>
  <c r="P65" i="15"/>
  <c r="N65" i="15"/>
  <c r="M65" i="15"/>
  <c r="K65" i="15"/>
  <c r="H65" i="15"/>
  <c r="G65" i="15"/>
  <c r="Q64" i="15"/>
  <c r="N64" i="15"/>
  <c r="M64" i="15"/>
  <c r="K64" i="15"/>
  <c r="H64" i="15"/>
  <c r="G64" i="15"/>
  <c r="Q49" i="15"/>
  <c r="P49" i="15"/>
  <c r="N49" i="15"/>
  <c r="M49" i="15"/>
  <c r="K49" i="15"/>
  <c r="H49" i="15"/>
  <c r="G49" i="15"/>
  <c r="Q48" i="15"/>
  <c r="N48" i="15"/>
  <c r="M48" i="15"/>
  <c r="K48" i="15"/>
  <c r="H48" i="15"/>
  <c r="G48" i="15"/>
  <c r="Q33" i="15"/>
  <c r="P33" i="15"/>
  <c r="N33" i="15"/>
  <c r="M33" i="15"/>
  <c r="K33" i="15"/>
  <c r="H33" i="15"/>
  <c r="G33" i="15"/>
  <c r="Q32" i="15"/>
  <c r="N32" i="15"/>
  <c r="M32" i="15"/>
  <c r="K32" i="15"/>
  <c r="H32" i="15"/>
  <c r="G32" i="15"/>
  <c r="H136" i="14"/>
  <c r="K136" i="14"/>
  <c r="L136" i="14"/>
  <c r="M136" i="14"/>
  <c r="N136" i="14"/>
  <c r="O136" i="14"/>
  <c r="P136" i="14"/>
  <c r="Q136" i="14"/>
  <c r="H134" i="14"/>
  <c r="K134" i="14"/>
  <c r="L134" i="14"/>
  <c r="M134" i="14"/>
  <c r="N134" i="14"/>
  <c r="O134" i="14"/>
  <c r="P134" i="14"/>
  <c r="Q134" i="14"/>
  <c r="H135" i="14"/>
  <c r="K135" i="14"/>
  <c r="L135" i="14"/>
  <c r="M135" i="14"/>
  <c r="N135" i="14"/>
  <c r="O135" i="14"/>
  <c r="P135" i="14"/>
  <c r="Q135" i="14"/>
  <c r="R135" i="14"/>
  <c r="S135" i="14"/>
  <c r="R136" i="14"/>
  <c r="S136" i="14"/>
  <c r="S137" i="14"/>
  <c r="R138" i="14"/>
  <c r="S138" i="14"/>
  <c r="R139" i="14"/>
  <c r="S139" i="14"/>
  <c r="R140" i="14"/>
  <c r="S140" i="14"/>
  <c r="R141" i="14"/>
  <c r="S141" i="14"/>
  <c r="R142" i="14"/>
  <c r="S142" i="14"/>
  <c r="R143" i="14"/>
  <c r="S143" i="14"/>
  <c r="R144" i="14"/>
  <c r="S144" i="14"/>
  <c r="S145" i="14"/>
  <c r="R146" i="14"/>
  <c r="S146" i="14"/>
  <c r="R147" i="14"/>
  <c r="S147" i="14"/>
  <c r="S134" i="14"/>
  <c r="R134" i="14"/>
  <c r="F146" i="14"/>
  <c r="F145" i="14"/>
  <c r="F143" i="14"/>
  <c r="F142" i="14"/>
  <c r="F141" i="14"/>
  <c r="F140" i="14"/>
  <c r="F139" i="14"/>
  <c r="F138" i="14"/>
  <c r="F137" i="14"/>
  <c r="H136" i="15"/>
  <c r="K136" i="15"/>
  <c r="M136" i="15"/>
  <c r="N136" i="15"/>
  <c r="P136" i="15"/>
  <c r="H134" i="15"/>
  <c r="I134" i="15"/>
  <c r="J134" i="15"/>
  <c r="K134" i="15"/>
  <c r="L134" i="15"/>
  <c r="M134" i="15"/>
  <c r="N134" i="15"/>
  <c r="O134" i="15"/>
  <c r="P134" i="15"/>
  <c r="Q134" i="15"/>
  <c r="H135" i="15"/>
  <c r="I135" i="15"/>
  <c r="J135" i="15"/>
  <c r="K135" i="15"/>
  <c r="L135" i="15"/>
  <c r="M135" i="15"/>
  <c r="N135" i="15"/>
  <c r="O135" i="15"/>
  <c r="P135" i="15"/>
  <c r="Q135" i="15"/>
  <c r="R135" i="15"/>
  <c r="S135" i="15"/>
  <c r="R136" i="15"/>
  <c r="S136" i="15"/>
  <c r="S137" i="15"/>
  <c r="R138" i="15"/>
  <c r="S138" i="15"/>
  <c r="R139" i="15"/>
  <c r="S139" i="15"/>
  <c r="R140" i="15"/>
  <c r="S140" i="15"/>
  <c r="R141" i="15"/>
  <c r="S141" i="15"/>
  <c r="R142" i="15"/>
  <c r="S142" i="15"/>
  <c r="R143" i="15"/>
  <c r="S143" i="15"/>
  <c r="S144" i="15"/>
  <c r="S145" i="15"/>
  <c r="R146" i="15"/>
  <c r="S146" i="15"/>
  <c r="R147" i="15"/>
  <c r="S147" i="15"/>
  <c r="S134" i="15"/>
  <c r="R134" i="15"/>
  <c r="F146" i="15"/>
  <c r="F145" i="15"/>
  <c r="F143" i="15"/>
  <c r="F142" i="15"/>
  <c r="F141" i="15"/>
  <c r="F140" i="15"/>
  <c r="F139" i="15"/>
  <c r="F138" i="15"/>
  <c r="F137" i="15"/>
  <c r="H136" i="2"/>
  <c r="I136" i="2"/>
  <c r="J136" i="2"/>
  <c r="K136" i="2"/>
  <c r="L136" i="2"/>
  <c r="M136" i="2"/>
  <c r="N136" i="2"/>
  <c r="O136" i="2"/>
  <c r="P136" i="2"/>
  <c r="Q136" i="2"/>
  <c r="H134" i="2"/>
  <c r="I134" i="2"/>
  <c r="J134" i="2"/>
  <c r="K134" i="2"/>
  <c r="L134" i="2"/>
  <c r="M134" i="2"/>
  <c r="N134" i="2"/>
  <c r="O134" i="2"/>
  <c r="P134" i="2"/>
  <c r="Q134" i="2"/>
  <c r="H135" i="2"/>
  <c r="I135" i="2"/>
  <c r="J135" i="2"/>
  <c r="K135" i="2"/>
  <c r="L135" i="2"/>
  <c r="M135" i="2"/>
  <c r="N135" i="2"/>
  <c r="O135" i="2"/>
  <c r="P135" i="2"/>
  <c r="Q135" i="2"/>
  <c r="R135" i="2"/>
  <c r="S135" i="2"/>
  <c r="R136" i="2"/>
  <c r="S136" i="2"/>
  <c r="S137" i="2"/>
  <c r="R138" i="2"/>
  <c r="S138" i="2"/>
  <c r="R139" i="2"/>
  <c r="S139" i="2"/>
  <c r="R140" i="2"/>
  <c r="S140" i="2"/>
  <c r="R141" i="2"/>
  <c r="S141" i="2"/>
  <c r="R142" i="2"/>
  <c r="S142" i="2"/>
  <c r="R143" i="2"/>
  <c r="S143" i="2"/>
  <c r="S144" i="2"/>
  <c r="S145" i="2"/>
  <c r="R146" i="2"/>
  <c r="S146" i="2"/>
  <c r="R147" i="2"/>
  <c r="S147" i="2"/>
  <c r="S134" i="2"/>
  <c r="R134" i="2"/>
  <c r="Q145" i="2"/>
  <c r="P145" i="2"/>
  <c r="O145" i="2"/>
  <c r="N145" i="2"/>
  <c r="M145" i="2"/>
  <c r="F145" i="2" s="1"/>
  <c r="K145" i="2"/>
  <c r="I145" i="2"/>
  <c r="H145" i="2"/>
  <c r="G145" i="2"/>
  <c r="Q144" i="2"/>
  <c r="O144" i="2"/>
  <c r="N144" i="2"/>
  <c r="M144" i="2"/>
  <c r="K144" i="2"/>
  <c r="I144" i="2"/>
  <c r="H144" i="2"/>
  <c r="G144" i="2"/>
  <c r="F146" i="2"/>
  <c r="F143" i="2"/>
  <c r="F142" i="2"/>
  <c r="F141" i="2"/>
  <c r="F140" i="2"/>
  <c r="F139" i="2"/>
  <c r="F138" i="2"/>
  <c r="F137" i="2"/>
  <c r="H136" i="16"/>
  <c r="I136" i="16"/>
  <c r="J136" i="16"/>
  <c r="K136" i="16"/>
  <c r="F136" i="16"/>
  <c r="H135" i="16"/>
  <c r="I135" i="16"/>
  <c r="J135" i="16"/>
  <c r="K135" i="16"/>
  <c r="F135" i="16"/>
  <c r="L134" i="16"/>
  <c r="K134" i="16"/>
  <c r="J134" i="16"/>
  <c r="I134" i="16"/>
  <c r="H134" i="16"/>
  <c r="G134" i="16"/>
  <c r="M135" i="16"/>
  <c r="N135" i="16"/>
  <c r="M136" i="16"/>
  <c r="N136" i="16"/>
  <c r="M137" i="16"/>
  <c r="N137" i="16"/>
  <c r="M138" i="16"/>
  <c r="N138" i="16"/>
  <c r="M139" i="16"/>
  <c r="N139" i="16"/>
  <c r="M140" i="16"/>
  <c r="N140" i="16"/>
  <c r="M141" i="16"/>
  <c r="N141" i="16"/>
  <c r="M142" i="16"/>
  <c r="N142" i="16"/>
  <c r="M143" i="16"/>
  <c r="N143" i="16"/>
  <c r="M144" i="16"/>
  <c r="N144" i="16"/>
  <c r="M145" i="16"/>
  <c r="N145" i="16"/>
  <c r="M146" i="16"/>
  <c r="N146" i="16"/>
  <c r="M147" i="16"/>
  <c r="N147" i="16"/>
  <c r="N134" i="16"/>
  <c r="N118" i="16"/>
  <c r="M134" i="16"/>
  <c r="L145" i="16"/>
  <c r="K145" i="16"/>
  <c r="K147" i="16" s="1"/>
  <c r="J145" i="16"/>
  <c r="I145" i="16"/>
  <c r="H145" i="16"/>
  <c r="G145" i="16"/>
  <c r="F145" i="16"/>
  <c r="L144" i="16"/>
  <c r="L147" i="16" s="1"/>
  <c r="K144" i="16"/>
  <c r="J144" i="16"/>
  <c r="I144" i="16"/>
  <c r="H144" i="16"/>
  <c r="G144" i="16"/>
  <c r="F144" i="16"/>
  <c r="F147" i="16" s="1"/>
  <c r="G147" i="16"/>
  <c r="H147" i="16"/>
  <c r="J147" i="16"/>
  <c r="I147" i="16"/>
  <c r="R144" i="15" l="1"/>
  <c r="R137" i="14"/>
  <c r="J147" i="14" s="1"/>
  <c r="R137" i="2"/>
  <c r="M147" i="15"/>
  <c r="M149" i="15" s="1"/>
  <c r="R145" i="2"/>
  <c r="R145" i="14"/>
  <c r="L147" i="15"/>
  <c r="L148" i="15" s="1"/>
  <c r="K147" i="15"/>
  <c r="K148" i="15" s="1"/>
  <c r="J147" i="15"/>
  <c r="J149" i="15" s="1"/>
  <c r="L147" i="14"/>
  <c r="L148" i="14" s="1"/>
  <c r="M147" i="14"/>
  <c r="M148" i="14" s="1"/>
  <c r="H147" i="14"/>
  <c r="H149" i="14" s="1"/>
  <c r="N147" i="15"/>
  <c r="N148" i="15" s="1"/>
  <c r="G147" i="15"/>
  <c r="O147" i="15"/>
  <c r="O148" i="15" s="1"/>
  <c r="H147" i="15"/>
  <c r="H148" i="15" s="1"/>
  <c r="I147" i="15"/>
  <c r="I148" i="15" s="1"/>
  <c r="Q147" i="15"/>
  <c r="Q149" i="15" s="1"/>
  <c r="M147" i="2"/>
  <c r="M148" i="2" s="1"/>
  <c r="H147" i="2"/>
  <c r="H149" i="2" s="1"/>
  <c r="F149" i="16"/>
  <c r="F148" i="16"/>
  <c r="H148" i="16"/>
  <c r="H149" i="16" s="1"/>
  <c r="I148" i="16"/>
  <c r="K148" i="16"/>
  <c r="J148" i="16"/>
  <c r="J149" i="16" s="1"/>
  <c r="M148" i="15" l="1"/>
  <c r="K147" i="14"/>
  <c r="K148" i="14" s="1"/>
  <c r="O147" i="14"/>
  <c r="O148" i="14" s="1"/>
  <c r="Q147" i="14"/>
  <c r="Q148" i="14" s="1"/>
  <c r="G147" i="14"/>
  <c r="N147" i="14"/>
  <c r="N148" i="14" s="1"/>
  <c r="I147" i="14"/>
  <c r="N147" i="2"/>
  <c r="N149" i="2" s="1"/>
  <c r="Q147" i="2"/>
  <c r="Q149" i="2" s="1"/>
  <c r="L149" i="15"/>
  <c r="J147" i="2"/>
  <c r="O149" i="15"/>
  <c r="I147" i="2"/>
  <c r="O147" i="2"/>
  <c r="O149" i="2" s="1"/>
  <c r="L147" i="2"/>
  <c r="L149" i="2" s="1"/>
  <c r="G147" i="2"/>
  <c r="K147" i="2"/>
  <c r="K148" i="2" s="1"/>
  <c r="M149" i="2"/>
  <c r="K149" i="15"/>
  <c r="H148" i="2"/>
  <c r="K149" i="16"/>
  <c r="J148" i="15"/>
  <c r="I149" i="16"/>
  <c r="H148" i="14"/>
  <c r="M149" i="14"/>
  <c r="L149" i="14"/>
  <c r="O149" i="14"/>
  <c r="H149" i="15"/>
  <c r="I149" i="15"/>
  <c r="Q148" i="15"/>
  <c r="N149" i="15"/>
  <c r="Q149" i="14" l="1"/>
  <c r="N148" i="2"/>
  <c r="K149" i="14"/>
  <c r="N149" i="14"/>
  <c r="K149" i="2"/>
  <c r="L148" i="2"/>
  <c r="I148" i="2"/>
  <c r="I149" i="2"/>
  <c r="Q148" i="2"/>
  <c r="J148" i="2"/>
  <c r="J149" i="2"/>
  <c r="O148" i="2"/>
  <c r="X17" i="13"/>
  <c r="W25" i="13"/>
  <c r="W23" i="13"/>
  <c r="W22" i="13"/>
  <c r="C57" i="4"/>
  <c r="D57" i="4"/>
  <c r="E57" i="4"/>
  <c r="F57" i="4"/>
  <c r="G57" i="4"/>
  <c r="H57" i="4"/>
  <c r="I57" i="4"/>
  <c r="J57" i="4"/>
  <c r="B57" i="4"/>
  <c r="X50" i="13"/>
  <c r="X48" i="13"/>
  <c r="X47" i="13"/>
  <c r="X45" i="13"/>
  <c r="X43" i="13"/>
  <c r="X42" i="13"/>
  <c r="X40" i="13"/>
  <c r="X38" i="13"/>
  <c r="X37" i="13"/>
  <c r="X35" i="13"/>
  <c r="X33" i="13"/>
  <c r="X32" i="13"/>
  <c r="X30" i="13"/>
  <c r="X28" i="13"/>
  <c r="X27" i="13"/>
  <c r="X25" i="13"/>
  <c r="X23" i="13"/>
  <c r="X22" i="13"/>
  <c r="X20" i="13"/>
  <c r="X18" i="13"/>
  <c r="X15" i="13"/>
  <c r="X13" i="13"/>
  <c r="X12" i="13"/>
  <c r="X10" i="13"/>
  <c r="X8" i="13"/>
  <c r="X7" i="13"/>
  <c r="J61" i="4" l="1"/>
  <c r="V69" i="4"/>
  <c r="V68" i="4"/>
  <c r="S68" i="4"/>
  <c r="T68" i="4"/>
  <c r="U68" i="4"/>
  <c r="R68" i="4"/>
  <c r="Q68" i="4"/>
  <c r="J8" i="4"/>
  <c r="J7" i="4"/>
  <c r="W66" i="4"/>
  <c r="V66" i="4"/>
  <c r="W45" i="13"/>
  <c r="W40" i="13"/>
  <c r="W35" i="13"/>
  <c r="W30" i="13"/>
  <c r="W20" i="13"/>
  <c r="W15" i="13"/>
  <c r="W10" i="13"/>
  <c r="W48" i="13"/>
  <c r="W43" i="13"/>
  <c r="W38" i="13"/>
  <c r="W33" i="13"/>
  <c r="W28" i="13"/>
  <c r="W18" i="13"/>
  <c r="W13" i="13"/>
  <c r="W8" i="13"/>
  <c r="W42" i="13"/>
  <c r="W37" i="13"/>
  <c r="W32" i="13"/>
  <c r="W27" i="13"/>
  <c r="W17" i="13"/>
  <c r="W12" i="13"/>
  <c r="W7" i="13"/>
  <c r="B61" i="4"/>
  <c r="R23" i="25"/>
  <c r="R29" i="25" s="1"/>
  <c r="AA51" i="13"/>
  <c r="M51" i="13"/>
  <c r="S39" i="25"/>
  <c r="Q39" i="25"/>
  <c r="O39" i="25"/>
  <c r="M39" i="25"/>
  <c r="K39" i="25"/>
  <c r="I39" i="25"/>
  <c r="G39" i="25"/>
  <c r="E39" i="25"/>
  <c r="C39" i="25"/>
  <c r="B43" i="25"/>
  <c r="J10" i="23"/>
  <c r="J7" i="23"/>
  <c r="J11" i="23" s="1"/>
  <c r="R46" i="25"/>
  <c r="R54" i="25" s="1"/>
  <c r="R128" i="25" s="1"/>
  <c r="R45" i="25"/>
  <c r="R44" i="25"/>
  <c r="R52" i="25" s="1"/>
  <c r="R43" i="25"/>
  <c r="R51" i="25" s="1"/>
  <c r="R26" i="25"/>
  <c r="R32" i="25" s="1"/>
  <c r="R25" i="25"/>
  <c r="R31" i="25" s="1"/>
  <c r="R24" i="25"/>
  <c r="R30" i="25" s="1"/>
  <c r="W21" i="13" l="1"/>
  <c r="J12" i="23"/>
  <c r="R58" i="25"/>
  <c r="R67" i="25" s="1"/>
  <c r="R72" i="25" s="1"/>
  <c r="R136" i="25"/>
  <c r="R142" i="25" s="1"/>
  <c r="R57" i="25"/>
  <c r="R66" i="25" s="1"/>
  <c r="R71" i="25" s="1"/>
  <c r="R88" i="25" s="1"/>
  <c r="R53" i="25"/>
  <c r="R98" i="25" l="1"/>
  <c r="R79" i="25"/>
  <c r="R80" i="25"/>
  <c r="R99" i="25"/>
  <c r="R89" i="25"/>
  <c r="R59" i="25"/>
  <c r="R68" i="25" s="1"/>
  <c r="R73" i="25" s="1"/>
  <c r="R109" i="25" l="1"/>
  <c r="R114" i="25" s="1"/>
  <c r="R81" i="25"/>
  <c r="R100" i="25"/>
  <c r="R90" i="25"/>
  <c r="R108" i="25"/>
  <c r="R124" i="25" l="1"/>
  <c r="R134" i="25"/>
  <c r="R140" i="25" s="1"/>
  <c r="R110" i="25"/>
  <c r="R115" i="25" s="1"/>
  <c r="R113" i="25"/>
  <c r="R123" i="25" s="1"/>
  <c r="R125" i="25" l="1"/>
  <c r="R135" i="25"/>
  <c r="R141" i="25" s="1"/>
  <c r="R133" i="25"/>
  <c r="R139" i="25" l="1"/>
  <c r="B11" i="4" l="1"/>
  <c r="C11" i="4"/>
  <c r="D11" i="4"/>
  <c r="E11" i="4"/>
  <c r="F11" i="4"/>
  <c r="G11" i="4"/>
  <c r="H11" i="4"/>
  <c r="I11" i="4"/>
  <c r="J11" i="4"/>
  <c r="B23" i="25"/>
  <c r="D23" i="25" l="1"/>
  <c r="D29" i="25" s="1"/>
  <c r="B25" i="25"/>
  <c r="B29" i="25"/>
  <c r="F130" i="14"/>
  <c r="F114" i="14"/>
  <c r="F98" i="14"/>
  <c r="F82" i="14"/>
  <c r="F66" i="14"/>
  <c r="F50" i="14"/>
  <c r="F34" i="14"/>
  <c r="F18" i="14"/>
  <c r="F130" i="15"/>
  <c r="F114" i="15"/>
  <c r="F98" i="15"/>
  <c r="F82" i="15"/>
  <c r="F66" i="15"/>
  <c r="F50" i="15"/>
  <c r="F34" i="15"/>
  <c r="F18" i="15"/>
  <c r="F130" i="2"/>
  <c r="F114" i="2"/>
  <c r="F98" i="2"/>
  <c r="F82" i="2"/>
  <c r="F66" i="2"/>
  <c r="F50" i="2"/>
  <c r="F34" i="2"/>
  <c r="F18" i="2"/>
  <c r="C10" i="23"/>
  <c r="D10" i="23"/>
  <c r="E10" i="23"/>
  <c r="F10" i="23"/>
  <c r="G10" i="23"/>
  <c r="H10" i="23"/>
  <c r="I10" i="23"/>
  <c r="B6" i="4"/>
  <c r="C6" i="4"/>
  <c r="C6" i="23" s="1"/>
  <c r="D6" i="4"/>
  <c r="E6" i="4"/>
  <c r="E6" i="23" s="1"/>
  <c r="F6" i="4"/>
  <c r="G6" i="4"/>
  <c r="G6" i="23" s="1"/>
  <c r="H6" i="4"/>
  <c r="H6" i="23" s="1"/>
  <c r="I6" i="4"/>
  <c r="I6" i="23" s="1"/>
  <c r="J6" i="4"/>
  <c r="J6" i="23" s="1"/>
  <c r="B56" i="4"/>
  <c r="C56" i="4"/>
  <c r="D56" i="4"/>
  <c r="E56" i="4"/>
  <c r="F56" i="4"/>
  <c r="G56" i="4"/>
  <c r="H56" i="4"/>
  <c r="I56" i="4"/>
  <c r="J56" i="4"/>
  <c r="B6" i="23"/>
  <c r="D6" i="23"/>
  <c r="F6" i="23"/>
  <c r="B7" i="23"/>
  <c r="B11" i="23" s="1"/>
  <c r="C7" i="23"/>
  <c r="C11" i="23" s="1"/>
  <c r="D7" i="23"/>
  <c r="D11" i="23" s="1"/>
  <c r="E7" i="23"/>
  <c r="F7" i="23"/>
  <c r="F11" i="23" s="1"/>
  <c r="G7" i="23"/>
  <c r="G11" i="23" s="1"/>
  <c r="H7" i="23"/>
  <c r="H11" i="23" s="1"/>
  <c r="I7" i="23"/>
  <c r="I11" i="23" s="1"/>
  <c r="B18" i="4"/>
  <c r="C18" i="4"/>
  <c r="D18" i="4"/>
  <c r="E18" i="4"/>
  <c r="F18" i="4"/>
  <c r="G18" i="4"/>
  <c r="H18" i="4"/>
  <c r="I18" i="4"/>
  <c r="B19" i="4"/>
  <c r="C19" i="4"/>
  <c r="D19" i="4"/>
  <c r="E19" i="4"/>
  <c r="F19" i="4"/>
  <c r="G19" i="4"/>
  <c r="H19" i="4"/>
  <c r="I19" i="4"/>
  <c r="B23" i="4"/>
  <c r="C23" i="4"/>
  <c r="D23" i="4"/>
  <c r="E23" i="4"/>
  <c r="F23" i="4"/>
  <c r="G23" i="4"/>
  <c r="H23" i="4"/>
  <c r="I23" i="4"/>
  <c r="B26" i="4"/>
  <c r="C26" i="4"/>
  <c r="D26" i="4"/>
  <c r="E26" i="4"/>
  <c r="F26" i="4"/>
  <c r="G26" i="4"/>
  <c r="H26" i="4"/>
  <c r="I26" i="4"/>
  <c r="B27" i="4"/>
  <c r="C27" i="4"/>
  <c r="D27" i="4"/>
  <c r="E27" i="4"/>
  <c r="F27" i="4"/>
  <c r="G27" i="4"/>
  <c r="H27" i="4"/>
  <c r="I27" i="4"/>
  <c r="B28" i="4"/>
  <c r="C28" i="4"/>
  <c r="D28" i="4"/>
  <c r="E28" i="4"/>
  <c r="F28" i="4"/>
  <c r="G28" i="4"/>
  <c r="H28" i="4"/>
  <c r="I28" i="4"/>
  <c r="B9" i="4"/>
  <c r="C9" i="4"/>
  <c r="D9" i="4"/>
  <c r="E9" i="4"/>
  <c r="F9" i="4"/>
  <c r="G9" i="4"/>
  <c r="H9" i="4"/>
  <c r="I9" i="4"/>
  <c r="J9" i="4"/>
  <c r="J14" i="23" s="1"/>
  <c r="C52" i="4"/>
  <c r="D52" i="4"/>
  <c r="E52" i="4"/>
  <c r="F52" i="4"/>
  <c r="G52" i="4"/>
  <c r="H52" i="4"/>
  <c r="I52" i="4"/>
  <c r="J52" i="4"/>
  <c r="J15" i="23"/>
  <c r="J8" i="23" l="1"/>
  <c r="M26" i="25"/>
  <c r="M25" i="25"/>
  <c r="M24" i="25"/>
  <c r="M23" i="25"/>
  <c r="K24" i="25"/>
  <c r="K26" i="25"/>
  <c r="K25" i="25"/>
  <c r="K23" i="25"/>
  <c r="G25" i="25"/>
  <c r="G24" i="25"/>
  <c r="G23" i="25"/>
  <c r="G29" i="25" s="1"/>
  <c r="G26" i="25"/>
  <c r="C24" i="25"/>
  <c r="C30" i="25" s="1"/>
  <c r="C23" i="25"/>
  <c r="C29" i="25" s="1"/>
  <c r="C25" i="25"/>
  <c r="C26" i="25"/>
  <c r="C44" i="25"/>
  <c r="I26" i="25"/>
  <c r="I25" i="25"/>
  <c r="I24" i="25"/>
  <c r="I23" i="25"/>
  <c r="I43" i="25"/>
  <c r="E26" i="25"/>
  <c r="E25" i="25"/>
  <c r="E24" i="25"/>
  <c r="E23" i="25"/>
  <c r="O24" i="25"/>
  <c r="O23" i="25"/>
  <c r="O25" i="25"/>
  <c r="O26" i="25"/>
  <c r="Q26" i="25"/>
  <c r="Q25" i="25"/>
  <c r="S26" i="25"/>
  <c r="S32" i="25" s="1"/>
  <c r="S25" i="25"/>
  <c r="S31" i="25" s="1"/>
  <c r="S24" i="25"/>
  <c r="S30" i="25" s="1"/>
  <c r="Q24" i="25"/>
  <c r="Q23" i="25"/>
  <c r="S23" i="25"/>
  <c r="S29" i="25" s="1"/>
  <c r="E44" i="25"/>
  <c r="E43" i="25"/>
  <c r="C45" i="25"/>
  <c r="C43" i="25"/>
  <c r="C46" i="25"/>
  <c r="C52" i="25"/>
  <c r="B15" i="23"/>
  <c r="F15" i="23"/>
  <c r="E8" i="23"/>
  <c r="S46" i="25"/>
  <c r="S45" i="25"/>
  <c r="S43" i="25"/>
  <c r="S44" i="25"/>
  <c r="E29" i="25"/>
  <c r="D15" i="23"/>
  <c r="C15" i="23"/>
  <c r="C14" i="23"/>
  <c r="I15" i="23"/>
  <c r="I14" i="23"/>
  <c r="H15" i="23"/>
  <c r="H14" i="23"/>
  <c r="B14" i="23"/>
  <c r="G15" i="23"/>
  <c r="G14" i="23"/>
  <c r="F14" i="23"/>
  <c r="E14" i="23"/>
  <c r="D14" i="23"/>
  <c r="I8" i="23"/>
  <c r="E11" i="23"/>
  <c r="E15" i="23" s="1"/>
  <c r="D8" i="23"/>
  <c r="C8" i="23"/>
  <c r="G8" i="23"/>
  <c r="F8" i="23"/>
  <c r="H8" i="23"/>
  <c r="S47" i="25" l="1"/>
  <c r="S156" i="25" s="1"/>
  <c r="S53" i="25"/>
  <c r="C58" i="25"/>
  <c r="C67" i="25" s="1"/>
  <c r="C72" i="25" s="1"/>
  <c r="C80" i="25" s="1"/>
  <c r="S54" i="25"/>
  <c r="S128" i="25" s="1"/>
  <c r="S51" i="25"/>
  <c r="S57" i="25" s="1"/>
  <c r="S52" i="25"/>
  <c r="S33" i="25"/>
  <c r="B7" i="4"/>
  <c r="C7" i="4"/>
  <c r="C61" i="4" s="1"/>
  <c r="D7" i="4"/>
  <c r="D61" i="4" s="1"/>
  <c r="E7" i="4"/>
  <c r="E61" i="4" s="1"/>
  <c r="F7" i="4"/>
  <c r="F61" i="4" s="1"/>
  <c r="G7" i="4"/>
  <c r="G61" i="4" s="1"/>
  <c r="H7" i="4"/>
  <c r="H61" i="4" s="1"/>
  <c r="I7" i="4"/>
  <c r="I61" i="4" s="1"/>
  <c r="J17" i="23" l="1"/>
  <c r="J18" i="23"/>
  <c r="S136" i="25"/>
  <c r="S142" i="25" s="1"/>
  <c r="S129" i="25"/>
  <c r="S66" i="25"/>
  <c r="S71" i="25" s="1"/>
  <c r="S58" i="25"/>
  <c r="S67" i="25" s="1"/>
  <c r="S72" i="25" s="1"/>
  <c r="S59" i="25"/>
  <c r="S68" i="25" s="1"/>
  <c r="S73" i="25" s="1"/>
  <c r="B18" i="23"/>
  <c r="W50" i="13" l="1"/>
  <c r="W47" i="13"/>
  <c r="W51" i="13" s="1"/>
  <c r="K14" i="27" s="1"/>
  <c r="S60" i="25"/>
  <c r="S81" i="25"/>
  <c r="S100" i="25"/>
  <c r="S90" i="25"/>
  <c r="S80" i="25"/>
  <c r="S89" i="25"/>
  <c r="S99" i="25"/>
  <c r="S98" i="25"/>
  <c r="S79" i="25"/>
  <c r="S88" i="25"/>
  <c r="K16" i="30"/>
  <c r="AZ20" i="31"/>
  <c r="AV20" i="31"/>
  <c r="X16" i="31" s="1"/>
  <c r="AX18" i="31"/>
  <c r="AX20" i="31" s="1"/>
  <c r="S48" i="25" l="1"/>
  <c r="S157" i="25" s="1"/>
  <c r="V50" i="13" s="1"/>
  <c r="S49" i="13"/>
  <c r="S51" i="13" s="1"/>
  <c r="I14" i="27" s="1"/>
  <c r="S34" i="25"/>
  <c r="S35" i="25"/>
  <c r="U49" i="13" s="1"/>
  <c r="T49" i="13" s="1"/>
  <c r="G49" i="13" s="1"/>
  <c r="I15" i="33" s="1"/>
  <c r="S110" i="25"/>
  <c r="S115" i="25" s="1"/>
  <c r="S135" i="25" s="1"/>
  <c r="S141" i="25" s="1"/>
  <c r="S108" i="25"/>
  <c r="S113" i="25" s="1"/>
  <c r="S123" i="25" s="1"/>
  <c r="S109" i="25"/>
  <c r="S91" i="25"/>
  <c r="S92" i="25" s="1"/>
  <c r="U50" i="13" s="1"/>
  <c r="T50" i="13" s="1"/>
  <c r="S82" i="25"/>
  <c r="N46" i="25"/>
  <c r="N54" i="25" s="1"/>
  <c r="P45" i="25"/>
  <c r="P53" i="25" s="1"/>
  <c r="T51" i="13" l="1"/>
  <c r="J14" i="27" s="1"/>
  <c r="S125" i="25"/>
  <c r="S114" i="25"/>
  <c r="S134" i="25" s="1"/>
  <c r="S140" i="25" s="1"/>
  <c r="S133" i="25"/>
  <c r="S116" i="25" l="1"/>
  <c r="S153" i="25" s="1"/>
  <c r="S154" i="25" s="1"/>
  <c r="S124" i="25"/>
  <c r="S139" i="25"/>
  <c r="S143" i="25" s="1"/>
  <c r="R146" i="25" s="1"/>
  <c r="S150" i="25" s="1"/>
  <c r="S151" i="25" s="1"/>
  <c r="B38" i="20"/>
  <c r="B39" i="20"/>
  <c r="D42" i="31" s="1"/>
  <c r="B40" i="20"/>
  <c r="B37" i="20"/>
  <c r="J23" i="25"/>
  <c r="J25" i="25"/>
  <c r="G46" i="31"/>
  <c r="C46" i="31"/>
  <c r="D29" i="31" l="1"/>
  <c r="D23" i="31"/>
  <c r="D30" i="31"/>
  <c r="D26" i="31"/>
  <c r="D28" i="31"/>
  <c r="D24" i="31"/>
  <c r="D31" i="31"/>
  <c r="D25" i="31"/>
  <c r="D27" i="31"/>
  <c r="D46" i="31"/>
  <c r="D45" i="31"/>
  <c r="D39" i="31"/>
  <c r="D38" i="31"/>
  <c r="D44" i="31"/>
  <c r="D41" i="31"/>
  <c r="D40" i="31"/>
  <c r="D43" i="31"/>
  <c r="C77" i="31" l="1"/>
  <c r="B77" i="31"/>
  <c r="D18" i="23" l="1"/>
  <c r="I12" i="23"/>
  <c r="H18" i="23"/>
  <c r="F12" i="23"/>
  <c r="E12" i="23"/>
  <c r="G18" i="23"/>
  <c r="C12" i="23"/>
  <c r="K43" i="25"/>
  <c r="O46" i="25"/>
  <c r="O54" i="25" s="1"/>
  <c r="K44" i="25"/>
  <c r="G44" i="25"/>
  <c r="O43" i="25"/>
  <c r="G43" i="25"/>
  <c r="C31" i="25"/>
  <c r="G45" i="25"/>
  <c r="O31" i="25"/>
  <c r="Q45" i="25"/>
  <c r="Q53" i="25" s="1"/>
  <c r="K31" i="25"/>
  <c r="O44" i="25"/>
  <c r="K46" i="25"/>
  <c r="O45" i="25"/>
  <c r="G46" i="25"/>
  <c r="G54" i="25" s="1"/>
  <c r="M31" i="25"/>
  <c r="I44" i="25"/>
  <c r="I45" i="25"/>
  <c r="Q44" i="25"/>
  <c r="M43" i="25"/>
  <c r="I46" i="25"/>
  <c r="Q43" i="25"/>
  <c r="Q46" i="25"/>
  <c r="Q29" i="25"/>
  <c r="M44" i="25"/>
  <c r="E31" i="25"/>
  <c r="E45" i="25"/>
  <c r="M46" i="25"/>
  <c r="E46" i="25"/>
  <c r="M45" i="25"/>
  <c r="Q31" i="25"/>
  <c r="K45" i="25"/>
  <c r="G31" i="25"/>
  <c r="I31" i="25"/>
  <c r="E18" i="23"/>
  <c r="C18" i="23"/>
  <c r="I52" i="25" l="1"/>
  <c r="X51" i="13"/>
  <c r="L14" i="27" s="1"/>
  <c r="B12" i="23"/>
  <c r="D12" i="23"/>
  <c r="I18" i="23"/>
  <c r="H12" i="23"/>
  <c r="F18" i="23"/>
  <c r="G12" i="23"/>
  <c r="L118" i="14" l="1"/>
  <c r="N118" i="14"/>
  <c r="O118" i="14"/>
  <c r="P118" i="14"/>
  <c r="Q118" i="14"/>
  <c r="L102" i="14"/>
  <c r="N102" i="14"/>
  <c r="O102" i="14"/>
  <c r="P102" i="14"/>
  <c r="Q102" i="14"/>
  <c r="L86" i="14"/>
  <c r="N86" i="14"/>
  <c r="O86" i="14"/>
  <c r="P86" i="14"/>
  <c r="Q86" i="14"/>
  <c r="L70" i="14"/>
  <c r="N70" i="14"/>
  <c r="O70" i="14"/>
  <c r="P70" i="14"/>
  <c r="Q70" i="14"/>
  <c r="L54" i="14"/>
  <c r="N54" i="14"/>
  <c r="O54" i="14"/>
  <c r="P54" i="14"/>
  <c r="Q54" i="14"/>
  <c r="L38" i="14"/>
  <c r="N38" i="14"/>
  <c r="O38" i="14"/>
  <c r="P38" i="14"/>
  <c r="Q38" i="14"/>
  <c r="L22" i="14"/>
  <c r="N22" i="14"/>
  <c r="O22" i="14"/>
  <c r="P22" i="14"/>
  <c r="Q22" i="14"/>
  <c r="L6" i="14"/>
  <c r="N6" i="14"/>
  <c r="O6" i="14"/>
  <c r="P6" i="14"/>
  <c r="Q6" i="14"/>
  <c r="I6" i="15"/>
  <c r="J6" i="15"/>
  <c r="I22" i="15"/>
  <c r="J22" i="15"/>
  <c r="I38" i="15"/>
  <c r="J38" i="15"/>
  <c r="I54" i="15"/>
  <c r="J54" i="15"/>
  <c r="I70" i="15"/>
  <c r="J70" i="15"/>
  <c r="I86" i="15"/>
  <c r="J86" i="15"/>
  <c r="I102" i="15"/>
  <c r="J102" i="15"/>
  <c r="I118" i="15"/>
  <c r="J118" i="15"/>
  <c r="L6" i="15"/>
  <c r="L22" i="15"/>
  <c r="L38" i="15"/>
  <c r="L54" i="15"/>
  <c r="L70" i="15"/>
  <c r="L86" i="15"/>
  <c r="L102" i="15"/>
  <c r="L118" i="15"/>
  <c r="N118" i="15"/>
  <c r="O118" i="15"/>
  <c r="P118" i="15"/>
  <c r="Q118" i="15"/>
  <c r="N102" i="15"/>
  <c r="O102" i="15"/>
  <c r="P102" i="15"/>
  <c r="Q102" i="15"/>
  <c r="N86" i="15"/>
  <c r="O86" i="15"/>
  <c r="P86" i="15"/>
  <c r="Q86" i="15"/>
  <c r="N70" i="15"/>
  <c r="O70" i="15"/>
  <c r="P70" i="15"/>
  <c r="Q70" i="15"/>
  <c r="N54" i="15"/>
  <c r="O54" i="15"/>
  <c r="P54" i="15"/>
  <c r="Q54" i="15"/>
  <c r="N38" i="15"/>
  <c r="O38" i="15"/>
  <c r="P38" i="15"/>
  <c r="Q38" i="15"/>
  <c r="N22" i="15"/>
  <c r="O22" i="15"/>
  <c r="P22" i="15"/>
  <c r="Q22" i="15"/>
  <c r="N6" i="15"/>
  <c r="O6" i="15"/>
  <c r="P6" i="15"/>
  <c r="Q6" i="15"/>
  <c r="I118" i="2"/>
  <c r="J118" i="2"/>
  <c r="L118" i="2"/>
  <c r="N118" i="2"/>
  <c r="O118" i="2"/>
  <c r="P118" i="2"/>
  <c r="Q118" i="2"/>
  <c r="I102" i="2"/>
  <c r="J102" i="2"/>
  <c r="L102" i="2"/>
  <c r="N102" i="2"/>
  <c r="O102" i="2"/>
  <c r="P102" i="2"/>
  <c r="Q102" i="2"/>
  <c r="I86" i="2"/>
  <c r="J86" i="2"/>
  <c r="L86" i="2"/>
  <c r="N86" i="2"/>
  <c r="O86" i="2"/>
  <c r="P86" i="2"/>
  <c r="Q86" i="2"/>
  <c r="I70" i="2"/>
  <c r="J70" i="2"/>
  <c r="L70" i="2"/>
  <c r="N70" i="2"/>
  <c r="O70" i="2"/>
  <c r="P70" i="2"/>
  <c r="Q70" i="2"/>
  <c r="I54" i="2"/>
  <c r="J54" i="2"/>
  <c r="L54" i="2"/>
  <c r="N54" i="2"/>
  <c r="O54" i="2"/>
  <c r="P54" i="2"/>
  <c r="Q54" i="2"/>
  <c r="I38" i="2"/>
  <c r="J38" i="2"/>
  <c r="L38" i="2"/>
  <c r="N38" i="2"/>
  <c r="O38" i="2"/>
  <c r="P38" i="2"/>
  <c r="Q38" i="2"/>
  <c r="I22" i="2"/>
  <c r="J22" i="2"/>
  <c r="L22" i="2"/>
  <c r="N22" i="2"/>
  <c r="O22" i="2"/>
  <c r="P22" i="2"/>
  <c r="Q22" i="2"/>
  <c r="I6" i="2"/>
  <c r="J6" i="2"/>
  <c r="L6" i="2"/>
  <c r="N6" i="2"/>
  <c r="O6" i="2"/>
  <c r="P6" i="2"/>
  <c r="Q6" i="2"/>
  <c r="L51" i="32" l="1"/>
  <c r="F51" i="32"/>
  <c r="G134" i="14" s="1"/>
  <c r="L49" i="32"/>
  <c r="F49" i="32"/>
  <c r="G134" i="15" s="1"/>
  <c r="F134" i="15" s="1"/>
  <c r="L48" i="32"/>
  <c r="F48" i="32"/>
  <c r="G134" i="2" s="1"/>
  <c r="F134" i="2" s="1"/>
  <c r="O52" i="32"/>
  <c r="N52" i="32"/>
  <c r="M52" i="32"/>
  <c r="K52" i="32"/>
  <c r="O47" i="32"/>
  <c r="N47" i="32"/>
  <c r="M47" i="32"/>
  <c r="K47" i="32"/>
  <c r="O42" i="32"/>
  <c r="N42" i="32"/>
  <c r="M42" i="32"/>
  <c r="K42" i="32"/>
  <c r="G51" i="32"/>
  <c r="E50" i="32"/>
  <c r="G49" i="32"/>
  <c r="G48" i="32"/>
  <c r="G46" i="32"/>
  <c r="H118" i="14" s="1"/>
  <c r="E45" i="32"/>
  <c r="G44" i="32"/>
  <c r="H118" i="15" s="1"/>
  <c r="G43" i="32"/>
  <c r="H118" i="2" s="1"/>
  <c r="G41" i="32"/>
  <c r="H102" i="14" s="1"/>
  <c r="E40" i="32"/>
  <c r="G39" i="32"/>
  <c r="H102" i="15" s="1"/>
  <c r="G38" i="32"/>
  <c r="O37" i="32"/>
  <c r="N37" i="32"/>
  <c r="M37" i="32"/>
  <c r="K37" i="32"/>
  <c r="O32" i="32"/>
  <c r="N32" i="32"/>
  <c r="M32" i="32"/>
  <c r="K32" i="32"/>
  <c r="O27" i="32"/>
  <c r="N27" i="32"/>
  <c r="M27" i="32"/>
  <c r="K27" i="32"/>
  <c r="O22" i="32"/>
  <c r="N22" i="32"/>
  <c r="M22" i="32"/>
  <c r="K22" i="32"/>
  <c r="O17" i="32"/>
  <c r="N17" i="32"/>
  <c r="M17" i="32"/>
  <c r="K17" i="32"/>
  <c r="O12" i="32"/>
  <c r="N12" i="32"/>
  <c r="M12" i="32"/>
  <c r="K12" i="32"/>
  <c r="G36" i="32"/>
  <c r="H86" i="14" s="1"/>
  <c r="E35" i="32"/>
  <c r="G34" i="32"/>
  <c r="H86" i="15" s="1"/>
  <c r="G33" i="32"/>
  <c r="G31" i="32"/>
  <c r="E30" i="32"/>
  <c r="G29" i="32"/>
  <c r="H70" i="15" s="1"/>
  <c r="G28" i="32"/>
  <c r="H70" i="2" s="1"/>
  <c r="G26" i="32"/>
  <c r="H54" i="14" s="1"/>
  <c r="E25" i="32"/>
  <c r="G24" i="32"/>
  <c r="H54" i="15" s="1"/>
  <c r="G23" i="32"/>
  <c r="G21" i="32"/>
  <c r="H38" i="14" s="1"/>
  <c r="E20" i="32"/>
  <c r="G19" i="32"/>
  <c r="H38" i="15" s="1"/>
  <c r="G18" i="32"/>
  <c r="G16" i="32"/>
  <c r="H22" i="14" s="1"/>
  <c r="E15" i="32"/>
  <c r="G14" i="32"/>
  <c r="H22" i="15" s="1"/>
  <c r="G13" i="32"/>
  <c r="G11" i="32"/>
  <c r="H6" i="14" s="1"/>
  <c r="E10" i="32"/>
  <c r="G9" i="32"/>
  <c r="H6" i="15" s="1"/>
  <c r="G8" i="32"/>
  <c r="J16" i="30"/>
  <c r="I16" i="30"/>
  <c r="H16" i="30"/>
  <c r="F16" i="30"/>
  <c r="L38" i="31"/>
  <c r="L39" i="31"/>
  <c r="L40" i="31"/>
  <c r="L41" i="31"/>
  <c r="L42" i="31"/>
  <c r="L43" i="31"/>
  <c r="L44" i="31"/>
  <c r="L45" i="31"/>
  <c r="H43" i="31"/>
  <c r="C8" i="31"/>
  <c r="F8" i="30" s="1"/>
  <c r="G8" i="31"/>
  <c r="I8" i="31"/>
  <c r="J8" i="31"/>
  <c r="K8" i="31"/>
  <c r="C9" i="31"/>
  <c r="K9" i="30" s="1"/>
  <c r="K22" i="16" s="1"/>
  <c r="G9" i="31"/>
  <c r="I9" i="31"/>
  <c r="J9" i="31"/>
  <c r="K9" i="31"/>
  <c r="C10" i="31"/>
  <c r="K10" i="30" s="1"/>
  <c r="K38" i="16" s="1"/>
  <c r="G10" i="31"/>
  <c r="I10" i="31"/>
  <c r="J10" i="31"/>
  <c r="K10" i="31"/>
  <c r="C11" i="31"/>
  <c r="K11" i="30" s="1"/>
  <c r="K54" i="16" s="1"/>
  <c r="G11" i="31"/>
  <c r="I11" i="31"/>
  <c r="J11" i="31"/>
  <c r="K11" i="31"/>
  <c r="C12" i="31"/>
  <c r="G12" i="31"/>
  <c r="I12" i="31"/>
  <c r="J12" i="31"/>
  <c r="K12" i="31"/>
  <c r="C13" i="31"/>
  <c r="G13" i="31"/>
  <c r="I13" i="31"/>
  <c r="J13" i="31"/>
  <c r="K13" i="31"/>
  <c r="C14" i="31"/>
  <c r="K14" i="30" s="1"/>
  <c r="K102" i="16" s="1"/>
  <c r="G14" i="31"/>
  <c r="I14" i="31"/>
  <c r="J14" i="31"/>
  <c r="K14" i="31"/>
  <c r="C15" i="31"/>
  <c r="F15" i="30" s="1"/>
  <c r="G15" i="31"/>
  <c r="I15" i="31"/>
  <c r="J15" i="31"/>
  <c r="K15" i="31"/>
  <c r="Y16" i="31"/>
  <c r="Y15" i="31"/>
  <c r="Y14" i="31"/>
  <c r="Y13" i="31"/>
  <c r="Y12" i="31"/>
  <c r="Y11" i="31"/>
  <c r="Y10" i="31"/>
  <c r="Y9" i="31"/>
  <c r="Y8" i="31"/>
  <c r="L33" i="32" l="1"/>
  <c r="M86" i="2" s="1"/>
  <c r="F11" i="30"/>
  <c r="H8" i="30"/>
  <c r="H6" i="16" s="1"/>
  <c r="I8" i="30"/>
  <c r="I6" i="16" s="1"/>
  <c r="L13" i="32"/>
  <c r="M22" i="2" s="1"/>
  <c r="F9" i="30"/>
  <c r="I11" i="30"/>
  <c r="I54" i="16" s="1"/>
  <c r="J10" i="30"/>
  <c r="J38" i="16" s="1"/>
  <c r="H9" i="30"/>
  <c r="H22" i="16" s="1"/>
  <c r="H14" i="30"/>
  <c r="H102" i="16" s="1"/>
  <c r="F10" i="30"/>
  <c r="I10" i="30"/>
  <c r="I38" i="16" s="1"/>
  <c r="H10" i="30"/>
  <c r="H38" i="16" s="1"/>
  <c r="K8" i="30"/>
  <c r="K6" i="16" s="1"/>
  <c r="H11" i="30"/>
  <c r="H54" i="16" s="1"/>
  <c r="J8" i="30"/>
  <c r="J6" i="16" s="1"/>
  <c r="L43" i="32"/>
  <c r="M118" i="2" s="1"/>
  <c r="L11" i="32"/>
  <c r="M6" i="14" s="1"/>
  <c r="F14" i="30"/>
  <c r="L39" i="32"/>
  <c r="M102" i="15" s="1"/>
  <c r="H15" i="30"/>
  <c r="H118" i="16" s="1"/>
  <c r="L23" i="32"/>
  <c r="M54" i="2" s="1"/>
  <c r="L19" i="32"/>
  <c r="M38" i="15" s="1"/>
  <c r="L21" i="32"/>
  <c r="M38" i="14" s="1"/>
  <c r="F12" i="30"/>
  <c r="J12" i="30"/>
  <c r="J70" i="16" s="1"/>
  <c r="L31" i="32"/>
  <c r="M70" i="14" s="1"/>
  <c r="J15" i="30"/>
  <c r="J118" i="16" s="1"/>
  <c r="J11" i="30"/>
  <c r="J54" i="16" s="1"/>
  <c r="I14" i="30"/>
  <c r="I102" i="16" s="1"/>
  <c r="K15" i="30"/>
  <c r="K118" i="16" s="1"/>
  <c r="L14" i="32"/>
  <c r="M22" i="15" s="1"/>
  <c r="H12" i="30"/>
  <c r="H70" i="16" s="1"/>
  <c r="J14" i="30"/>
  <c r="J102" i="16" s="1"/>
  <c r="I9" i="30"/>
  <c r="I22" i="16" s="1"/>
  <c r="I12" i="30"/>
  <c r="I70" i="16" s="1"/>
  <c r="L38" i="32"/>
  <c r="M102" i="2" s="1"/>
  <c r="J9" i="30"/>
  <c r="J22" i="16" s="1"/>
  <c r="K12" i="30"/>
  <c r="K70" i="16" s="1"/>
  <c r="L8" i="32"/>
  <c r="M6" i="2" s="1"/>
  <c r="L28" i="32"/>
  <c r="M70" i="2" s="1"/>
  <c r="L34" i="32"/>
  <c r="M86" i="15" s="1"/>
  <c r="L18" i="32"/>
  <c r="M38" i="2" s="1"/>
  <c r="L24" i="32"/>
  <c r="M54" i="15" s="1"/>
  <c r="L44" i="32"/>
  <c r="M118" i="15" s="1"/>
  <c r="L9" i="32"/>
  <c r="M6" i="15" s="1"/>
  <c r="L16" i="32"/>
  <c r="M22" i="14" s="1"/>
  <c r="L29" i="32"/>
  <c r="M70" i="15" s="1"/>
  <c r="L36" i="32"/>
  <c r="M86" i="14" s="1"/>
  <c r="L41" i="32"/>
  <c r="M102" i="14" s="1"/>
  <c r="L26" i="32"/>
  <c r="M54" i="14" s="1"/>
  <c r="L46" i="32"/>
  <c r="M118" i="14" s="1"/>
  <c r="I15" i="30"/>
  <c r="I118" i="16" s="1"/>
  <c r="G27" i="32"/>
  <c r="H54" i="2"/>
  <c r="G42" i="32"/>
  <c r="H102" i="2"/>
  <c r="G32" i="32"/>
  <c r="H70" i="14"/>
  <c r="G47" i="32"/>
  <c r="G17" i="32"/>
  <c r="H22" i="2"/>
  <c r="H6" i="2"/>
  <c r="G22" i="32"/>
  <c r="H38" i="2"/>
  <c r="G37" i="32"/>
  <c r="H86" i="2"/>
  <c r="F52" i="32"/>
  <c r="G52" i="32"/>
  <c r="L52" i="32"/>
  <c r="G12" i="32"/>
  <c r="H13" i="30"/>
  <c r="H86" i="16" s="1"/>
  <c r="I13" i="30"/>
  <c r="I86" i="16" s="1"/>
  <c r="F13" i="30"/>
  <c r="K13" i="30"/>
  <c r="K86" i="16" s="1"/>
  <c r="L17" i="32" l="1"/>
  <c r="L42" i="32"/>
  <c r="L22" i="32"/>
  <c r="L37" i="32"/>
  <c r="L27" i="32"/>
  <c r="L32" i="32"/>
  <c r="L12" i="32"/>
  <c r="L47" i="32"/>
  <c r="J16" i="31" l="1"/>
  <c r="G16" i="31"/>
  <c r="G16" i="30" s="1"/>
  <c r="K50" i="30" l="1"/>
  <c r="K51" i="30"/>
  <c r="K52" i="30"/>
  <c r="K53" i="30"/>
  <c r="K54" i="30"/>
  <c r="K55" i="30"/>
  <c r="K56" i="30"/>
  <c r="K57" i="30"/>
  <c r="K58" i="30"/>
  <c r="K36" i="30"/>
  <c r="K37" i="30"/>
  <c r="K38" i="30"/>
  <c r="K39" i="30"/>
  <c r="K40" i="30"/>
  <c r="K41" i="30"/>
  <c r="K42" i="30"/>
  <c r="K43" i="30"/>
  <c r="K44" i="30"/>
  <c r="K22" i="30"/>
  <c r="K7" i="16" s="1"/>
  <c r="K23" i="30"/>
  <c r="K23" i="16" s="1"/>
  <c r="K24" i="30"/>
  <c r="K39" i="16" s="1"/>
  <c r="K25" i="30"/>
  <c r="K55" i="16" s="1"/>
  <c r="K26" i="30"/>
  <c r="K71" i="16" s="1"/>
  <c r="K27" i="30"/>
  <c r="K87" i="16" s="1"/>
  <c r="K28" i="30"/>
  <c r="K103" i="16" s="1"/>
  <c r="K29" i="30"/>
  <c r="K119" i="16" s="1"/>
  <c r="K30" i="30"/>
  <c r="J31" i="4" l="1"/>
  <c r="M46" i="13" l="1"/>
  <c r="M11" i="13" l="1"/>
  <c r="M16" i="13"/>
  <c r="M21" i="13"/>
  <c r="M26" i="13"/>
  <c r="M31" i="13"/>
  <c r="M36" i="13"/>
  <c r="M41" i="13"/>
  <c r="Q51" i="25"/>
  <c r="Q57" i="25" s="1"/>
  <c r="P46" i="25" l="1"/>
  <c r="P54" i="25" s="1"/>
  <c r="L46" i="25"/>
  <c r="J46" i="25"/>
  <c r="H46" i="25"/>
  <c r="F46" i="25"/>
  <c r="D46" i="25"/>
  <c r="B46" i="25"/>
  <c r="N45" i="25"/>
  <c r="L45" i="25"/>
  <c r="J45" i="25"/>
  <c r="H45" i="25"/>
  <c r="F45" i="25"/>
  <c r="D45" i="25"/>
  <c r="B45" i="25"/>
  <c r="P44" i="25"/>
  <c r="N44" i="25"/>
  <c r="L44" i="25"/>
  <c r="J44" i="25"/>
  <c r="H44" i="25"/>
  <c r="F44" i="25"/>
  <c r="D44" i="25"/>
  <c r="B44" i="25"/>
  <c r="P43" i="25"/>
  <c r="N43" i="25"/>
  <c r="O47" i="25" s="1"/>
  <c r="O156" i="25" s="1"/>
  <c r="L43" i="25"/>
  <c r="J43" i="25"/>
  <c r="K47" i="25" s="1"/>
  <c r="K156" i="25" s="1"/>
  <c r="H43" i="25"/>
  <c r="I47" i="25" s="1"/>
  <c r="I156" i="25" s="1"/>
  <c r="F43" i="25"/>
  <c r="G47" i="25" s="1"/>
  <c r="G156" i="25" s="1"/>
  <c r="D43" i="25"/>
  <c r="M47" i="25" l="1"/>
  <c r="M156" i="25" s="1"/>
  <c r="Q47" i="25"/>
  <c r="Q156" i="25" s="1"/>
  <c r="E47" i="25"/>
  <c r="E156" i="25" s="1"/>
  <c r="C47" i="25"/>
  <c r="C156" i="25" s="1"/>
  <c r="D51" i="25"/>
  <c r="F52" i="25"/>
  <c r="N53" i="25"/>
  <c r="P128" i="25"/>
  <c r="P136" i="25" s="1"/>
  <c r="P142" i="25" s="1"/>
  <c r="K51" i="25"/>
  <c r="G52" i="25"/>
  <c r="O53" i="25"/>
  <c r="Q54" i="25"/>
  <c r="E51" i="25"/>
  <c r="M52" i="25"/>
  <c r="I53" i="25"/>
  <c r="C54" i="25"/>
  <c r="N52" i="25"/>
  <c r="J54" i="25"/>
  <c r="G51" i="25"/>
  <c r="M51" i="25"/>
  <c r="O52" i="25"/>
  <c r="C53" i="25"/>
  <c r="E54" i="25"/>
  <c r="K54" i="25"/>
  <c r="G53" i="25"/>
  <c r="F51" i="25"/>
  <c r="L51" i="25"/>
  <c r="H52" i="25"/>
  <c r="B53" i="25"/>
  <c r="D54" i="25"/>
  <c r="H51" i="25"/>
  <c r="N51" i="25"/>
  <c r="B52" i="25"/>
  <c r="P52" i="25"/>
  <c r="D53" i="25"/>
  <c r="J53" i="25"/>
  <c r="F54" i="25"/>
  <c r="L54" i="25"/>
  <c r="E52" i="25"/>
  <c r="K52" i="25"/>
  <c r="M53" i="25"/>
  <c r="I54" i="25"/>
  <c r="J51" i="25"/>
  <c r="I51" i="25"/>
  <c r="O51" i="25"/>
  <c r="Q52" i="25"/>
  <c r="E53" i="25"/>
  <c r="K53" i="25"/>
  <c r="M54" i="25"/>
  <c r="C51" i="25"/>
  <c r="L52" i="25"/>
  <c r="H53" i="25"/>
  <c r="B54" i="25"/>
  <c r="B51" i="25"/>
  <c r="P51" i="25"/>
  <c r="D52" i="25"/>
  <c r="J52" i="25"/>
  <c r="F53" i="25"/>
  <c r="L53" i="25"/>
  <c r="L59" i="25" s="1"/>
  <c r="H54" i="25"/>
  <c r="N128" i="25"/>
  <c r="N136" i="25" s="1"/>
  <c r="N142" i="25" s="1"/>
  <c r="Q32" i="25"/>
  <c r="P26" i="25"/>
  <c r="P32" i="25" s="1"/>
  <c r="O32" i="25"/>
  <c r="N26" i="25"/>
  <c r="N32" i="25" s="1"/>
  <c r="M32" i="25"/>
  <c r="L26" i="25"/>
  <c r="L32" i="25" s="1"/>
  <c r="K32" i="25"/>
  <c r="J26" i="25"/>
  <c r="J32" i="25" s="1"/>
  <c r="I32" i="25"/>
  <c r="H26" i="25"/>
  <c r="H32" i="25" s="1"/>
  <c r="G32" i="25"/>
  <c r="F26" i="25"/>
  <c r="F32" i="25" s="1"/>
  <c r="E32" i="25"/>
  <c r="D26" i="25"/>
  <c r="D32" i="25" s="1"/>
  <c r="C32" i="25"/>
  <c r="B26" i="25"/>
  <c r="B32" i="25" s="1"/>
  <c r="B128" i="25" l="1"/>
  <c r="B136" i="25" s="1"/>
  <c r="B142" i="25" s="1"/>
  <c r="E128" i="25"/>
  <c r="E136" i="25" s="1"/>
  <c r="E142" i="25" s="1"/>
  <c r="O128" i="25"/>
  <c r="O136" i="25" s="1"/>
  <c r="O142" i="25" s="1"/>
  <c r="D128" i="25"/>
  <c r="D136" i="25" s="1"/>
  <c r="D142" i="25" s="1"/>
  <c r="G128" i="25"/>
  <c r="G136" i="25" s="1"/>
  <c r="G142" i="25" s="1"/>
  <c r="K128" i="25"/>
  <c r="K136" i="25" s="1"/>
  <c r="K142" i="25" s="1"/>
  <c r="J128" i="25"/>
  <c r="J136" i="25" s="1"/>
  <c r="J142" i="25" s="1"/>
  <c r="I128" i="25"/>
  <c r="I136" i="25" s="1"/>
  <c r="I142" i="25" s="1"/>
  <c r="Q128" i="25"/>
  <c r="Q136" i="25" s="1"/>
  <c r="Q142" i="25" s="1"/>
  <c r="F128" i="25"/>
  <c r="F136" i="25" s="1"/>
  <c r="F142" i="25" s="1"/>
  <c r="L128" i="25"/>
  <c r="L136" i="25" s="1"/>
  <c r="L142" i="25" s="1"/>
  <c r="C128" i="25"/>
  <c r="C136" i="25" s="1"/>
  <c r="C142" i="25" s="1"/>
  <c r="H128" i="25"/>
  <c r="H136" i="25" s="1"/>
  <c r="H142" i="25" s="1"/>
  <c r="M128" i="25"/>
  <c r="M136" i="25" s="1"/>
  <c r="M142" i="25" s="1"/>
  <c r="K57" i="25"/>
  <c r="K66" i="25" s="1"/>
  <c r="K71" i="25" s="1"/>
  <c r="K88" i="25" s="1"/>
  <c r="S131" i="14"/>
  <c r="S130" i="14"/>
  <c r="S129" i="14"/>
  <c r="S128" i="14"/>
  <c r="S127" i="14"/>
  <c r="S126" i="14"/>
  <c r="S125" i="14"/>
  <c r="S124" i="14"/>
  <c r="S123" i="14"/>
  <c r="S122" i="14"/>
  <c r="S121" i="14"/>
  <c r="S120" i="14"/>
  <c r="S119" i="14"/>
  <c r="S118" i="14"/>
  <c r="S115" i="14"/>
  <c r="S114" i="14"/>
  <c r="S113" i="14"/>
  <c r="S112" i="14"/>
  <c r="S111" i="14"/>
  <c r="S110" i="14"/>
  <c r="S109" i="14"/>
  <c r="S108" i="14"/>
  <c r="S107" i="14"/>
  <c r="S106" i="14"/>
  <c r="S105" i="14"/>
  <c r="S104" i="14"/>
  <c r="S103" i="14"/>
  <c r="S102" i="14"/>
  <c r="S99" i="14"/>
  <c r="S98" i="14"/>
  <c r="S97" i="14"/>
  <c r="S96" i="14"/>
  <c r="S95" i="14"/>
  <c r="S94" i="14"/>
  <c r="S93" i="14"/>
  <c r="S92" i="14"/>
  <c r="S91" i="14"/>
  <c r="S90" i="14"/>
  <c r="S89" i="14"/>
  <c r="S88" i="14"/>
  <c r="S87" i="14"/>
  <c r="S86" i="14"/>
  <c r="S83" i="14"/>
  <c r="S82" i="14"/>
  <c r="S81" i="14"/>
  <c r="S80" i="14"/>
  <c r="S79" i="14"/>
  <c r="S78" i="14"/>
  <c r="S77" i="14"/>
  <c r="S76" i="14"/>
  <c r="S75" i="14"/>
  <c r="S74" i="14"/>
  <c r="S73" i="14"/>
  <c r="S72" i="14"/>
  <c r="S71" i="14"/>
  <c r="S70" i="14"/>
  <c r="S67" i="14"/>
  <c r="S66" i="14"/>
  <c r="S65" i="14"/>
  <c r="S64" i="14"/>
  <c r="S63" i="14"/>
  <c r="S62" i="14"/>
  <c r="S61" i="14"/>
  <c r="S60" i="14"/>
  <c r="S59" i="14"/>
  <c r="S58" i="14"/>
  <c r="S57" i="14"/>
  <c r="S56" i="14"/>
  <c r="S55" i="14"/>
  <c r="S54" i="14"/>
  <c r="S51" i="14"/>
  <c r="S50" i="14"/>
  <c r="S49" i="14"/>
  <c r="S48" i="14"/>
  <c r="S47" i="14"/>
  <c r="S46" i="14"/>
  <c r="S45" i="14"/>
  <c r="S44" i="14"/>
  <c r="S43" i="14"/>
  <c r="S42" i="14"/>
  <c r="S41" i="14"/>
  <c r="S40" i="14"/>
  <c r="S39" i="14"/>
  <c r="S38" i="14"/>
  <c r="S35" i="14"/>
  <c r="S34" i="14"/>
  <c r="S33" i="14"/>
  <c r="S32" i="14"/>
  <c r="S31" i="14"/>
  <c r="S30" i="14"/>
  <c r="S29" i="14"/>
  <c r="S28" i="14"/>
  <c r="S27" i="14"/>
  <c r="S26" i="14"/>
  <c r="S25" i="14"/>
  <c r="S24" i="14"/>
  <c r="S23" i="14"/>
  <c r="S22" i="14"/>
  <c r="S19" i="14"/>
  <c r="S18" i="14"/>
  <c r="S17" i="14"/>
  <c r="S16" i="14"/>
  <c r="S15" i="14"/>
  <c r="S14" i="14"/>
  <c r="S13" i="14"/>
  <c r="S12" i="14"/>
  <c r="S11" i="14"/>
  <c r="S10" i="14"/>
  <c r="S9" i="14"/>
  <c r="S8" i="14"/>
  <c r="S7" i="14"/>
  <c r="S6" i="14"/>
  <c r="N119" i="14"/>
  <c r="O119" i="14"/>
  <c r="N103" i="14"/>
  <c r="O103" i="14"/>
  <c r="N87" i="14"/>
  <c r="O87" i="14"/>
  <c r="N71" i="14"/>
  <c r="O71" i="14"/>
  <c r="N55" i="14"/>
  <c r="O55" i="14"/>
  <c r="N39" i="14"/>
  <c r="N23" i="14"/>
  <c r="N7" i="14"/>
  <c r="S131" i="15"/>
  <c r="S130" i="15"/>
  <c r="S129" i="15"/>
  <c r="S128" i="15"/>
  <c r="S127" i="15"/>
  <c r="S126" i="15"/>
  <c r="S125" i="15"/>
  <c r="S124" i="15"/>
  <c r="S123" i="15"/>
  <c r="S122" i="15"/>
  <c r="S121" i="15"/>
  <c r="S120" i="15"/>
  <c r="S119" i="15"/>
  <c r="S118" i="15"/>
  <c r="S115" i="15"/>
  <c r="S114" i="15"/>
  <c r="S113" i="15"/>
  <c r="S112" i="15"/>
  <c r="S111" i="15"/>
  <c r="S110" i="15"/>
  <c r="S109" i="15"/>
  <c r="S108" i="15"/>
  <c r="S107" i="15"/>
  <c r="S106" i="15"/>
  <c r="S105" i="15"/>
  <c r="S104" i="15"/>
  <c r="S103" i="15"/>
  <c r="S102" i="15"/>
  <c r="S99" i="15"/>
  <c r="S98" i="15"/>
  <c r="S97" i="15"/>
  <c r="S96" i="15"/>
  <c r="S95" i="15"/>
  <c r="S94" i="15"/>
  <c r="S93" i="15"/>
  <c r="S92" i="15"/>
  <c r="S91" i="15"/>
  <c r="S90" i="15"/>
  <c r="S89" i="15"/>
  <c r="S88" i="15"/>
  <c r="S87" i="15"/>
  <c r="S86" i="15"/>
  <c r="S83" i="15"/>
  <c r="S82" i="15"/>
  <c r="S81" i="15"/>
  <c r="S80" i="15"/>
  <c r="S79" i="15"/>
  <c r="S78" i="15"/>
  <c r="S77" i="15"/>
  <c r="S76" i="15"/>
  <c r="S75" i="15"/>
  <c r="S74" i="15"/>
  <c r="S73" i="15"/>
  <c r="S72" i="15"/>
  <c r="S71" i="15"/>
  <c r="S70" i="15"/>
  <c r="S67" i="15"/>
  <c r="S66" i="15"/>
  <c r="S65" i="15"/>
  <c r="S64" i="15"/>
  <c r="S63" i="15"/>
  <c r="S62" i="15"/>
  <c r="S61" i="15"/>
  <c r="S60" i="15"/>
  <c r="S59" i="15"/>
  <c r="S58" i="15"/>
  <c r="S57" i="15"/>
  <c r="S56" i="15"/>
  <c r="S55" i="15"/>
  <c r="S54" i="15"/>
  <c r="S51" i="15"/>
  <c r="S50" i="15"/>
  <c r="S49" i="15"/>
  <c r="S48" i="15"/>
  <c r="S47" i="15"/>
  <c r="S46" i="15"/>
  <c r="S45" i="15"/>
  <c r="S44" i="15"/>
  <c r="S43" i="15"/>
  <c r="S42" i="15"/>
  <c r="S41" i="15"/>
  <c r="S40" i="15"/>
  <c r="S39" i="15"/>
  <c r="S38" i="15"/>
  <c r="S35" i="15"/>
  <c r="S34" i="15"/>
  <c r="S33" i="15"/>
  <c r="S32" i="15"/>
  <c r="S31" i="15"/>
  <c r="S30" i="15"/>
  <c r="S29" i="15"/>
  <c r="S28" i="15"/>
  <c r="S27" i="15"/>
  <c r="S26" i="15"/>
  <c r="S25" i="15"/>
  <c r="S24" i="15"/>
  <c r="S23" i="15"/>
  <c r="S22" i="15"/>
  <c r="S19" i="15"/>
  <c r="S18" i="15"/>
  <c r="S17" i="15"/>
  <c r="S16" i="15"/>
  <c r="S15" i="15"/>
  <c r="S14" i="15"/>
  <c r="S13" i="15"/>
  <c r="S12" i="15"/>
  <c r="S11" i="15"/>
  <c r="S10" i="15"/>
  <c r="S9" i="15"/>
  <c r="S8" i="15"/>
  <c r="S7" i="15"/>
  <c r="S6" i="15"/>
  <c r="S131" i="2"/>
  <c r="S130" i="2"/>
  <c r="S129" i="2"/>
  <c r="S128" i="2"/>
  <c r="S127" i="2"/>
  <c r="S126" i="2"/>
  <c r="S125" i="2"/>
  <c r="S124" i="2"/>
  <c r="S123" i="2"/>
  <c r="S122" i="2"/>
  <c r="S121" i="2"/>
  <c r="S120" i="2"/>
  <c r="S119" i="2"/>
  <c r="S118" i="2"/>
  <c r="S115" i="2"/>
  <c r="S114" i="2"/>
  <c r="S113" i="2"/>
  <c r="S112" i="2"/>
  <c r="S111" i="2"/>
  <c r="S110" i="2"/>
  <c r="S109" i="2"/>
  <c r="S108" i="2"/>
  <c r="S107" i="2"/>
  <c r="S106" i="2"/>
  <c r="S105" i="2"/>
  <c r="S104" i="2"/>
  <c r="S103" i="2"/>
  <c r="S102" i="2"/>
  <c r="S99" i="2"/>
  <c r="S98" i="2"/>
  <c r="S97" i="2"/>
  <c r="S96" i="2"/>
  <c r="S95" i="2"/>
  <c r="S94" i="2"/>
  <c r="S93" i="2"/>
  <c r="S92" i="2"/>
  <c r="S91" i="2"/>
  <c r="S90" i="2"/>
  <c r="S89" i="2"/>
  <c r="S88" i="2"/>
  <c r="S87" i="2"/>
  <c r="S86" i="2"/>
  <c r="S83" i="2"/>
  <c r="S82" i="2"/>
  <c r="S81" i="2"/>
  <c r="S80" i="2"/>
  <c r="S79" i="2"/>
  <c r="S78" i="2"/>
  <c r="S77" i="2"/>
  <c r="S76" i="2"/>
  <c r="S75" i="2"/>
  <c r="S74" i="2"/>
  <c r="S73" i="2"/>
  <c r="S72" i="2"/>
  <c r="S71" i="2"/>
  <c r="S70" i="2"/>
  <c r="S67" i="2"/>
  <c r="S66" i="2"/>
  <c r="S65" i="2"/>
  <c r="S64" i="2"/>
  <c r="S63" i="2"/>
  <c r="S62" i="2"/>
  <c r="S61" i="2"/>
  <c r="S60" i="2"/>
  <c r="S59" i="2"/>
  <c r="S58" i="2"/>
  <c r="S57" i="2"/>
  <c r="S56" i="2"/>
  <c r="S55" i="2"/>
  <c r="S54" i="2"/>
  <c r="S51" i="2"/>
  <c r="S50" i="2"/>
  <c r="S49" i="2"/>
  <c r="S48" i="2"/>
  <c r="S47" i="2"/>
  <c r="S46" i="2"/>
  <c r="S45" i="2"/>
  <c r="S44" i="2"/>
  <c r="S43" i="2"/>
  <c r="S42" i="2"/>
  <c r="S41" i="2"/>
  <c r="S40" i="2"/>
  <c r="S39" i="2"/>
  <c r="S38" i="2"/>
  <c r="S35" i="2"/>
  <c r="S34" i="2"/>
  <c r="S33" i="2"/>
  <c r="S32" i="2"/>
  <c r="S31" i="2"/>
  <c r="S30" i="2"/>
  <c r="S29" i="2"/>
  <c r="S28" i="2"/>
  <c r="S27" i="2"/>
  <c r="S26" i="2"/>
  <c r="S25" i="2"/>
  <c r="S24" i="2"/>
  <c r="S23" i="2"/>
  <c r="S22" i="2"/>
  <c r="S19" i="2"/>
  <c r="S18" i="2"/>
  <c r="S17" i="2"/>
  <c r="S16" i="2"/>
  <c r="S15" i="2"/>
  <c r="S14" i="2"/>
  <c r="S13" i="2"/>
  <c r="S12" i="2"/>
  <c r="S11" i="2"/>
  <c r="S10" i="2"/>
  <c r="S9" i="2"/>
  <c r="S8" i="2"/>
  <c r="S7" i="2"/>
  <c r="S6" i="2"/>
  <c r="N119" i="15"/>
  <c r="N103" i="15"/>
  <c r="N87" i="15"/>
  <c r="N71" i="15"/>
  <c r="N55" i="15"/>
  <c r="N39" i="15"/>
  <c r="N23" i="15"/>
  <c r="N7" i="15"/>
  <c r="R38" i="15"/>
  <c r="R38" i="2"/>
  <c r="I119" i="2"/>
  <c r="J119" i="2"/>
  <c r="L119" i="2"/>
  <c r="N119" i="2"/>
  <c r="O119" i="2"/>
  <c r="Q119" i="2"/>
  <c r="I103" i="2"/>
  <c r="J103" i="2"/>
  <c r="L103" i="2"/>
  <c r="N103" i="2"/>
  <c r="O103" i="2"/>
  <c r="Q103" i="2"/>
  <c r="I87" i="2"/>
  <c r="J87" i="2"/>
  <c r="L87" i="2"/>
  <c r="N87" i="2"/>
  <c r="O87" i="2"/>
  <c r="Q87" i="2"/>
  <c r="I71" i="2"/>
  <c r="J71" i="2"/>
  <c r="L71" i="2"/>
  <c r="N71" i="2"/>
  <c r="O71" i="2"/>
  <c r="Q71" i="2"/>
  <c r="I55" i="2"/>
  <c r="J55" i="2"/>
  <c r="L55" i="2"/>
  <c r="N55" i="2"/>
  <c r="O55" i="2"/>
  <c r="Q55" i="2"/>
  <c r="I39" i="2"/>
  <c r="J39" i="2"/>
  <c r="L39" i="2"/>
  <c r="N39" i="2"/>
  <c r="O39" i="2"/>
  <c r="Q39" i="2"/>
  <c r="I23" i="2"/>
  <c r="J23" i="2"/>
  <c r="L23" i="2"/>
  <c r="N23" i="2"/>
  <c r="O23" i="2"/>
  <c r="Q23" i="2"/>
  <c r="I7" i="2"/>
  <c r="J7" i="2"/>
  <c r="L7" i="2"/>
  <c r="N7" i="2"/>
  <c r="O7" i="2"/>
  <c r="Q7" i="2"/>
  <c r="O196" i="32"/>
  <c r="O94" i="32"/>
  <c r="P119" i="15" s="1"/>
  <c r="D20" i="20"/>
  <c r="O181" i="32" s="1"/>
  <c r="C20" i="20"/>
  <c r="O194" i="32" s="1"/>
  <c r="B20" i="20"/>
  <c r="O173" i="32" s="1"/>
  <c r="L201" i="32"/>
  <c r="L199" i="32"/>
  <c r="L198" i="32"/>
  <c r="L196" i="32"/>
  <c r="L194" i="32"/>
  <c r="L193" i="32"/>
  <c r="L191" i="32"/>
  <c r="L189" i="32"/>
  <c r="L188" i="32"/>
  <c r="L186" i="32"/>
  <c r="L184" i="32"/>
  <c r="L183" i="32"/>
  <c r="L181" i="32"/>
  <c r="L179" i="32"/>
  <c r="L178" i="32"/>
  <c r="L176" i="32"/>
  <c r="L174" i="32"/>
  <c r="L173" i="32"/>
  <c r="L171" i="32"/>
  <c r="L169" i="32"/>
  <c r="L168" i="32"/>
  <c r="L166" i="32"/>
  <c r="L164" i="32"/>
  <c r="L163" i="32"/>
  <c r="L161" i="32"/>
  <c r="L159" i="32"/>
  <c r="L158" i="32"/>
  <c r="L151" i="32"/>
  <c r="L149" i="32"/>
  <c r="L148" i="32"/>
  <c r="L146" i="32"/>
  <c r="L144" i="32"/>
  <c r="L143" i="32"/>
  <c r="L141" i="32"/>
  <c r="L139" i="32"/>
  <c r="L138" i="32"/>
  <c r="L136" i="32"/>
  <c r="L134" i="32"/>
  <c r="L133" i="32"/>
  <c r="L131" i="32"/>
  <c r="L129" i="32"/>
  <c r="L128" i="32"/>
  <c r="L126" i="32"/>
  <c r="L124" i="32"/>
  <c r="L123" i="32"/>
  <c r="L121" i="32"/>
  <c r="L119" i="32"/>
  <c r="L118" i="32"/>
  <c r="L116" i="32"/>
  <c r="L114" i="32"/>
  <c r="L113" i="32"/>
  <c r="L111" i="32"/>
  <c r="L109" i="32"/>
  <c r="L108" i="32"/>
  <c r="L101" i="32"/>
  <c r="L99" i="32"/>
  <c r="L98" i="32"/>
  <c r="L96" i="32"/>
  <c r="M119" i="14" s="1"/>
  <c r="L94" i="32"/>
  <c r="M119" i="15" s="1"/>
  <c r="L93" i="32"/>
  <c r="M119" i="2" s="1"/>
  <c r="L91" i="32"/>
  <c r="M103" i="14" s="1"/>
  <c r="L89" i="32"/>
  <c r="M103" i="15" s="1"/>
  <c r="L88" i="32"/>
  <c r="M103" i="2" s="1"/>
  <c r="L86" i="32"/>
  <c r="M87" i="14" s="1"/>
  <c r="L84" i="32"/>
  <c r="M87" i="15" s="1"/>
  <c r="L83" i="32"/>
  <c r="M87" i="2" s="1"/>
  <c r="L81" i="32"/>
  <c r="M71" i="14" s="1"/>
  <c r="L79" i="32"/>
  <c r="M71" i="15" s="1"/>
  <c r="L78" i="32"/>
  <c r="M71" i="2" s="1"/>
  <c r="L76" i="32"/>
  <c r="M55" i="14" s="1"/>
  <c r="L74" i="32"/>
  <c r="M55" i="15" s="1"/>
  <c r="L73" i="32"/>
  <c r="M55" i="2" s="1"/>
  <c r="L71" i="32"/>
  <c r="M39" i="14" s="1"/>
  <c r="L69" i="32"/>
  <c r="M39" i="15" s="1"/>
  <c r="L68" i="32"/>
  <c r="M39" i="2" s="1"/>
  <c r="L66" i="32"/>
  <c r="M23" i="14" s="1"/>
  <c r="L64" i="32"/>
  <c r="M23" i="15" s="1"/>
  <c r="L63" i="32"/>
  <c r="M23" i="2" s="1"/>
  <c r="L61" i="32"/>
  <c r="M7" i="14" s="1"/>
  <c r="L59" i="32"/>
  <c r="L58" i="32"/>
  <c r="M7" i="2" s="1"/>
  <c r="O108" i="32" l="1"/>
  <c r="O121" i="32"/>
  <c r="O129" i="32"/>
  <c r="O143" i="32"/>
  <c r="O59" i="32"/>
  <c r="P7" i="15" s="1"/>
  <c r="O161" i="32"/>
  <c r="O73" i="32"/>
  <c r="P55" i="2" s="1"/>
  <c r="O174" i="32"/>
  <c r="O81" i="32"/>
  <c r="P71" i="14" s="1"/>
  <c r="O183" i="32"/>
  <c r="Q129" i="25"/>
  <c r="I129" i="25"/>
  <c r="K129" i="25"/>
  <c r="M129" i="25"/>
  <c r="C129" i="25"/>
  <c r="O129" i="25"/>
  <c r="E129" i="25"/>
  <c r="G129" i="25"/>
  <c r="O61" i="32"/>
  <c r="P7" i="14" s="1"/>
  <c r="O74" i="32"/>
  <c r="P55" i="15" s="1"/>
  <c r="O83" i="32"/>
  <c r="P87" i="2" s="1"/>
  <c r="O96" i="32"/>
  <c r="P119" i="14" s="1"/>
  <c r="O109" i="32"/>
  <c r="O123" i="32"/>
  <c r="O131" i="32"/>
  <c r="O144" i="32"/>
  <c r="O163" i="32"/>
  <c r="O176" i="32"/>
  <c r="O184" i="32"/>
  <c r="O198" i="32"/>
  <c r="O63" i="32"/>
  <c r="P23" i="2" s="1"/>
  <c r="O76" i="32"/>
  <c r="P55" i="14" s="1"/>
  <c r="O84" i="32"/>
  <c r="P87" i="15" s="1"/>
  <c r="O98" i="32"/>
  <c r="O111" i="32"/>
  <c r="O124" i="32"/>
  <c r="O133" i="32"/>
  <c r="O146" i="32"/>
  <c r="O164" i="32"/>
  <c r="O186" i="32"/>
  <c r="O199" i="32"/>
  <c r="O64" i="32"/>
  <c r="P23" i="15" s="1"/>
  <c r="O86" i="32"/>
  <c r="P87" i="14" s="1"/>
  <c r="O99" i="32"/>
  <c r="O113" i="32"/>
  <c r="O126" i="32"/>
  <c r="O134" i="32"/>
  <c r="O166" i="32"/>
  <c r="O188" i="32"/>
  <c r="O201" i="32"/>
  <c r="O66" i="32"/>
  <c r="P23" i="14" s="1"/>
  <c r="O88" i="32"/>
  <c r="P103" i="2" s="1"/>
  <c r="O101" i="32"/>
  <c r="O114" i="32"/>
  <c r="O136" i="32"/>
  <c r="O168" i="32"/>
  <c r="O189" i="32"/>
  <c r="O148" i="32"/>
  <c r="O68" i="32"/>
  <c r="P39" i="2" s="1"/>
  <c r="O89" i="32"/>
  <c r="P103" i="15" s="1"/>
  <c r="O116" i="32"/>
  <c r="O138" i="32"/>
  <c r="O169" i="32"/>
  <c r="O178" i="32"/>
  <c r="O191" i="32"/>
  <c r="O149" i="32"/>
  <c r="O69" i="32"/>
  <c r="P39" i="15" s="1"/>
  <c r="O78" i="32"/>
  <c r="P71" i="2" s="1"/>
  <c r="O91" i="32"/>
  <c r="P103" i="14" s="1"/>
  <c r="O118" i="32"/>
  <c r="O139" i="32"/>
  <c r="O158" i="32"/>
  <c r="O171" i="32"/>
  <c r="O179" i="32"/>
  <c r="O193" i="32"/>
  <c r="O151" i="32"/>
  <c r="O58" i="32"/>
  <c r="P7" i="2" s="1"/>
  <c r="O71" i="32"/>
  <c r="P39" i="14" s="1"/>
  <c r="O79" i="32"/>
  <c r="P71" i="15" s="1"/>
  <c r="O93" i="32"/>
  <c r="P119" i="2" s="1"/>
  <c r="O119" i="32"/>
  <c r="O128" i="32"/>
  <c r="O141" i="32"/>
  <c r="O159" i="32"/>
  <c r="M7" i="15"/>
  <c r="P24" i="25" l="1"/>
  <c r="P30" i="25" s="1"/>
  <c r="P25" i="25"/>
  <c r="P31" i="25" s="1"/>
  <c r="P23" i="25"/>
  <c r="P29" i="25" s="1"/>
  <c r="N24" i="25"/>
  <c r="N30" i="25" s="1"/>
  <c r="N25" i="25"/>
  <c r="N31" i="25" s="1"/>
  <c r="N23" i="25"/>
  <c r="N29" i="25" s="1"/>
  <c r="L24" i="25"/>
  <c r="L30" i="25" s="1"/>
  <c r="L25" i="25"/>
  <c r="L31" i="25" s="1"/>
  <c r="L23" i="25"/>
  <c r="L29" i="25" s="1"/>
  <c r="J24" i="25"/>
  <c r="J30" i="25" s="1"/>
  <c r="J31" i="25"/>
  <c r="J29" i="25"/>
  <c r="H24" i="25"/>
  <c r="H30" i="25" s="1"/>
  <c r="H25" i="25"/>
  <c r="H31" i="25" s="1"/>
  <c r="H23" i="25"/>
  <c r="H29" i="25" s="1"/>
  <c r="F24" i="25"/>
  <c r="F30" i="25" s="1"/>
  <c r="F25" i="25"/>
  <c r="F31" i="25" s="1"/>
  <c r="F23" i="25"/>
  <c r="F29" i="25" s="1"/>
  <c r="D24" i="25"/>
  <c r="D30" i="25" s="1"/>
  <c r="D25" i="25"/>
  <c r="D31" i="25" s="1"/>
  <c r="B24" i="25"/>
  <c r="B30" i="25" s="1"/>
  <c r="B31" i="25"/>
  <c r="C33" i="25" l="1"/>
  <c r="C34" i="25" l="1"/>
  <c r="E7" i="20"/>
  <c r="D7" i="20"/>
  <c r="C7" i="20"/>
  <c r="B7" i="20"/>
  <c r="G201" i="32"/>
  <c r="G199" i="32"/>
  <c r="G198" i="32"/>
  <c r="G196" i="32"/>
  <c r="G194" i="32"/>
  <c r="G193" i="32"/>
  <c r="G191" i="32"/>
  <c r="G189" i="32"/>
  <c r="G188" i="32"/>
  <c r="G186" i="32"/>
  <c r="G184" i="32"/>
  <c r="G183" i="32"/>
  <c r="G181" i="32"/>
  <c r="G179" i="32"/>
  <c r="G178" i="32"/>
  <c r="G176" i="32"/>
  <c r="G174" i="32"/>
  <c r="G173" i="32"/>
  <c r="G171" i="32"/>
  <c r="G169" i="32"/>
  <c r="G168" i="32"/>
  <c r="G166" i="32"/>
  <c r="G164" i="32"/>
  <c r="G163" i="32"/>
  <c r="G161" i="32"/>
  <c r="G159" i="32"/>
  <c r="G158" i="32"/>
  <c r="G151" i="32"/>
  <c r="G149" i="32"/>
  <c r="G148" i="32"/>
  <c r="G146" i="32"/>
  <c r="G144" i="32"/>
  <c r="G143" i="32"/>
  <c r="G141" i="32"/>
  <c r="G139" i="32"/>
  <c r="G138" i="32"/>
  <c r="G136" i="32"/>
  <c r="G134" i="32"/>
  <c r="G133" i="32"/>
  <c r="G131" i="32"/>
  <c r="G129" i="32"/>
  <c r="G128" i="32"/>
  <c r="G126" i="32"/>
  <c r="G124" i="32"/>
  <c r="G123" i="32"/>
  <c r="G121" i="32"/>
  <c r="G119" i="32"/>
  <c r="G118" i="32"/>
  <c r="G116" i="32"/>
  <c r="G114" i="32"/>
  <c r="G113" i="32"/>
  <c r="G111" i="32"/>
  <c r="G109" i="32"/>
  <c r="G108" i="32"/>
  <c r="G101" i="32"/>
  <c r="G99" i="32"/>
  <c r="G98" i="32"/>
  <c r="G96" i="32"/>
  <c r="H119" i="14" s="1"/>
  <c r="G94" i="32"/>
  <c r="H119" i="15" s="1"/>
  <c r="G93" i="32"/>
  <c r="H119" i="2" s="1"/>
  <c r="G91" i="32"/>
  <c r="H103" i="14" s="1"/>
  <c r="G89" i="32"/>
  <c r="H103" i="15" s="1"/>
  <c r="G88" i="32"/>
  <c r="H103" i="2" s="1"/>
  <c r="G86" i="32"/>
  <c r="H87" i="14" s="1"/>
  <c r="G84" i="32"/>
  <c r="H87" i="15" s="1"/>
  <c r="G83" i="32"/>
  <c r="H87" i="2" s="1"/>
  <c r="G81" i="32"/>
  <c r="H71" i="14" s="1"/>
  <c r="G79" i="32"/>
  <c r="H71" i="15" s="1"/>
  <c r="G78" i="32"/>
  <c r="H71" i="2" s="1"/>
  <c r="G76" i="32"/>
  <c r="H55" i="14" s="1"/>
  <c r="G74" i="32"/>
  <c r="H55" i="15" s="1"/>
  <c r="G73" i="32"/>
  <c r="H55" i="2" s="1"/>
  <c r="G71" i="32"/>
  <c r="H39" i="14" s="1"/>
  <c r="G69" i="32"/>
  <c r="H39" i="15" s="1"/>
  <c r="G68" i="32"/>
  <c r="H39" i="2" s="1"/>
  <c r="G66" i="32"/>
  <c r="H23" i="14" s="1"/>
  <c r="G64" i="32"/>
  <c r="H23" i="15" s="1"/>
  <c r="G63" i="32"/>
  <c r="H23" i="2" s="1"/>
  <c r="G61" i="32"/>
  <c r="H7" i="14" s="1"/>
  <c r="G59" i="32"/>
  <c r="G58" i="32"/>
  <c r="H7" i="2" s="1"/>
  <c r="F201" i="32"/>
  <c r="F199" i="32"/>
  <c r="F198" i="32"/>
  <c r="F196" i="32"/>
  <c r="F194" i="32"/>
  <c r="F193" i="32"/>
  <c r="F191" i="32"/>
  <c r="F189" i="32"/>
  <c r="F188" i="32"/>
  <c r="F186" i="32"/>
  <c r="F184" i="32"/>
  <c r="F183" i="32"/>
  <c r="F181" i="32"/>
  <c r="F179" i="32"/>
  <c r="F178" i="32"/>
  <c r="F176" i="32"/>
  <c r="F174" i="32"/>
  <c r="F173" i="32"/>
  <c r="F171" i="32"/>
  <c r="F169" i="32"/>
  <c r="F168" i="32"/>
  <c r="F166" i="32"/>
  <c r="F164" i="32"/>
  <c r="F163" i="32"/>
  <c r="F161" i="32"/>
  <c r="F159" i="32"/>
  <c r="F158" i="32"/>
  <c r="P202" i="32"/>
  <c r="O202" i="32"/>
  <c r="N202" i="32"/>
  <c r="M202" i="32"/>
  <c r="L202" i="32"/>
  <c r="K202" i="32"/>
  <c r="E200" i="32"/>
  <c r="P197" i="32"/>
  <c r="O197" i="32"/>
  <c r="N197" i="32"/>
  <c r="M197" i="32"/>
  <c r="L197" i="32"/>
  <c r="K197" i="32"/>
  <c r="E195" i="32"/>
  <c r="P192" i="32"/>
  <c r="O192" i="32"/>
  <c r="N192" i="32"/>
  <c r="M192" i="32"/>
  <c r="L192" i="32"/>
  <c r="K192" i="32"/>
  <c r="E190" i="32"/>
  <c r="P187" i="32"/>
  <c r="O187" i="32"/>
  <c r="N187" i="32"/>
  <c r="M187" i="32"/>
  <c r="L187" i="32"/>
  <c r="K187" i="32"/>
  <c r="E185" i="32"/>
  <c r="P182" i="32"/>
  <c r="O182" i="32"/>
  <c r="N182" i="32"/>
  <c r="M182" i="32"/>
  <c r="L182" i="32"/>
  <c r="K182" i="32"/>
  <c r="E180" i="32"/>
  <c r="P177" i="32"/>
  <c r="O177" i="32"/>
  <c r="N177" i="32"/>
  <c r="M177" i="32"/>
  <c r="L177" i="32"/>
  <c r="K177" i="32"/>
  <c r="E175" i="32"/>
  <c r="P172" i="32"/>
  <c r="O172" i="32"/>
  <c r="N172" i="32"/>
  <c r="M172" i="32"/>
  <c r="L172" i="32"/>
  <c r="K172" i="32"/>
  <c r="E170" i="32"/>
  <c r="P167" i="32"/>
  <c r="O167" i="32"/>
  <c r="N167" i="32"/>
  <c r="M167" i="32"/>
  <c r="L167" i="32"/>
  <c r="K167" i="32"/>
  <c r="E165" i="32"/>
  <c r="P162" i="32"/>
  <c r="O162" i="32"/>
  <c r="N162" i="32"/>
  <c r="M162" i="32"/>
  <c r="L162" i="32"/>
  <c r="K162" i="32"/>
  <c r="E160" i="32"/>
  <c r="L137" i="32"/>
  <c r="P152" i="32"/>
  <c r="O152" i="32"/>
  <c r="N152" i="32"/>
  <c r="M152" i="32"/>
  <c r="L152" i="32"/>
  <c r="K152" i="32"/>
  <c r="P147" i="32"/>
  <c r="O147" i="32"/>
  <c r="N147" i="32"/>
  <c r="M147" i="32"/>
  <c r="L147" i="32"/>
  <c r="K147" i="32"/>
  <c r="P142" i="32"/>
  <c r="O142" i="32"/>
  <c r="N142" i="32"/>
  <c r="M142" i="32"/>
  <c r="L142" i="32"/>
  <c r="K142" i="32"/>
  <c r="P137" i="32"/>
  <c r="O137" i="32"/>
  <c r="N137" i="32"/>
  <c r="M137" i="32"/>
  <c r="K137" i="32"/>
  <c r="P132" i="32"/>
  <c r="O132" i="32"/>
  <c r="N132" i="32"/>
  <c r="M132" i="32"/>
  <c r="L132" i="32"/>
  <c r="K132" i="32"/>
  <c r="P127" i="32"/>
  <c r="O127" i="32"/>
  <c r="N127" i="32"/>
  <c r="M127" i="32"/>
  <c r="L127" i="32"/>
  <c r="K127" i="32"/>
  <c r="P122" i="32"/>
  <c r="O122" i="32"/>
  <c r="N122" i="32"/>
  <c r="M122" i="32"/>
  <c r="L122" i="32"/>
  <c r="K122" i="32"/>
  <c r="P117" i="32"/>
  <c r="O117" i="32"/>
  <c r="N117" i="32"/>
  <c r="M117" i="32"/>
  <c r="L117" i="32"/>
  <c r="K117" i="32"/>
  <c r="P112" i="32"/>
  <c r="O112" i="32"/>
  <c r="N112" i="32"/>
  <c r="M112" i="32"/>
  <c r="L112" i="32"/>
  <c r="K112" i="32"/>
  <c r="O102" i="32"/>
  <c r="N102" i="32"/>
  <c r="M102" i="32"/>
  <c r="L102" i="32"/>
  <c r="K102" i="32"/>
  <c r="O97" i="32"/>
  <c r="N97" i="32"/>
  <c r="M97" i="32"/>
  <c r="L97" i="32"/>
  <c r="K97" i="32"/>
  <c r="O92" i="32"/>
  <c r="N92" i="32"/>
  <c r="M92" i="32"/>
  <c r="L92" i="32"/>
  <c r="K92" i="32"/>
  <c r="O87" i="32"/>
  <c r="N87" i="32"/>
  <c r="M87" i="32"/>
  <c r="L87" i="32"/>
  <c r="K87" i="32"/>
  <c r="O82" i="32"/>
  <c r="N82" i="32"/>
  <c r="M82" i="32"/>
  <c r="L82" i="32"/>
  <c r="K82" i="32"/>
  <c r="O77" i="32"/>
  <c r="N77" i="32"/>
  <c r="M77" i="32"/>
  <c r="L77" i="32"/>
  <c r="K77" i="32"/>
  <c r="O72" i="32"/>
  <c r="N72" i="32"/>
  <c r="M72" i="32"/>
  <c r="L72" i="32"/>
  <c r="K72" i="32"/>
  <c r="O67" i="32"/>
  <c r="N67" i="32"/>
  <c r="M67" i="32"/>
  <c r="L67" i="32"/>
  <c r="K67" i="32"/>
  <c r="O62" i="32"/>
  <c r="N62" i="32"/>
  <c r="M62" i="32"/>
  <c r="L62" i="32"/>
  <c r="K62" i="32"/>
  <c r="J169" i="32" l="1"/>
  <c r="J39" i="32"/>
  <c r="J14" i="32"/>
  <c r="J34" i="32"/>
  <c r="J29" i="32"/>
  <c r="J9" i="32"/>
  <c r="J19" i="32"/>
  <c r="J44" i="32"/>
  <c r="J24" i="32"/>
  <c r="J49" i="32"/>
  <c r="J191" i="32"/>
  <c r="J21" i="32"/>
  <c r="K38" i="14" s="1"/>
  <c r="J41" i="32"/>
  <c r="K102" i="14" s="1"/>
  <c r="J11" i="32"/>
  <c r="K6" i="14" s="1"/>
  <c r="J36" i="32"/>
  <c r="K86" i="14" s="1"/>
  <c r="J46" i="32"/>
  <c r="K118" i="14" s="1"/>
  <c r="J26" i="32"/>
  <c r="K54" i="14" s="1"/>
  <c r="J16" i="32"/>
  <c r="K22" i="14" s="1"/>
  <c r="J31" i="32"/>
  <c r="K70" i="14" s="1"/>
  <c r="J51" i="32"/>
  <c r="J178" i="32"/>
  <c r="J18" i="32"/>
  <c r="J23" i="32"/>
  <c r="J38" i="32"/>
  <c r="J43" i="32"/>
  <c r="J8" i="32"/>
  <c r="J28" i="32"/>
  <c r="J33" i="32"/>
  <c r="J13" i="32"/>
  <c r="J48" i="32"/>
  <c r="H7" i="15"/>
  <c r="J61" i="32"/>
  <c r="K7" i="14" s="1"/>
  <c r="J74" i="32"/>
  <c r="K55" i="15" s="1"/>
  <c r="J83" i="32"/>
  <c r="K87" i="2" s="1"/>
  <c r="J96" i="32"/>
  <c r="K119" i="14" s="1"/>
  <c r="J109" i="32"/>
  <c r="J123" i="32"/>
  <c r="J131" i="32"/>
  <c r="J144" i="32"/>
  <c r="J158" i="32"/>
  <c r="E158" i="32" s="1"/>
  <c r="J171" i="32"/>
  <c r="J179" i="32"/>
  <c r="E179" i="32" s="1"/>
  <c r="J193" i="32"/>
  <c r="E193" i="32" s="1"/>
  <c r="J63" i="32"/>
  <c r="K23" i="2" s="1"/>
  <c r="J76" i="32"/>
  <c r="K55" i="14" s="1"/>
  <c r="J84" i="32"/>
  <c r="K87" i="15" s="1"/>
  <c r="J98" i="32"/>
  <c r="J111" i="32"/>
  <c r="J124" i="32"/>
  <c r="J133" i="32"/>
  <c r="J146" i="32"/>
  <c r="J159" i="32"/>
  <c r="J173" i="32"/>
  <c r="J181" i="32"/>
  <c r="J194" i="32"/>
  <c r="J64" i="32"/>
  <c r="K23" i="15" s="1"/>
  <c r="J86" i="32"/>
  <c r="K87" i="14" s="1"/>
  <c r="J99" i="32"/>
  <c r="J113" i="32"/>
  <c r="J126" i="32"/>
  <c r="J134" i="32"/>
  <c r="J148" i="32"/>
  <c r="J161" i="32"/>
  <c r="J174" i="32"/>
  <c r="E174" i="32" s="1"/>
  <c r="J183" i="32"/>
  <c r="E183" i="32" s="1"/>
  <c r="J196" i="32"/>
  <c r="J66" i="32"/>
  <c r="K23" i="14" s="1"/>
  <c r="J88" i="32"/>
  <c r="K103" i="2" s="1"/>
  <c r="J101" i="32"/>
  <c r="J114" i="32"/>
  <c r="J136" i="32"/>
  <c r="J149" i="32"/>
  <c r="J163" i="32"/>
  <c r="E163" i="32" s="1"/>
  <c r="J176" i="32"/>
  <c r="J184" i="32"/>
  <c r="E184" i="32" s="1"/>
  <c r="J198" i="32"/>
  <c r="E198" i="32" s="1"/>
  <c r="J68" i="32"/>
  <c r="K39" i="2" s="1"/>
  <c r="J89" i="32"/>
  <c r="K103" i="15" s="1"/>
  <c r="J116" i="32"/>
  <c r="J138" i="32"/>
  <c r="J151" i="32"/>
  <c r="J164" i="32"/>
  <c r="E164" i="32" s="1"/>
  <c r="J186" i="32"/>
  <c r="J199" i="32"/>
  <c r="E199" i="32" s="1"/>
  <c r="J69" i="32"/>
  <c r="K39" i="15" s="1"/>
  <c r="J78" i="32"/>
  <c r="K71" i="2" s="1"/>
  <c r="J91" i="32"/>
  <c r="K103" i="14" s="1"/>
  <c r="J118" i="32"/>
  <c r="J139" i="32"/>
  <c r="J166" i="32"/>
  <c r="J188" i="32"/>
  <c r="E188" i="32" s="1"/>
  <c r="J201" i="32"/>
  <c r="J58" i="32"/>
  <c r="K7" i="2" s="1"/>
  <c r="J71" i="32"/>
  <c r="K39" i="14" s="1"/>
  <c r="J79" i="32"/>
  <c r="J93" i="32"/>
  <c r="K119" i="2" s="1"/>
  <c r="J119" i="32"/>
  <c r="J128" i="32"/>
  <c r="J141" i="32"/>
  <c r="J168" i="32"/>
  <c r="E168" i="32" s="1"/>
  <c r="J189" i="32"/>
  <c r="E189" i="32" s="1"/>
  <c r="J59" i="32"/>
  <c r="J73" i="32"/>
  <c r="K55" i="2" s="1"/>
  <c r="J81" i="32"/>
  <c r="K71" i="14" s="1"/>
  <c r="J94" i="32"/>
  <c r="K119" i="15" s="1"/>
  <c r="J108" i="32"/>
  <c r="J121" i="32"/>
  <c r="J129" i="32"/>
  <c r="J143" i="32"/>
  <c r="G97" i="32"/>
  <c r="G112" i="32"/>
  <c r="G82" i="32"/>
  <c r="G152" i="32"/>
  <c r="G142" i="32"/>
  <c r="G72" i="32"/>
  <c r="G92" i="32"/>
  <c r="G192" i="32"/>
  <c r="G77" i="32"/>
  <c r="G147" i="32"/>
  <c r="G67" i="32"/>
  <c r="G102" i="32"/>
  <c r="G117" i="32"/>
  <c r="G127" i="32"/>
  <c r="G167" i="32"/>
  <c r="G202" i="32"/>
  <c r="G62" i="32"/>
  <c r="G172" i="32"/>
  <c r="G182" i="32"/>
  <c r="G87" i="32"/>
  <c r="G137" i="32"/>
  <c r="G132" i="32"/>
  <c r="G187" i="32"/>
  <c r="E178" i="32"/>
  <c r="G122" i="32"/>
  <c r="G197" i="32"/>
  <c r="G162" i="32"/>
  <c r="G177" i="32"/>
  <c r="E169" i="32"/>
  <c r="F197" i="32"/>
  <c r="F192" i="32"/>
  <c r="F177" i="32"/>
  <c r="F162" i="32"/>
  <c r="F202" i="32"/>
  <c r="F187" i="32"/>
  <c r="F182" i="32"/>
  <c r="F172" i="32"/>
  <c r="F167" i="32"/>
  <c r="K54" i="2" l="1"/>
  <c r="J27" i="32"/>
  <c r="K38" i="2"/>
  <c r="J22" i="32"/>
  <c r="K54" i="15"/>
  <c r="K102" i="15"/>
  <c r="K22" i="15"/>
  <c r="K22" i="2"/>
  <c r="J17" i="32"/>
  <c r="K118" i="15"/>
  <c r="K86" i="2"/>
  <c r="J37" i="32"/>
  <c r="K38" i="15"/>
  <c r="E48" i="32"/>
  <c r="J52" i="32"/>
  <c r="K70" i="2"/>
  <c r="J32" i="32"/>
  <c r="K6" i="15"/>
  <c r="K6" i="2"/>
  <c r="J12" i="32"/>
  <c r="K70" i="15"/>
  <c r="K118" i="2"/>
  <c r="J47" i="32"/>
  <c r="E49" i="32"/>
  <c r="K102" i="2"/>
  <c r="J42" i="32"/>
  <c r="K86" i="15"/>
  <c r="K7" i="15"/>
  <c r="J82" i="32"/>
  <c r="K71" i="15"/>
  <c r="J122" i="32"/>
  <c r="J162" i="32"/>
  <c r="E159" i="32"/>
  <c r="J97" i="32"/>
  <c r="J137" i="32"/>
  <c r="J87" i="32"/>
  <c r="J62" i="32"/>
  <c r="J152" i="32"/>
  <c r="J197" i="32"/>
  <c r="J147" i="32"/>
  <c r="J192" i="32"/>
  <c r="J182" i="32"/>
  <c r="J132" i="32"/>
  <c r="J142" i="32"/>
  <c r="J102" i="32"/>
  <c r="J177" i="32"/>
  <c r="J77" i="32"/>
  <c r="J127" i="32"/>
  <c r="J72" i="32"/>
  <c r="J187" i="32"/>
  <c r="J92" i="32"/>
  <c r="J117" i="32"/>
  <c r="J67" i="32"/>
  <c r="J112" i="32"/>
  <c r="E194" i="32"/>
  <c r="J172" i="32"/>
  <c r="J202" i="32"/>
  <c r="J167" i="32"/>
  <c r="E173" i="32"/>
  <c r="N119" i="16" l="1"/>
  <c r="N120" i="16"/>
  <c r="N121" i="16"/>
  <c r="N122" i="16"/>
  <c r="N123" i="16"/>
  <c r="N124" i="16"/>
  <c r="N125" i="16"/>
  <c r="N126" i="16"/>
  <c r="N127" i="16"/>
  <c r="N128" i="16"/>
  <c r="N129" i="16"/>
  <c r="N130" i="16"/>
  <c r="N131" i="16"/>
  <c r="N103" i="16"/>
  <c r="N104" i="16"/>
  <c r="N105" i="16"/>
  <c r="N106" i="16"/>
  <c r="N107" i="16"/>
  <c r="N108" i="16"/>
  <c r="N109" i="16"/>
  <c r="N110" i="16"/>
  <c r="N111" i="16"/>
  <c r="N112" i="16"/>
  <c r="N113" i="16"/>
  <c r="N114" i="16"/>
  <c r="N115" i="16"/>
  <c r="N87" i="16"/>
  <c r="N88" i="16"/>
  <c r="N89" i="16"/>
  <c r="N90" i="16"/>
  <c r="N91" i="16"/>
  <c r="N92" i="16"/>
  <c r="N93" i="16"/>
  <c r="N94" i="16"/>
  <c r="N95" i="16"/>
  <c r="N96" i="16"/>
  <c r="N97" i="16"/>
  <c r="N98" i="16"/>
  <c r="N99" i="16"/>
  <c r="N71" i="16"/>
  <c r="N72" i="16"/>
  <c r="N73" i="16"/>
  <c r="N74" i="16"/>
  <c r="N75" i="16"/>
  <c r="N76" i="16"/>
  <c r="N77" i="16"/>
  <c r="N78" i="16"/>
  <c r="N79" i="16"/>
  <c r="N80" i="16"/>
  <c r="N81" i="16"/>
  <c r="N82" i="16"/>
  <c r="N83" i="16"/>
  <c r="N55" i="16"/>
  <c r="N56" i="16"/>
  <c r="N57" i="16"/>
  <c r="N58" i="16"/>
  <c r="N59" i="16"/>
  <c r="N60" i="16"/>
  <c r="N61" i="16"/>
  <c r="N62" i="16"/>
  <c r="N63" i="16"/>
  <c r="N64" i="16"/>
  <c r="N65" i="16"/>
  <c r="N66" i="16"/>
  <c r="N67" i="16"/>
  <c r="N39" i="16"/>
  <c r="N40" i="16"/>
  <c r="N41" i="16"/>
  <c r="N42" i="16"/>
  <c r="N43" i="16"/>
  <c r="N44" i="16"/>
  <c r="N45" i="16"/>
  <c r="N46" i="16"/>
  <c r="N47" i="16"/>
  <c r="N48" i="16"/>
  <c r="N49" i="16"/>
  <c r="N50" i="16"/>
  <c r="N51" i="16"/>
  <c r="N23" i="16"/>
  <c r="N24" i="16"/>
  <c r="N25" i="16"/>
  <c r="N26" i="16"/>
  <c r="N27" i="16"/>
  <c r="N28" i="16"/>
  <c r="N29" i="16"/>
  <c r="N30" i="16"/>
  <c r="N31" i="16"/>
  <c r="N32" i="16"/>
  <c r="N33" i="16"/>
  <c r="N34" i="16"/>
  <c r="N35" i="16"/>
  <c r="N102" i="16"/>
  <c r="N86" i="16"/>
  <c r="N70" i="16"/>
  <c r="N54" i="16"/>
  <c r="N38" i="16"/>
  <c r="N22" i="16"/>
  <c r="N6" i="16"/>
  <c r="N7" i="16"/>
  <c r="N8" i="16"/>
  <c r="N9" i="16"/>
  <c r="N10" i="16"/>
  <c r="N11" i="16"/>
  <c r="N12" i="16"/>
  <c r="N13" i="16"/>
  <c r="N14" i="16"/>
  <c r="N15" i="16"/>
  <c r="N16" i="16"/>
  <c r="N17" i="16"/>
  <c r="N18" i="16"/>
  <c r="N19" i="16"/>
  <c r="J49" i="4"/>
  <c r="I49" i="4"/>
  <c r="H49" i="4"/>
  <c r="G49" i="4"/>
  <c r="F49" i="4"/>
  <c r="E49" i="4"/>
  <c r="D49" i="4"/>
  <c r="C49" i="4"/>
  <c r="B49" i="4"/>
  <c r="E67" i="31" l="1"/>
  <c r="G67" i="31"/>
  <c r="E68" i="31"/>
  <c r="G68" i="31"/>
  <c r="E69" i="31"/>
  <c r="G69" i="31"/>
  <c r="E70" i="31"/>
  <c r="G70" i="31"/>
  <c r="G77" i="31" s="1"/>
  <c r="E71" i="31"/>
  <c r="G71" i="31"/>
  <c r="E72" i="31"/>
  <c r="G72" i="31"/>
  <c r="E73" i="31"/>
  <c r="G73" i="31"/>
  <c r="E74" i="31"/>
  <c r="G74" i="31"/>
  <c r="E75" i="31"/>
  <c r="G75" i="31"/>
  <c r="E76" i="31"/>
  <c r="G76" i="31"/>
  <c r="G66" i="31"/>
  <c r="E66" i="31"/>
  <c r="K40" i="16" l="1"/>
  <c r="K8" i="16"/>
  <c r="K120" i="16"/>
  <c r="K88" i="16"/>
  <c r="E77" i="31"/>
  <c r="K56" i="16"/>
  <c r="K24" i="16"/>
  <c r="K104" i="16"/>
  <c r="K72" i="16"/>
  <c r="O120" i="14"/>
  <c r="Q120" i="2"/>
  <c r="I120" i="2"/>
  <c r="N120" i="15"/>
  <c r="J120" i="2"/>
  <c r="L120" i="2"/>
  <c r="N120" i="2"/>
  <c r="N120" i="14"/>
  <c r="O120" i="2"/>
  <c r="M120" i="15"/>
  <c r="P120" i="14"/>
  <c r="M120" i="14"/>
  <c r="M120" i="2"/>
  <c r="P120" i="15"/>
  <c r="P120" i="2"/>
  <c r="H120" i="15"/>
  <c r="H120" i="2"/>
  <c r="H120" i="14"/>
  <c r="K120" i="15"/>
  <c r="K120" i="2"/>
  <c r="K120" i="14"/>
  <c r="L56" i="2"/>
  <c r="N56" i="2"/>
  <c r="J56" i="2"/>
  <c r="N56" i="14"/>
  <c r="O56" i="2"/>
  <c r="O56" i="14"/>
  <c r="Q56" i="2"/>
  <c r="N56" i="15"/>
  <c r="I56" i="2"/>
  <c r="M56" i="15"/>
  <c r="P56" i="2"/>
  <c r="P56" i="15"/>
  <c r="M56" i="14"/>
  <c r="P56" i="14"/>
  <c r="M56" i="2"/>
  <c r="H56" i="14"/>
  <c r="H56" i="15"/>
  <c r="H56" i="2"/>
  <c r="K56" i="2"/>
  <c r="K56" i="15"/>
  <c r="K56" i="14"/>
  <c r="Q88" i="2"/>
  <c r="I88" i="2"/>
  <c r="J88" i="2"/>
  <c r="O88" i="14"/>
  <c r="N88" i="15"/>
  <c r="L88" i="2"/>
  <c r="N88" i="2"/>
  <c r="N88" i="14"/>
  <c r="O88" i="2"/>
  <c r="P88" i="15"/>
  <c r="M88" i="14"/>
  <c r="M88" i="15"/>
  <c r="M88" i="2"/>
  <c r="P88" i="14"/>
  <c r="P88" i="2"/>
  <c r="H88" i="14"/>
  <c r="H88" i="15"/>
  <c r="H88" i="2"/>
  <c r="K88" i="14"/>
  <c r="K88" i="15"/>
  <c r="K88" i="2"/>
  <c r="L24" i="2"/>
  <c r="J24" i="2"/>
  <c r="N24" i="15"/>
  <c r="N24" i="2"/>
  <c r="O24" i="2"/>
  <c r="Q24" i="2"/>
  <c r="N24" i="14"/>
  <c r="I24" i="2"/>
  <c r="M24" i="15"/>
  <c r="M24" i="14"/>
  <c r="P24" i="14"/>
  <c r="P24" i="15"/>
  <c r="M24" i="2"/>
  <c r="P24" i="2"/>
  <c r="H24" i="2"/>
  <c r="H24" i="15"/>
  <c r="H24" i="14"/>
  <c r="K24" i="14"/>
  <c r="K24" i="15"/>
  <c r="K24" i="2"/>
  <c r="N8" i="14"/>
  <c r="I8" i="2"/>
  <c r="N8" i="15"/>
  <c r="J8" i="2"/>
  <c r="L8" i="2"/>
  <c r="N8" i="2"/>
  <c r="O8" i="2"/>
  <c r="Q8" i="2"/>
  <c r="M8" i="14"/>
  <c r="M8" i="2"/>
  <c r="P8" i="15"/>
  <c r="P8" i="14"/>
  <c r="P8" i="2"/>
  <c r="M8" i="15"/>
  <c r="H8" i="2"/>
  <c r="H8" i="14"/>
  <c r="H8" i="15"/>
  <c r="K8" i="15"/>
  <c r="K8" i="2"/>
  <c r="K8" i="14"/>
  <c r="L104" i="2"/>
  <c r="J104" i="2"/>
  <c r="N104" i="2"/>
  <c r="N104" i="14"/>
  <c r="O104" i="2"/>
  <c r="O104" i="14"/>
  <c r="Q104" i="2"/>
  <c r="N104" i="15"/>
  <c r="I104" i="2"/>
  <c r="M104" i="14"/>
  <c r="P104" i="2"/>
  <c r="P104" i="15"/>
  <c r="M104" i="15"/>
  <c r="M104" i="2"/>
  <c r="P104" i="14"/>
  <c r="H104" i="15"/>
  <c r="H104" i="2"/>
  <c r="H104" i="14"/>
  <c r="K104" i="14"/>
  <c r="K104" i="2"/>
  <c r="K104" i="15"/>
  <c r="Q40" i="2"/>
  <c r="I40" i="2"/>
  <c r="J40" i="2"/>
  <c r="L40" i="2"/>
  <c r="N40" i="14"/>
  <c r="N40" i="2"/>
  <c r="N40" i="15"/>
  <c r="O40" i="2"/>
  <c r="M40" i="2"/>
  <c r="M40" i="14"/>
  <c r="M40" i="15"/>
  <c r="P40" i="15"/>
  <c r="P40" i="14"/>
  <c r="P40" i="2"/>
  <c r="H40" i="2"/>
  <c r="H40" i="15"/>
  <c r="H40" i="14"/>
  <c r="K40" i="14"/>
  <c r="K40" i="15"/>
  <c r="K40" i="2"/>
  <c r="L72" i="2"/>
  <c r="N72" i="15"/>
  <c r="N72" i="2"/>
  <c r="N72" i="14"/>
  <c r="O72" i="2"/>
  <c r="O72" i="14"/>
  <c r="Q72" i="2"/>
  <c r="J72" i="2"/>
  <c r="I72" i="2"/>
  <c r="P72" i="15"/>
  <c r="M72" i="2"/>
  <c r="M72" i="15"/>
  <c r="M72" i="14"/>
  <c r="P72" i="2"/>
  <c r="P72" i="14"/>
  <c r="H72" i="14"/>
  <c r="H72" i="2"/>
  <c r="H72" i="15"/>
  <c r="K72" i="15"/>
  <c r="K72" i="2"/>
  <c r="K72" i="14"/>
  <c r="M8" i="16"/>
  <c r="M9" i="16"/>
  <c r="F50" i="30"/>
  <c r="G50" i="30"/>
  <c r="H50" i="30"/>
  <c r="I50" i="30"/>
  <c r="F51" i="30"/>
  <c r="G51" i="30"/>
  <c r="H51" i="30"/>
  <c r="I51" i="30"/>
  <c r="F52" i="30"/>
  <c r="G52" i="30"/>
  <c r="H52" i="30"/>
  <c r="I52" i="30"/>
  <c r="F53" i="30"/>
  <c r="G53" i="30"/>
  <c r="H53" i="30"/>
  <c r="I53" i="30"/>
  <c r="F54" i="30"/>
  <c r="G54" i="30"/>
  <c r="H54" i="30"/>
  <c r="I54" i="30"/>
  <c r="F55" i="30"/>
  <c r="G55" i="30"/>
  <c r="H55" i="30"/>
  <c r="I55" i="30"/>
  <c r="F56" i="30"/>
  <c r="G56" i="30"/>
  <c r="H56" i="30"/>
  <c r="I56" i="30"/>
  <c r="F57" i="30"/>
  <c r="G57" i="30"/>
  <c r="H57" i="30"/>
  <c r="I57" i="30"/>
  <c r="F58" i="30"/>
  <c r="G58" i="30"/>
  <c r="H58" i="30"/>
  <c r="I58" i="30"/>
  <c r="J58" i="30"/>
  <c r="F36" i="30"/>
  <c r="H36" i="30"/>
  <c r="I36" i="30"/>
  <c r="F37" i="30"/>
  <c r="H37" i="30"/>
  <c r="I37" i="30"/>
  <c r="F38" i="30"/>
  <c r="H38" i="30"/>
  <c r="I38" i="30"/>
  <c r="F39" i="30"/>
  <c r="H39" i="30"/>
  <c r="I39" i="30"/>
  <c r="F40" i="30"/>
  <c r="H40" i="30"/>
  <c r="I40" i="30"/>
  <c r="F41" i="30"/>
  <c r="H41" i="30"/>
  <c r="I41" i="30"/>
  <c r="F42" i="30"/>
  <c r="H42" i="30"/>
  <c r="I42" i="30"/>
  <c r="F43" i="30"/>
  <c r="H43" i="30"/>
  <c r="I43" i="30"/>
  <c r="F44" i="30"/>
  <c r="H44" i="30"/>
  <c r="I44" i="30"/>
  <c r="J44" i="30"/>
  <c r="I22" i="30"/>
  <c r="I7" i="16" s="1"/>
  <c r="J22" i="30"/>
  <c r="J7" i="16" s="1"/>
  <c r="I23" i="30"/>
  <c r="I23" i="16" s="1"/>
  <c r="J23" i="30"/>
  <c r="J23" i="16" s="1"/>
  <c r="I24" i="30"/>
  <c r="I39" i="16" s="1"/>
  <c r="I25" i="30"/>
  <c r="I55" i="16" s="1"/>
  <c r="I26" i="30"/>
  <c r="I71" i="16" s="1"/>
  <c r="I27" i="30"/>
  <c r="I87" i="16" s="1"/>
  <c r="J27" i="30"/>
  <c r="J87" i="16" s="1"/>
  <c r="I28" i="30"/>
  <c r="I103" i="16" s="1"/>
  <c r="I29" i="30"/>
  <c r="I119" i="16" s="1"/>
  <c r="I30" i="30"/>
  <c r="J30" i="30"/>
  <c r="B33" i="20"/>
  <c r="H22" i="30"/>
  <c r="H7" i="16" s="1"/>
  <c r="H23" i="30"/>
  <c r="H23" i="16" s="1"/>
  <c r="H24" i="30"/>
  <c r="H39" i="16" s="1"/>
  <c r="H25" i="30"/>
  <c r="H55" i="16" s="1"/>
  <c r="H26" i="30"/>
  <c r="H71" i="16" s="1"/>
  <c r="H27" i="30"/>
  <c r="H87" i="16" s="1"/>
  <c r="H28" i="30"/>
  <c r="H103" i="16" s="1"/>
  <c r="H29" i="30"/>
  <c r="H119" i="16" s="1"/>
  <c r="H30" i="30"/>
  <c r="F22" i="30"/>
  <c r="F7" i="16" s="1"/>
  <c r="F23" i="30"/>
  <c r="F23" i="16" s="1"/>
  <c r="F24" i="30"/>
  <c r="F39" i="16" s="1"/>
  <c r="F25" i="30"/>
  <c r="F55" i="16" s="1"/>
  <c r="F26" i="30"/>
  <c r="F71" i="16" s="1"/>
  <c r="F27" i="30"/>
  <c r="F87" i="16" s="1"/>
  <c r="F28" i="30"/>
  <c r="F103" i="16" s="1"/>
  <c r="F29" i="30"/>
  <c r="F119" i="16" s="1"/>
  <c r="F30" i="30"/>
  <c r="E150" i="32"/>
  <c r="E145" i="32"/>
  <c r="E140" i="32"/>
  <c r="E135" i="32"/>
  <c r="E130" i="32"/>
  <c r="E125" i="32"/>
  <c r="E120" i="32"/>
  <c r="E115" i="32"/>
  <c r="E110" i="32"/>
  <c r="E100" i="32"/>
  <c r="E95" i="32"/>
  <c r="E90" i="32"/>
  <c r="E85" i="32"/>
  <c r="E80" i="32"/>
  <c r="E75" i="32"/>
  <c r="E70" i="32"/>
  <c r="E65" i="32"/>
  <c r="E60" i="32"/>
  <c r="L54" i="30" l="1"/>
  <c r="L16" i="30"/>
  <c r="I88" i="16"/>
  <c r="I72" i="16"/>
  <c r="I24" i="16"/>
  <c r="H88" i="16"/>
  <c r="F88" i="16"/>
  <c r="H104" i="16"/>
  <c r="F72" i="16"/>
  <c r="H40" i="16"/>
  <c r="H120" i="16"/>
  <c r="F104" i="16"/>
  <c r="F56" i="16"/>
  <c r="H56" i="16"/>
  <c r="I40" i="16"/>
  <c r="I120" i="16"/>
  <c r="I8" i="16"/>
  <c r="F40" i="16"/>
  <c r="F24" i="16"/>
  <c r="I104" i="16"/>
  <c r="I56" i="16"/>
  <c r="H8" i="16"/>
  <c r="F120" i="16"/>
  <c r="H72" i="16"/>
  <c r="H24" i="16"/>
  <c r="F8" i="16"/>
  <c r="L57" i="30"/>
  <c r="L50" i="30"/>
  <c r="L55" i="30"/>
  <c r="L56" i="30"/>
  <c r="L58" i="30"/>
  <c r="L51" i="30"/>
  <c r="L52" i="30"/>
  <c r="L53" i="30"/>
  <c r="H61" i="31" l="1"/>
  <c r="H201" i="32" s="1"/>
  <c r="L60" i="31"/>
  <c r="J57" i="30" s="1"/>
  <c r="H60" i="31"/>
  <c r="H196" i="32" s="1"/>
  <c r="L59" i="31"/>
  <c r="J56" i="30" s="1"/>
  <c r="H59" i="31"/>
  <c r="H191" i="32" s="1"/>
  <c r="L58" i="31"/>
  <c r="J55" i="30" s="1"/>
  <c r="H58" i="31"/>
  <c r="H186" i="32" s="1"/>
  <c r="L57" i="31"/>
  <c r="J54" i="30" s="1"/>
  <c r="H57" i="31"/>
  <c r="H181" i="32" s="1"/>
  <c r="L56" i="31"/>
  <c r="J53" i="30" s="1"/>
  <c r="H56" i="31"/>
  <c r="H176" i="32" s="1"/>
  <c r="L55" i="31"/>
  <c r="J52" i="30" s="1"/>
  <c r="H55" i="31"/>
  <c r="H171" i="32" s="1"/>
  <c r="L54" i="31"/>
  <c r="J51" i="30" s="1"/>
  <c r="H54" i="31"/>
  <c r="H166" i="32" s="1"/>
  <c r="L53" i="31"/>
  <c r="J50" i="30" s="1"/>
  <c r="H53" i="31"/>
  <c r="H161" i="32" s="1"/>
  <c r="H46" i="31"/>
  <c r="J43" i="30"/>
  <c r="H45" i="31"/>
  <c r="J42" i="30"/>
  <c r="H44" i="31"/>
  <c r="J40" i="30"/>
  <c r="H42" i="31"/>
  <c r="J39" i="30"/>
  <c r="H41" i="31"/>
  <c r="J38" i="30"/>
  <c r="H40" i="31"/>
  <c r="J37" i="30"/>
  <c r="H39" i="31"/>
  <c r="J36" i="30"/>
  <c r="H38" i="31"/>
  <c r="H31" i="31"/>
  <c r="L30" i="31"/>
  <c r="J29" i="30" s="1"/>
  <c r="J119" i="16" s="1"/>
  <c r="H30" i="31"/>
  <c r="L29" i="31"/>
  <c r="J28" i="30" s="1"/>
  <c r="J103" i="16" s="1"/>
  <c r="H29" i="31"/>
  <c r="H28" i="31"/>
  <c r="L27" i="31"/>
  <c r="J26" i="30" s="1"/>
  <c r="J71" i="16" s="1"/>
  <c r="H27" i="31"/>
  <c r="L26" i="31"/>
  <c r="J25" i="30" s="1"/>
  <c r="J55" i="16" s="1"/>
  <c r="H26" i="31"/>
  <c r="L25" i="31"/>
  <c r="J24" i="30" s="1"/>
  <c r="J39" i="16" s="1"/>
  <c r="H25" i="31"/>
  <c r="H24" i="31"/>
  <c r="H23" i="31"/>
  <c r="J56" i="16" l="1"/>
  <c r="H14" i="31"/>
  <c r="H10" i="31"/>
  <c r="H15" i="31"/>
  <c r="H11" i="31"/>
  <c r="H8" i="31"/>
  <c r="H12" i="31"/>
  <c r="H9" i="31"/>
  <c r="H16" i="31"/>
  <c r="H51" i="32" s="1"/>
  <c r="I134" i="14" s="1"/>
  <c r="J41" i="30"/>
  <c r="J88" i="16" s="1"/>
  <c r="J13" i="30"/>
  <c r="J86" i="16" s="1"/>
  <c r="H13" i="31"/>
  <c r="J40" i="16"/>
  <c r="J104" i="16"/>
  <c r="J120" i="16"/>
  <c r="J8" i="16"/>
  <c r="H172" i="32"/>
  <c r="I171" i="32"/>
  <c r="I172" i="32" s="1"/>
  <c r="J72" i="16"/>
  <c r="H177" i="32"/>
  <c r="I176" i="32"/>
  <c r="I177" i="32" s="1"/>
  <c r="H192" i="32"/>
  <c r="I191" i="32"/>
  <c r="I192" i="32" s="1"/>
  <c r="H162" i="32"/>
  <c r="I161" i="32"/>
  <c r="I162" i="32" s="1"/>
  <c r="I196" i="32"/>
  <c r="I197" i="32" s="1"/>
  <c r="H197" i="32"/>
  <c r="J24" i="16"/>
  <c r="H167" i="32"/>
  <c r="I166" i="32"/>
  <c r="I167" i="32" s="1"/>
  <c r="I181" i="32"/>
  <c r="I182" i="32" s="1"/>
  <c r="H182" i="32"/>
  <c r="I201" i="32"/>
  <c r="I202" i="32" s="1"/>
  <c r="H202" i="32"/>
  <c r="I186" i="32"/>
  <c r="I187" i="32" s="1"/>
  <c r="H187" i="32"/>
  <c r="M120" i="16"/>
  <c r="M119" i="16"/>
  <c r="M118" i="16"/>
  <c r="M104" i="16"/>
  <c r="M103" i="16"/>
  <c r="M102" i="16"/>
  <c r="M88" i="16"/>
  <c r="M87" i="16"/>
  <c r="M86" i="16"/>
  <c r="M72" i="16"/>
  <c r="M71" i="16"/>
  <c r="M70" i="16"/>
  <c r="M56" i="16"/>
  <c r="M55" i="16"/>
  <c r="M54" i="16"/>
  <c r="M40" i="16"/>
  <c r="M39" i="16"/>
  <c r="M38" i="16"/>
  <c r="M24" i="16"/>
  <c r="M23" i="16"/>
  <c r="M22" i="16"/>
  <c r="M7" i="16"/>
  <c r="M6" i="16"/>
  <c r="M10" i="16"/>
  <c r="M11" i="16"/>
  <c r="M12" i="16"/>
  <c r="M13" i="16"/>
  <c r="M14" i="16"/>
  <c r="M15" i="16"/>
  <c r="M16" i="16"/>
  <c r="M17" i="16"/>
  <c r="M18" i="16"/>
  <c r="M19" i="16"/>
  <c r="M25" i="16"/>
  <c r="M26" i="16"/>
  <c r="M27" i="16"/>
  <c r="M28" i="16"/>
  <c r="M29" i="16"/>
  <c r="M30" i="16"/>
  <c r="M31" i="16"/>
  <c r="M32" i="16"/>
  <c r="M33" i="16"/>
  <c r="M34" i="16"/>
  <c r="M35" i="16"/>
  <c r="M41" i="16"/>
  <c r="M42" i="16"/>
  <c r="M43" i="16"/>
  <c r="M44" i="16"/>
  <c r="M45" i="16"/>
  <c r="M46" i="16"/>
  <c r="M47" i="16"/>
  <c r="M48" i="16"/>
  <c r="M49" i="16"/>
  <c r="M50" i="16"/>
  <c r="M51" i="16"/>
  <c r="M57" i="16"/>
  <c r="M58" i="16"/>
  <c r="M59" i="16"/>
  <c r="M60" i="16"/>
  <c r="M61" i="16"/>
  <c r="M62" i="16"/>
  <c r="M63" i="16"/>
  <c r="M64" i="16"/>
  <c r="M65" i="16"/>
  <c r="M66" i="16"/>
  <c r="M67" i="16"/>
  <c r="M73" i="16"/>
  <c r="M74" i="16"/>
  <c r="M75" i="16"/>
  <c r="M76" i="16"/>
  <c r="M77" i="16"/>
  <c r="M78" i="16"/>
  <c r="M79" i="16"/>
  <c r="M80" i="16"/>
  <c r="M81" i="16"/>
  <c r="M82" i="16"/>
  <c r="M83" i="16"/>
  <c r="M89" i="16"/>
  <c r="M90" i="16"/>
  <c r="M91" i="16"/>
  <c r="M92" i="16"/>
  <c r="M93" i="16"/>
  <c r="M94" i="16"/>
  <c r="M95" i="16"/>
  <c r="M96" i="16"/>
  <c r="M97" i="16"/>
  <c r="M98" i="16"/>
  <c r="M99" i="16"/>
  <c r="M105" i="16"/>
  <c r="M106" i="16"/>
  <c r="M107" i="16"/>
  <c r="M108" i="16"/>
  <c r="M109" i="16"/>
  <c r="M110" i="16"/>
  <c r="M111" i="16"/>
  <c r="M112" i="16"/>
  <c r="M113" i="16"/>
  <c r="M114" i="16"/>
  <c r="M115" i="16"/>
  <c r="M121" i="16"/>
  <c r="M122" i="16"/>
  <c r="M123" i="16"/>
  <c r="M124" i="16"/>
  <c r="M125" i="16"/>
  <c r="M126" i="16"/>
  <c r="M127" i="16"/>
  <c r="M128" i="16"/>
  <c r="M129" i="16"/>
  <c r="M130" i="16"/>
  <c r="M131" i="16"/>
  <c r="R131" i="14"/>
  <c r="R130" i="14"/>
  <c r="R129" i="14"/>
  <c r="R128" i="14"/>
  <c r="R127" i="14"/>
  <c r="R126" i="14"/>
  <c r="R125" i="14"/>
  <c r="R124" i="14"/>
  <c r="R123" i="14"/>
  <c r="R122" i="14"/>
  <c r="R121" i="14"/>
  <c r="R120" i="14"/>
  <c r="R119" i="14"/>
  <c r="R118" i="14"/>
  <c r="R115" i="14"/>
  <c r="R114" i="14"/>
  <c r="R113" i="14"/>
  <c r="R112" i="14"/>
  <c r="R111" i="14"/>
  <c r="R110" i="14"/>
  <c r="R109" i="14"/>
  <c r="R108" i="14"/>
  <c r="R107" i="14"/>
  <c r="R106" i="14"/>
  <c r="R105" i="14"/>
  <c r="R104" i="14"/>
  <c r="R103" i="14"/>
  <c r="R102" i="14"/>
  <c r="R99" i="14"/>
  <c r="R98" i="14"/>
  <c r="R97" i="14"/>
  <c r="R96" i="14"/>
  <c r="R95" i="14"/>
  <c r="R94" i="14"/>
  <c r="R93" i="14"/>
  <c r="R92" i="14"/>
  <c r="R91" i="14"/>
  <c r="R90" i="14"/>
  <c r="R89" i="14"/>
  <c r="R88" i="14"/>
  <c r="R87" i="14"/>
  <c r="R86" i="14"/>
  <c r="R83" i="14"/>
  <c r="R82" i="14"/>
  <c r="R81" i="14"/>
  <c r="R80" i="14"/>
  <c r="R79" i="14"/>
  <c r="R78" i="14"/>
  <c r="R77" i="14"/>
  <c r="R76" i="14"/>
  <c r="R75" i="14"/>
  <c r="R74" i="14"/>
  <c r="R73" i="14"/>
  <c r="R72" i="14"/>
  <c r="R71" i="14"/>
  <c r="R70" i="14"/>
  <c r="R67" i="14"/>
  <c r="R66" i="14"/>
  <c r="R65" i="14"/>
  <c r="R64" i="14"/>
  <c r="R63" i="14"/>
  <c r="R62" i="14"/>
  <c r="R61" i="14"/>
  <c r="R60" i="14"/>
  <c r="R59" i="14"/>
  <c r="R58" i="14"/>
  <c r="R57" i="14"/>
  <c r="R56" i="14"/>
  <c r="R55" i="14"/>
  <c r="R54" i="14"/>
  <c r="R51" i="14"/>
  <c r="R50" i="14"/>
  <c r="R49" i="14"/>
  <c r="R48" i="14"/>
  <c r="R47" i="14"/>
  <c r="R46" i="14"/>
  <c r="R45" i="14"/>
  <c r="R44" i="14"/>
  <c r="R43" i="14"/>
  <c r="R42" i="14"/>
  <c r="R41" i="14"/>
  <c r="R40" i="14"/>
  <c r="R39" i="14"/>
  <c r="R38" i="14"/>
  <c r="R35" i="14"/>
  <c r="R34" i="14"/>
  <c r="R33" i="14"/>
  <c r="R32" i="14"/>
  <c r="R31" i="14"/>
  <c r="R30" i="14"/>
  <c r="R29" i="14"/>
  <c r="R28" i="14"/>
  <c r="R27" i="14"/>
  <c r="R26" i="14"/>
  <c r="R25" i="14"/>
  <c r="R24" i="14"/>
  <c r="R23" i="14"/>
  <c r="R22" i="14"/>
  <c r="R19" i="14"/>
  <c r="R18" i="14"/>
  <c r="R17" i="14"/>
  <c r="R16" i="14"/>
  <c r="R15" i="14"/>
  <c r="R14" i="14"/>
  <c r="R13" i="14"/>
  <c r="R12" i="14"/>
  <c r="R11" i="14"/>
  <c r="R10" i="14"/>
  <c r="R9" i="14"/>
  <c r="R8" i="14"/>
  <c r="R7" i="14"/>
  <c r="R6" i="14"/>
  <c r="R131" i="15"/>
  <c r="R130" i="15"/>
  <c r="R129" i="15"/>
  <c r="R128" i="15"/>
  <c r="R127" i="15"/>
  <c r="R126" i="15"/>
  <c r="R125" i="15"/>
  <c r="R124" i="15"/>
  <c r="R123" i="15"/>
  <c r="R122" i="15"/>
  <c r="R121" i="15"/>
  <c r="R120" i="15"/>
  <c r="R119" i="15"/>
  <c r="R118" i="15"/>
  <c r="R115" i="15"/>
  <c r="R114" i="15"/>
  <c r="R113" i="15"/>
  <c r="R112" i="15"/>
  <c r="R111" i="15"/>
  <c r="R110" i="15"/>
  <c r="R109" i="15"/>
  <c r="R108" i="15"/>
  <c r="R107" i="15"/>
  <c r="R106" i="15"/>
  <c r="R105" i="15"/>
  <c r="R104" i="15"/>
  <c r="R103" i="15"/>
  <c r="R102" i="15"/>
  <c r="R99" i="15"/>
  <c r="R98" i="15"/>
  <c r="R97" i="15"/>
  <c r="R96" i="15"/>
  <c r="R95" i="15"/>
  <c r="R94" i="15"/>
  <c r="R93" i="15"/>
  <c r="R92" i="15"/>
  <c r="R91" i="15"/>
  <c r="R90" i="15"/>
  <c r="R89" i="15"/>
  <c r="R88" i="15"/>
  <c r="R87" i="15"/>
  <c r="R86" i="15"/>
  <c r="R83" i="15"/>
  <c r="R82" i="15"/>
  <c r="R81" i="15"/>
  <c r="R80" i="15"/>
  <c r="R79" i="15"/>
  <c r="R78" i="15"/>
  <c r="R77" i="15"/>
  <c r="R76" i="15"/>
  <c r="R75" i="15"/>
  <c r="R74" i="15"/>
  <c r="R73" i="15"/>
  <c r="R72" i="15"/>
  <c r="R71" i="15"/>
  <c r="R70" i="15"/>
  <c r="R67" i="15"/>
  <c r="R66" i="15"/>
  <c r="R65" i="15"/>
  <c r="R64" i="15"/>
  <c r="R63" i="15"/>
  <c r="R62" i="15"/>
  <c r="R61" i="15"/>
  <c r="R60" i="15"/>
  <c r="R59" i="15"/>
  <c r="R58" i="15"/>
  <c r="R57" i="15"/>
  <c r="R56" i="15"/>
  <c r="R55" i="15"/>
  <c r="R54" i="15"/>
  <c r="R51" i="15"/>
  <c r="R50" i="15"/>
  <c r="R49" i="15"/>
  <c r="R48" i="15"/>
  <c r="R47" i="15"/>
  <c r="R46" i="15"/>
  <c r="R45" i="15"/>
  <c r="R44" i="15"/>
  <c r="R43" i="15"/>
  <c r="R42" i="15"/>
  <c r="R41" i="15"/>
  <c r="R40" i="15"/>
  <c r="R39" i="15"/>
  <c r="R35" i="15"/>
  <c r="R34" i="15"/>
  <c r="R33" i="15"/>
  <c r="R32" i="15"/>
  <c r="R31" i="15"/>
  <c r="R30" i="15"/>
  <c r="R29" i="15"/>
  <c r="R28" i="15"/>
  <c r="R27" i="15"/>
  <c r="R26" i="15"/>
  <c r="R25" i="15"/>
  <c r="R24" i="15"/>
  <c r="R23" i="15"/>
  <c r="R22" i="15"/>
  <c r="R19" i="15"/>
  <c r="R18" i="15"/>
  <c r="R17" i="15"/>
  <c r="R16" i="15"/>
  <c r="R15" i="15"/>
  <c r="R14" i="15"/>
  <c r="R13" i="15"/>
  <c r="R12" i="15"/>
  <c r="R11" i="15"/>
  <c r="R10" i="15"/>
  <c r="R9" i="15"/>
  <c r="R8" i="15"/>
  <c r="R7" i="15"/>
  <c r="R6" i="15"/>
  <c r="R118" i="2"/>
  <c r="R119" i="2"/>
  <c r="R120" i="2"/>
  <c r="R121" i="2"/>
  <c r="R122" i="2"/>
  <c r="R123" i="2"/>
  <c r="R124" i="2"/>
  <c r="R125" i="2"/>
  <c r="R126" i="2"/>
  <c r="R127" i="2"/>
  <c r="R128" i="2"/>
  <c r="R129" i="2"/>
  <c r="R130" i="2"/>
  <c r="R131" i="2"/>
  <c r="R102" i="2"/>
  <c r="R103" i="2"/>
  <c r="R104" i="2"/>
  <c r="R105" i="2"/>
  <c r="R106" i="2"/>
  <c r="R107" i="2"/>
  <c r="R108" i="2"/>
  <c r="R109" i="2"/>
  <c r="R110" i="2"/>
  <c r="R111" i="2"/>
  <c r="R112" i="2"/>
  <c r="R113" i="2"/>
  <c r="R114" i="2"/>
  <c r="R115" i="2"/>
  <c r="R86" i="2"/>
  <c r="R87" i="2"/>
  <c r="R88" i="2"/>
  <c r="R89" i="2"/>
  <c r="R90" i="2"/>
  <c r="R91" i="2"/>
  <c r="R92" i="2"/>
  <c r="R93" i="2"/>
  <c r="R94" i="2"/>
  <c r="R95" i="2"/>
  <c r="R96" i="2"/>
  <c r="R97" i="2"/>
  <c r="R98" i="2"/>
  <c r="R99" i="2"/>
  <c r="R70" i="2"/>
  <c r="R71" i="2"/>
  <c r="R72" i="2"/>
  <c r="R73" i="2"/>
  <c r="R74" i="2"/>
  <c r="R75" i="2"/>
  <c r="R76" i="2"/>
  <c r="R77" i="2"/>
  <c r="R78" i="2"/>
  <c r="R79" i="2"/>
  <c r="R80" i="2"/>
  <c r="R81" i="2"/>
  <c r="R82" i="2"/>
  <c r="R83" i="2"/>
  <c r="R54" i="2"/>
  <c r="R55" i="2"/>
  <c r="R56" i="2"/>
  <c r="R57" i="2"/>
  <c r="R58" i="2"/>
  <c r="R59" i="2"/>
  <c r="R60" i="2"/>
  <c r="R61" i="2"/>
  <c r="R62" i="2"/>
  <c r="R63" i="2"/>
  <c r="R64" i="2"/>
  <c r="R65" i="2"/>
  <c r="R66" i="2"/>
  <c r="R67" i="2"/>
  <c r="R39" i="2"/>
  <c r="R40" i="2"/>
  <c r="R41" i="2"/>
  <c r="R42" i="2"/>
  <c r="R43" i="2"/>
  <c r="R44" i="2"/>
  <c r="R45" i="2"/>
  <c r="R46" i="2"/>
  <c r="R47" i="2"/>
  <c r="R48" i="2"/>
  <c r="R49" i="2"/>
  <c r="R50" i="2"/>
  <c r="R51" i="2"/>
  <c r="R22" i="2"/>
  <c r="R23" i="2"/>
  <c r="R24" i="2"/>
  <c r="R25" i="2"/>
  <c r="R26" i="2"/>
  <c r="R27" i="2"/>
  <c r="R28" i="2"/>
  <c r="R29" i="2"/>
  <c r="R30" i="2"/>
  <c r="R31" i="2"/>
  <c r="R32" i="2"/>
  <c r="R33" i="2"/>
  <c r="R34" i="2"/>
  <c r="R35" i="2"/>
  <c r="R6" i="2"/>
  <c r="R7" i="2"/>
  <c r="R8" i="2"/>
  <c r="R9" i="2"/>
  <c r="R10" i="2"/>
  <c r="R11" i="2"/>
  <c r="R12" i="2"/>
  <c r="R13" i="2"/>
  <c r="R14" i="2"/>
  <c r="R15" i="2"/>
  <c r="R16" i="2"/>
  <c r="R17" i="2"/>
  <c r="R18" i="2"/>
  <c r="R19" i="2"/>
  <c r="B31" i="4"/>
  <c r="C31" i="4"/>
  <c r="D31" i="4"/>
  <c r="E31" i="4"/>
  <c r="F31" i="4"/>
  <c r="G31" i="4"/>
  <c r="H31" i="4"/>
  <c r="I31" i="4"/>
  <c r="H52" i="32" l="1"/>
  <c r="I51" i="32"/>
  <c r="J51" i="2"/>
  <c r="J53" i="2" s="1"/>
  <c r="L51" i="2"/>
  <c r="L53" i="2" s="1"/>
  <c r="J67" i="15"/>
  <c r="J69" i="15" s="1"/>
  <c r="I67" i="15"/>
  <c r="I69" i="15" s="1"/>
  <c r="L67" i="15"/>
  <c r="L69" i="15" s="1"/>
  <c r="M67" i="15"/>
  <c r="M69" i="15" s="1"/>
  <c r="K67" i="15"/>
  <c r="K69" i="15" s="1"/>
  <c r="H67" i="15"/>
  <c r="H69" i="15" s="1"/>
  <c r="G67" i="15"/>
  <c r="N67" i="15"/>
  <c r="N69" i="15" s="1"/>
  <c r="Q67" i="15"/>
  <c r="Q69" i="15" s="1"/>
  <c r="O67" i="15"/>
  <c r="O69" i="15" s="1"/>
  <c r="L115" i="15"/>
  <c r="L117" i="15" s="1"/>
  <c r="I115" i="15"/>
  <c r="I117" i="15" s="1"/>
  <c r="J115" i="15"/>
  <c r="J117" i="15" s="1"/>
  <c r="M115" i="15"/>
  <c r="M117" i="15" s="1"/>
  <c r="N115" i="15"/>
  <c r="N117" i="15" s="1"/>
  <c r="K115" i="15"/>
  <c r="K117" i="15" s="1"/>
  <c r="H115" i="15"/>
  <c r="H117" i="15" s="1"/>
  <c r="G115" i="15"/>
  <c r="Q115" i="15"/>
  <c r="Q117" i="15" s="1"/>
  <c r="O115" i="15"/>
  <c r="O117" i="15" s="1"/>
  <c r="O19" i="14"/>
  <c r="O21" i="14" s="1"/>
  <c r="L19" i="14"/>
  <c r="L21" i="14" s="1"/>
  <c r="O131" i="14"/>
  <c r="O133" i="14" s="1"/>
  <c r="L131" i="14"/>
  <c r="L133" i="14" s="1"/>
  <c r="J83" i="2"/>
  <c r="J85" i="2" s="1"/>
  <c r="L83" i="2"/>
  <c r="L85" i="2" s="1"/>
  <c r="L35" i="2"/>
  <c r="L37" i="2" s="1"/>
  <c r="J35" i="2"/>
  <c r="J37" i="2" s="1"/>
  <c r="L51" i="15"/>
  <c r="L53" i="15" s="1"/>
  <c r="I51" i="15"/>
  <c r="I53" i="15" s="1"/>
  <c r="J51" i="15"/>
  <c r="J53" i="15" s="1"/>
  <c r="M51" i="15"/>
  <c r="M53" i="15" s="1"/>
  <c r="K51" i="15"/>
  <c r="K53" i="15" s="1"/>
  <c r="H51" i="15"/>
  <c r="H53" i="15" s="1"/>
  <c r="N51" i="15"/>
  <c r="N53" i="15" s="1"/>
  <c r="G51" i="15"/>
  <c r="Q51" i="15"/>
  <c r="Q53" i="15" s="1"/>
  <c r="O51" i="15"/>
  <c r="O53" i="15" s="1"/>
  <c r="I99" i="15"/>
  <c r="I101" i="15" s="1"/>
  <c r="L99" i="15"/>
  <c r="L101" i="15" s="1"/>
  <c r="J99" i="15"/>
  <c r="J101" i="15" s="1"/>
  <c r="M99" i="15"/>
  <c r="M101" i="15" s="1"/>
  <c r="K99" i="15"/>
  <c r="K101" i="15" s="1"/>
  <c r="H99" i="15"/>
  <c r="H101" i="15" s="1"/>
  <c r="G99" i="15"/>
  <c r="Q99" i="15"/>
  <c r="Q101" i="15" s="1"/>
  <c r="O99" i="15"/>
  <c r="O101" i="15" s="1"/>
  <c r="N99" i="15"/>
  <c r="N101" i="15" s="1"/>
  <c r="L67" i="14"/>
  <c r="L69" i="14" s="1"/>
  <c r="O67" i="14"/>
  <c r="O69" i="14" s="1"/>
  <c r="O115" i="14"/>
  <c r="O117" i="14" s="1"/>
  <c r="L115" i="14"/>
  <c r="L117" i="14" s="1"/>
  <c r="L99" i="2"/>
  <c r="L101" i="2" s="1"/>
  <c r="J99" i="2"/>
  <c r="J101" i="2" s="1"/>
  <c r="I19" i="15"/>
  <c r="I21" i="15" s="1"/>
  <c r="J19" i="15"/>
  <c r="J21" i="15" s="1"/>
  <c r="L19" i="15"/>
  <c r="L21" i="15" s="1"/>
  <c r="O19" i="15"/>
  <c r="O21" i="15" s="1"/>
  <c r="L131" i="2"/>
  <c r="L133" i="2" s="1"/>
  <c r="J131" i="2"/>
  <c r="J133" i="2" s="1"/>
  <c r="J19" i="2"/>
  <c r="J21" i="2" s="1"/>
  <c r="L19" i="2"/>
  <c r="L21" i="2" s="1"/>
  <c r="I83" i="15"/>
  <c r="I85" i="15" s="1"/>
  <c r="J83" i="15"/>
  <c r="J85" i="15" s="1"/>
  <c r="L83" i="15"/>
  <c r="L85" i="15" s="1"/>
  <c r="M83" i="15"/>
  <c r="M85" i="15" s="1"/>
  <c r="K83" i="15"/>
  <c r="K85" i="15" s="1"/>
  <c r="H83" i="15"/>
  <c r="H85" i="15" s="1"/>
  <c r="G83" i="15"/>
  <c r="Q83" i="15"/>
  <c r="Q85" i="15" s="1"/>
  <c r="N83" i="15"/>
  <c r="N85" i="15" s="1"/>
  <c r="O83" i="15"/>
  <c r="O85" i="15" s="1"/>
  <c r="O51" i="14"/>
  <c r="O53" i="14" s="1"/>
  <c r="L51" i="14"/>
  <c r="L53" i="14" s="1"/>
  <c r="L99" i="14"/>
  <c r="L101" i="14" s="1"/>
  <c r="O99" i="14"/>
  <c r="O101" i="14" s="1"/>
  <c r="L67" i="2"/>
  <c r="L69" i="2" s="1"/>
  <c r="J67" i="2"/>
  <c r="J69" i="2" s="1"/>
  <c r="L115" i="2"/>
  <c r="L117" i="2" s="1"/>
  <c r="J115" i="2"/>
  <c r="J117" i="2" s="1"/>
  <c r="I35" i="15"/>
  <c r="I37" i="15" s="1"/>
  <c r="J35" i="15"/>
  <c r="J37" i="15" s="1"/>
  <c r="L35" i="15"/>
  <c r="L37" i="15" s="1"/>
  <c r="M35" i="15"/>
  <c r="M37" i="15" s="1"/>
  <c r="K35" i="15"/>
  <c r="K37" i="15" s="1"/>
  <c r="H35" i="15"/>
  <c r="H37" i="15" s="1"/>
  <c r="G35" i="15"/>
  <c r="Q35" i="15"/>
  <c r="Q37" i="15" s="1"/>
  <c r="O35" i="15"/>
  <c r="O37" i="15" s="1"/>
  <c r="N35" i="15"/>
  <c r="N37" i="15" s="1"/>
  <c r="I131" i="15"/>
  <c r="I133" i="15" s="1"/>
  <c r="J131" i="15"/>
  <c r="J133" i="15" s="1"/>
  <c r="L131" i="15"/>
  <c r="L133" i="15" s="1"/>
  <c r="M131" i="15"/>
  <c r="M133" i="15" s="1"/>
  <c r="K131" i="15"/>
  <c r="K133" i="15" s="1"/>
  <c r="H131" i="15"/>
  <c r="H133" i="15" s="1"/>
  <c r="G131" i="15"/>
  <c r="Q131" i="15"/>
  <c r="Q133" i="15" s="1"/>
  <c r="N131" i="15"/>
  <c r="N133" i="15" s="1"/>
  <c r="O131" i="15"/>
  <c r="O133" i="15" s="1"/>
  <c r="L35" i="14"/>
  <c r="L37" i="14" s="1"/>
  <c r="O35" i="14"/>
  <c r="O37" i="14" s="1"/>
  <c r="O83" i="14"/>
  <c r="O85" i="14" s="1"/>
  <c r="L83" i="14"/>
  <c r="L85" i="14" s="1"/>
  <c r="E172" i="32"/>
  <c r="E176" i="32"/>
  <c r="E167" i="32"/>
  <c r="E171" i="32"/>
  <c r="E191" i="32"/>
  <c r="E201" i="32"/>
  <c r="E202" i="32"/>
  <c r="E182" i="32"/>
  <c r="E161" i="32"/>
  <c r="E166" i="32"/>
  <c r="E196" i="32"/>
  <c r="E162" i="32"/>
  <c r="E177" i="32"/>
  <c r="E197" i="32"/>
  <c r="E181" i="32"/>
  <c r="E192" i="32"/>
  <c r="E187" i="32"/>
  <c r="E186" i="32"/>
  <c r="E51" i="32" l="1"/>
  <c r="J134" i="14"/>
  <c r="F134" i="14" s="1"/>
  <c r="Q116" i="15"/>
  <c r="L68" i="14"/>
  <c r="I68" i="15"/>
  <c r="J52" i="2"/>
  <c r="J84" i="2"/>
  <c r="H116" i="15"/>
  <c r="L36" i="2"/>
  <c r="N116" i="15"/>
  <c r="Q68" i="15"/>
  <c r="N68" i="15"/>
  <c r="L52" i="2"/>
  <c r="I52" i="32"/>
  <c r="E52" i="32" s="1"/>
  <c r="L132" i="2"/>
  <c r="J36" i="2"/>
  <c r="L20" i="14"/>
  <c r="L116" i="15"/>
  <c r="O132" i="14"/>
  <c r="M68" i="15"/>
  <c r="N84" i="15"/>
  <c r="L20" i="15"/>
  <c r="I20" i="15"/>
  <c r="O68" i="14"/>
  <c r="I84" i="15"/>
  <c r="O100" i="14"/>
  <c r="O20" i="15"/>
  <c r="L52" i="14"/>
  <c r="J20" i="15"/>
  <c r="O84" i="15"/>
  <c r="O52" i="14"/>
  <c r="L84" i="15"/>
  <c r="O116" i="15"/>
  <c r="H68" i="15"/>
  <c r="L100" i="14"/>
  <c r="K68" i="15"/>
  <c r="J116" i="15"/>
  <c r="I116" i="15"/>
  <c r="I36" i="15"/>
  <c r="I52" i="15"/>
  <c r="H84" i="15"/>
  <c r="K36" i="15"/>
  <c r="O20" i="14"/>
  <c r="L84" i="14"/>
  <c r="H36" i="15"/>
  <c r="M52" i="15"/>
  <c r="O36" i="14"/>
  <c r="J116" i="2"/>
  <c r="H100" i="15"/>
  <c r="J132" i="2"/>
  <c r="M116" i="15"/>
  <c r="M132" i="15"/>
  <c r="O100" i="15"/>
  <c r="K84" i="15"/>
  <c r="Q132" i="15"/>
  <c r="M84" i="15"/>
  <c r="J36" i="15"/>
  <c r="K116" i="15"/>
  <c r="Q84" i="15"/>
  <c r="L36" i="14"/>
  <c r="O132" i="15"/>
  <c r="N36" i="15"/>
  <c r="L36" i="15"/>
  <c r="Q100" i="15"/>
  <c r="J52" i="15"/>
  <c r="J100" i="15"/>
  <c r="J68" i="2"/>
  <c r="L68" i="2"/>
  <c r="O68" i="15"/>
  <c r="J84" i="15"/>
  <c r="J132" i="15"/>
  <c r="K100" i="15"/>
  <c r="L100" i="15"/>
  <c r="H52" i="15"/>
  <c r="Q52" i="15"/>
  <c r="J68" i="15"/>
  <c r="L84" i="2"/>
  <c r="O84" i="14"/>
  <c r="K132" i="15"/>
  <c r="L132" i="15"/>
  <c r="N100" i="15"/>
  <c r="I100" i="15"/>
  <c r="N52" i="15"/>
  <c r="L52" i="15"/>
  <c r="L116" i="2"/>
  <c r="H132" i="15"/>
  <c r="I132" i="15"/>
  <c r="M36" i="15"/>
  <c r="K52" i="15"/>
  <c r="O52" i="15"/>
  <c r="L20" i="2"/>
  <c r="L132" i="14"/>
  <c r="L68" i="15"/>
  <c r="J20" i="2"/>
  <c r="N132" i="15"/>
  <c r="Q36" i="15"/>
  <c r="L100" i="2"/>
  <c r="L116" i="14"/>
  <c r="O36" i="15"/>
  <c r="J100" i="2"/>
  <c r="M100" i="15"/>
  <c r="O116" i="14"/>
  <c r="E55" i="28"/>
  <c r="E10" i="28"/>
  <c r="G113" i="16"/>
  <c r="G65" i="16"/>
  <c r="I64" i="16"/>
  <c r="H48" i="16"/>
  <c r="H32" i="16"/>
  <c r="G16" i="16"/>
  <c r="M131" i="14"/>
  <c r="M133" i="14" s="1"/>
  <c r="J131" i="14"/>
  <c r="I131" i="14"/>
  <c r="H131" i="14"/>
  <c r="H133" i="14" s="1"/>
  <c r="G131" i="14"/>
  <c r="N115" i="14"/>
  <c r="N117" i="14" s="1"/>
  <c r="K115" i="14"/>
  <c r="K117" i="14" s="1"/>
  <c r="J115" i="14"/>
  <c r="I115" i="14"/>
  <c r="H115" i="14"/>
  <c r="H117" i="14" s="1"/>
  <c r="G115" i="14"/>
  <c r="Q99" i="14"/>
  <c r="Q101" i="14" s="1"/>
  <c r="M99" i="14"/>
  <c r="M101" i="14" s="1"/>
  <c r="K99" i="14"/>
  <c r="K101" i="14" s="1"/>
  <c r="J99" i="14"/>
  <c r="I99" i="14"/>
  <c r="H99" i="14"/>
  <c r="H101" i="14" s="1"/>
  <c r="G99" i="14"/>
  <c r="N83" i="14"/>
  <c r="N85" i="14" s="1"/>
  <c r="M83" i="14"/>
  <c r="M85" i="14" s="1"/>
  <c r="K83" i="14"/>
  <c r="K85" i="14" s="1"/>
  <c r="J83" i="14"/>
  <c r="I83" i="14"/>
  <c r="H83" i="14"/>
  <c r="H85" i="14" s="1"/>
  <c r="G83" i="14"/>
  <c r="N67" i="14"/>
  <c r="N69" i="14" s="1"/>
  <c r="K67" i="14"/>
  <c r="K69" i="14" s="1"/>
  <c r="J67" i="14"/>
  <c r="I67" i="14"/>
  <c r="G67" i="14"/>
  <c r="N51" i="14"/>
  <c r="N53" i="14" s="1"/>
  <c r="J51" i="14"/>
  <c r="I51" i="14"/>
  <c r="H51" i="14"/>
  <c r="H53" i="14" s="1"/>
  <c r="G51" i="14"/>
  <c r="N35" i="14"/>
  <c r="N37" i="14" s="1"/>
  <c r="M35" i="14"/>
  <c r="M37" i="14" s="1"/>
  <c r="K35" i="14"/>
  <c r="K37" i="14" s="1"/>
  <c r="J35" i="14"/>
  <c r="I35" i="14"/>
  <c r="H35" i="14"/>
  <c r="H37" i="14" s="1"/>
  <c r="G35" i="14"/>
  <c r="Q17" i="14"/>
  <c r="P17" i="14"/>
  <c r="N17" i="14"/>
  <c r="M17" i="14"/>
  <c r="K17" i="14"/>
  <c r="J17" i="14"/>
  <c r="I17" i="14"/>
  <c r="H17" i="14"/>
  <c r="G17" i="14"/>
  <c r="Q16" i="14"/>
  <c r="N19" i="14"/>
  <c r="N21" i="14" s="1"/>
  <c r="M16" i="14"/>
  <c r="K16" i="14"/>
  <c r="K19" i="14" s="1"/>
  <c r="K21" i="14" s="1"/>
  <c r="J16" i="14"/>
  <c r="J19" i="14" s="1"/>
  <c r="I16" i="14"/>
  <c r="H16" i="14"/>
  <c r="G16" i="14"/>
  <c r="Q17" i="15"/>
  <c r="P17" i="15"/>
  <c r="N17" i="15"/>
  <c r="M17" i="15"/>
  <c r="K17" i="15"/>
  <c r="H17" i="15"/>
  <c r="G17" i="15"/>
  <c r="Q16" i="15"/>
  <c r="N16" i="15"/>
  <c r="N19" i="15" s="1"/>
  <c r="N21" i="15" s="1"/>
  <c r="M16" i="15"/>
  <c r="K16" i="15"/>
  <c r="H16" i="15"/>
  <c r="G16" i="15"/>
  <c r="Q129" i="2"/>
  <c r="P129" i="2"/>
  <c r="O129" i="2"/>
  <c r="N129" i="2"/>
  <c r="M129" i="2"/>
  <c r="K129" i="2"/>
  <c r="H129" i="2"/>
  <c r="G129" i="2"/>
  <c r="Q128" i="2"/>
  <c r="Q131" i="2" s="1"/>
  <c r="Q133" i="2" s="1"/>
  <c r="O128" i="2"/>
  <c r="O131" i="2" s="1"/>
  <c r="O133" i="2" s="1"/>
  <c r="N128" i="2"/>
  <c r="M128" i="2"/>
  <c r="K128" i="2"/>
  <c r="K131" i="2" s="1"/>
  <c r="K133" i="2" s="1"/>
  <c r="H128" i="2"/>
  <c r="G128" i="2"/>
  <c r="G131" i="2" s="1"/>
  <c r="Q113" i="2"/>
  <c r="P113" i="2"/>
  <c r="O113" i="2"/>
  <c r="N113" i="2"/>
  <c r="M113" i="2"/>
  <c r="K113" i="2"/>
  <c r="H113" i="2"/>
  <c r="G113" i="2"/>
  <c r="Q112" i="2"/>
  <c r="Q115" i="2" s="1"/>
  <c r="Q117" i="2" s="1"/>
  <c r="O112" i="2"/>
  <c r="N112" i="2"/>
  <c r="N115" i="2" s="1"/>
  <c r="N117" i="2" s="1"/>
  <c r="M112" i="2"/>
  <c r="K112" i="2"/>
  <c r="H112" i="2"/>
  <c r="H115" i="2" s="1"/>
  <c r="H117" i="2" s="1"/>
  <c r="G112" i="2"/>
  <c r="Q97" i="2"/>
  <c r="P97" i="2"/>
  <c r="O97" i="2"/>
  <c r="N97" i="2"/>
  <c r="M97" i="2"/>
  <c r="K97" i="2"/>
  <c r="H97" i="2"/>
  <c r="G97" i="2"/>
  <c r="Q96" i="2"/>
  <c r="Q99" i="2" s="1"/>
  <c r="Q101" i="2" s="1"/>
  <c r="O96" i="2"/>
  <c r="N96" i="2"/>
  <c r="M96" i="2"/>
  <c r="M99" i="2" s="1"/>
  <c r="M101" i="2" s="1"/>
  <c r="K96" i="2"/>
  <c r="K99" i="2" s="1"/>
  <c r="K101" i="2" s="1"/>
  <c r="H96" i="2"/>
  <c r="G96" i="2"/>
  <c r="G99" i="2" s="1"/>
  <c r="Q81" i="2"/>
  <c r="P81" i="2"/>
  <c r="O81" i="2"/>
  <c r="N81" i="2"/>
  <c r="M81" i="2"/>
  <c r="K81" i="2"/>
  <c r="H81" i="2"/>
  <c r="G81" i="2"/>
  <c r="Q80" i="2"/>
  <c r="Q83" i="2" s="1"/>
  <c r="Q85" i="2" s="1"/>
  <c r="O80" i="2"/>
  <c r="O83" i="2" s="1"/>
  <c r="O85" i="2" s="1"/>
  <c r="N80" i="2"/>
  <c r="M80" i="2"/>
  <c r="K80" i="2"/>
  <c r="K83" i="2" s="1"/>
  <c r="K85" i="2" s="1"/>
  <c r="H80" i="2"/>
  <c r="H83" i="2" s="1"/>
  <c r="H85" i="2" s="1"/>
  <c r="G80" i="2"/>
  <c r="Q65" i="2"/>
  <c r="P65" i="2"/>
  <c r="O65" i="2"/>
  <c r="N65" i="2"/>
  <c r="M65" i="2"/>
  <c r="K65" i="2"/>
  <c r="H65" i="2"/>
  <c r="G65" i="2"/>
  <c r="Q64" i="2"/>
  <c r="Q67" i="2" s="1"/>
  <c r="Q69" i="2" s="1"/>
  <c r="O64" i="2"/>
  <c r="N64" i="2"/>
  <c r="N67" i="2" s="1"/>
  <c r="N69" i="2" s="1"/>
  <c r="M64" i="2"/>
  <c r="K64" i="2"/>
  <c r="H64" i="2"/>
  <c r="G64" i="2"/>
  <c r="G67" i="2" s="1"/>
  <c r="Q49" i="2"/>
  <c r="P49" i="2"/>
  <c r="O49" i="2"/>
  <c r="N49" i="2"/>
  <c r="M49" i="2"/>
  <c r="K49" i="2"/>
  <c r="H49" i="2"/>
  <c r="G49" i="2"/>
  <c r="Q48" i="2"/>
  <c r="Q51" i="2" s="1"/>
  <c r="Q53" i="2" s="1"/>
  <c r="O48" i="2"/>
  <c r="O51" i="2" s="1"/>
  <c r="O53" i="2" s="1"/>
  <c r="N48" i="2"/>
  <c r="M48" i="2"/>
  <c r="M51" i="2" s="1"/>
  <c r="M53" i="2" s="1"/>
  <c r="K48" i="2"/>
  <c r="H48" i="2"/>
  <c r="G48" i="2"/>
  <c r="Q33" i="2"/>
  <c r="P33" i="2"/>
  <c r="O33" i="2"/>
  <c r="N33" i="2"/>
  <c r="M33" i="2"/>
  <c r="K33" i="2"/>
  <c r="H33" i="2"/>
  <c r="G33" i="2"/>
  <c r="Q32" i="2"/>
  <c r="Q35" i="2" s="1"/>
  <c r="Q37" i="2" s="1"/>
  <c r="O32" i="2"/>
  <c r="N32" i="2"/>
  <c r="N35" i="2" s="1"/>
  <c r="N37" i="2" s="1"/>
  <c r="M32" i="2"/>
  <c r="K32" i="2"/>
  <c r="K35" i="2" s="1"/>
  <c r="K37" i="2" s="1"/>
  <c r="H32" i="2"/>
  <c r="G32" i="2"/>
  <c r="Q17" i="2"/>
  <c r="P17" i="2"/>
  <c r="O17" i="2"/>
  <c r="N17" i="2"/>
  <c r="M17" i="2"/>
  <c r="K17" i="2"/>
  <c r="H17" i="2"/>
  <c r="G17" i="2"/>
  <c r="Q16" i="2"/>
  <c r="Q19" i="2" s="1"/>
  <c r="Q21" i="2" s="1"/>
  <c r="O16" i="2"/>
  <c r="O19" i="2" s="1"/>
  <c r="O21" i="2" s="1"/>
  <c r="N16" i="2"/>
  <c r="M16" i="2"/>
  <c r="M19" i="2" s="1"/>
  <c r="M21" i="2" s="1"/>
  <c r="K16" i="2"/>
  <c r="H16" i="2"/>
  <c r="H19" i="2" s="1"/>
  <c r="H21" i="2" s="1"/>
  <c r="G16" i="2"/>
  <c r="L88" i="28"/>
  <c r="K88" i="28"/>
  <c r="J88" i="28"/>
  <c r="I88" i="28"/>
  <c r="H88" i="28"/>
  <c r="G88" i="28"/>
  <c r="F88" i="28"/>
  <c r="P77" i="28"/>
  <c r="O77" i="28"/>
  <c r="M77" i="28"/>
  <c r="L77" i="28"/>
  <c r="J77" i="28"/>
  <c r="I77" i="28"/>
  <c r="H77" i="28"/>
  <c r="G77" i="28"/>
  <c r="F77" i="28"/>
  <c r="P75" i="28"/>
  <c r="O75" i="28"/>
  <c r="M75" i="28"/>
  <c r="L75" i="28"/>
  <c r="J75" i="28"/>
  <c r="G75" i="28"/>
  <c r="F75" i="28"/>
  <c r="O74" i="28"/>
  <c r="P144" i="2" s="1"/>
  <c r="M74" i="28"/>
  <c r="L74" i="28"/>
  <c r="J74" i="28"/>
  <c r="I112" i="2"/>
  <c r="G74" i="28"/>
  <c r="F74" i="28"/>
  <c r="E71" i="28"/>
  <c r="E70" i="28"/>
  <c r="E69" i="28"/>
  <c r="E68" i="28"/>
  <c r="E65" i="28"/>
  <c r="E64" i="28"/>
  <c r="E63" i="28"/>
  <c r="E62" i="28"/>
  <c r="E59" i="28"/>
  <c r="E58" i="28"/>
  <c r="E57" i="28"/>
  <c r="E56" i="28"/>
  <c r="L36" i="28"/>
  <c r="K36" i="28"/>
  <c r="J36" i="28"/>
  <c r="I36" i="28"/>
  <c r="H36" i="28"/>
  <c r="G36" i="28"/>
  <c r="F36" i="28"/>
  <c r="P26" i="28"/>
  <c r="M26" i="28"/>
  <c r="L26" i="28"/>
  <c r="J26" i="28"/>
  <c r="I26" i="28"/>
  <c r="H26" i="28"/>
  <c r="G26" i="28"/>
  <c r="F26" i="28"/>
  <c r="E26" i="28"/>
  <c r="E25" i="28"/>
  <c r="P24" i="28"/>
  <c r="M24" i="28"/>
  <c r="L24" i="28"/>
  <c r="J24" i="28"/>
  <c r="G24" i="28"/>
  <c r="F24" i="28"/>
  <c r="E24" i="28"/>
  <c r="N23" i="28"/>
  <c r="M23" i="28"/>
  <c r="L23" i="28"/>
  <c r="J23" i="28"/>
  <c r="I97" i="2"/>
  <c r="G23" i="28"/>
  <c r="F23" i="28"/>
  <c r="E20" i="28"/>
  <c r="E19" i="28"/>
  <c r="E18" i="28"/>
  <c r="E17" i="28"/>
  <c r="E14" i="28"/>
  <c r="E13" i="28"/>
  <c r="E12" i="28"/>
  <c r="E11" i="28"/>
  <c r="P112" i="15" l="1"/>
  <c r="P48" i="15"/>
  <c r="P128" i="15"/>
  <c r="P64" i="15"/>
  <c r="P144" i="15"/>
  <c r="P80" i="15"/>
  <c r="P96" i="15"/>
  <c r="P32" i="15"/>
  <c r="P147" i="2"/>
  <c r="F147" i="2" s="1"/>
  <c r="F144" i="2"/>
  <c r="P64" i="14"/>
  <c r="F64" i="14" s="1"/>
  <c r="P112" i="14"/>
  <c r="P48" i="14"/>
  <c r="P96" i="14"/>
  <c r="F96" i="14" s="1"/>
  <c r="P32" i="14"/>
  <c r="P128" i="14"/>
  <c r="F128" i="14" s="1"/>
  <c r="P144" i="14"/>
  <c r="P80" i="14"/>
  <c r="Q51" i="14"/>
  <c r="Q53" i="14" s="1"/>
  <c r="Q83" i="14"/>
  <c r="Q85" i="14" s="1"/>
  <c r="Q115" i="14"/>
  <c r="Q117" i="14" s="1"/>
  <c r="H19" i="15"/>
  <c r="H21" i="15" s="1"/>
  <c r="G19" i="15"/>
  <c r="K19" i="15"/>
  <c r="K21" i="15" s="1"/>
  <c r="N20" i="15"/>
  <c r="M19" i="15"/>
  <c r="M21" i="15" s="1"/>
  <c r="Q19" i="15"/>
  <c r="Q21" i="15" s="1"/>
  <c r="G35" i="2"/>
  <c r="H51" i="2"/>
  <c r="H53" i="2" s="1"/>
  <c r="K67" i="2"/>
  <c r="K69" i="2" s="1"/>
  <c r="M115" i="2"/>
  <c r="M117" i="2" s="1"/>
  <c r="N131" i="2"/>
  <c r="N133" i="2" s="1"/>
  <c r="G19" i="2"/>
  <c r="H35" i="2"/>
  <c r="H37" i="2" s="1"/>
  <c r="K51" i="2"/>
  <c r="K53" i="2" s="1"/>
  <c r="M67" i="2"/>
  <c r="M69" i="2" s="1"/>
  <c r="N83" i="2"/>
  <c r="N85" i="2" s="1"/>
  <c r="O99" i="2"/>
  <c r="O101" i="2" s="1"/>
  <c r="Q68" i="2"/>
  <c r="K19" i="2"/>
  <c r="K21" i="2" s="1"/>
  <c r="M35" i="2"/>
  <c r="M37" i="2" s="1"/>
  <c r="N51" i="2"/>
  <c r="N53" i="2" s="1"/>
  <c r="O67" i="2"/>
  <c r="O69" i="2" s="1"/>
  <c r="G115" i="2"/>
  <c r="H131" i="2"/>
  <c r="H133" i="2" s="1"/>
  <c r="K100" i="2"/>
  <c r="N19" i="2"/>
  <c r="N21" i="2" s="1"/>
  <c r="O35" i="2"/>
  <c r="O37" i="2" s="1"/>
  <c r="G83" i="2"/>
  <c r="H99" i="2"/>
  <c r="H101" i="2" s="1"/>
  <c r="K115" i="2"/>
  <c r="K117" i="2" s="1"/>
  <c r="M131" i="2"/>
  <c r="M133" i="2" s="1"/>
  <c r="O20" i="2"/>
  <c r="G51" i="2"/>
  <c r="H67" i="2"/>
  <c r="H69" i="2" s="1"/>
  <c r="M83" i="2"/>
  <c r="M85" i="2" s="1"/>
  <c r="N99" i="2"/>
  <c r="N101" i="2" s="1"/>
  <c r="O115" i="2"/>
  <c r="O117" i="2" s="1"/>
  <c r="Q100" i="2"/>
  <c r="M100" i="2"/>
  <c r="Q52" i="2"/>
  <c r="Q36" i="2"/>
  <c r="H84" i="2"/>
  <c r="Q20" i="2"/>
  <c r="K84" i="2"/>
  <c r="K36" i="2"/>
  <c r="N68" i="2"/>
  <c r="O132" i="2"/>
  <c r="O52" i="2"/>
  <c r="H116" i="2"/>
  <c r="O68" i="2"/>
  <c r="Q84" i="2"/>
  <c r="N36" i="2"/>
  <c r="O84" i="2"/>
  <c r="N116" i="2"/>
  <c r="H20" i="2"/>
  <c r="Q116" i="2"/>
  <c r="Q132" i="2"/>
  <c r="K132" i="2"/>
  <c r="M20" i="2"/>
  <c r="M52" i="2"/>
  <c r="K48" i="16"/>
  <c r="K96" i="16"/>
  <c r="K128" i="16"/>
  <c r="K16" i="16"/>
  <c r="K32" i="16"/>
  <c r="K80" i="16"/>
  <c r="K64" i="16"/>
  <c r="K112" i="16"/>
  <c r="K33" i="16"/>
  <c r="K81" i="16"/>
  <c r="K65" i="16"/>
  <c r="K17" i="16"/>
  <c r="K129" i="16"/>
  <c r="K113" i="16"/>
  <c r="K49" i="16"/>
  <c r="K97" i="16"/>
  <c r="J80" i="16"/>
  <c r="H16" i="16"/>
  <c r="I32" i="16"/>
  <c r="I48" i="16"/>
  <c r="J64" i="16"/>
  <c r="L112" i="16"/>
  <c r="L128" i="16"/>
  <c r="I16" i="16"/>
  <c r="J32" i="16"/>
  <c r="J48" i="16"/>
  <c r="L80" i="16"/>
  <c r="L96" i="16"/>
  <c r="J16" i="16"/>
  <c r="L64" i="16"/>
  <c r="F112" i="16"/>
  <c r="F128" i="16"/>
  <c r="L32" i="16"/>
  <c r="L48" i="16"/>
  <c r="F80" i="16"/>
  <c r="F96" i="16"/>
  <c r="G112" i="16"/>
  <c r="G128" i="16"/>
  <c r="L16" i="16"/>
  <c r="F64" i="16"/>
  <c r="G80" i="16"/>
  <c r="G96" i="16"/>
  <c r="H112" i="16"/>
  <c r="H128" i="16"/>
  <c r="J96" i="16"/>
  <c r="F32" i="16"/>
  <c r="F48" i="16"/>
  <c r="G64" i="16"/>
  <c r="H80" i="16"/>
  <c r="H96" i="16"/>
  <c r="I112" i="16"/>
  <c r="I128" i="16"/>
  <c r="F16" i="16"/>
  <c r="G32" i="16"/>
  <c r="G48" i="16"/>
  <c r="H64" i="16"/>
  <c r="I80" i="16"/>
  <c r="I96" i="16"/>
  <c r="J112" i="16"/>
  <c r="J128" i="16"/>
  <c r="I17" i="16"/>
  <c r="J17" i="16"/>
  <c r="L33" i="16"/>
  <c r="F49" i="16"/>
  <c r="H65" i="16"/>
  <c r="L81" i="16"/>
  <c r="F97" i="16"/>
  <c r="H113" i="16"/>
  <c r="J129" i="16"/>
  <c r="L17" i="16"/>
  <c r="F33" i="16"/>
  <c r="H49" i="16"/>
  <c r="J65" i="16"/>
  <c r="F81" i="16"/>
  <c r="H97" i="16"/>
  <c r="J113" i="16"/>
  <c r="L129" i="16"/>
  <c r="G49" i="16"/>
  <c r="I65" i="16"/>
  <c r="G97" i="16"/>
  <c r="I113" i="16"/>
  <c r="G33" i="16"/>
  <c r="I49" i="16"/>
  <c r="G81" i="16"/>
  <c r="I97" i="16"/>
  <c r="F17" i="16"/>
  <c r="H33" i="16"/>
  <c r="J49" i="16"/>
  <c r="L65" i="16"/>
  <c r="H81" i="16"/>
  <c r="J97" i="16"/>
  <c r="L113" i="16"/>
  <c r="F129" i="16"/>
  <c r="I129" i="16"/>
  <c r="G17" i="16"/>
  <c r="I33" i="16"/>
  <c r="I81" i="16"/>
  <c r="G129" i="16"/>
  <c r="H17" i="16"/>
  <c r="J33" i="16"/>
  <c r="L49" i="16"/>
  <c r="F65" i="16"/>
  <c r="J81" i="16"/>
  <c r="L97" i="16"/>
  <c r="F113" i="16"/>
  <c r="H129" i="16"/>
  <c r="K116" i="14"/>
  <c r="N116" i="14"/>
  <c r="N84" i="14"/>
  <c r="P131" i="14"/>
  <c r="P133" i="14" s="1"/>
  <c r="H67" i="14"/>
  <c r="H69" i="14" s="1"/>
  <c r="M115" i="14"/>
  <c r="M117" i="14" s="1"/>
  <c r="M19" i="14"/>
  <c r="M21" i="14" s="1"/>
  <c r="Q52" i="14"/>
  <c r="K51" i="14"/>
  <c r="K53" i="14" s="1"/>
  <c r="N131" i="14"/>
  <c r="N133" i="14" s="1"/>
  <c r="H132" i="14"/>
  <c r="H116" i="14"/>
  <c r="K68" i="14"/>
  <c r="M132" i="14"/>
  <c r="Q19" i="14"/>
  <c r="Q21" i="14" s="1"/>
  <c r="M51" i="14"/>
  <c r="M53" i="14" s="1"/>
  <c r="Q131" i="14"/>
  <c r="Q133" i="14" s="1"/>
  <c r="N36" i="14"/>
  <c r="H36" i="14"/>
  <c r="N68" i="14"/>
  <c r="Q100" i="14"/>
  <c r="N99" i="14"/>
  <c r="N101" i="14" s="1"/>
  <c r="K131" i="14"/>
  <c r="K133" i="14" s="1"/>
  <c r="G19" i="14"/>
  <c r="Q35" i="14"/>
  <c r="Q37" i="14" s="1"/>
  <c r="M67" i="14"/>
  <c r="M69" i="14" s="1"/>
  <c r="Q116" i="14"/>
  <c r="H84" i="14"/>
  <c r="K84" i="14"/>
  <c r="K36" i="14"/>
  <c r="N20" i="14"/>
  <c r="H19" i="14"/>
  <c r="H21" i="14" s="1"/>
  <c r="H52" i="14"/>
  <c r="N52" i="14"/>
  <c r="K100" i="14"/>
  <c r="K20" i="14"/>
  <c r="I19" i="14"/>
  <c r="Q67" i="14"/>
  <c r="H100" i="14"/>
  <c r="M36" i="14"/>
  <c r="M100" i="14"/>
  <c r="M84" i="14"/>
  <c r="I16" i="2"/>
  <c r="I48" i="2"/>
  <c r="I64" i="2"/>
  <c r="I80" i="2"/>
  <c r="I128" i="2"/>
  <c r="I96" i="2"/>
  <c r="I32" i="2"/>
  <c r="I65" i="2"/>
  <c r="I81" i="2"/>
  <c r="I113" i="2"/>
  <c r="I17" i="2"/>
  <c r="I129" i="2"/>
  <c r="I33" i="2"/>
  <c r="E23" i="28"/>
  <c r="I49" i="2"/>
  <c r="E75" i="28"/>
  <c r="P64" i="2"/>
  <c r="E77" i="28"/>
  <c r="E74" i="28"/>
  <c r="P96" i="2"/>
  <c r="P48" i="2"/>
  <c r="P112" i="2"/>
  <c r="P16" i="2"/>
  <c r="P128" i="2"/>
  <c r="P16" i="15"/>
  <c r="P32" i="2"/>
  <c r="P80" i="2"/>
  <c r="P16" i="14"/>
  <c r="P149" i="2" l="1"/>
  <c r="P148" i="2"/>
  <c r="M132" i="2"/>
  <c r="M68" i="2"/>
  <c r="P99" i="15"/>
  <c r="P101" i="15" s="1"/>
  <c r="P100" i="15"/>
  <c r="P83" i="15"/>
  <c r="P85" i="15" s="1"/>
  <c r="P84" i="15"/>
  <c r="F144" i="15"/>
  <c r="P147" i="15"/>
  <c r="P148" i="15" s="1"/>
  <c r="P35" i="15"/>
  <c r="P37" i="15" s="1"/>
  <c r="P67" i="15"/>
  <c r="P69" i="15" s="1"/>
  <c r="P131" i="15"/>
  <c r="P133" i="15" s="1"/>
  <c r="F144" i="14"/>
  <c r="P147" i="14"/>
  <c r="P148" i="14" s="1"/>
  <c r="P51" i="15"/>
  <c r="P53" i="15" s="1"/>
  <c r="P115" i="15"/>
  <c r="P117" i="15" s="1"/>
  <c r="P116" i="15"/>
  <c r="H52" i="2"/>
  <c r="N132" i="2"/>
  <c r="N84" i="2"/>
  <c r="H100" i="2"/>
  <c r="M36" i="2"/>
  <c r="K68" i="2"/>
  <c r="O100" i="2"/>
  <c r="O36" i="2"/>
  <c r="K20" i="2"/>
  <c r="H36" i="2"/>
  <c r="M116" i="2"/>
  <c r="M84" i="2"/>
  <c r="N20" i="2"/>
  <c r="O116" i="2"/>
  <c r="H20" i="15"/>
  <c r="F99" i="16"/>
  <c r="F100" i="16" s="1"/>
  <c r="F101" i="16" s="1"/>
  <c r="F19" i="16"/>
  <c r="Q84" i="14"/>
  <c r="K20" i="15"/>
  <c r="M20" i="15"/>
  <c r="Q20" i="15"/>
  <c r="K52" i="2"/>
  <c r="N52" i="2"/>
  <c r="H132" i="2"/>
  <c r="K116" i="2"/>
  <c r="H68" i="2"/>
  <c r="I99" i="2"/>
  <c r="I101" i="2" s="1"/>
  <c r="I115" i="2"/>
  <c r="I117" i="2" s="1"/>
  <c r="I131" i="2"/>
  <c r="I133" i="2" s="1"/>
  <c r="I83" i="2"/>
  <c r="I85" i="2" s="1"/>
  <c r="I67" i="2"/>
  <c r="I69" i="2" s="1"/>
  <c r="I51" i="2"/>
  <c r="I53" i="2" s="1"/>
  <c r="I35" i="2"/>
  <c r="I37" i="2" s="1"/>
  <c r="I19" i="2"/>
  <c r="I21" i="2" s="1"/>
  <c r="N100" i="2"/>
  <c r="K115" i="16"/>
  <c r="K116" i="16" s="1"/>
  <c r="K117" i="16" s="1"/>
  <c r="K131" i="16"/>
  <c r="K132" i="16" s="1"/>
  <c r="K19" i="16"/>
  <c r="K20" i="16" s="1"/>
  <c r="K21" i="16" s="1"/>
  <c r="K67" i="16"/>
  <c r="K68" i="16" s="1"/>
  <c r="K69" i="16" s="1"/>
  <c r="K83" i="16"/>
  <c r="K84" i="16" s="1"/>
  <c r="K99" i="16"/>
  <c r="K100" i="16" s="1"/>
  <c r="K101" i="16" s="1"/>
  <c r="K35" i="16"/>
  <c r="K36" i="16" s="1"/>
  <c r="K37" i="16" s="1"/>
  <c r="K51" i="16"/>
  <c r="K52" i="16" s="1"/>
  <c r="K53" i="16" s="1"/>
  <c r="N132" i="14"/>
  <c r="M68" i="14"/>
  <c r="M116" i="14"/>
  <c r="Q132" i="14"/>
  <c r="M52" i="14"/>
  <c r="Q20" i="14"/>
  <c r="K52" i="14"/>
  <c r="H68" i="14"/>
  <c r="F20" i="16"/>
  <c r="H20" i="14"/>
  <c r="M20" i="14"/>
  <c r="K132" i="14"/>
  <c r="N100" i="14"/>
  <c r="Q36" i="14"/>
  <c r="Q69" i="14"/>
  <c r="Q68" i="14"/>
  <c r="P132" i="14"/>
  <c r="P67" i="14"/>
  <c r="P69" i="14" s="1"/>
  <c r="P99" i="14"/>
  <c r="P101" i="14" s="1"/>
  <c r="P115" i="2"/>
  <c r="P117" i="2" s="1"/>
  <c r="P35" i="14"/>
  <c r="P37" i="14" s="1"/>
  <c r="P67" i="2"/>
  <c r="P69" i="2" s="1"/>
  <c r="P115" i="14"/>
  <c r="P116" i="14" s="1"/>
  <c r="P19" i="15"/>
  <c r="P21" i="15" s="1"/>
  <c r="P83" i="14"/>
  <c r="P85" i="14" s="1"/>
  <c r="P51" i="14"/>
  <c r="P53" i="14" s="1"/>
  <c r="P19" i="14"/>
  <c r="P21" i="14" s="1"/>
  <c r="P19" i="2"/>
  <c r="P21" i="2" s="1"/>
  <c r="P99" i="2"/>
  <c r="P101" i="2" s="1"/>
  <c r="P131" i="2"/>
  <c r="P132" i="2" s="1"/>
  <c r="P51" i="2"/>
  <c r="P53" i="2" s="1"/>
  <c r="P83" i="2"/>
  <c r="P85" i="2" s="1"/>
  <c r="P35" i="2"/>
  <c r="P36" i="2" s="1"/>
  <c r="P68" i="15" l="1"/>
  <c r="P132" i="15"/>
  <c r="P52" i="15"/>
  <c r="P149" i="14"/>
  <c r="F147" i="14"/>
  <c r="P36" i="15"/>
  <c r="I84" i="2"/>
  <c r="K133" i="16"/>
  <c r="P149" i="15"/>
  <c r="F147" i="15"/>
  <c r="I68" i="2"/>
  <c r="I52" i="2"/>
  <c r="I20" i="2"/>
  <c r="I36" i="2"/>
  <c r="I132" i="2"/>
  <c r="I100" i="2"/>
  <c r="I116" i="2"/>
  <c r="K85" i="16"/>
  <c r="F21" i="16"/>
  <c r="P100" i="2"/>
  <c r="P84" i="14"/>
  <c r="P100" i="14"/>
  <c r="P37" i="2"/>
  <c r="P52" i="14"/>
  <c r="P52" i="2"/>
  <c r="P36" i="14"/>
  <c r="P20" i="2"/>
  <c r="P116" i="2"/>
  <c r="P117" i="14"/>
  <c r="P84" i="2"/>
  <c r="P133" i="2"/>
  <c r="P68" i="2"/>
  <c r="P20" i="14"/>
  <c r="P20" i="15"/>
  <c r="P68" i="14"/>
  <c r="G30" i="25"/>
  <c r="G33" i="25" s="1"/>
  <c r="E30" i="25"/>
  <c r="O30" i="25"/>
  <c r="O29" i="25"/>
  <c r="Q30" i="25"/>
  <c r="Q33" i="25" s="1"/>
  <c r="M29" i="25"/>
  <c r="M30" i="25"/>
  <c r="I29" i="25"/>
  <c r="I30" i="25"/>
  <c r="K30" i="25"/>
  <c r="K29" i="25"/>
  <c r="F15" i="2"/>
  <c r="F9" i="2"/>
  <c r="H17" i="23" l="1"/>
  <c r="I17" i="23"/>
  <c r="B17" i="23"/>
  <c r="G17" i="23"/>
  <c r="D17" i="23"/>
  <c r="E17" i="23"/>
  <c r="F17" i="23"/>
  <c r="C17" i="23"/>
  <c r="G68" i="4" l="1"/>
  <c r="G83" i="4" l="1"/>
  <c r="I23" i="23" l="1"/>
  <c r="I25" i="23" s="1"/>
  <c r="N58" i="25"/>
  <c r="N67" i="25" s="1"/>
  <c r="N72" i="25" s="1"/>
  <c r="L58" i="25"/>
  <c r="L67" i="25" s="1"/>
  <c r="L72" i="25" s="1"/>
  <c r="B57" i="25"/>
  <c r="J58" i="25"/>
  <c r="J67" i="25" s="1"/>
  <c r="J72" i="25" s="1"/>
  <c r="P58" i="25"/>
  <c r="H57" i="25"/>
  <c r="F57" i="25"/>
  <c r="D57" i="25"/>
  <c r="S44" i="13" l="1"/>
  <c r="Q14" i="33"/>
  <c r="Q35" i="25"/>
  <c r="U44" i="13" s="1"/>
  <c r="Q48" i="25"/>
  <c r="Q157" i="25" s="1"/>
  <c r="V45" i="13" s="1"/>
  <c r="B23" i="23"/>
  <c r="R43" i="13"/>
  <c r="R42" i="13"/>
  <c r="R45" i="13"/>
  <c r="L43" i="13"/>
  <c r="P45" i="13"/>
  <c r="L42" i="13"/>
  <c r="P43" i="13"/>
  <c r="O42" i="13"/>
  <c r="P42" i="13"/>
  <c r="I42" i="13"/>
  <c r="I45" i="13"/>
  <c r="O43" i="13"/>
  <c r="Q43" i="13"/>
  <c r="N45" i="13"/>
  <c r="I43" i="13"/>
  <c r="Q45" i="13"/>
  <c r="N43" i="13"/>
  <c r="N42" i="13"/>
  <c r="Q42" i="13"/>
  <c r="L45" i="13"/>
  <c r="O45" i="13"/>
  <c r="H23" i="23"/>
  <c r="H25" i="23" s="1"/>
  <c r="D23" i="23"/>
  <c r="D25" i="23" s="1"/>
  <c r="F23" i="23"/>
  <c r="F25" i="23" s="1"/>
  <c r="C23" i="23"/>
  <c r="C25" i="23" s="1"/>
  <c r="E23" i="23"/>
  <c r="E25" i="23" s="1"/>
  <c r="G23" i="23"/>
  <c r="G25" i="23" s="1"/>
  <c r="K33" i="25"/>
  <c r="D66" i="25"/>
  <c r="D71" i="25" s="1"/>
  <c r="D98" i="25" s="1"/>
  <c r="F66" i="25"/>
  <c r="F71" i="25" s="1"/>
  <c r="F88" i="25" s="1"/>
  <c r="E33" i="25"/>
  <c r="I33" i="25"/>
  <c r="O33" i="25"/>
  <c r="M33" i="25"/>
  <c r="P59" i="25"/>
  <c r="P68" i="25" s="1"/>
  <c r="P73" i="25" s="1"/>
  <c r="H58" i="25"/>
  <c r="B58" i="25"/>
  <c r="D58" i="25"/>
  <c r="H59" i="25"/>
  <c r="H68" i="25" s="1"/>
  <c r="H73" i="25" s="1"/>
  <c r="H81" i="25" s="1"/>
  <c r="J59" i="25"/>
  <c r="J68" i="25" s="1"/>
  <c r="J73" i="25" s="1"/>
  <c r="J100" i="25" s="1"/>
  <c r="N59" i="25"/>
  <c r="B59" i="25"/>
  <c r="B68" i="25" s="1"/>
  <c r="B73" i="25" s="1"/>
  <c r="B90" i="25" s="1"/>
  <c r="N57" i="25"/>
  <c r="F58" i="25"/>
  <c r="J57" i="25"/>
  <c r="F59" i="25"/>
  <c r="F68" i="25" s="1"/>
  <c r="F73" i="25" s="1"/>
  <c r="D59" i="25"/>
  <c r="P57" i="25"/>
  <c r="L57" i="25"/>
  <c r="P67" i="25"/>
  <c r="P72" i="25" s="1"/>
  <c r="N80" i="25"/>
  <c r="N89" i="25"/>
  <c r="N99" i="25"/>
  <c r="J80" i="25"/>
  <c r="J99" i="25"/>
  <c r="J89" i="25"/>
  <c r="H66" i="25"/>
  <c r="H71" i="25" s="1"/>
  <c r="B66" i="25"/>
  <c r="B71" i="25" s="1"/>
  <c r="S9" i="13" l="1"/>
  <c r="B25" i="23"/>
  <c r="I48" i="25"/>
  <c r="I157" i="25" s="1"/>
  <c r="V25" i="13" s="1"/>
  <c r="S24" i="13"/>
  <c r="P23" i="13"/>
  <c r="I23" i="13"/>
  <c r="O23" i="13"/>
  <c r="N23" i="13"/>
  <c r="P25" i="13"/>
  <c r="L23" i="13"/>
  <c r="R23" i="13"/>
  <c r="L25" i="13"/>
  <c r="O25" i="13"/>
  <c r="R22" i="13"/>
  <c r="P22" i="13"/>
  <c r="O22" i="13"/>
  <c r="N22" i="13"/>
  <c r="I25" i="13"/>
  <c r="R25" i="13"/>
  <c r="Q23" i="13"/>
  <c r="N25" i="13"/>
  <c r="L22" i="13"/>
  <c r="I22" i="13"/>
  <c r="Q25" i="13"/>
  <c r="Q22" i="13"/>
  <c r="K48" i="25"/>
  <c r="K157" i="25" s="1"/>
  <c r="V30" i="13" s="1"/>
  <c r="S29" i="13"/>
  <c r="M48" i="25"/>
  <c r="M157" i="25" s="1"/>
  <c r="V35" i="13" s="1"/>
  <c r="S34" i="13"/>
  <c r="O48" i="25"/>
  <c r="O157" i="25" s="1"/>
  <c r="V40" i="13" s="1"/>
  <c r="S39" i="13"/>
  <c r="E48" i="25"/>
  <c r="E157" i="25" s="1"/>
  <c r="V15" i="13" s="1"/>
  <c r="S14" i="13"/>
  <c r="G48" i="25"/>
  <c r="G157" i="25" s="1"/>
  <c r="V20" i="13" s="1"/>
  <c r="S19" i="13"/>
  <c r="E35" i="25"/>
  <c r="I35" i="25"/>
  <c r="U24" i="13" s="1"/>
  <c r="M35" i="25"/>
  <c r="U34" i="13" s="1"/>
  <c r="K35" i="25"/>
  <c r="U29" i="13" s="1"/>
  <c r="T29" i="13" s="1"/>
  <c r="C48" i="25"/>
  <c r="C157" i="25" s="1"/>
  <c r="V10" i="13" s="1"/>
  <c r="C35" i="25"/>
  <c r="U9" i="13" s="1"/>
  <c r="T9" i="13" s="1"/>
  <c r="O35" i="25"/>
  <c r="U39" i="13" s="1"/>
  <c r="T39" i="13" s="1"/>
  <c r="O7" i="13"/>
  <c r="N10" i="13"/>
  <c r="L7" i="13"/>
  <c r="L7" i="33"/>
  <c r="O8" i="13"/>
  <c r="P10" i="13"/>
  <c r="R10" i="13"/>
  <c r="Q8" i="13"/>
  <c r="I8" i="13"/>
  <c r="L8" i="13"/>
  <c r="R8" i="13"/>
  <c r="Q7" i="13"/>
  <c r="Q10" i="13"/>
  <c r="P7" i="13"/>
  <c r="L10" i="13"/>
  <c r="N7" i="13"/>
  <c r="R7" i="13"/>
  <c r="O10" i="13"/>
  <c r="I10" i="13"/>
  <c r="S11" i="13"/>
  <c r="I7" i="13"/>
  <c r="N8" i="13"/>
  <c r="P8" i="13"/>
  <c r="S46" i="13"/>
  <c r="I34" i="25"/>
  <c r="R38" i="13"/>
  <c r="R37" i="13"/>
  <c r="R40" i="13"/>
  <c r="R13" i="13"/>
  <c r="R12" i="13"/>
  <c r="R15" i="13"/>
  <c r="R33" i="13"/>
  <c r="R32" i="13"/>
  <c r="R35" i="13"/>
  <c r="R28" i="13"/>
  <c r="R27" i="13"/>
  <c r="R30" i="13"/>
  <c r="R17" i="13"/>
  <c r="R18" i="13"/>
  <c r="R20" i="13"/>
  <c r="G34" i="25"/>
  <c r="G35" i="25" s="1"/>
  <c r="U19" i="13" s="1"/>
  <c r="T19" i="13" s="1"/>
  <c r="W46" i="13"/>
  <c r="E34" i="25"/>
  <c r="T34" i="13"/>
  <c r="M34" i="25"/>
  <c r="T44" i="13"/>
  <c r="G44" i="13" s="1"/>
  <c r="Q34" i="25"/>
  <c r="O34" i="25"/>
  <c r="K34" i="25"/>
  <c r="R46" i="13"/>
  <c r="T24" i="13"/>
  <c r="N35" i="13"/>
  <c r="I33" i="13"/>
  <c r="N33" i="13"/>
  <c r="I32" i="13"/>
  <c r="Q35" i="13"/>
  <c r="N32" i="13"/>
  <c r="O35" i="13"/>
  <c r="Q33" i="13"/>
  <c r="L35" i="13"/>
  <c r="Q32" i="13"/>
  <c r="L32" i="13"/>
  <c r="P35" i="13"/>
  <c r="L33" i="13"/>
  <c r="O32" i="13"/>
  <c r="L12" i="33"/>
  <c r="O33" i="13"/>
  <c r="P33" i="13"/>
  <c r="I35" i="13"/>
  <c r="P32" i="13"/>
  <c r="L38" i="13"/>
  <c r="P40" i="13"/>
  <c r="L37" i="13"/>
  <c r="P38" i="13"/>
  <c r="O40" i="13"/>
  <c r="P37" i="13"/>
  <c r="Q38" i="13"/>
  <c r="I40" i="13"/>
  <c r="O37" i="13"/>
  <c r="N38" i="13"/>
  <c r="N40" i="13"/>
  <c r="I38" i="13"/>
  <c r="Q40" i="13"/>
  <c r="N37" i="13"/>
  <c r="Q37" i="13"/>
  <c r="I37" i="13"/>
  <c r="L40" i="13"/>
  <c r="O38" i="13"/>
  <c r="X46" i="13"/>
  <c r="Q46" i="13"/>
  <c r="N13" i="13"/>
  <c r="I12" i="13"/>
  <c r="Q15" i="13"/>
  <c r="N12" i="13"/>
  <c r="Q13" i="13"/>
  <c r="L15" i="13"/>
  <c r="Q12" i="13"/>
  <c r="P13" i="13"/>
  <c r="L13" i="13"/>
  <c r="O15" i="13"/>
  <c r="L12" i="13"/>
  <c r="O12" i="13"/>
  <c r="P15" i="13"/>
  <c r="O13" i="13"/>
  <c r="I15" i="13"/>
  <c r="P12" i="13"/>
  <c r="N15" i="13"/>
  <c r="I13" i="13"/>
  <c r="I30" i="13"/>
  <c r="O27" i="13"/>
  <c r="N30" i="13"/>
  <c r="I28" i="13"/>
  <c r="O30" i="13"/>
  <c r="N28" i="13"/>
  <c r="I27" i="13"/>
  <c r="Q30" i="13"/>
  <c r="N27" i="13"/>
  <c r="Q28" i="13"/>
  <c r="L30" i="13"/>
  <c r="O28" i="13"/>
  <c r="Q27" i="13"/>
  <c r="P30" i="13"/>
  <c r="L28" i="13"/>
  <c r="P28" i="13"/>
  <c r="L27" i="13"/>
  <c r="P27" i="13"/>
  <c r="N17" i="13"/>
  <c r="Q18" i="13"/>
  <c r="O20" i="13"/>
  <c r="O17" i="13"/>
  <c r="Q17" i="13"/>
  <c r="L20" i="13"/>
  <c r="P20" i="13"/>
  <c r="I20" i="13"/>
  <c r="L18" i="13"/>
  <c r="P18" i="13"/>
  <c r="L17" i="13"/>
  <c r="P17" i="13"/>
  <c r="N20" i="13"/>
  <c r="I18" i="13"/>
  <c r="O18" i="13"/>
  <c r="I17" i="13"/>
  <c r="N18" i="13"/>
  <c r="Q20" i="13"/>
  <c r="P46" i="13"/>
  <c r="L89" i="25"/>
  <c r="L99" i="25"/>
  <c r="F79" i="25"/>
  <c r="D88" i="25"/>
  <c r="D79" i="25"/>
  <c r="F98" i="25"/>
  <c r="N66" i="25"/>
  <c r="N71" i="25" s="1"/>
  <c r="N88" i="25" s="1"/>
  <c r="J66" i="25"/>
  <c r="J71" i="25" s="1"/>
  <c r="J79" i="25" s="1"/>
  <c r="D67" i="25"/>
  <c r="D72" i="25" s="1"/>
  <c r="D89" i="25" s="1"/>
  <c r="B67" i="25"/>
  <c r="B72" i="25" s="1"/>
  <c r="B89" i="25" s="1"/>
  <c r="D68" i="25"/>
  <c r="D73" i="25" s="1"/>
  <c r="D90" i="25" s="1"/>
  <c r="H100" i="25"/>
  <c r="J81" i="25"/>
  <c r="F67" i="25"/>
  <c r="F72" i="25" s="1"/>
  <c r="F99" i="25" s="1"/>
  <c r="J90" i="25"/>
  <c r="L66" i="25"/>
  <c r="L71" i="25" s="1"/>
  <c r="L79" i="25" s="1"/>
  <c r="H90" i="25"/>
  <c r="H67" i="25"/>
  <c r="H72" i="25" s="1"/>
  <c r="H99" i="25" s="1"/>
  <c r="P66" i="25"/>
  <c r="P71" i="25" s="1"/>
  <c r="P98" i="25" s="1"/>
  <c r="L68" i="25"/>
  <c r="L73" i="25" s="1"/>
  <c r="L100" i="25" s="1"/>
  <c r="L80" i="25"/>
  <c r="F81" i="25"/>
  <c r="F90" i="25"/>
  <c r="F100" i="25"/>
  <c r="N109" i="25"/>
  <c r="N114" i="25" s="1"/>
  <c r="N134" i="25" s="1"/>
  <c r="J109" i="25"/>
  <c r="J114" i="25" s="1"/>
  <c r="J134" i="25" s="1"/>
  <c r="P80" i="25"/>
  <c r="P89" i="25"/>
  <c r="P99" i="25"/>
  <c r="P100" i="25"/>
  <c r="P90" i="25"/>
  <c r="P81" i="25"/>
  <c r="N68" i="25"/>
  <c r="N73" i="25" s="1"/>
  <c r="H79" i="25"/>
  <c r="H88" i="25"/>
  <c r="H98" i="25"/>
  <c r="B79" i="25"/>
  <c r="B88" i="25"/>
  <c r="B98" i="25"/>
  <c r="B81" i="25"/>
  <c r="B100" i="25"/>
  <c r="U14" i="13" l="1"/>
  <c r="T14" i="13" s="1"/>
  <c r="G14" i="13" s="1"/>
  <c r="X11" i="13"/>
  <c r="B80" i="25"/>
  <c r="P11" i="13"/>
  <c r="R11" i="13"/>
  <c r="Q11" i="13"/>
  <c r="W11" i="13"/>
  <c r="G9" i="13"/>
  <c r="S31" i="13"/>
  <c r="G29" i="13"/>
  <c r="S26" i="13"/>
  <c r="G24" i="13"/>
  <c r="S41" i="13"/>
  <c r="G39" i="13"/>
  <c r="S16" i="13"/>
  <c r="S36" i="13"/>
  <c r="G34" i="13"/>
  <c r="S21" i="13"/>
  <c r="G19" i="13"/>
  <c r="W26" i="13"/>
  <c r="W31" i="13"/>
  <c r="W41" i="13"/>
  <c r="X16" i="13"/>
  <c r="X36" i="13"/>
  <c r="X26" i="13"/>
  <c r="X31" i="13"/>
  <c r="L10" i="27" s="1"/>
  <c r="Q36" i="13"/>
  <c r="W16" i="13"/>
  <c r="Q41" i="13"/>
  <c r="Q26" i="13"/>
  <c r="X41" i="13"/>
  <c r="Q16" i="13"/>
  <c r="W36" i="13"/>
  <c r="X21" i="13"/>
  <c r="Q31" i="13"/>
  <c r="Q21" i="13"/>
  <c r="N140" i="25"/>
  <c r="J140" i="25"/>
  <c r="D108" i="25"/>
  <c r="D113" i="25" s="1"/>
  <c r="F108" i="25"/>
  <c r="F113" i="25" s="1"/>
  <c r="N79" i="25"/>
  <c r="N98" i="25"/>
  <c r="J88" i="25"/>
  <c r="J98" i="25"/>
  <c r="D80" i="25"/>
  <c r="D99" i="25"/>
  <c r="B99" i="25"/>
  <c r="J110" i="25"/>
  <c r="J115" i="25" s="1"/>
  <c r="J135" i="25" s="1"/>
  <c r="J141" i="25" s="1"/>
  <c r="D100" i="25"/>
  <c r="D81" i="25"/>
  <c r="H110" i="25"/>
  <c r="H115" i="25" s="1"/>
  <c r="H135" i="25" s="1"/>
  <c r="F80" i="25"/>
  <c r="F89" i="25"/>
  <c r="P79" i="25"/>
  <c r="L98" i="25"/>
  <c r="L88" i="25"/>
  <c r="L90" i="25"/>
  <c r="L81" i="25"/>
  <c r="P88" i="25"/>
  <c r="H89" i="25"/>
  <c r="H80" i="25"/>
  <c r="L109" i="25"/>
  <c r="L114" i="25" s="1"/>
  <c r="L134" i="25" s="1"/>
  <c r="F110" i="25"/>
  <c r="F115" i="25" s="1"/>
  <c r="F125" i="25" s="1"/>
  <c r="B110" i="25"/>
  <c r="B115" i="25" s="1"/>
  <c r="B135" i="25" s="1"/>
  <c r="J124" i="25"/>
  <c r="N124" i="25"/>
  <c r="P110" i="25"/>
  <c r="P109" i="25"/>
  <c r="N100" i="25"/>
  <c r="N90" i="25"/>
  <c r="N81" i="25"/>
  <c r="H108" i="25"/>
  <c r="B108" i="25"/>
  <c r="B141" i="25" l="1"/>
  <c r="L140" i="25"/>
  <c r="H141" i="25"/>
  <c r="D133" i="25"/>
  <c r="D123" i="25"/>
  <c r="N108" i="25"/>
  <c r="N113" i="25" s="1"/>
  <c r="J108" i="25"/>
  <c r="J113" i="25" s="1"/>
  <c r="D110" i="25"/>
  <c r="D115" i="25" s="1"/>
  <c r="D125" i="25" s="1"/>
  <c r="D109" i="25"/>
  <c r="D114" i="25" s="1"/>
  <c r="D134" i="25" s="1"/>
  <c r="B109" i="25"/>
  <c r="B114" i="25" s="1"/>
  <c r="B134" i="25" s="1"/>
  <c r="J125" i="25"/>
  <c r="H125" i="25"/>
  <c r="F109" i="25"/>
  <c r="F114" i="25" s="1"/>
  <c r="F134" i="25" s="1"/>
  <c r="L108" i="25"/>
  <c r="L113" i="25" s="1"/>
  <c r="P108" i="25"/>
  <c r="P113" i="25" s="1"/>
  <c r="L110" i="25"/>
  <c r="L115" i="25" s="1"/>
  <c r="L135" i="25" s="1"/>
  <c r="H109" i="25"/>
  <c r="H114" i="25" s="1"/>
  <c r="H124" i="25" s="1"/>
  <c r="I8" i="27"/>
  <c r="F135" i="25"/>
  <c r="F141" i="25" s="1"/>
  <c r="B125" i="25"/>
  <c r="L124" i="25"/>
  <c r="P114" i="25"/>
  <c r="P134" i="25" s="1"/>
  <c r="P115" i="25"/>
  <c r="P135" i="25" s="1"/>
  <c r="N110" i="25"/>
  <c r="H113" i="25"/>
  <c r="F133" i="25"/>
  <c r="F123" i="25"/>
  <c r="B113" i="25"/>
  <c r="F140" i="25" l="1"/>
  <c r="B140" i="25"/>
  <c r="P141" i="25"/>
  <c r="D140" i="25"/>
  <c r="L141" i="25"/>
  <c r="P140" i="25"/>
  <c r="D139" i="25"/>
  <c r="F139" i="25"/>
  <c r="N123" i="25"/>
  <c r="N133" i="25"/>
  <c r="P123" i="25"/>
  <c r="L123" i="25"/>
  <c r="H123" i="25"/>
  <c r="J123" i="25"/>
  <c r="D124" i="25"/>
  <c r="D135" i="25"/>
  <c r="F124" i="25"/>
  <c r="P133" i="25"/>
  <c r="I12" i="27"/>
  <c r="H134" i="25"/>
  <c r="I7" i="27"/>
  <c r="I13" i="27"/>
  <c r="I15" i="27"/>
  <c r="L125" i="25"/>
  <c r="P124" i="25"/>
  <c r="P125" i="25"/>
  <c r="N115" i="25"/>
  <c r="L133" i="25"/>
  <c r="J133" i="25"/>
  <c r="H133" i="25"/>
  <c r="B133" i="25"/>
  <c r="B124" i="25"/>
  <c r="B123" i="25"/>
  <c r="L139" i="25" l="1"/>
  <c r="D141" i="25"/>
  <c r="J139" i="25"/>
  <c r="H140" i="25"/>
  <c r="B139" i="25"/>
  <c r="P139" i="25"/>
  <c r="H139" i="25"/>
  <c r="N139" i="25"/>
  <c r="I9" i="27"/>
  <c r="I11" i="27"/>
  <c r="I10" i="27"/>
  <c r="K10" i="27"/>
  <c r="N135" i="25"/>
  <c r="N141" i="25" s="1"/>
  <c r="N125" i="25"/>
  <c r="I58" i="25" l="1"/>
  <c r="I67" i="25" s="1"/>
  <c r="I72" i="25" s="1"/>
  <c r="G57" i="25"/>
  <c r="C59" i="25"/>
  <c r="C68" i="25" s="1"/>
  <c r="C73" i="25" s="1"/>
  <c r="C90" i="25" s="1"/>
  <c r="K59" i="25"/>
  <c r="K68" i="25" s="1"/>
  <c r="K73" i="25" s="1"/>
  <c r="C57" i="25"/>
  <c r="O57" i="25"/>
  <c r="G59" i="25"/>
  <c r="G68" i="25" s="1"/>
  <c r="G73" i="25" s="1"/>
  <c r="O59" i="25"/>
  <c r="O68" i="25" s="1"/>
  <c r="O73" i="25" s="1"/>
  <c r="E58" i="25"/>
  <c r="E67" i="25" s="1"/>
  <c r="E72" i="25" s="1"/>
  <c r="E57" i="25"/>
  <c r="C60" i="25" l="1"/>
  <c r="E66" i="25"/>
  <c r="E71" i="25" s="1"/>
  <c r="E98" i="25" s="1"/>
  <c r="O100" i="25"/>
  <c r="O81" i="25"/>
  <c r="O90" i="25"/>
  <c r="G81" i="25"/>
  <c r="G100" i="25"/>
  <c r="G90" i="25"/>
  <c r="I57" i="25"/>
  <c r="I99" i="25"/>
  <c r="I89" i="25"/>
  <c r="I80" i="25"/>
  <c r="M58" i="25"/>
  <c r="M67" i="25" s="1"/>
  <c r="M72" i="25" s="1"/>
  <c r="M89" i="25" s="1"/>
  <c r="K81" i="25"/>
  <c r="K100" i="25"/>
  <c r="K90" i="25"/>
  <c r="G66" i="25"/>
  <c r="G71" i="25" s="1"/>
  <c r="C100" i="25"/>
  <c r="C81" i="25"/>
  <c r="K58" i="25"/>
  <c r="K67" i="25" s="1"/>
  <c r="K72" i="25" s="1"/>
  <c r="M59" i="25"/>
  <c r="M68" i="25" s="1"/>
  <c r="M73" i="25" s="1"/>
  <c r="Q59" i="25"/>
  <c r="Q68" i="25" s="1"/>
  <c r="Q73" i="25" s="1"/>
  <c r="M57" i="25"/>
  <c r="E99" i="25"/>
  <c r="E80" i="25"/>
  <c r="E89" i="25"/>
  <c r="E59" i="25"/>
  <c r="E68" i="25" s="1"/>
  <c r="E73" i="25" s="1"/>
  <c r="Q58" i="25"/>
  <c r="C66" i="25"/>
  <c r="C71" i="25" s="1"/>
  <c r="O58" i="25"/>
  <c r="O67" i="25" s="1"/>
  <c r="O72" i="25" s="1"/>
  <c r="I59" i="25"/>
  <c r="I68" i="25" s="1"/>
  <c r="I73" i="25" s="1"/>
  <c r="G58" i="25"/>
  <c r="G67" i="25" s="1"/>
  <c r="G72" i="25" s="1"/>
  <c r="O66" i="25"/>
  <c r="O71" i="25" s="1"/>
  <c r="C99" i="25" l="1"/>
  <c r="Q67" i="25"/>
  <c r="Q72" i="25" s="1"/>
  <c r="M60" i="25"/>
  <c r="K60" i="25"/>
  <c r="Q60" i="25"/>
  <c r="I60" i="25"/>
  <c r="G60" i="25"/>
  <c r="E60" i="25"/>
  <c r="O60" i="25"/>
  <c r="E88" i="25"/>
  <c r="E79" i="25"/>
  <c r="I66" i="25"/>
  <c r="I71" i="25" s="1"/>
  <c r="I79" i="25" s="1"/>
  <c r="Q66" i="25"/>
  <c r="Q71" i="25" s="1"/>
  <c r="Q98" i="25" s="1"/>
  <c r="M66" i="25"/>
  <c r="M71" i="25" s="1"/>
  <c r="M88" i="25" s="1"/>
  <c r="E109" i="25"/>
  <c r="E114" i="25" s="1"/>
  <c r="E134" i="25" s="1"/>
  <c r="K110" i="25"/>
  <c r="K115" i="25" s="1"/>
  <c r="K135" i="25" s="1"/>
  <c r="K141" i="25" s="1"/>
  <c r="C110" i="25"/>
  <c r="C115" i="25" s="1"/>
  <c r="C135" i="25" s="1"/>
  <c r="I109" i="25"/>
  <c r="G110" i="25"/>
  <c r="G115" i="25" s="1"/>
  <c r="G135" i="25" s="1"/>
  <c r="G141" i="25" s="1"/>
  <c r="O110" i="25"/>
  <c r="O115" i="25" s="1"/>
  <c r="G80" i="25"/>
  <c r="G89" i="25"/>
  <c r="G99" i="25"/>
  <c r="I90" i="25"/>
  <c r="I81" i="25"/>
  <c r="I100" i="25"/>
  <c r="E81" i="25"/>
  <c r="E90" i="25"/>
  <c r="E100" i="25"/>
  <c r="M99" i="25"/>
  <c r="M80" i="25"/>
  <c r="O89" i="25"/>
  <c r="O80" i="25"/>
  <c r="O99" i="25"/>
  <c r="C79" i="25"/>
  <c r="C82" i="25" s="1"/>
  <c r="C88" i="25"/>
  <c r="C98" i="25"/>
  <c r="O88" i="25"/>
  <c r="O98" i="25"/>
  <c r="O79" i="25"/>
  <c r="Q90" i="25"/>
  <c r="Q100" i="25"/>
  <c r="Q81" i="25"/>
  <c r="C89" i="25"/>
  <c r="M81" i="25"/>
  <c r="M100" i="25"/>
  <c r="M90" i="25"/>
  <c r="G98" i="25"/>
  <c r="G79" i="25"/>
  <c r="G88" i="25"/>
  <c r="K89" i="25"/>
  <c r="K91" i="25" s="1"/>
  <c r="K92" i="25" s="1"/>
  <c r="U30" i="13" s="1"/>
  <c r="K80" i="25"/>
  <c r="K99" i="25"/>
  <c r="C91" i="25" l="1"/>
  <c r="C92" i="25" s="1"/>
  <c r="U10" i="13" s="1"/>
  <c r="G108" i="25"/>
  <c r="G91" i="25"/>
  <c r="O91" i="25"/>
  <c r="E91" i="25"/>
  <c r="M91" i="25"/>
  <c r="O82" i="25"/>
  <c r="Q80" i="25"/>
  <c r="Q99" i="25"/>
  <c r="Q89" i="25"/>
  <c r="G82" i="25"/>
  <c r="C141" i="25"/>
  <c r="E140" i="25"/>
  <c r="I82" i="25"/>
  <c r="E82" i="25"/>
  <c r="M79" i="25"/>
  <c r="M82" i="25" s="1"/>
  <c r="E108" i="25"/>
  <c r="E113" i="25" s="1"/>
  <c r="I88" i="25"/>
  <c r="I91" i="25" s="1"/>
  <c r="I98" i="25"/>
  <c r="K79" i="25"/>
  <c r="K82" i="25" s="1"/>
  <c r="K98" i="25"/>
  <c r="Q88" i="25"/>
  <c r="Q79" i="25"/>
  <c r="M98" i="25"/>
  <c r="I114" i="25"/>
  <c r="I134" i="25" s="1"/>
  <c r="M109" i="25"/>
  <c r="M114" i="25" s="1"/>
  <c r="M134" i="25" s="1"/>
  <c r="C108" i="25"/>
  <c r="C113" i="25" s="1"/>
  <c r="K109" i="25"/>
  <c r="K114" i="25" s="1"/>
  <c r="K134" i="25" s="1"/>
  <c r="O109" i="25"/>
  <c r="O114" i="25" s="1"/>
  <c r="O124" i="25" s="1"/>
  <c r="O135" i="25"/>
  <c r="O125" i="25"/>
  <c r="M110" i="25"/>
  <c r="M115" i="25" s="1"/>
  <c r="M135" i="25" s="1"/>
  <c r="M141" i="25" s="1"/>
  <c r="G109" i="25"/>
  <c r="G114" i="25" s="1"/>
  <c r="G134" i="25" s="1"/>
  <c r="Q110" i="25"/>
  <c r="Q115" i="25" s="1"/>
  <c r="Q135" i="25" s="1"/>
  <c r="O108" i="25"/>
  <c r="O113" i="25" s="1"/>
  <c r="K125" i="25"/>
  <c r="E110" i="25"/>
  <c r="I110" i="25"/>
  <c r="C125" i="25"/>
  <c r="E124" i="25"/>
  <c r="G125" i="25"/>
  <c r="O141" i="25" l="1"/>
  <c r="G92" i="25"/>
  <c r="U20" i="13" s="1"/>
  <c r="M92" i="25"/>
  <c r="U35" i="13" s="1"/>
  <c r="E92" i="25"/>
  <c r="U15" i="13" s="1"/>
  <c r="I92" i="25"/>
  <c r="U25" i="13" s="1"/>
  <c r="O92" i="25"/>
  <c r="U40" i="13" s="1"/>
  <c r="Q91" i="25"/>
  <c r="I7" i="33"/>
  <c r="M108" i="25"/>
  <c r="M113" i="25" s="1"/>
  <c r="M116" i="25" s="1"/>
  <c r="M153" i="25" s="1"/>
  <c r="M154" i="25" s="1"/>
  <c r="Q109" i="25"/>
  <c r="Q114" i="25" s="1"/>
  <c r="Q124" i="25" s="1"/>
  <c r="Q82" i="25"/>
  <c r="M140" i="25"/>
  <c r="I140" i="25"/>
  <c r="Q141" i="25"/>
  <c r="G140" i="25"/>
  <c r="K140" i="25"/>
  <c r="O116" i="25"/>
  <c r="O153" i="25" s="1"/>
  <c r="O154" i="25" s="1"/>
  <c r="I108" i="25"/>
  <c r="I113" i="25" s="1"/>
  <c r="Q108" i="25"/>
  <c r="Q113" i="25" s="1"/>
  <c r="K108" i="25"/>
  <c r="C123" i="25"/>
  <c r="E123" i="25"/>
  <c r="O134" i="25"/>
  <c r="K124" i="25"/>
  <c r="M125" i="25"/>
  <c r="I124" i="25"/>
  <c r="O123" i="25"/>
  <c r="M124" i="25"/>
  <c r="O133" i="25"/>
  <c r="C133" i="25"/>
  <c r="G113" i="25"/>
  <c r="G116" i="25" s="1"/>
  <c r="G153" i="25" s="1"/>
  <c r="G154" i="25" s="1"/>
  <c r="I115" i="25"/>
  <c r="I135" i="25" s="1"/>
  <c r="Q125" i="25"/>
  <c r="E133" i="25"/>
  <c r="E115" i="25"/>
  <c r="E135" i="25" s="1"/>
  <c r="G124" i="25"/>
  <c r="K113" i="25" l="1"/>
  <c r="K116" i="25" s="1"/>
  <c r="K153" i="25" s="1"/>
  <c r="Q92" i="25"/>
  <c r="U45" i="13" s="1"/>
  <c r="T20" i="13"/>
  <c r="T21" i="13" s="1"/>
  <c r="T40" i="13"/>
  <c r="T41" i="13" s="1"/>
  <c r="T35" i="13"/>
  <c r="T36" i="13" s="1"/>
  <c r="I10" i="33"/>
  <c r="Q134" i="25"/>
  <c r="Q140" i="25" s="1"/>
  <c r="Q116" i="25"/>
  <c r="Q153" i="25" s="1"/>
  <c r="Q154" i="25" s="1"/>
  <c r="M123" i="25"/>
  <c r="M133" i="25"/>
  <c r="C139" i="25"/>
  <c r="E139" i="25"/>
  <c r="O139" i="25"/>
  <c r="E141" i="25"/>
  <c r="I141" i="25"/>
  <c r="O140" i="25"/>
  <c r="I116" i="25"/>
  <c r="I153" i="25" s="1"/>
  <c r="I154" i="25" s="1"/>
  <c r="E116" i="25"/>
  <c r="E153" i="25" s="1"/>
  <c r="E154" i="25" s="1"/>
  <c r="I133" i="25"/>
  <c r="I123" i="25"/>
  <c r="Q123" i="25"/>
  <c r="G123" i="25"/>
  <c r="E125" i="25"/>
  <c r="I125" i="25"/>
  <c r="Q133" i="25"/>
  <c r="G133" i="25"/>
  <c r="T30" i="13" l="1"/>
  <c r="T31" i="13" s="1"/>
  <c r="K154" i="25"/>
  <c r="K123" i="25"/>
  <c r="K133" i="25"/>
  <c r="T15" i="13"/>
  <c r="T16" i="13" s="1"/>
  <c r="T45" i="13"/>
  <c r="T46" i="13" s="1"/>
  <c r="T25" i="13"/>
  <c r="T26" i="13" s="1"/>
  <c r="M139" i="25"/>
  <c r="M143" i="25" s="1"/>
  <c r="L146" i="25" s="1"/>
  <c r="L147" i="25" s="1"/>
  <c r="E143" i="25"/>
  <c r="D146" i="25" s="1"/>
  <c r="G139" i="25"/>
  <c r="G143" i="25" s="1"/>
  <c r="F146" i="25" s="1"/>
  <c r="O143" i="25"/>
  <c r="N146" i="25" s="1"/>
  <c r="Q139" i="25"/>
  <c r="Q143" i="25" s="1"/>
  <c r="P146" i="25" s="1"/>
  <c r="Q150" i="25" s="1"/>
  <c r="Q151" i="25" s="1"/>
  <c r="I139" i="25"/>
  <c r="I143" i="25" s="1"/>
  <c r="H146" i="25" s="1"/>
  <c r="K139" i="25" l="1"/>
  <c r="K143" i="25" s="1"/>
  <c r="J146" i="25" s="1"/>
  <c r="K150" i="25" s="1"/>
  <c r="K151" i="25" s="1"/>
  <c r="E28" i="31"/>
  <c r="E43" i="31"/>
  <c r="O150" i="25"/>
  <c r="O151" i="25" s="1"/>
  <c r="I150" i="25"/>
  <c r="I151" i="25" s="1"/>
  <c r="E150" i="25"/>
  <c r="E151" i="25" s="1"/>
  <c r="G150" i="25"/>
  <c r="G151" i="25" s="1"/>
  <c r="M150" i="25"/>
  <c r="M151" i="25" s="1"/>
  <c r="J12" i="27"/>
  <c r="E13" i="31" l="1"/>
  <c r="F134" i="32"/>
  <c r="F136" i="32"/>
  <c r="G88" i="14" s="1"/>
  <c r="F133" i="32"/>
  <c r="G41" i="30"/>
  <c r="G88" i="16" s="1"/>
  <c r="L41" i="30"/>
  <c r="L88" i="16" s="1"/>
  <c r="H136" i="32"/>
  <c r="F86" i="32"/>
  <c r="G87" i="14" s="1"/>
  <c r="F84" i="32"/>
  <c r="F83" i="32"/>
  <c r="G27" i="30"/>
  <c r="G87" i="16" s="1"/>
  <c r="L27" i="30"/>
  <c r="L87" i="16" s="1"/>
  <c r="H86" i="32"/>
  <c r="F137" i="32" l="1"/>
  <c r="G88" i="2"/>
  <c r="F88" i="2" s="1"/>
  <c r="E133" i="32"/>
  <c r="I86" i="32"/>
  <c r="I87" i="14"/>
  <c r="H87" i="32"/>
  <c r="G88" i="15"/>
  <c r="F88" i="15" s="1"/>
  <c r="E134" i="32"/>
  <c r="G13" i="30"/>
  <c r="G86" i="16" s="1"/>
  <c r="F36" i="32"/>
  <c r="F33" i="32"/>
  <c r="F34" i="32"/>
  <c r="L13" i="30"/>
  <c r="L86" i="16" s="1"/>
  <c r="H36" i="32"/>
  <c r="G87" i="2"/>
  <c r="F87" i="2" s="1"/>
  <c r="F87" i="32"/>
  <c r="E83" i="32"/>
  <c r="I88" i="14"/>
  <c r="I136" i="32"/>
  <c r="H137" i="32"/>
  <c r="G87" i="15"/>
  <c r="F87" i="15" s="1"/>
  <c r="E84" i="32"/>
  <c r="L131" i="16"/>
  <c r="J131" i="16"/>
  <c r="I131" i="16"/>
  <c r="H131" i="16"/>
  <c r="G131" i="16"/>
  <c r="F131" i="16"/>
  <c r="F132" i="16" s="1"/>
  <c r="L115" i="16"/>
  <c r="J115" i="16"/>
  <c r="J116" i="16" s="1"/>
  <c r="I115" i="16"/>
  <c r="H115" i="16"/>
  <c r="G115" i="16"/>
  <c r="F115" i="16"/>
  <c r="L99" i="16"/>
  <c r="J99" i="16"/>
  <c r="I99" i="16"/>
  <c r="H99" i="16"/>
  <c r="G99" i="16"/>
  <c r="L83" i="16"/>
  <c r="J83" i="16"/>
  <c r="I83" i="16"/>
  <c r="H83" i="16"/>
  <c r="G83" i="16"/>
  <c r="F83" i="16"/>
  <c r="L67" i="16"/>
  <c r="J67" i="16"/>
  <c r="I67" i="16"/>
  <c r="H67" i="16"/>
  <c r="G67" i="16"/>
  <c r="F67" i="16"/>
  <c r="L51" i="16"/>
  <c r="J51" i="16"/>
  <c r="I51" i="16"/>
  <c r="H51" i="16"/>
  <c r="G51" i="16"/>
  <c r="F51" i="16"/>
  <c r="L35" i="16"/>
  <c r="J35" i="16"/>
  <c r="I35" i="16"/>
  <c r="H35" i="16"/>
  <c r="G35" i="16"/>
  <c r="F35" i="16"/>
  <c r="L19" i="16"/>
  <c r="J19" i="16"/>
  <c r="I19" i="16"/>
  <c r="H19" i="16"/>
  <c r="G19" i="16"/>
  <c r="E86" i="32" l="1"/>
  <c r="I87" i="32"/>
  <c r="E87" i="32" s="1"/>
  <c r="J87" i="14"/>
  <c r="F87" i="14" s="1"/>
  <c r="H37" i="32"/>
  <c r="I36" i="32"/>
  <c r="E36" i="32" s="1"/>
  <c r="I86" i="14"/>
  <c r="E136" i="32"/>
  <c r="I137" i="32"/>
  <c r="E137" i="32" s="1"/>
  <c r="J88" i="14"/>
  <c r="F88" i="14" s="1"/>
  <c r="G86" i="14"/>
  <c r="G86" i="15"/>
  <c r="E34" i="32"/>
  <c r="G86" i="2"/>
  <c r="F37" i="32"/>
  <c r="E33" i="32"/>
  <c r="F133" i="16"/>
  <c r="L14" i="33" s="1"/>
  <c r="H52" i="16"/>
  <c r="H53" i="16" s="1"/>
  <c r="I68" i="16"/>
  <c r="F116" i="16"/>
  <c r="I36" i="16"/>
  <c r="I37" i="16" s="1"/>
  <c r="J52" i="16"/>
  <c r="G100" i="16"/>
  <c r="G101" i="16" s="1"/>
  <c r="H116" i="16"/>
  <c r="H117" i="16" s="1"/>
  <c r="I132" i="16"/>
  <c r="J84" i="16"/>
  <c r="J85" i="16" s="1"/>
  <c r="H132" i="16"/>
  <c r="H20" i="16"/>
  <c r="I20" i="16"/>
  <c r="I21" i="16" s="1"/>
  <c r="J36" i="16"/>
  <c r="J37" i="16" s="1"/>
  <c r="F84" i="16"/>
  <c r="H100" i="16"/>
  <c r="H101" i="16" s="1"/>
  <c r="I116" i="16"/>
  <c r="J132" i="16"/>
  <c r="H36" i="16"/>
  <c r="H37" i="16" s="1"/>
  <c r="I100" i="16"/>
  <c r="I101" i="16" s="1"/>
  <c r="J117" i="16"/>
  <c r="P13" i="33" s="1"/>
  <c r="H68" i="16"/>
  <c r="H69" i="16" s="1"/>
  <c r="J68" i="16"/>
  <c r="F68" i="16"/>
  <c r="H84" i="16"/>
  <c r="H85" i="16" s="1"/>
  <c r="J100" i="16"/>
  <c r="J101" i="16" s="1"/>
  <c r="F36" i="16"/>
  <c r="L100" i="16"/>
  <c r="I52" i="16"/>
  <c r="I53" i="16" s="1"/>
  <c r="J20" i="16"/>
  <c r="J21" i="16" s="1"/>
  <c r="F52" i="16"/>
  <c r="I84" i="16"/>
  <c r="I85" i="16" s="1"/>
  <c r="K7" i="27"/>
  <c r="L7" i="27"/>
  <c r="K9" i="27"/>
  <c r="L9" i="27"/>
  <c r="K13" i="27"/>
  <c r="L13" i="27"/>
  <c r="J133" i="16" l="1"/>
  <c r="P14" i="33" s="1"/>
  <c r="I133" i="16"/>
  <c r="O14" i="33" s="1"/>
  <c r="L101" i="16"/>
  <c r="R12" i="33" s="1"/>
  <c r="P147" i="25"/>
  <c r="H133" i="16"/>
  <c r="N14" i="33" s="1"/>
  <c r="F37" i="16"/>
  <c r="D147" i="25" s="1"/>
  <c r="F85" i="16"/>
  <c r="J147" i="25" s="1"/>
  <c r="F69" i="16"/>
  <c r="H147" i="25" s="1"/>
  <c r="G100" i="14"/>
  <c r="G101" i="14"/>
  <c r="F86" i="2"/>
  <c r="G100" i="2"/>
  <c r="H32" i="13" s="1"/>
  <c r="G32" i="13" s="1"/>
  <c r="G101" i="2"/>
  <c r="F86" i="15"/>
  <c r="G100" i="15"/>
  <c r="G101" i="15"/>
  <c r="I100" i="14"/>
  <c r="I101" i="14"/>
  <c r="J86" i="14"/>
  <c r="I37" i="32"/>
  <c r="E37" i="32" s="1"/>
  <c r="O11" i="33"/>
  <c r="P12" i="33"/>
  <c r="Q7" i="33"/>
  <c r="O7" i="33"/>
  <c r="F117" i="16"/>
  <c r="L13" i="33" s="1"/>
  <c r="P11" i="33"/>
  <c r="J69" i="16"/>
  <c r="P10" i="33" s="1"/>
  <c r="Q10" i="33"/>
  <c r="Q11" i="33"/>
  <c r="F53" i="16"/>
  <c r="L9" i="33" s="1"/>
  <c r="P7" i="33"/>
  <c r="I117" i="16"/>
  <c r="O13" i="33" s="1"/>
  <c r="Q9" i="33"/>
  <c r="H21" i="16"/>
  <c r="N7" i="33" s="1"/>
  <c r="J53" i="16"/>
  <c r="P9" i="33" s="1"/>
  <c r="I69" i="16"/>
  <c r="O10" i="33" s="1"/>
  <c r="M12" i="33"/>
  <c r="N11" i="33"/>
  <c r="Q8" i="33"/>
  <c r="Q12" i="33"/>
  <c r="O9" i="33"/>
  <c r="N8" i="33"/>
  <c r="N12" i="33"/>
  <c r="N13" i="33"/>
  <c r="N9" i="33"/>
  <c r="Q13" i="33"/>
  <c r="N10" i="33"/>
  <c r="O12" i="33"/>
  <c r="P8" i="33"/>
  <c r="O8" i="33"/>
  <c r="K11" i="27"/>
  <c r="L11" i="27"/>
  <c r="K8" i="27"/>
  <c r="L8" i="27"/>
  <c r="K12" i="27"/>
  <c r="L12" i="27"/>
  <c r="K15" i="27"/>
  <c r="L15" i="27"/>
  <c r="L11" i="33" l="1"/>
  <c r="L10" i="33"/>
  <c r="L8" i="33"/>
  <c r="E26" i="31"/>
  <c r="E41" i="31"/>
  <c r="F147" i="25"/>
  <c r="E42" i="31"/>
  <c r="E27" i="31"/>
  <c r="E24" i="31"/>
  <c r="E39" i="31"/>
  <c r="E30" i="31"/>
  <c r="E45" i="31"/>
  <c r="N147" i="25"/>
  <c r="J35" i="13"/>
  <c r="K35" i="13" s="1"/>
  <c r="H35" i="13"/>
  <c r="H33" i="13"/>
  <c r="G33" i="13" s="1"/>
  <c r="J101" i="14"/>
  <c r="J100" i="14"/>
  <c r="F86" i="14"/>
  <c r="F127" i="14"/>
  <c r="F126" i="14"/>
  <c r="F125" i="14"/>
  <c r="F124" i="14"/>
  <c r="F123" i="14"/>
  <c r="F122" i="14"/>
  <c r="F121" i="14"/>
  <c r="F111" i="14"/>
  <c r="F110" i="14"/>
  <c r="F109" i="14"/>
  <c r="F108" i="14"/>
  <c r="F107" i="14"/>
  <c r="F106" i="14"/>
  <c r="F105" i="14"/>
  <c r="F95" i="14"/>
  <c r="F94" i="14"/>
  <c r="F93" i="14"/>
  <c r="F92" i="14"/>
  <c r="F91" i="14"/>
  <c r="F90" i="14"/>
  <c r="F89" i="14"/>
  <c r="F79" i="14"/>
  <c r="F78" i="14"/>
  <c r="F77" i="14"/>
  <c r="F76" i="14"/>
  <c r="F75" i="14"/>
  <c r="F74" i="14"/>
  <c r="F73" i="14"/>
  <c r="F63" i="14"/>
  <c r="F62" i="14"/>
  <c r="F61" i="14"/>
  <c r="F60" i="14"/>
  <c r="F59" i="14"/>
  <c r="F58" i="14"/>
  <c r="F57" i="14"/>
  <c r="F47" i="14"/>
  <c r="F46" i="14"/>
  <c r="F45" i="14"/>
  <c r="F44" i="14"/>
  <c r="F43" i="14"/>
  <c r="F42" i="14"/>
  <c r="F41" i="14"/>
  <c r="F31" i="14"/>
  <c r="F30" i="14"/>
  <c r="F29" i="14"/>
  <c r="F28" i="14"/>
  <c r="F27" i="14"/>
  <c r="F26" i="14"/>
  <c r="F25" i="14"/>
  <c r="F15" i="14"/>
  <c r="F14" i="14"/>
  <c r="F13" i="14"/>
  <c r="F12" i="14"/>
  <c r="F11" i="14"/>
  <c r="F10" i="14"/>
  <c r="F9" i="14"/>
  <c r="F127" i="15"/>
  <c r="F126" i="15"/>
  <c r="F125" i="15"/>
  <c r="F124" i="15"/>
  <c r="F123" i="15"/>
  <c r="F122" i="15"/>
  <c r="F121" i="15"/>
  <c r="F111" i="15"/>
  <c r="F110" i="15"/>
  <c r="F109" i="15"/>
  <c r="F108" i="15"/>
  <c r="F107" i="15"/>
  <c r="F106" i="15"/>
  <c r="F105" i="15"/>
  <c r="F95" i="15"/>
  <c r="F94" i="15"/>
  <c r="F93" i="15"/>
  <c r="F92" i="15"/>
  <c r="F91" i="15"/>
  <c r="F90" i="15"/>
  <c r="F89" i="15"/>
  <c r="F79" i="15"/>
  <c r="F78" i="15"/>
  <c r="F77" i="15"/>
  <c r="F76" i="15"/>
  <c r="F75" i="15"/>
  <c r="F74" i="15"/>
  <c r="F73" i="15"/>
  <c r="F63" i="15"/>
  <c r="F62" i="15"/>
  <c r="F61" i="15"/>
  <c r="F60" i="15"/>
  <c r="F59" i="15"/>
  <c r="F58" i="15"/>
  <c r="F57" i="15"/>
  <c r="F47" i="15"/>
  <c r="F46" i="15"/>
  <c r="F45" i="15"/>
  <c r="F44" i="15"/>
  <c r="F43" i="15"/>
  <c r="F42" i="15"/>
  <c r="F41" i="15"/>
  <c r="F31" i="15"/>
  <c r="F30" i="15"/>
  <c r="F29" i="15"/>
  <c r="F28" i="15"/>
  <c r="F27" i="15"/>
  <c r="F26" i="15"/>
  <c r="F25" i="15"/>
  <c r="F15" i="15"/>
  <c r="F14" i="15"/>
  <c r="F13" i="15"/>
  <c r="F12" i="15"/>
  <c r="F11" i="15"/>
  <c r="F10" i="15"/>
  <c r="F9" i="15"/>
  <c r="F127" i="2"/>
  <c r="F126" i="2"/>
  <c r="F125" i="2"/>
  <c r="F124" i="2"/>
  <c r="F123" i="2"/>
  <c r="F122" i="2"/>
  <c r="F121" i="2"/>
  <c r="F111" i="2"/>
  <c r="F110" i="2"/>
  <c r="F109" i="2"/>
  <c r="F108" i="2"/>
  <c r="F107" i="2"/>
  <c r="F106" i="2"/>
  <c r="F105" i="2"/>
  <c r="F95" i="2"/>
  <c r="F94" i="2"/>
  <c r="F93" i="2"/>
  <c r="F92" i="2"/>
  <c r="F91" i="2"/>
  <c r="F90" i="2"/>
  <c r="F89" i="2"/>
  <c r="F79" i="2"/>
  <c r="F78" i="2"/>
  <c r="F77" i="2"/>
  <c r="F76" i="2"/>
  <c r="F75" i="2"/>
  <c r="F74" i="2"/>
  <c r="F73" i="2"/>
  <c r="F63" i="2"/>
  <c r="F62" i="2"/>
  <c r="F61" i="2"/>
  <c r="F60" i="2"/>
  <c r="F59" i="2"/>
  <c r="F58" i="2"/>
  <c r="F57" i="2"/>
  <c r="F47" i="2"/>
  <c r="F46" i="2"/>
  <c r="F45" i="2"/>
  <c r="F44" i="2"/>
  <c r="F43" i="2"/>
  <c r="F42" i="2"/>
  <c r="F41" i="2"/>
  <c r="F31" i="2"/>
  <c r="F30" i="2"/>
  <c r="F29" i="2"/>
  <c r="F28" i="2"/>
  <c r="F27" i="2"/>
  <c r="F26" i="2"/>
  <c r="F25" i="2"/>
  <c r="F14" i="2"/>
  <c r="F13" i="2"/>
  <c r="F12" i="2"/>
  <c r="F11" i="2"/>
  <c r="F10" i="2"/>
  <c r="F93" i="32" l="1"/>
  <c r="F94" i="32"/>
  <c r="G29" i="30"/>
  <c r="G119" i="16" s="1"/>
  <c r="F96" i="32"/>
  <c r="L29" i="30"/>
  <c r="L119" i="16" s="1"/>
  <c r="H96" i="32"/>
  <c r="F113" i="32"/>
  <c r="F116" i="32"/>
  <c r="G37" i="30"/>
  <c r="G24" i="16" s="1"/>
  <c r="F114" i="32"/>
  <c r="L37" i="30"/>
  <c r="L24" i="16" s="1"/>
  <c r="H116" i="32"/>
  <c r="E9" i="31"/>
  <c r="F63" i="32"/>
  <c r="F64" i="32"/>
  <c r="H66" i="32"/>
  <c r="F66" i="32"/>
  <c r="G23" i="30"/>
  <c r="G23" i="16" s="1"/>
  <c r="L23" i="30"/>
  <c r="L23" i="16" s="1"/>
  <c r="F79" i="32"/>
  <c r="L26" i="30"/>
  <c r="L71" i="16" s="1"/>
  <c r="F78" i="32"/>
  <c r="H81" i="32"/>
  <c r="F81" i="32"/>
  <c r="G71" i="14" s="1"/>
  <c r="G26" i="30"/>
  <c r="G71" i="16" s="1"/>
  <c r="E12" i="31"/>
  <c r="F128" i="32"/>
  <c r="G40" i="30"/>
  <c r="G72" i="16" s="1"/>
  <c r="F131" i="32"/>
  <c r="L40" i="30"/>
  <c r="L72" i="16" s="1"/>
  <c r="F129" i="32"/>
  <c r="H131" i="32"/>
  <c r="E40" i="31"/>
  <c r="E25" i="31"/>
  <c r="E44" i="31"/>
  <c r="E29" i="31"/>
  <c r="E11" i="31"/>
  <c r="F126" i="32"/>
  <c r="F124" i="32"/>
  <c r="F123" i="32"/>
  <c r="G39" i="30"/>
  <c r="G56" i="16" s="1"/>
  <c r="L39" i="30"/>
  <c r="L56" i="16" s="1"/>
  <c r="H126" i="32"/>
  <c r="E15" i="31"/>
  <c r="F143" i="32"/>
  <c r="F146" i="32"/>
  <c r="L43" i="30"/>
  <c r="L120" i="16" s="1"/>
  <c r="G43" i="30"/>
  <c r="G120" i="16" s="1"/>
  <c r="H146" i="32"/>
  <c r="F144" i="32"/>
  <c r="F76" i="32"/>
  <c r="F74" i="32"/>
  <c r="F73" i="32"/>
  <c r="G25" i="30"/>
  <c r="G55" i="16" s="1"/>
  <c r="L25" i="30"/>
  <c r="L55" i="16" s="1"/>
  <c r="H76" i="32"/>
  <c r="R31" i="13"/>
  <c r="P31" i="13"/>
  <c r="B68" i="4"/>
  <c r="C68" i="4"/>
  <c r="D68" i="4"/>
  <c r="E68" i="4"/>
  <c r="F68" i="4"/>
  <c r="H68" i="4"/>
  <c r="I68" i="4"/>
  <c r="J68" i="4"/>
  <c r="E124" i="32" l="1"/>
  <c r="G56" i="15"/>
  <c r="F56" i="15" s="1"/>
  <c r="G120" i="14"/>
  <c r="G56" i="14"/>
  <c r="I72" i="14"/>
  <c r="I131" i="32"/>
  <c r="H132" i="32"/>
  <c r="I23" i="14"/>
  <c r="H67" i="32"/>
  <c r="I66" i="32"/>
  <c r="E66" i="32" s="1"/>
  <c r="G24" i="14"/>
  <c r="G55" i="2"/>
  <c r="F55" i="2" s="1"/>
  <c r="F77" i="32"/>
  <c r="E73" i="32"/>
  <c r="F147" i="32"/>
  <c r="E143" i="32"/>
  <c r="G120" i="2"/>
  <c r="F120" i="2" s="1"/>
  <c r="F26" i="32"/>
  <c r="G54" i="14" s="1"/>
  <c r="F23" i="32"/>
  <c r="F24" i="32"/>
  <c r="L11" i="30"/>
  <c r="L54" i="16" s="1"/>
  <c r="L68" i="16" s="1"/>
  <c r="H26" i="32"/>
  <c r="G11" i="30"/>
  <c r="G54" i="16" s="1"/>
  <c r="G68" i="16" s="1"/>
  <c r="G72" i="15"/>
  <c r="F72" i="15" s="1"/>
  <c r="E129" i="32"/>
  <c r="I81" i="32"/>
  <c r="I71" i="14"/>
  <c r="H82" i="32"/>
  <c r="G23" i="15"/>
  <c r="F23" i="15" s="1"/>
  <c r="E64" i="32"/>
  <c r="G24" i="2"/>
  <c r="F24" i="2" s="1"/>
  <c r="F117" i="32"/>
  <c r="E113" i="32"/>
  <c r="G55" i="15"/>
  <c r="F55" i="15" s="1"/>
  <c r="E74" i="32"/>
  <c r="F43" i="32"/>
  <c r="F46" i="32"/>
  <c r="G15" i="30"/>
  <c r="G118" i="16" s="1"/>
  <c r="G132" i="16" s="1"/>
  <c r="L15" i="30"/>
  <c r="L118" i="16" s="1"/>
  <c r="L132" i="16" s="1"/>
  <c r="F44" i="32"/>
  <c r="H46" i="32"/>
  <c r="L28" i="30"/>
  <c r="L103" i="16" s="1"/>
  <c r="F91" i="32"/>
  <c r="H91" i="32"/>
  <c r="F89" i="32"/>
  <c r="F88" i="32"/>
  <c r="G28" i="30"/>
  <c r="G103" i="16" s="1"/>
  <c r="G71" i="2"/>
  <c r="F71" i="2" s="1"/>
  <c r="F82" i="32"/>
  <c r="E78" i="32"/>
  <c r="G23" i="2"/>
  <c r="F23" i="2" s="1"/>
  <c r="F67" i="32"/>
  <c r="E63" i="32"/>
  <c r="I119" i="14"/>
  <c r="H97" i="32"/>
  <c r="I96" i="32"/>
  <c r="E96" i="32" s="1"/>
  <c r="F138" i="32"/>
  <c r="H141" i="32"/>
  <c r="E14" i="31"/>
  <c r="L42" i="30"/>
  <c r="L104" i="16" s="1"/>
  <c r="G42" i="30"/>
  <c r="G104" i="16" s="1"/>
  <c r="F139" i="32"/>
  <c r="F141" i="32"/>
  <c r="G72" i="14"/>
  <c r="H16" i="32"/>
  <c r="F16" i="32"/>
  <c r="F14" i="32"/>
  <c r="G9" i="30"/>
  <c r="G22" i="16" s="1"/>
  <c r="F13" i="32"/>
  <c r="L9" i="30"/>
  <c r="L22" i="16" s="1"/>
  <c r="L36" i="16" s="1"/>
  <c r="G55" i="14"/>
  <c r="H127" i="32"/>
  <c r="I126" i="32"/>
  <c r="I56" i="14"/>
  <c r="E144" i="32"/>
  <c r="G120" i="15"/>
  <c r="F120" i="15" s="1"/>
  <c r="F69" i="32"/>
  <c r="F71" i="32"/>
  <c r="F68" i="32"/>
  <c r="G24" i="30"/>
  <c r="G39" i="16" s="1"/>
  <c r="L24" i="30"/>
  <c r="L39" i="16" s="1"/>
  <c r="H71" i="32"/>
  <c r="G71" i="15"/>
  <c r="F71" i="15" s="1"/>
  <c r="E79" i="32"/>
  <c r="I24" i="14"/>
  <c r="H117" i="32"/>
  <c r="I116" i="32"/>
  <c r="E116" i="32" s="1"/>
  <c r="G119" i="14"/>
  <c r="H147" i="32"/>
  <c r="I146" i="32"/>
  <c r="I120" i="14"/>
  <c r="F121" i="32"/>
  <c r="G38" i="30"/>
  <c r="G40" i="16" s="1"/>
  <c r="H121" i="32"/>
  <c r="E10" i="31"/>
  <c r="F118" i="32"/>
  <c r="F119" i="32"/>
  <c r="L38" i="30"/>
  <c r="L40" i="16" s="1"/>
  <c r="F132" i="32"/>
  <c r="E128" i="32"/>
  <c r="G72" i="2"/>
  <c r="F72" i="2" s="1"/>
  <c r="H77" i="32"/>
  <c r="I55" i="14"/>
  <c r="I76" i="32"/>
  <c r="G56" i="2"/>
  <c r="F56" i="2" s="1"/>
  <c r="F127" i="32"/>
  <c r="E123" i="32"/>
  <c r="F29" i="32"/>
  <c r="G12" i="30"/>
  <c r="G70" i="16" s="1"/>
  <c r="G84" i="16" s="1"/>
  <c r="F28" i="32"/>
  <c r="L12" i="30"/>
  <c r="L70" i="16" s="1"/>
  <c r="H31" i="32"/>
  <c r="F31" i="32"/>
  <c r="G24" i="15"/>
  <c r="F24" i="15" s="1"/>
  <c r="E114" i="32"/>
  <c r="G119" i="15"/>
  <c r="F119" i="15" s="1"/>
  <c r="E94" i="32"/>
  <c r="G23" i="14"/>
  <c r="G119" i="2"/>
  <c r="F119" i="2" s="1"/>
  <c r="E93" i="32"/>
  <c r="F97" i="32"/>
  <c r="G10" i="27"/>
  <c r="H10" i="27"/>
  <c r="L133" i="16" l="1"/>
  <c r="R14" i="33" s="1"/>
  <c r="G103" i="15"/>
  <c r="F103" i="15" s="1"/>
  <c r="E89" i="32"/>
  <c r="E119" i="32"/>
  <c r="G40" i="15"/>
  <c r="F40" i="15" s="1"/>
  <c r="H72" i="32"/>
  <c r="I71" i="32"/>
  <c r="E71" i="32" s="1"/>
  <c r="I39" i="14"/>
  <c r="G22" i="15"/>
  <c r="E14" i="32"/>
  <c r="H92" i="32"/>
  <c r="I91" i="32"/>
  <c r="E91" i="32" s="1"/>
  <c r="I103" i="14"/>
  <c r="G118" i="2"/>
  <c r="F47" i="32"/>
  <c r="E43" i="32"/>
  <c r="G54" i="15"/>
  <c r="E24" i="32"/>
  <c r="G118" i="14"/>
  <c r="G70" i="14"/>
  <c r="I77" i="32"/>
  <c r="E77" i="32" s="1"/>
  <c r="J55" i="14"/>
  <c r="F55" i="14" s="1"/>
  <c r="F122" i="32"/>
  <c r="E118" i="32"/>
  <c r="G40" i="2"/>
  <c r="F40" i="2" s="1"/>
  <c r="I127" i="32"/>
  <c r="E127" i="32" s="1"/>
  <c r="J56" i="14"/>
  <c r="F56" i="14" s="1"/>
  <c r="G22" i="14"/>
  <c r="L14" i="30"/>
  <c r="L102" i="16" s="1"/>
  <c r="L116" i="16" s="1"/>
  <c r="H41" i="32"/>
  <c r="F39" i="32"/>
  <c r="F38" i="32"/>
  <c r="F41" i="32"/>
  <c r="G14" i="30"/>
  <c r="G102" i="16" s="1"/>
  <c r="G103" i="14"/>
  <c r="G54" i="2"/>
  <c r="F27" i="32"/>
  <c r="E23" i="32"/>
  <c r="E126" i="32"/>
  <c r="L69" i="16"/>
  <c r="R10" i="33" s="1"/>
  <c r="I132" i="32"/>
  <c r="E132" i="32" s="1"/>
  <c r="J72" i="14"/>
  <c r="F72" i="14" s="1"/>
  <c r="H32" i="32"/>
  <c r="I31" i="32"/>
  <c r="E31" i="32" s="1"/>
  <c r="I70" i="14"/>
  <c r="L10" i="30"/>
  <c r="L38" i="16" s="1"/>
  <c r="L52" i="16" s="1"/>
  <c r="H21" i="32"/>
  <c r="F21" i="32"/>
  <c r="F19" i="32"/>
  <c r="G10" i="30"/>
  <c r="G38" i="16" s="1"/>
  <c r="G52" i="16" s="1"/>
  <c r="F18" i="32"/>
  <c r="I22" i="14"/>
  <c r="H17" i="32"/>
  <c r="I16" i="32"/>
  <c r="H142" i="32"/>
  <c r="I141" i="32"/>
  <c r="I104" i="14"/>
  <c r="E81" i="32"/>
  <c r="J71" i="14"/>
  <c r="F71" i="14" s="1"/>
  <c r="I82" i="32"/>
  <c r="E82" i="32" s="1"/>
  <c r="G69" i="14"/>
  <c r="G68" i="14"/>
  <c r="I147" i="32"/>
  <c r="E147" i="32" s="1"/>
  <c r="J120" i="14"/>
  <c r="F120" i="14" s="1"/>
  <c r="L84" i="16"/>
  <c r="H122" i="32"/>
  <c r="I40" i="14"/>
  <c r="I121" i="32"/>
  <c r="E121" i="32" s="1"/>
  <c r="J24" i="14"/>
  <c r="F24" i="14" s="1"/>
  <c r="I117" i="32"/>
  <c r="E117" i="32" s="1"/>
  <c r="G39" i="2"/>
  <c r="F39" i="2" s="1"/>
  <c r="F72" i="32"/>
  <c r="E68" i="32"/>
  <c r="E76" i="32"/>
  <c r="E131" i="32"/>
  <c r="E138" i="32"/>
  <c r="G104" i="2"/>
  <c r="F104" i="2" s="1"/>
  <c r="F142" i="32"/>
  <c r="I118" i="14"/>
  <c r="I132" i="14" s="1"/>
  <c r="H47" i="32"/>
  <c r="I46" i="32"/>
  <c r="E46" i="32" s="1"/>
  <c r="J23" i="14"/>
  <c r="F23" i="14" s="1"/>
  <c r="I67" i="32"/>
  <c r="E67" i="32" s="1"/>
  <c r="E146" i="32"/>
  <c r="G36" i="16"/>
  <c r="G37" i="16" s="1"/>
  <c r="M8" i="33" s="1"/>
  <c r="G70" i="2"/>
  <c r="F32" i="32"/>
  <c r="E28" i="32"/>
  <c r="G39" i="14"/>
  <c r="I97" i="32"/>
  <c r="E97" i="32" s="1"/>
  <c r="J119" i="14"/>
  <c r="F119" i="14" s="1"/>
  <c r="E44" i="32"/>
  <c r="G118" i="15"/>
  <c r="G85" i="16"/>
  <c r="M11" i="33" s="1"/>
  <c r="L37" i="16"/>
  <c r="R8" i="33" s="1"/>
  <c r="G104" i="14"/>
  <c r="G69" i="16"/>
  <c r="M10" i="33" s="1"/>
  <c r="G40" i="14"/>
  <c r="G39" i="15"/>
  <c r="F39" i="15" s="1"/>
  <c r="E69" i="32"/>
  <c r="G70" i="15"/>
  <c r="E29" i="32"/>
  <c r="G22" i="2"/>
  <c r="F17" i="32"/>
  <c r="E13" i="32"/>
  <c r="G104" i="15"/>
  <c r="F104" i="15" s="1"/>
  <c r="E139" i="32"/>
  <c r="F92" i="32"/>
  <c r="E88" i="32"/>
  <c r="G103" i="2"/>
  <c r="F103" i="2" s="1"/>
  <c r="G133" i="16"/>
  <c r="M14" i="33" s="1"/>
  <c r="I54" i="14"/>
  <c r="H27" i="32"/>
  <c r="I26" i="32"/>
  <c r="F113" i="14"/>
  <c r="F97" i="14"/>
  <c r="F129" i="14"/>
  <c r="F81" i="14"/>
  <c r="F49" i="14"/>
  <c r="F65" i="14"/>
  <c r="F33" i="14"/>
  <c r="F17" i="14"/>
  <c r="B83" i="4"/>
  <c r="C83" i="4"/>
  <c r="D83" i="4"/>
  <c r="E83" i="4"/>
  <c r="F83" i="4"/>
  <c r="H83" i="4"/>
  <c r="I83" i="4"/>
  <c r="J83" i="4"/>
  <c r="L85" i="16" l="1"/>
  <c r="R11" i="33" s="1"/>
  <c r="H25" i="13"/>
  <c r="I142" i="32"/>
  <c r="E142" i="32" s="1"/>
  <c r="J104" i="14"/>
  <c r="F104" i="14" s="1"/>
  <c r="F22" i="2"/>
  <c r="G36" i="2"/>
  <c r="G37" i="2"/>
  <c r="E141" i="32"/>
  <c r="J22" i="14"/>
  <c r="F22" i="14" s="1"/>
  <c r="I17" i="32"/>
  <c r="E17" i="32" s="1"/>
  <c r="L53" i="16"/>
  <c r="R9" i="33" s="1"/>
  <c r="E16" i="32"/>
  <c r="I92" i="32"/>
  <c r="E92" i="32" s="1"/>
  <c r="J103" i="14"/>
  <c r="F103" i="14" s="1"/>
  <c r="F118" i="2"/>
  <c r="G132" i="2"/>
  <c r="G133" i="2"/>
  <c r="I133" i="14"/>
  <c r="I21" i="32"/>
  <c r="E21" i="32" s="1"/>
  <c r="I38" i="14"/>
  <c r="H22" i="32"/>
  <c r="F54" i="2"/>
  <c r="G69" i="2"/>
  <c r="G68" i="2"/>
  <c r="F70" i="15"/>
  <c r="G85" i="15"/>
  <c r="G84" i="15"/>
  <c r="F118" i="15"/>
  <c r="G133" i="15"/>
  <c r="G132" i="15"/>
  <c r="G36" i="14"/>
  <c r="G37" i="14"/>
  <c r="G133" i="14"/>
  <c r="G132" i="14"/>
  <c r="G38" i="14"/>
  <c r="I102" i="14"/>
  <c r="H42" i="32"/>
  <c r="I41" i="32"/>
  <c r="L117" i="16"/>
  <c r="R13" i="33" s="1"/>
  <c r="I122" i="32"/>
  <c r="E122" i="32" s="1"/>
  <c r="J40" i="14"/>
  <c r="F40" i="14" s="1"/>
  <c r="I36" i="14"/>
  <c r="I37" i="14"/>
  <c r="G116" i="16"/>
  <c r="G117" i="16" s="1"/>
  <c r="M13" i="33" s="1"/>
  <c r="E26" i="32"/>
  <c r="I27" i="32"/>
  <c r="E27" i="32" s="1"/>
  <c r="J54" i="14"/>
  <c r="F22" i="32"/>
  <c r="E18" i="32"/>
  <c r="G38" i="2"/>
  <c r="I85" i="14"/>
  <c r="I84" i="14"/>
  <c r="G102" i="14"/>
  <c r="F54" i="15"/>
  <c r="G68" i="15"/>
  <c r="G69" i="15"/>
  <c r="F22" i="15"/>
  <c r="G36" i="15"/>
  <c r="G37" i="15"/>
  <c r="G53" i="16"/>
  <c r="M9" i="33" s="1"/>
  <c r="I32" i="32"/>
  <c r="E32" i="32" s="1"/>
  <c r="J70" i="14"/>
  <c r="F70" i="14" s="1"/>
  <c r="G102" i="2"/>
  <c r="F42" i="32"/>
  <c r="E38" i="32"/>
  <c r="G85" i="14"/>
  <c r="G84" i="14"/>
  <c r="F70" i="2"/>
  <c r="G84" i="2"/>
  <c r="G85" i="2"/>
  <c r="I68" i="14"/>
  <c r="I69" i="14"/>
  <c r="J118" i="14"/>
  <c r="F118" i="14" s="1"/>
  <c r="I47" i="32"/>
  <c r="E47" i="32" s="1"/>
  <c r="G38" i="15"/>
  <c r="E19" i="32"/>
  <c r="G102" i="15"/>
  <c r="E39" i="32"/>
  <c r="I72" i="32"/>
  <c r="E72" i="32" s="1"/>
  <c r="J39" i="14"/>
  <c r="F39" i="14" s="1"/>
  <c r="F80" i="2"/>
  <c r="F112" i="2"/>
  <c r="F128" i="2"/>
  <c r="F96" i="2"/>
  <c r="F32" i="2"/>
  <c r="F48" i="2"/>
  <c r="F81" i="15"/>
  <c r="F16" i="2"/>
  <c r="F64" i="2"/>
  <c r="F32" i="15"/>
  <c r="F17" i="15"/>
  <c r="F97" i="15"/>
  <c r="F32" i="14"/>
  <c r="F16" i="14"/>
  <c r="F80" i="15"/>
  <c r="F128" i="15"/>
  <c r="F48" i="14"/>
  <c r="F96" i="15"/>
  <c r="F49" i="15"/>
  <c r="F112" i="14"/>
  <c r="F48" i="15"/>
  <c r="F80" i="14"/>
  <c r="F64" i="15"/>
  <c r="F16" i="15"/>
  <c r="F129" i="15"/>
  <c r="F97" i="2"/>
  <c r="F65" i="15"/>
  <c r="F33" i="15"/>
  <c r="F113" i="15"/>
  <c r="F112" i="15"/>
  <c r="F33" i="2"/>
  <c r="F113" i="2"/>
  <c r="F81" i="2"/>
  <c r="F49" i="2"/>
  <c r="F129" i="2"/>
  <c r="F17" i="2"/>
  <c r="F65" i="2"/>
  <c r="H23" i="13" l="1"/>
  <c r="G23" i="13" s="1"/>
  <c r="J15" i="13"/>
  <c r="K15" i="13" s="1"/>
  <c r="J25" i="13"/>
  <c r="K25" i="13" s="1"/>
  <c r="H22" i="13"/>
  <c r="G22" i="13" s="1"/>
  <c r="H13" i="13"/>
  <c r="G13" i="13" s="1"/>
  <c r="J45" i="13"/>
  <c r="K45" i="13" s="1"/>
  <c r="H42" i="13"/>
  <c r="G42" i="13" s="1"/>
  <c r="H12" i="13"/>
  <c r="G12" i="13" s="1"/>
  <c r="H27" i="13"/>
  <c r="G27" i="13" s="1"/>
  <c r="H43" i="13"/>
  <c r="G43" i="13" s="1"/>
  <c r="H30" i="13"/>
  <c r="H15" i="13"/>
  <c r="F102" i="15"/>
  <c r="G117" i="15"/>
  <c r="G116" i="15"/>
  <c r="H38" i="13" s="1"/>
  <c r="G38" i="13" s="1"/>
  <c r="J30" i="13"/>
  <c r="F102" i="2"/>
  <c r="G116" i="2"/>
  <c r="H37" i="13" s="1"/>
  <c r="G37" i="13" s="1"/>
  <c r="G117" i="2"/>
  <c r="H45" i="13"/>
  <c r="J102" i="14"/>
  <c r="I42" i="32"/>
  <c r="E42" i="32" s="1"/>
  <c r="F38" i="2"/>
  <c r="G52" i="2"/>
  <c r="G53" i="2"/>
  <c r="J69" i="14"/>
  <c r="J68" i="14"/>
  <c r="F54" i="14"/>
  <c r="I117" i="14"/>
  <c r="I116" i="14"/>
  <c r="J40" i="13" s="1"/>
  <c r="K40" i="13" s="1"/>
  <c r="I53" i="14"/>
  <c r="I52" i="14"/>
  <c r="F38" i="15"/>
  <c r="G53" i="15"/>
  <c r="G52" i="15"/>
  <c r="J37" i="14"/>
  <c r="J36" i="14"/>
  <c r="J132" i="14"/>
  <c r="J133" i="14"/>
  <c r="E41" i="32"/>
  <c r="H28" i="13"/>
  <c r="G28" i="13" s="1"/>
  <c r="J38" i="14"/>
  <c r="F38" i="14" s="1"/>
  <c r="I22" i="32"/>
  <c r="E22" i="32" s="1"/>
  <c r="J85" i="14"/>
  <c r="J84" i="14"/>
  <c r="G117" i="14"/>
  <c r="G116" i="14"/>
  <c r="H40" i="13" s="1"/>
  <c r="G53" i="14"/>
  <c r="G52" i="14"/>
  <c r="F99" i="2"/>
  <c r="F101" i="2" s="1"/>
  <c r="F131" i="2"/>
  <c r="F133" i="2" s="1"/>
  <c r="F19" i="14"/>
  <c r="F51" i="2"/>
  <c r="F35" i="2"/>
  <c r="F36" i="2" s="1"/>
  <c r="F19" i="2"/>
  <c r="F83" i="2"/>
  <c r="F85" i="2" s="1"/>
  <c r="F99" i="15"/>
  <c r="F100" i="15" s="1"/>
  <c r="F19" i="15"/>
  <c r="F67" i="14"/>
  <c r="F131" i="15"/>
  <c r="F132" i="15" s="1"/>
  <c r="F35" i="15"/>
  <c r="F37" i="15" s="1"/>
  <c r="F67" i="15"/>
  <c r="F69" i="15" s="1"/>
  <c r="F51" i="14"/>
  <c r="F51" i="15"/>
  <c r="F115" i="2"/>
  <c r="F83" i="14"/>
  <c r="F84" i="14" s="1"/>
  <c r="F35" i="14"/>
  <c r="F37" i="14" s="1"/>
  <c r="F67" i="2"/>
  <c r="F68" i="2" s="1"/>
  <c r="F99" i="14"/>
  <c r="F101" i="14" s="1"/>
  <c r="F83" i="15"/>
  <c r="F85" i="15" s="1"/>
  <c r="F115" i="14"/>
  <c r="F115" i="15"/>
  <c r="F131" i="14"/>
  <c r="F132" i="14" s="1"/>
  <c r="K30" i="13" l="1"/>
  <c r="K31" i="13" s="1"/>
  <c r="G40" i="13"/>
  <c r="G15" i="13"/>
  <c r="F53" i="15"/>
  <c r="H17" i="13"/>
  <c r="G17" i="13" s="1"/>
  <c r="J20" i="13"/>
  <c r="K20" i="13" s="1"/>
  <c r="F117" i="15"/>
  <c r="F69" i="14"/>
  <c r="F117" i="2"/>
  <c r="F53" i="2"/>
  <c r="F52" i="14"/>
  <c r="J116" i="14"/>
  <c r="J117" i="14"/>
  <c r="H20" i="13"/>
  <c r="F102" i="14"/>
  <c r="F117" i="14" s="1"/>
  <c r="J53" i="14"/>
  <c r="J52" i="14"/>
  <c r="H18" i="13"/>
  <c r="G18" i="13" s="1"/>
  <c r="F53" i="14"/>
  <c r="F52" i="2"/>
  <c r="F69" i="2"/>
  <c r="F85" i="14"/>
  <c r="F100" i="2"/>
  <c r="F68" i="14"/>
  <c r="F133" i="14"/>
  <c r="F37" i="2"/>
  <c r="F132" i="2"/>
  <c r="F84" i="2"/>
  <c r="F116" i="2"/>
  <c r="F36" i="14"/>
  <c r="F100" i="14"/>
  <c r="F133" i="15"/>
  <c r="F52" i="15"/>
  <c r="F101" i="15"/>
  <c r="F116" i="15"/>
  <c r="F84" i="15"/>
  <c r="F68" i="15"/>
  <c r="F36" i="15"/>
  <c r="J31" i="13"/>
  <c r="G35" i="13"/>
  <c r="G25" i="13"/>
  <c r="L46" i="13"/>
  <c r="I31" i="13"/>
  <c r="C10" i="27" s="1"/>
  <c r="H41" i="13"/>
  <c r="H46" i="13"/>
  <c r="L31" i="13"/>
  <c r="J46" i="13"/>
  <c r="K46" i="13"/>
  <c r="G30" i="13" l="1"/>
  <c r="D10" i="27"/>
  <c r="G20" i="13"/>
  <c r="G45" i="13"/>
  <c r="F116" i="14"/>
  <c r="AA41" i="13" s="1"/>
  <c r="AA36" i="13"/>
  <c r="H31" i="13"/>
  <c r="B10" i="27" s="1"/>
  <c r="O11" i="13"/>
  <c r="F15" i="27" s="1"/>
  <c r="H26" i="13"/>
  <c r="N46" i="13"/>
  <c r="E13" i="27" s="1"/>
  <c r="N31" i="13"/>
  <c r="E10" i="27" s="1"/>
  <c r="H36" i="13"/>
  <c r="O31" i="13"/>
  <c r="F10" i="27" s="1"/>
  <c r="AA21" i="13"/>
  <c r="G11" i="33"/>
  <c r="I46" i="13"/>
  <c r="H21" i="13"/>
  <c r="H16" i="13"/>
  <c r="AA46" i="13"/>
  <c r="O46" i="13"/>
  <c r="F13" i="27" s="1"/>
  <c r="AA31" i="13"/>
  <c r="AA26" i="13"/>
  <c r="AA16" i="13"/>
  <c r="N11" i="13"/>
  <c r="L11" i="13"/>
  <c r="I11" i="13"/>
  <c r="I8" i="33" l="1"/>
  <c r="E15" i="27"/>
  <c r="Z46" i="13"/>
  <c r="G46" i="13"/>
  <c r="F14" i="33" s="1"/>
  <c r="J13" i="27"/>
  <c r="J7" i="27"/>
  <c r="J10" i="27"/>
  <c r="M10" i="27" s="1"/>
  <c r="I11" i="33" l="1"/>
  <c r="I12" i="33"/>
  <c r="I14" i="33"/>
  <c r="H11" i="33"/>
  <c r="J9" i="27"/>
  <c r="J11" i="27"/>
  <c r="J8" i="27"/>
  <c r="I9" i="33" l="1"/>
  <c r="I13" i="33"/>
  <c r="P16" i="13"/>
  <c r="R16" i="13"/>
  <c r="L16" i="13"/>
  <c r="I16" i="13"/>
  <c r="J16" i="13"/>
  <c r="N16" i="13"/>
  <c r="O16" i="13"/>
  <c r="F12" i="27" s="1"/>
  <c r="E12" i="27" l="1"/>
  <c r="C12" i="27"/>
  <c r="H12" i="27"/>
  <c r="G12" i="27"/>
  <c r="J36" i="13"/>
  <c r="O36" i="13"/>
  <c r="F7" i="27" s="1"/>
  <c r="N36" i="13"/>
  <c r="I36" i="13"/>
  <c r="P36" i="13"/>
  <c r="L36" i="13"/>
  <c r="R36" i="13"/>
  <c r="K16" i="13"/>
  <c r="E7" i="27" l="1"/>
  <c r="H8" i="33"/>
  <c r="C7" i="27"/>
  <c r="H13" i="27"/>
  <c r="C13" i="27"/>
  <c r="G13" i="27"/>
  <c r="G7" i="27"/>
  <c r="H7" i="27"/>
  <c r="D12" i="27"/>
  <c r="B12" i="27"/>
  <c r="L21" i="13"/>
  <c r="N21" i="13"/>
  <c r="I21" i="13"/>
  <c r="O21" i="13"/>
  <c r="F8" i="27" s="1"/>
  <c r="R21" i="13"/>
  <c r="J21" i="13"/>
  <c r="P21" i="13"/>
  <c r="P26" i="13"/>
  <c r="N26" i="13"/>
  <c r="L26" i="13"/>
  <c r="J26" i="13"/>
  <c r="O26" i="13"/>
  <c r="F11" i="27" s="1"/>
  <c r="R26" i="13"/>
  <c r="I26" i="13"/>
  <c r="P41" i="13"/>
  <c r="I41" i="13"/>
  <c r="J41" i="13"/>
  <c r="N41" i="13"/>
  <c r="L41" i="13"/>
  <c r="O41" i="13"/>
  <c r="F9" i="27" s="1"/>
  <c r="R41" i="13"/>
  <c r="K36" i="13"/>
  <c r="J8" i="33" l="1"/>
  <c r="G12" i="33"/>
  <c r="G8" i="33"/>
  <c r="E11" i="27"/>
  <c r="E8" i="27"/>
  <c r="E9" i="27"/>
  <c r="D13" i="27"/>
  <c r="H9" i="27"/>
  <c r="M12" i="27"/>
  <c r="B13" i="27"/>
  <c r="H11" i="27"/>
  <c r="D7" i="27"/>
  <c r="C9" i="27"/>
  <c r="G9" i="27"/>
  <c r="B7" i="27"/>
  <c r="H8" i="27"/>
  <c r="G11" i="27"/>
  <c r="C11" i="27"/>
  <c r="C8" i="27"/>
  <c r="G8" i="27"/>
  <c r="C15" i="27"/>
  <c r="G15" i="27"/>
  <c r="H15" i="27"/>
  <c r="K41" i="13"/>
  <c r="K26" i="13"/>
  <c r="K21" i="13"/>
  <c r="Z21" i="13" s="1"/>
  <c r="H12" i="33" l="1"/>
  <c r="G14" i="33"/>
  <c r="J12" i="33"/>
  <c r="H14" i="33"/>
  <c r="J14" i="33"/>
  <c r="M13" i="27"/>
  <c r="M7" i="27"/>
  <c r="D9" i="27"/>
  <c r="B9" i="27"/>
  <c r="B11" i="27"/>
  <c r="D11" i="27"/>
  <c r="D8" i="27"/>
  <c r="B8" i="27"/>
  <c r="J11" i="33"/>
  <c r="J13" i="33" l="1"/>
  <c r="H9" i="33"/>
  <c r="J10" i="33"/>
  <c r="J9" i="33"/>
  <c r="H13" i="33"/>
  <c r="G9" i="33"/>
  <c r="H10" i="33"/>
  <c r="G13" i="33"/>
  <c r="G10" i="33"/>
  <c r="M9" i="27"/>
  <c r="M11" i="27"/>
  <c r="M8" i="27"/>
  <c r="G36" i="13" l="1"/>
  <c r="G21" i="13"/>
  <c r="G31" i="13"/>
  <c r="Z26" i="13"/>
  <c r="Z16" i="13"/>
  <c r="Z36" i="13"/>
  <c r="Z31" i="13"/>
  <c r="Z41" i="13"/>
  <c r="G26" i="13"/>
  <c r="G16" i="13"/>
  <c r="G41" i="13"/>
  <c r="F12" i="33" l="1"/>
  <c r="F13" i="33"/>
  <c r="F11" i="33"/>
  <c r="F8" i="33"/>
  <c r="F10" i="33"/>
  <c r="F9" i="33"/>
  <c r="C109" i="25"/>
  <c r="C114" i="25" s="1"/>
  <c r="C116" i="25" s="1"/>
  <c r="C153" i="25" s="1"/>
  <c r="C154" i="25" s="1"/>
  <c r="T10" i="13" l="1"/>
  <c r="T11" i="13" s="1"/>
  <c r="J15" i="27" s="1"/>
  <c r="C134" i="25"/>
  <c r="C124" i="25"/>
  <c r="C140" i="25" l="1"/>
  <c r="C143" i="25" s="1"/>
  <c r="B146" i="25" l="1"/>
  <c r="B147" i="25" s="1"/>
  <c r="C150" i="25" l="1"/>
  <c r="C151" i="25" s="1"/>
  <c r="E38" i="31"/>
  <c r="E23" i="31"/>
  <c r="L22" i="30" l="1"/>
  <c r="L7" i="16" s="1"/>
  <c r="F58" i="32"/>
  <c r="F61" i="32"/>
  <c r="F59" i="32"/>
  <c r="H61" i="32"/>
  <c r="G22" i="30"/>
  <c r="G7" i="16" s="1"/>
  <c r="L36" i="30"/>
  <c r="L8" i="16" s="1"/>
  <c r="F109" i="32"/>
  <c r="H111" i="32"/>
  <c r="F111" i="32"/>
  <c r="E8" i="31"/>
  <c r="G36" i="30"/>
  <c r="G8" i="16" s="1"/>
  <c r="F108" i="32"/>
  <c r="F112" i="32" l="1"/>
  <c r="G8" i="2"/>
  <c r="F8" i="2" s="1"/>
  <c r="E108" i="32"/>
  <c r="I61" i="32"/>
  <c r="E61" i="32" s="1"/>
  <c r="I7" i="14"/>
  <c r="H62" i="32"/>
  <c r="E59" i="32"/>
  <c r="G7" i="15"/>
  <c r="F7" i="15" s="1"/>
  <c r="L8" i="30"/>
  <c r="L6" i="16" s="1"/>
  <c r="G8" i="30"/>
  <c r="G6" i="16" s="1"/>
  <c r="F11" i="32"/>
  <c r="F8" i="32"/>
  <c r="H11" i="32"/>
  <c r="F9" i="32"/>
  <c r="G7" i="14"/>
  <c r="E109" i="32"/>
  <c r="G8" i="15"/>
  <c r="F8" i="15" s="1"/>
  <c r="F62" i="32"/>
  <c r="G7" i="2"/>
  <c r="F7" i="2" s="1"/>
  <c r="E58" i="32"/>
  <c r="G8" i="14"/>
  <c r="I8" i="14"/>
  <c r="H112" i="32"/>
  <c r="I111" i="32"/>
  <c r="E111" i="32" s="1"/>
  <c r="I11" i="32" l="1"/>
  <c r="E11" i="32" s="1"/>
  <c r="H12" i="32"/>
  <c r="I6" i="14"/>
  <c r="F12" i="32"/>
  <c r="G6" i="2"/>
  <c r="E8" i="32"/>
  <c r="I62" i="32"/>
  <c r="E62" i="32" s="1"/>
  <c r="J7" i="14"/>
  <c r="F7" i="14" s="1"/>
  <c r="E9" i="32"/>
  <c r="G6" i="15"/>
  <c r="G6" i="14"/>
  <c r="I112" i="32"/>
  <c r="E112" i="32" s="1"/>
  <c r="J8" i="14"/>
  <c r="F8" i="14" s="1"/>
  <c r="G20" i="16"/>
  <c r="L20" i="16"/>
  <c r="L21" i="16" l="1"/>
  <c r="R7" i="33" s="1"/>
  <c r="G21" i="2"/>
  <c r="F6" i="2"/>
  <c r="G20" i="2"/>
  <c r="G20" i="14"/>
  <c r="G21" i="14"/>
  <c r="I20" i="14"/>
  <c r="I21" i="14"/>
  <c r="G20" i="15"/>
  <c r="G21" i="15"/>
  <c r="F6" i="15"/>
  <c r="I12" i="32"/>
  <c r="E12" i="32" s="1"/>
  <c r="J6" i="14"/>
  <c r="F6" i="14" s="1"/>
  <c r="G21" i="16"/>
  <c r="M7" i="33" s="1"/>
  <c r="H8" i="13" l="1"/>
  <c r="G8" i="13" s="1"/>
  <c r="H7" i="33" s="1"/>
  <c r="H7" i="13"/>
  <c r="J10" i="13"/>
  <c r="J11" i="13" s="1"/>
  <c r="H10" i="13"/>
  <c r="F20" i="14"/>
  <c r="F21" i="14"/>
  <c r="F20" i="15"/>
  <c r="F21" i="15"/>
  <c r="J21" i="14"/>
  <c r="J20" i="14"/>
  <c r="F20" i="2"/>
  <c r="F21" i="2"/>
  <c r="H11" i="13" l="1"/>
  <c r="K10" i="13"/>
  <c r="K11" i="13" s="1"/>
  <c r="D15" i="27" s="1"/>
  <c r="G7" i="13"/>
  <c r="G7" i="33" s="1"/>
  <c r="AA11" i="13"/>
  <c r="Z11" i="13" l="1"/>
  <c r="G10" i="13"/>
  <c r="J7" i="33" s="1"/>
  <c r="G11" i="13"/>
  <c r="F7" i="33" s="1"/>
  <c r="B15" i="27"/>
  <c r="M15" i="27" s="1"/>
  <c r="O50" i="13" l="1"/>
  <c r="J53" i="4"/>
  <c r="N47" i="13" s="1"/>
  <c r="R147" i="25"/>
  <c r="E31" i="31" s="1"/>
  <c r="N50" i="13" l="1"/>
  <c r="L50" i="13"/>
  <c r="R47" i="13"/>
  <c r="I47" i="13"/>
  <c r="Q50" i="13"/>
  <c r="N15" i="33"/>
  <c r="H101" i="32"/>
  <c r="G30" i="30"/>
  <c r="G135" i="16" s="1"/>
  <c r="F101" i="32"/>
  <c r="F99" i="32"/>
  <c r="F98" i="32"/>
  <c r="L30" i="30"/>
  <c r="L135" i="16" s="1"/>
  <c r="L15" i="33"/>
  <c r="P15" i="33"/>
  <c r="R50" i="13"/>
  <c r="Q48" i="13"/>
  <c r="N48" i="13"/>
  <c r="N51" i="13" s="1"/>
  <c r="Q47" i="13"/>
  <c r="L47" i="13"/>
  <c r="P50" i="13"/>
  <c r="O48" i="13"/>
  <c r="E46" i="31"/>
  <c r="O15" i="33"/>
  <c r="L48" i="13"/>
  <c r="I50" i="13"/>
  <c r="P48" i="13"/>
  <c r="P47" i="13"/>
  <c r="O47" i="13"/>
  <c r="R48" i="13"/>
  <c r="Q15" i="33"/>
  <c r="I48" i="13"/>
  <c r="R51" i="13" l="1"/>
  <c r="H14" i="27" s="1"/>
  <c r="I51" i="13"/>
  <c r="C14" i="27" s="1"/>
  <c r="P51" i="13"/>
  <c r="G14" i="27" s="1"/>
  <c r="Q51" i="13"/>
  <c r="F102" i="32"/>
  <c r="E98" i="32"/>
  <c r="G135" i="2"/>
  <c r="G135" i="15"/>
  <c r="E99" i="32"/>
  <c r="G135" i="14"/>
  <c r="H151" i="32"/>
  <c r="F149" i="32"/>
  <c r="G44" i="30"/>
  <c r="G136" i="16" s="1"/>
  <c r="G148" i="16" s="1"/>
  <c r="L44" i="30"/>
  <c r="L136" i="16" s="1"/>
  <c r="F148" i="32"/>
  <c r="F151" i="32"/>
  <c r="I101" i="32"/>
  <c r="E101" i="32" s="1"/>
  <c r="H102" i="32"/>
  <c r="I135" i="14"/>
  <c r="L51" i="13"/>
  <c r="E14" i="27" s="1"/>
  <c r="O51" i="13"/>
  <c r="F14" i="27" l="1"/>
  <c r="E148" i="32"/>
  <c r="F152" i="32"/>
  <c r="G136" i="2"/>
  <c r="F136" i="2" s="1"/>
  <c r="G136" i="15"/>
  <c r="F136" i="15" s="1"/>
  <c r="E149" i="32"/>
  <c r="I136" i="14"/>
  <c r="I148" i="14" s="1"/>
  <c r="H152" i="32"/>
  <c r="I151" i="32"/>
  <c r="F135" i="15"/>
  <c r="G148" i="15"/>
  <c r="L148" i="16"/>
  <c r="F135" i="2"/>
  <c r="J135" i="14"/>
  <c r="F135" i="14" s="1"/>
  <c r="I102" i="32"/>
  <c r="E102" i="32" s="1"/>
  <c r="G149" i="16"/>
  <c r="M15" i="33" s="1"/>
  <c r="G136" i="14"/>
  <c r="G148" i="14" s="1"/>
  <c r="I149" i="14" l="1"/>
  <c r="J50" i="13" s="1"/>
  <c r="J51" i="13" s="1"/>
  <c r="G149" i="15"/>
  <c r="H48" i="13" s="1"/>
  <c r="G48" i="13" s="1"/>
  <c r="H15" i="33" s="1"/>
  <c r="F148" i="15"/>
  <c r="F149" i="15"/>
  <c r="I152" i="32"/>
  <c r="E152" i="32" s="1"/>
  <c r="J136" i="14"/>
  <c r="F136" i="14" s="1"/>
  <c r="F148" i="14" s="1"/>
  <c r="G149" i="14"/>
  <c r="H50" i="13" s="1"/>
  <c r="G148" i="2"/>
  <c r="G149" i="2"/>
  <c r="E151" i="32"/>
  <c r="F148" i="2"/>
  <c r="F149" i="2"/>
  <c r="L149" i="16"/>
  <c r="R15" i="33" s="1"/>
  <c r="J148" i="14" l="1"/>
  <c r="J149" i="14"/>
  <c r="H47" i="13"/>
  <c r="F149" i="14"/>
  <c r="K50" i="13" l="1"/>
  <c r="H51" i="13"/>
  <c r="G47" i="13"/>
  <c r="G15" i="33" s="1"/>
  <c r="K51" i="13" l="1"/>
  <c r="D14" i="27" s="1"/>
  <c r="G50" i="13"/>
  <c r="J15" i="33" s="1"/>
  <c r="B14" i="27"/>
  <c r="M14" i="27" l="1"/>
  <c r="G51" i="13"/>
  <c r="F15" i="33" s="1"/>
  <c r="Z51"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Elin Röös</author>
  </authors>
  <commentList>
    <comment ref="AV18" authorId="0" shapeId="0" xr:uid="{EEDAC533-9CF6-4318-8CF0-35F32552844F}">
      <text>
        <r>
          <rPr>
            <b/>
            <sz val="9"/>
            <color indexed="81"/>
            <rFont val="Tahoma"/>
            <family val="2"/>
          </rPr>
          <t>Elin Röös:</t>
        </r>
        <r>
          <rPr>
            <sz val="9"/>
            <color indexed="81"/>
            <rFont val="Tahoma"/>
            <family val="2"/>
          </rPr>
          <t xml:space="preserve">
Cropland_LightIntense and Cropland_Intense Sweden (representing what cultivation).
Sum of CF before converting to E/MSY. See table below, from CF_GLO_country_habitat_landuse_spps_10.06.24.csv</t>
        </r>
      </text>
    </comment>
  </commentList>
</comments>
</file>

<file path=xl/sharedStrings.xml><?xml version="1.0" encoding="utf-8"?>
<sst xmlns="http://schemas.openxmlformats.org/spreadsheetml/2006/main" count="5260" uniqueCount="576">
  <si>
    <t>Read me</t>
  </si>
  <si>
    <t>This is a file that contains the calculations of the footprints for rabbit meat</t>
  </si>
  <si>
    <t>Color codes:</t>
  </si>
  <si>
    <t>Results</t>
  </si>
  <si>
    <t>Sheets for input</t>
  </si>
  <si>
    <t>Intermediate calculations</t>
  </si>
  <si>
    <t>Figures</t>
  </si>
  <si>
    <t>Greenhouse gas emission for bonefree meat across countries, to farmgate, no waste</t>
  </si>
  <si>
    <t>Production of mineral fertilizer</t>
  </si>
  <si>
    <t xml:space="preserve">Production of capital goods </t>
  </si>
  <si>
    <t xml:space="preserve">Emissions from soil </t>
  </si>
  <si>
    <t>Energy use cropping</t>
  </si>
  <si>
    <t>Energy use for feed processing</t>
  </si>
  <si>
    <t>Land use change emissions</t>
  </si>
  <si>
    <t>Feed transports</t>
  </si>
  <si>
    <t>Enteric fermentation</t>
  </si>
  <si>
    <t>Manure management</t>
  </si>
  <si>
    <t>Energy use in stables</t>
  </si>
  <si>
    <t>Energy use for slaughter</t>
  </si>
  <si>
    <t>Tot</t>
  </si>
  <si>
    <t>Netherlands</t>
  </si>
  <si>
    <t>Greece</t>
  </si>
  <si>
    <t>Poland</t>
  </si>
  <si>
    <t>Italy</t>
  </si>
  <si>
    <t xml:space="preserve">Hungary </t>
  </si>
  <si>
    <t>Germany</t>
  </si>
  <si>
    <t>Spain</t>
  </si>
  <si>
    <t>Sweden</t>
  </si>
  <si>
    <t>France</t>
  </si>
  <si>
    <t>Cesari et al</t>
  </si>
  <si>
    <t>Footprints (per kg of meat)</t>
  </si>
  <si>
    <t>**Values inserted directly here, no formula in this excel sheet</t>
  </si>
  <si>
    <t>Animal products</t>
  </si>
  <si>
    <t>Climate</t>
  </si>
  <si>
    <t>Land</t>
  </si>
  <si>
    <t>Nitrogen</t>
  </si>
  <si>
    <t>Phosphorus</t>
  </si>
  <si>
    <t>Water</t>
  </si>
  <si>
    <t>Pesticides</t>
  </si>
  <si>
    <t>Biodiversity</t>
  </si>
  <si>
    <t>Ammonia</t>
  </si>
  <si>
    <t>Labour</t>
  </si>
  <si>
    <t>Animal welfare**</t>
  </si>
  <si>
    <t>Use of antibiotics**</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</si>
  <si>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</si>
  <si>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</si>
  <si>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</si>
  <si>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</si>
  <si>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</si>
  <si>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</si>
  <si>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</si>
  <si>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</si>
  <si>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</si>
  <si>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</si>
  <si>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</si>
  <si>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</si>
  <si>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</si>
  <si>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</si>
  <si>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</si>
  <si>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</si>
  <si>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</si>
  <si>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</si>
  <si>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</si>
  <si>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</si>
  <si>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Antibiotics use indicator/kg</t>
  </si>
  <si>
    <t>Rabbit meat</t>
  </si>
  <si>
    <t>Red meat</t>
  </si>
  <si>
    <t>FR</t>
  </si>
  <si>
    <t>DE</t>
  </si>
  <si>
    <t>GR</t>
  </si>
  <si>
    <t>HU</t>
  </si>
  <si>
    <t>IT</t>
  </si>
  <si>
    <t>NL</t>
  </si>
  <si>
    <t>PL</t>
  </si>
  <si>
    <t>ES</t>
  </si>
  <si>
    <t>SE</t>
  </si>
  <si>
    <t>* Calculated as percentage of direct emissions due to assumption due to data limitations regarding nitrogen leaching and volatilization from soils in different regions.</t>
  </si>
  <si>
    <t>GHG emissions (per kg of bonefree meat)</t>
  </si>
  <si>
    <t>Animals</t>
  </si>
  <si>
    <t>Stables</t>
  </si>
  <si>
    <t>Slaughter</t>
  </si>
  <si>
    <t>Control</t>
  </si>
  <si>
    <t>Sum</t>
  </si>
  <si>
    <t>Inputs</t>
  </si>
  <si>
    <t>Soil emissions</t>
  </si>
  <si>
    <t>Energy use</t>
  </si>
  <si>
    <t>Land use change</t>
  </si>
  <si>
    <t>Feed processing</t>
  </si>
  <si>
    <t>Transports</t>
  </si>
  <si>
    <t>Dairy cows</t>
  </si>
  <si>
    <t>FoodEx code</t>
  </si>
  <si>
    <t>FoodEx name</t>
  </si>
  <si>
    <t>Food Ex category (L1)</t>
  </si>
  <si>
    <t>Gas</t>
  </si>
  <si>
    <t>GHG</t>
  </si>
  <si>
    <t>Direct emissions</t>
  </si>
  <si>
    <t>Indirect emissions*</t>
  </si>
  <si>
    <t>Diesel use field mach</t>
  </si>
  <si>
    <t>Energy use in greenhouses</t>
  </si>
  <si>
    <t>Energy use for irrigation</t>
  </si>
  <si>
    <t>Energy use for post-harvest proc</t>
  </si>
  <si>
    <t>LUC emissions</t>
  </si>
  <si>
    <t>Manure management - tot</t>
  </si>
  <si>
    <t>Manure management - direct</t>
  </si>
  <si>
    <t>Manure management - indirect</t>
  </si>
  <si>
    <t>Total feed, excl LUC</t>
  </si>
  <si>
    <t>Feed mix emissions, kg CO2E per kg feed, excl. adjustement manure</t>
  </si>
  <si>
    <t>A01RQ</t>
  </si>
  <si>
    <t>Meat and meat products</t>
  </si>
  <si>
    <t>CO2</t>
  </si>
  <si>
    <t>CH4, fossil</t>
  </si>
  <si>
    <t>CH4, biogenic</t>
  </si>
  <si>
    <t>N2O</t>
  </si>
  <si>
    <t>CO2e</t>
  </si>
  <si>
    <t>Hungary</t>
  </si>
  <si>
    <t>Netherland</t>
  </si>
  <si>
    <t>Production system</t>
  </si>
  <si>
    <t>Animals in production per year (no)</t>
  </si>
  <si>
    <t>Roes</t>
  </si>
  <si>
    <t>Number of roes (any number can be used here)</t>
  </si>
  <si>
    <t>Recruitment roes, per year</t>
  </si>
  <si>
    <t>Number of does* recruitment rate*age at first litter in days/365</t>
  </si>
  <si>
    <t>Rabbits for meat</t>
  </si>
  <si>
    <t>Total</t>
  </si>
  <si>
    <t>Animals slaughtered per year (no)</t>
  </si>
  <si>
    <t xml:space="preserve">Number of does culled (ie replaced by recruitment heifers) * mortality does </t>
  </si>
  <si>
    <t>Rabbits * mortality</t>
  </si>
  <si>
    <t>Meat produced (kg CW)</t>
  </si>
  <si>
    <t>Meat produced (kg bonefree)</t>
  </si>
  <si>
    <t>Offal produced (kg edible) - included in meat</t>
  </si>
  <si>
    <t>Meat and offal produced (kg bonefree)</t>
  </si>
  <si>
    <t>Number of animals affected</t>
  </si>
  <si>
    <t>Roes and rabbits</t>
  </si>
  <si>
    <t>Production parameters and emission factors, country specific</t>
  </si>
  <si>
    <t>Production parameters</t>
  </si>
  <si>
    <t xml:space="preserve">Sources: </t>
  </si>
  <si>
    <t>Replacement rate, %</t>
  </si>
  <si>
    <t>Cesari et al, 2018</t>
  </si>
  <si>
    <t>Age of first litter, days</t>
  </si>
  <si>
    <t>https://www.msdvetmanual.com/all-other-pets/rabbits/breeding-and-reproduction-of-rabbits</t>
  </si>
  <si>
    <t>Meat yield, kg bonefree meat per CW (including offal)</t>
  </si>
  <si>
    <t xml:space="preserve">Cesari et al, 2018, Nilsson 2017 for Sweden </t>
  </si>
  <si>
    <t>Meat yield, kg CW per rabbit</t>
  </si>
  <si>
    <t>Cesari et al, 2018, Table 2</t>
  </si>
  <si>
    <t>Meat yield, kg CW per doe</t>
  </si>
  <si>
    <t>Number of weaned rabbits per doe per year</t>
  </si>
  <si>
    <t>Cesari et al, 2018, Nilsson 2017 for Sweden (Table 1)</t>
  </si>
  <si>
    <t>Slaughtering age, days</t>
  </si>
  <si>
    <t>Nilsson, 2017</t>
  </si>
  <si>
    <t xml:space="preserve">Mortality after weaning, % </t>
  </si>
  <si>
    <t>Mortality does, %</t>
  </si>
  <si>
    <t>Share of feed ingredients for does (% based on DM)</t>
  </si>
  <si>
    <t>Pasture</t>
  </si>
  <si>
    <t>Cesari et al, 2018, Table 3, approximating sunflower meal with rape seed meal</t>
  </si>
  <si>
    <t>Maize (fodder)</t>
  </si>
  <si>
    <t>From Nilsson et al (2017) for Sweden, Table 3</t>
  </si>
  <si>
    <t>Other forage crops (alfalfa)</t>
  </si>
  <si>
    <t>kg/rabbit</t>
  </si>
  <si>
    <t>%</t>
  </si>
  <si>
    <t>Barley, average</t>
  </si>
  <si>
    <t xml:space="preserve">Concentrates </t>
  </si>
  <si>
    <t>Maize (corn)</t>
  </si>
  <si>
    <t>Barley</t>
  </si>
  <si>
    <t>Oats</t>
  </si>
  <si>
    <t>Forage</t>
  </si>
  <si>
    <t>Rye</t>
  </si>
  <si>
    <t xml:space="preserve">Total: </t>
  </si>
  <si>
    <t>Wheat, average</t>
  </si>
  <si>
    <t>Peas, dry</t>
  </si>
  <si>
    <t>Det här kan göras noggrannare utifrån Nilsson</t>
  </si>
  <si>
    <t>Broad beans and horse beans, dry</t>
  </si>
  <si>
    <t>Rape seed cake</t>
  </si>
  <si>
    <t>Soy cake</t>
  </si>
  <si>
    <t>By-products</t>
  </si>
  <si>
    <t>Other</t>
  </si>
  <si>
    <t>Share forage crops</t>
  </si>
  <si>
    <t>Share of feed ingredients for rabbits (% based on DM)</t>
  </si>
  <si>
    <t>Other forage crops (including ley)</t>
  </si>
  <si>
    <t>Feed requirements</t>
  </si>
  <si>
    <t>Source:</t>
  </si>
  <si>
    <t>Comment:</t>
  </si>
  <si>
    <t>Feed intake, roes, kg/year</t>
  </si>
  <si>
    <t>Cesari et al, 2018, Table 1</t>
  </si>
  <si>
    <t>Including losses in a gross way based on Ahlgren et al, we set overall losses to 10% as a lot is ley/grass</t>
  </si>
  <si>
    <t>FCR fattener</t>
  </si>
  <si>
    <t>Nilsson et al (2017) for Sweden, see above</t>
  </si>
  <si>
    <t>Methane enteric fermentation, L per day</t>
  </si>
  <si>
    <t>Franz et al, 2011. Section 3.2, BM from Cesari et al</t>
  </si>
  <si>
    <t>From Franz et al, 2011:</t>
  </si>
  <si>
    <t>Methane enteric fermentation, kg per day</t>
  </si>
  <si>
    <t xml:space="preserve">Energy use in stables </t>
  </si>
  <si>
    <t>Electricity use in stables, kWh per tonne liveweight</t>
  </si>
  <si>
    <t>Cesari et al, 2018, Table 1, Nilsson et al (2017) for Sweden, see calculation cell N63</t>
  </si>
  <si>
    <t>Electricity use in stables, kWh per kg bonefree</t>
  </si>
  <si>
    <t>LW-&gt;CW from Cesari et al, 2018, Table 2</t>
  </si>
  <si>
    <t>Energy use at slaughter</t>
  </si>
  <si>
    <t>Approx with chicken:</t>
  </si>
  <si>
    <t>Electricity use in stables from Nilsson et al. (2017):</t>
  </si>
  <si>
    <t>Electricity, kWh/kg CW</t>
  </si>
  <si>
    <t xml:space="preserve">Edman et al. 2022 </t>
  </si>
  <si>
    <t>Farm 1</t>
  </si>
  <si>
    <t>Farm 2</t>
  </si>
  <si>
    <t>Farrm 3</t>
  </si>
  <si>
    <t>Farrm 4</t>
  </si>
  <si>
    <t>Farrm 5</t>
  </si>
  <si>
    <t>Average LW</t>
  </si>
  <si>
    <t>Average CW</t>
  </si>
  <si>
    <t>Heating oil, kWh/kg CW</t>
  </si>
  <si>
    <t>https://svenskfagel.se/wp-content/uploads/2022/11/klimatavtryck-sv-kyckling-foder-information-november-2022-publik.pdf</t>
  </si>
  <si>
    <t>El. use, kWh/year (Table 5)</t>
  </si>
  <si>
    <t>LW at slaughter, kg (Table 1)</t>
  </si>
  <si>
    <t>Emission factors electricity</t>
  </si>
  <si>
    <t>No slaughtered per year (Table 1)</t>
  </si>
  <si>
    <t>Electricity, kg CO2e/kWh</t>
  </si>
  <si>
    <t>ecoinvent; market for electricity, low voltage</t>
  </si>
  <si>
    <t>El. use, kWh/LW</t>
  </si>
  <si>
    <t>Electricity, kg CO2/kWh</t>
  </si>
  <si>
    <t>El.use, kWh/bonefree</t>
  </si>
  <si>
    <t>Electricity, kg CH4/kWh</t>
  </si>
  <si>
    <t>Electricity, kg N2O/kWh</t>
  </si>
  <si>
    <t>Emission factors changes in SOC and LUC</t>
  </si>
  <si>
    <t>Soil carbon loss, kg CO2e/feed</t>
  </si>
  <si>
    <t>Moberg et al. 2019</t>
  </si>
  <si>
    <t>Emission from the production of mineral fertilisers (kg)</t>
  </si>
  <si>
    <t>Fraction BAT</t>
  </si>
  <si>
    <t>Fraction AN</t>
  </si>
  <si>
    <t>Emission factors N2O from soil</t>
  </si>
  <si>
    <t>Direct emissions from mineral fertiliser</t>
  </si>
  <si>
    <t>Direct emissions from manure and crop residues</t>
  </si>
  <si>
    <t>Difference in emission factor min. fert - manure</t>
  </si>
  <si>
    <t>Indirect emissions, share of direct emissions</t>
  </si>
  <si>
    <t>https://www2.jordbruksverket.se/download/18.23e68dd418d7c649d1721e97/1707728297575/jo23_17v3.pdf</t>
  </si>
  <si>
    <t>Manure</t>
  </si>
  <si>
    <t>Manure replacement factor</t>
  </si>
  <si>
    <t>For grass eaters we do not adjust manure because the N in fertilisers on forage crops is only mineral fertiliser</t>
  </si>
  <si>
    <t>Water use</t>
  </si>
  <si>
    <t>Water use for housing and drinking in stables, m3 per kg head and year</t>
  </si>
  <si>
    <t>Mekonnen and Hoekstra (2012), collected from Moberg et al. 2019</t>
  </si>
  <si>
    <t>Water use during grazing, m3 per kg head and year</t>
  </si>
  <si>
    <t>Labour requirements</t>
  </si>
  <si>
    <t>Labour requirements, h tot in production</t>
  </si>
  <si>
    <t>This tab includes a calculation following the EMAP/EEA guidelines as for the other livestock species, approximating rabbit with laying hens. This however resulted in very high ammonia emissions and (hence also indirect N20 emissions), therefore the simpler IPCC approach was used (12% of N excreted lost as ammonia).</t>
  </si>
  <si>
    <t>Manure emissions</t>
  </si>
  <si>
    <t>Sources:</t>
  </si>
  <si>
    <t>NIR / CRF reports:</t>
  </si>
  <si>
    <t>https://unfccc.int/ghg-inventories-annex-i-parties/2023</t>
  </si>
  <si>
    <t>Does</t>
  </si>
  <si>
    <t>Rabbits</t>
  </si>
  <si>
    <t>Share solid</t>
  </si>
  <si>
    <t>Step 3</t>
  </si>
  <si>
    <t>CRF 2023, Table 3B(a)s2 Allocation.  Only shares for liquid, solid, pasture and other (deep litter) were considered and adjusted to 100%</t>
  </si>
  <si>
    <t>approx France</t>
  </si>
  <si>
    <t>Share liquid</t>
  </si>
  <si>
    <t>Share deep litter</t>
  </si>
  <si>
    <t>Share pasture</t>
  </si>
  <si>
    <t>METHANE EMISSIONS</t>
  </si>
  <si>
    <t>Emission factors methane emissions</t>
  </si>
  <si>
    <t>MCF solid manure</t>
  </si>
  <si>
    <t>CRF 2023, Table 3B(a)s2 MCF.   Only shares for liquid, solid, pasture and other (deep litter) were considered and adjusted to 100%. Weighted average between cool / temperate per type of manure</t>
  </si>
  <si>
    <t>IPCC 2019 Table 10.17</t>
  </si>
  <si>
    <t>MCF liquid manure</t>
  </si>
  <si>
    <t>IPCC 2019 Table 10.17, approx solid</t>
  </si>
  <si>
    <t xml:space="preserve"> </t>
  </si>
  <si>
    <t>MCF deep litter</t>
  </si>
  <si>
    <t>IPCC 2019 Table 10.17, approx Solid</t>
  </si>
  <si>
    <t>MCF pasture</t>
  </si>
  <si>
    <t>Volatile solids (VS), fraction of manure</t>
  </si>
  <si>
    <t>approx sweden</t>
  </si>
  <si>
    <t>Bo, m3 CH4/kg VS</t>
  </si>
  <si>
    <t xml:space="preserve">CRF 2023, Table 3B(a)s1 </t>
  </si>
  <si>
    <t>Manure production, kg DM VS per day</t>
  </si>
  <si>
    <t>Total amount of DM VS produced, kg per animal</t>
  </si>
  <si>
    <t>Following Nilsson et al (2017) assuming less manure during first 2 month (therefore divided slaughtering age by 2)</t>
  </si>
  <si>
    <t>Solid</t>
  </si>
  <si>
    <t>Liquid</t>
  </si>
  <si>
    <t xml:space="preserve">Deep litter </t>
  </si>
  <si>
    <t>Methane emissions, kg CH4 per year</t>
  </si>
  <si>
    <t>Deep litter</t>
  </si>
  <si>
    <t>Per animal, kg CH4</t>
  </si>
  <si>
    <t>Emission factor according to IPCC is 0.08 kg CH4 per animal and year, which gives 0.08/(112/365)=0.025 per animal</t>
  </si>
  <si>
    <t>Per kg meat and offal, kg CH4</t>
  </si>
  <si>
    <t>NITROGEN  EMISSIONS</t>
  </si>
  <si>
    <t>N excreted per animal</t>
  </si>
  <si>
    <t>Step 2</t>
  </si>
  <si>
    <t>N excreted, kg per head per year</t>
  </si>
  <si>
    <t>National CRF reports, 2023, Table 3.B(b)</t>
  </si>
  <si>
    <t>Germany, Netherlands, Italy, approx. 8.1</t>
  </si>
  <si>
    <t>Proportion of TAN</t>
  </si>
  <si>
    <t xml:space="preserve">EMEP/EEA 2019. Table 3.9. </t>
  </si>
  <si>
    <t>Approxing with laying hens from here and on.  A more similar weight and production cycle to rabbits than pigs / cows, no value for rabbits. Laying hen instead of broiler, because no value is available for  broiler manure stored as slurry</t>
  </si>
  <si>
    <t>N excreted in different systems, kg per year</t>
  </si>
  <si>
    <t>Total:</t>
  </si>
  <si>
    <t>Per kg meat and offal, kg N per year</t>
  </si>
  <si>
    <t>TAN excreted in different systems, kg per year, m_house, TAN</t>
  </si>
  <si>
    <t>Step 4</t>
  </si>
  <si>
    <t>Emissions from housing, kg NH3-N per year, E_house</t>
  </si>
  <si>
    <t>Step 6</t>
  </si>
  <si>
    <t xml:space="preserve">Using EF for solid manure </t>
  </si>
  <si>
    <t>EF NH3-N housing solid</t>
  </si>
  <si>
    <t>EMEP/EEA 2019. Table 3.9</t>
  </si>
  <si>
    <t>approx laying hens</t>
  </si>
  <si>
    <t>EF NH3-N housing slurry</t>
  </si>
  <si>
    <t>Remaining TAN after housing losses, kg per year, m_storage, TAN</t>
  </si>
  <si>
    <t>Modified TAN to account for org N mineralisation (liquid) and TAN immobilisation (solid/deep litter)</t>
  </si>
  <si>
    <t>Step 9</t>
  </si>
  <si>
    <t>f min</t>
  </si>
  <si>
    <t>EMEP/EEA 2019, just below equ. 32</t>
  </si>
  <si>
    <t>f imm, kg N per kg straw</t>
  </si>
  <si>
    <t>Emission of NH3-N from storage, kg per year, E_storage_ammonia</t>
  </si>
  <si>
    <t>Step 10</t>
  </si>
  <si>
    <t>EF NH3-N storage solid</t>
  </si>
  <si>
    <t>EF NH3-N storage slurry</t>
  </si>
  <si>
    <t>Emission of N2O-N from storage, kg per year, E_storage_N2O</t>
  </si>
  <si>
    <t>Per kg meat and offal, kg N2O-N</t>
  </si>
  <si>
    <t>EF N2O-N storage solid</t>
  </si>
  <si>
    <t>EMEP/EEA 2019. Table 3.8, Laying hens</t>
  </si>
  <si>
    <t>Här verkar alla använda litet olika och det slår ganska mycket</t>
  </si>
  <si>
    <t>EF N2O-N storage slurry</t>
  </si>
  <si>
    <t>EMEP/EEA 2019. Table 3.8, Pig slurry without natural crust</t>
  </si>
  <si>
    <t>Emission of NO and N2 from storage, kg per year, E_storage_NO and N2</t>
  </si>
  <si>
    <t>EF NO storage solid</t>
  </si>
  <si>
    <t>EMEP/EEA 2019. Table 3.10</t>
  </si>
  <si>
    <t>EF NO storage slurry</t>
  </si>
  <si>
    <t>EF N2 storage solid</t>
  </si>
  <si>
    <t>EF N2 storage slurry</t>
  </si>
  <si>
    <t>Remaining TAN after storage losses, kg per year, m_applic, TAN</t>
  </si>
  <si>
    <t>Emission of NH3-N from application, kg per year, E_application_ammonia</t>
  </si>
  <si>
    <t>Step 12</t>
  </si>
  <si>
    <t>EF NH3-N application solid</t>
  </si>
  <si>
    <t>approx. with laying hens</t>
  </si>
  <si>
    <t>EF NH3-N application slurry</t>
  </si>
  <si>
    <t>EF N2O volatilization</t>
  </si>
  <si>
    <t>IPCC, 2019</t>
  </si>
  <si>
    <t>Remaining TAN after application losses, kg per year, m_returned, TAN</t>
  </si>
  <si>
    <t>Step 13</t>
  </si>
  <si>
    <t>Emissions of NH3-N from grazing, kg per year, E_graz</t>
  </si>
  <si>
    <t>Step 14</t>
  </si>
  <si>
    <t>Grazing</t>
  </si>
  <si>
    <t>EF NH3-N grazing</t>
  </si>
  <si>
    <t>Total losses, kg N per year</t>
  </si>
  <si>
    <t>Remaining total-N after losses, kg per year</t>
  </si>
  <si>
    <t>Total returned to soils:</t>
  </si>
  <si>
    <t xml:space="preserve">Remaining total-N </t>
  </si>
  <si>
    <t xml:space="preserve">Excreted N after losses, kg N </t>
  </si>
  <si>
    <t>Per hectare, kg N/ha</t>
  </si>
  <si>
    <t>Nitrous oxide emissions from spreading</t>
  </si>
  <si>
    <t>Nitrous oxide, kg N2O-N</t>
  </si>
  <si>
    <t>Ammonia emissions according to EMEP/EEA</t>
  </si>
  <si>
    <t>Total, kg NH3-N</t>
  </si>
  <si>
    <t>Per kg meat and offal, kg NH3-N</t>
  </si>
  <si>
    <t>Ammonia emissions according to IPCC</t>
  </si>
  <si>
    <t>12% av N excreted turned into NH3</t>
  </si>
  <si>
    <t>IPCC 2006. Table 10.22, used also by Nilsson et al, 2017</t>
  </si>
  <si>
    <t>Emissions of CO2 from feed crops (per kg of crop)</t>
  </si>
  <si>
    <t>Columns F-L copied straight from RPC filerna except for forage crops that are calculated here</t>
  </si>
  <si>
    <t>Crops</t>
  </si>
  <si>
    <t>Share</t>
  </si>
  <si>
    <t xml:space="preserve">Categories </t>
  </si>
  <si>
    <t>Indirect emissions</t>
  </si>
  <si>
    <t>Transports of feed</t>
  </si>
  <si>
    <t>Rabbit</t>
  </si>
  <si>
    <t>Feed, forage</t>
  </si>
  <si>
    <t>Other forage crops</t>
  </si>
  <si>
    <t>0115</t>
  </si>
  <si>
    <t>Cereals, incl feed</t>
  </si>
  <si>
    <t>0112</t>
  </si>
  <si>
    <t>0117</t>
  </si>
  <si>
    <t>0116</t>
  </si>
  <si>
    <t>0111</t>
  </si>
  <si>
    <t>01705</t>
  </si>
  <si>
    <t>Pulses, incl feed</t>
  </si>
  <si>
    <t>01702</t>
  </si>
  <si>
    <t>Protein feed</t>
  </si>
  <si>
    <t>Soy bean meal</t>
  </si>
  <si>
    <t>By-product</t>
  </si>
  <si>
    <t>Other, feed</t>
  </si>
  <si>
    <t>Feed, other</t>
  </si>
  <si>
    <t>Total for the feed mix, roes:</t>
  </si>
  <si>
    <t>Total for the feed mix, rabbit:</t>
  </si>
  <si>
    <t>approx Germany</t>
  </si>
  <si>
    <t>Emissions of CH4 from feed crops (per kg of crop)</t>
  </si>
  <si>
    <t>Total for the feed mix, rabbits:</t>
  </si>
  <si>
    <t>Emissions of N2O from feed crops (per kg of crop)</t>
  </si>
  <si>
    <t>Environmental footprints per kg of feed (kg DM for forage crops)</t>
  </si>
  <si>
    <t>N application, kg N/kg</t>
  </si>
  <si>
    <t>P application, kg P/kg</t>
  </si>
  <si>
    <t>Roee</t>
  </si>
  <si>
    <t>Emission, characterisation and allocation factors, general</t>
  </si>
  <si>
    <t>Emission factors energy carriers</t>
  </si>
  <si>
    <t>kg CO2 per kWh</t>
  </si>
  <si>
    <t>kg CH4 per kWh</t>
  </si>
  <si>
    <t>kg N2O per kWh</t>
  </si>
  <si>
    <t>Heating value, kWh/l</t>
  </si>
  <si>
    <t>Heating oil</t>
  </si>
  <si>
    <t>Gode et al 2011</t>
  </si>
  <si>
    <t>Biofuels</t>
  </si>
  <si>
    <t>Gode et al 2011, average of bark and chips, pellets and briquettes</t>
  </si>
  <si>
    <t>Diesel</t>
  </si>
  <si>
    <t xml:space="preserve">Emissions from the production of capital goods </t>
  </si>
  <si>
    <t>kg CO2 per kg product</t>
  </si>
  <si>
    <t>kg CH4 per kg product</t>
  </si>
  <si>
    <t>kg N2O per kg product</t>
  </si>
  <si>
    <t>Frischknecht et al. 2007</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</si>
  <si>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</si>
  <si>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</si>
  <si>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</si>
  <si>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</si>
  <si>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</si>
  <si>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</si>
  <si>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</si>
  <si>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Emissions from irrigation</t>
  </si>
  <si>
    <t>kg CO2 per m3</t>
  </si>
  <si>
    <t>kg CH4 per m3</t>
  </si>
  <si>
    <t>kg N2O per m3</t>
  </si>
  <si>
    <t>Irrigation</t>
  </si>
  <si>
    <t>ecoinvent version 3.9.1, Allocation cut-of by classification, *ecoinvent process used: "market for irrigation, FR"</t>
  </si>
  <si>
    <t>Emissions from forage handling</t>
  </si>
  <si>
    <t>kg CO2 per kg DM</t>
  </si>
  <si>
    <t>kg CH4 per kg DM</t>
  </si>
  <si>
    <t>kg N2O per kg DM</t>
  </si>
  <si>
    <t>Silaging</t>
  </si>
  <si>
    <t>ecoinvent version 3.9.1, Allocation cut-of by classification</t>
  </si>
  <si>
    <t>Characterisations factors</t>
  </si>
  <si>
    <t>Number of species in baseline</t>
  </si>
  <si>
    <t>Number of recognised species</t>
  </si>
  <si>
    <t>Ammonia emissions (Hutchings 2019)</t>
  </si>
  <si>
    <t>Nitrogen in inorganic fertilizer that volatiles*</t>
  </si>
  <si>
    <t>Conversion from N to NH3</t>
  </si>
  <si>
    <t>* Generic value for N inorganic fertilisers, Table 3.1</t>
  </si>
  <si>
    <t>N content in forage crops, %</t>
  </si>
  <si>
    <t>Maize</t>
  </si>
  <si>
    <t>Ley</t>
  </si>
  <si>
    <t>Lucerne</t>
  </si>
  <si>
    <t>Factor to compensate for leakage and denitrification</t>
  </si>
  <si>
    <t>N_leak_deni_factor</t>
  </si>
  <si>
    <t>This factor is applied to the amount of mineral fertiliser neeed in forage crops to close the nitrogen balance.</t>
  </si>
  <si>
    <t xml:space="preserve">It compensates for leakage of nitrate and denitrification,whihvh is </t>
  </si>
  <si>
    <t>Forage crops, carbon footprint per kg of feed (DM)</t>
  </si>
  <si>
    <t>Cultivated in country</t>
  </si>
  <si>
    <t>Indirect emissions (10% of direct emissions)</t>
  </si>
  <si>
    <t>CH4, bio</t>
  </si>
  <si>
    <t>Maize, green for forage</t>
  </si>
  <si>
    <t>Forage crops, footprints per kg of feed</t>
  </si>
  <si>
    <t>Pasture use, m2/kg</t>
  </si>
  <si>
    <t>Feed crop</t>
  </si>
  <si>
    <t>Forage crops, input data per hectare</t>
  </si>
  <si>
    <t>Approximated with half of ley for yield and all inputs, but for biodiversity values for pasture are used, and assuming no pesticides are used on pastures</t>
  </si>
  <si>
    <t xml:space="preserve">Yield </t>
  </si>
  <si>
    <t>Nutrient inputs</t>
  </si>
  <si>
    <t xml:space="preserve">Energy </t>
  </si>
  <si>
    <t>Crop residues</t>
  </si>
  <si>
    <t>Biodiversity, potential species loss/m2</t>
  </si>
  <si>
    <t xml:space="preserve">Crop </t>
  </si>
  <si>
    <t>Yield,
kg/ha</t>
  </si>
  <si>
    <t>N appl fertilisers,            kg N/ha</t>
  </si>
  <si>
    <t>N fixation, kg N/ha</t>
  </si>
  <si>
    <t>N crop residues, kg N/ha</t>
  </si>
  <si>
    <t>P appl,    kg P/ha</t>
  </si>
  <si>
    <t>Diesel use, l/ha</t>
  </si>
  <si>
    <t>Blue freshwater use, m3/ha</t>
  </si>
  <si>
    <t>Pesticide use,          kg a.i./ha</t>
  </si>
  <si>
    <t>Frac
removed</t>
  </si>
  <si>
    <t>N above ground</t>
  </si>
  <si>
    <t>Above ground / below ground</t>
  </si>
  <si>
    <t>Below ground/
above ground</t>
  </si>
  <si>
    <t>N below ground</t>
  </si>
  <si>
    <t>DM fraction harvested product</t>
  </si>
  <si>
    <t>Frac renew</t>
  </si>
  <si>
    <t>CF mammals</t>
  </si>
  <si>
    <t>CF              birds</t>
  </si>
  <si>
    <t>CF amphibians</t>
  </si>
  <si>
    <t>CF reptiles</t>
  </si>
  <si>
    <t>CF plants</t>
  </si>
  <si>
    <t>Labour requirements, h/ha</t>
  </si>
  <si>
    <t>Mineral N appl,            kg N/ha</t>
  </si>
  <si>
    <t>Above ground/
yield</t>
  </si>
  <si>
    <t>Above ground residues / DM</t>
  </si>
  <si>
    <t>Frac
removed, Frac Renew</t>
  </si>
  <si>
    <t>Source</t>
  </si>
  <si>
    <t>ASK RASMUS FOR YIELD AND FERTILISER DATA</t>
  </si>
  <si>
    <t>IPCC, 2019.</t>
  </si>
  <si>
    <t>Swedish NIR 2023</t>
  </si>
  <si>
    <t>Swedish NIR 2022</t>
  </si>
  <si>
    <t>Scherer et al 2024, Pasture_LightIntense for all but plants for which Pasture_Light is used</t>
  </si>
  <si>
    <t>Swedish NIR 2024</t>
  </si>
  <si>
    <t>Swedish NIR 2025</t>
  </si>
  <si>
    <t>Swedish NIR 2026</t>
  </si>
  <si>
    <t>Swedish NIR 2028</t>
  </si>
  <si>
    <t>Swedish NIR 2029</t>
  </si>
  <si>
    <t xml:space="preserve">Pasture </t>
  </si>
  <si>
    <t>Swedish NIR 2030</t>
  </si>
  <si>
    <t>https://www.diva-portal.org/smash/get/diva2:1812068/FULLTEXT01.pdf</t>
  </si>
  <si>
    <t>Swedish NIR 2031</t>
  </si>
  <si>
    <t>Spörnly &amp; Glimskär, 2018</t>
  </si>
  <si>
    <t>Swedish NIR 2032</t>
  </si>
  <si>
    <t>Swedish NIR, 2022</t>
  </si>
  <si>
    <t>Scherer et al 2024, adjusted to semi-natural pastures based on the method by Ahlgren et al 2022</t>
  </si>
  <si>
    <t xml:space="preserve">Scherer et al </t>
  </si>
  <si>
    <t>Chaudhary</t>
  </si>
  <si>
    <t>N requirement</t>
  </si>
  <si>
    <t>Here I think RISE does this wrongly, they have -25</t>
  </si>
  <si>
    <t>Litterature data, Einarsson et al</t>
  </si>
  <si>
    <t>Land use classification</t>
  </si>
  <si>
    <t>Maize, fodder</t>
  </si>
  <si>
    <t>Einarsson et al, 2021</t>
  </si>
  <si>
    <t>Einarsson, Plan'Eat Fodder v1</t>
  </si>
  <si>
    <t>Baky et al. 2010. Grönfoder</t>
  </si>
  <si>
    <t>Mekonnen &amp; Hoekstra, 2011</t>
  </si>
  <si>
    <t>Eurostat, 2023</t>
  </si>
  <si>
    <t>Scherer et al 2024, Cropland_LightIntense for all but plants for which Cropland_Intense is used</t>
  </si>
  <si>
    <t>approx france</t>
  </si>
  <si>
    <t>approx germany</t>
  </si>
  <si>
    <t>SS, 2022</t>
  </si>
  <si>
    <t>Baky et al. 2010. Viktat medelvärde: Betes, slåtter och frövall</t>
  </si>
  <si>
    <t>Scherer et al 2024, Cropland_LightIntense for all but plants for which Cropland_Light is used</t>
  </si>
  <si>
    <t>Scaled to match average from Ahlgren et al 2022, Table4</t>
  </si>
  <si>
    <t>SS, 2022. Vall och grönfoder</t>
  </si>
  <si>
    <t>Swedish NIR, 2022. Green Fodder (Other)</t>
  </si>
  <si>
    <t>Shares ley/lucerne</t>
  </si>
  <si>
    <t>Ley, ha</t>
  </si>
  <si>
    <t>Lucerne, ha</t>
  </si>
  <si>
    <t>Share ley</t>
  </si>
  <si>
    <t>Share lucerne</t>
  </si>
  <si>
    <t>Explanation of high N fixing in lucerne:</t>
  </si>
  <si>
    <t xml:space="preserve">Denmark </t>
  </si>
  <si>
    <t>Approx Sweden</t>
  </si>
  <si>
    <t>Ireland</t>
  </si>
  <si>
    <t>UK</t>
  </si>
  <si>
    <t>Approx Ireland, change!</t>
  </si>
  <si>
    <t>Off-farm feed</t>
  </si>
  <si>
    <t>Greenhouse gas emissons:</t>
  </si>
  <si>
    <t>Source LUC:</t>
  </si>
  <si>
    <t>0141</t>
  </si>
  <si>
    <t>Soya beans</t>
  </si>
  <si>
    <t>Brazil</t>
  </si>
  <si>
    <t>Pendrill et al. 2022</t>
  </si>
  <si>
    <t>Argentina</t>
  </si>
  <si>
    <t>0141_m</t>
  </si>
  <si>
    <t>Brazil, Argentina</t>
  </si>
  <si>
    <t>Flysjö et al. 2008, Figur 6.35</t>
  </si>
  <si>
    <t>Flysjö et al. 2008, Figur 6.35, divided by GWP-factor used in report, Tabell 5.1</t>
  </si>
  <si>
    <t>Other footprints:</t>
  </si>
  <si>
    <t>Pulses</t>
  </si>
  <si>
    <t>BR</t>
  </si>
  <si>
    <t>Copied from RPC-file</t>
  </si>
  <si>
    <t>AR</t>
  </si>
  <si>
    <t>Remember to divide biodiversity by 100 when updating! Or use merged_data in the R-script</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</si>
  <si>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</si>
  <si>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</si>
  <si>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</si>
  <si>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</si>
  <si>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</si>
  <si>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</si>
  <si>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</si>
  <si>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</si>
  <si>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</si>
  <si>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</si>
  <si>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</si>
  <si>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</si>
  <si>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</si>
  <si>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</si>
  <si>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</si>
  <si>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</si>
  <si>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France, Germany, Poland</t>
  </si>
  <si>
    <t>Flysjö et al. 2008, Figur 6.37</t>
  </si>
  <si>
    <t>Flysjö et al. 2008, Figur 6.37, divided by GWP-factor used in report, Tabell 5.1</t>
  </si>
  <si>
    <t>Parameters for rape seed</t>
  </si>
  <si>
    <t>Rape meal in 1 kg rape seed</t>
  </si>
  <si>
    <t>Flysjö et al. 2008, using the same as for soy because ratio between electricity and gas/biofuels not stated</t>
  </si>
  <si>
    <t>Using the three largest rapeseed countries and taking an average of these.</t>
  </si>
  <si>
    <t>https://projects.luke.fi/ruokafakta/en/field-crops/rapeseed-production-volumes/#:~:text=The%20largest%20producers%20are%20France,Germany%2C%20with%203.7%20billion%20kilos.</t>
  </si>
  <si>
    <t>References</t>
  </si>
  <si>
    <t>Petracci et al, 2018. https://polipapers.upv.es/index.php/wrs/article/view/7802/9746</t>
  </si>
  <si>
    <t>Cesari et al, 2018. https://www.sciencedirect.com/science/article/pii/S0309174018302456</t>
  </si>
  <si>
    <t>Franz et al, 2011. https://www.sciencedirect.com/science/article/pii/S1095643310005143#s0015</t>
  </si>
  <si>
    <t>Nilsson 2017. https://kaninproducenterna.se/onewebmedia/Klimatavtryck%20kanin%20FINAL%20Med%20granskningsrapport%20(1).pdf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</si>
</sst>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_-* #,##0.00\ _F_-;\-* #,##0.00\ _F_-;_-* &quot;-&quot;??\ _F_-;_-@_-"/>
    <numFmt numFmtId="173" formatCode="#,##0.0000"/>
    <numFmt numFmtId="174" formatCode="0.000000"/>
  </numFmts>
  <fonts count="94"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000000"/>
      <name val="Trebuchet MS"/>
      <family val="2"/>
    </font>
    <font>
      <b/>
      <i/>
      <sz val="11"/>
      <name val="Calibri"/>
      <family val="2"/>
      <scheme val="minor"/>
    </font>
    <font>
      <sz val="11"/>
      <color rgb="FF000000"/>
      <name val="Calibri"/>
      <family val="2"/>
      <scheme val="minor"/>
    </font>
    <font>
      <sz val="11"/>
      <color theme="5" tint="-0.249977111117893"/>
      <name val="Calibri"/>
      <family val="2"/>
      <scheme val="minor"/>
    </font>
    <font>
      <sz val="10"/>
      <name val="Calibri"/>
      <family val="2"/>
      <scheme val="minor"/>
    </font>
    <font>
      <i/>
      <sz val="11"/>
      <color rgb="FFFF0000"/>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i/>
      <sz val="11"/>
      <color rgb="FF7F7F7F"/>
      <name val="Calibri"/>
      <family val="2"/>
      <scheme val="minor"/>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8" tint="-0.249977111117893"/>
      <name val="Calibri"/>
      <family val="2"/>
      <scheme val="minor"/>
    </font>
    <font>
      <u/>
      <sz val="11"/>
      <color theme="10"/>
      <name val="Calibri"/>
      <family val="2"/>
      <scheme val="minor"/>
    </font>
    <font>
      <sz val="11"/>
      <color theme="8"/>
      <name val="Calibri"/>
      <family val="2"/>
      <scheme val="minor"/>
    </font>
    <font>
      <sz val="11"/>
      <color theme="9" tint="-0.249977111117893"/>
      <name val="Calibri"/>
      <family val="2"/>
      <scheme val="minor"/>
    </font>
    <font>
      <sz val="12"/>
      <color theme="1"/>
      <name val="Calibri"/>
      <family val="2"/>
      <scheme val="minor"/>
    </font>
    <font>
      <sz val="8"/>
      <name val="Helvetica"/>
    </font>
    <font>
      <sz val="11"/>
      <color indexed="8"/>
      <name val="Calibri"/>
      <family val="2"/>
      <scheme val="minor"/>
    </font>
    <font>
      <b/>
      <sz val="10"/>
      <name val="Calibri"/>
      <family val="2"/>
      <scheme val="minor"/>
    </font>
    <font>
      <sz val="11"/>
      <color theme="5"/>
      <name val="Calibri"/>
      <family val="2"/>
      <scheme val="minor"/>
    </font>
    <font>
      <b/>
      <i/>
      <sz val="11"/>
      <color theme="1"/>
      <name val="Calibri"/>
      <family val="2"/>
      <scheme val="minor"/>
    </font>
    <font>
      <b/>
      <sz val="13"/>
      <color theme="1"/>
      <name val="Calibri"/>
      <family val="2"/>
      <scheme val="minor"/>
    </font>
    <font>
      <sz val="9"/>
      <color indexed="81"/>
      <name val="Tahoma"/>
      <family val="2"/>
    </font>
    <font>
      <b/>
      <sz val="9"/>
      <color indexed="81"/>
      <name val="Tahoma"/>
      <family val="2"/>
    </font>
    <font>
      <sz val="11"/>
      <color theme="2" tint="-0.499984740745262"/>
      <name val="Calibri"/>
      <family val="2"/>
      <scheme val="minor"/>
    </font>
    <font>
      <sz val="10"/>
      <color theme="5"/>
      <name val="Calibri"/>
      <family val="2"/>
      <scheme val="minor"/>
    </font>
  </fonts>
  <fills count="64">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CC99"/>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9" tint="0.39997558519241921"/>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7" tint="0.79998168889431442"/>
        <bgColor indexed="64"/>
      </patternFill>
    </fill>
  </fills>
  <borders count="569">
    <border>
      <left/>
      <right/>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2404">
    <xf numFmtId="0" fontId="0" fillId="0" borderId="0"/>
    <xf numFmtId="0" fontId="5" fillId="0" borderId="0"/>
    <xf numFmtId="0" fontId="27" fillId="11" borderId="10" applyNumberFormat="0" applyAlignment="0" applyProtection="0"/>
    <xf numFmtId="0" fontId="31" fillId="0" borderId="0" applyNumberFormat="0" applyFill="0" applyBorder="0" applyAlignment="0" applyProtection="0"/>
    <xf numFmtId="0" fontId="32" fillId="0" borderId="0" applyNumberFormat="0">
      <alignment horizontal="right"/>
    </xf>
    <xf numFmtId="0" fontId="5" fillId="0" borderId="0"/>
    <xf numFmtId="0" fontId="33" fillId="0" borderId="0" applyNumberFormat="0" applyFill="0" applyBorder="0" applyProtection="0">
      <alignment horizontal="left" vertical="center"/>
    </xf>
    <xf numFmtId="0" fontId="34" fillId="31" borderId="0" applyBorder="0">
      <alignment horizontal="right" vertical="center"/>
    </xf>
    <xf numFmtId="0" fontId="34" fillId="31" borderId="13">
      <alignment horizontal="right" vertical="center"/>
    </xf>
    <xf numFmtId="0" fontId="5" fillId="0" borderId="0" applyNumberFormat="0" applyFont="0" applyFill="0" applyBorder="0" applyProtection="0">
      <alignment horizontal="left" vertical="center" indent="2"/>
    </xf>
    <xf numFmtId="0" fontId="34" fillId="31" borderId="0" applyBorder="0">
      <alignment horizontal="right" vertical="center"/>
    </xf>
    <xf numFmtId="0" fontId="34" fillId="0" borderId="0" applyBorder="0">
      <alignment horizontal="right" vertical="center"/>
    </xf>
    <xf numFmtId="0" fontId="5" fillId="32" borderId="0" applyNumberFormat="0" applyFont="0" applyBorder="0" applyAlignment="0" applyProtection="0"/>
    <xf numFmtId="0" fontId="5" fillId="0" borderId="0" applyNumberFormat="0" applyFont="0" applyFill="0" applyBorder="0" applyProtection="0">
      <alignment horizontal="left" vertical="center" indent="5"/>
    </xf>
    <xf numFmtId="0" fontId="34" fillId="0" borderId="16" applyNumberFormat="0" applyFill="0" applyAlignment="0" applyProtection="0"/>
    <xf numFmtId="0" fontId="32" fillId="0" borderId="19">
      <alignment horizontal="left" vertical="top" wrapText="1"/>
    </xf>
    <xf numFmtId="0" fontId="32" fillId="33" borderId="16">
      <alignment horizontal="right" vertical="center"/>
    </xf>
    <xf numFmtId="0" fontId="32" fillId="33" borderId="16">
      <alignment horizontal="right" vertical="center"/>
    </xf>
    <xf numFmtId="0" fontId="34" fillId="0" borderId="21">
      <alignment horizontal="left" vertical="center" wrapText="1" indent="2"/>
    </xf>
    <xf numFmtId="0" fontId="32" fillId="33" borderId="17">
      <alignment horizontal="right" vertical="center"/>
    </xf>
    <xf numFmtId="0" fontId="34" fillId="0" borderId="16">
      <alignment horizontal="right" vertical="center"/>
    </xf>
    <xf numFmtId="0" fontId="5" fillId="0" borderId="20"/>
    <xf numFmtId="0" fontId="36" fillId="31" borderId="16">
      <alignment horizontal="right" vertical="center"/>
    </xf>
    <xf numFmtId="0" fontId="34" fillId="32" borderId="16"/>
    <xf numFmtId="0" fontId="32" fillId="31" borderId="16">
      <alignment horizontal="right" vertical="center"/>
    </xf>
    <xf numFmtId="0" fontId="32" fillId="31" borderId="14">
      <alignment horizontal="right" vertical="center"/>
    </xf>
    <xf numFmtId="0" fontId="34" fillId="0" borderId="14">
      <alignment horizontal="right" vertical="center"/>
    </xf>
    <xf numFmtId="4" fontId="5" fillId="0" borderId="0"/>
    <xf numFmtId="0" fontId="32" fillId="33" borderId="18">
      <alignment horizontal="right" vertical="center"/>
    </xf>
    <xf numFmtId="0" fontId="32" fillId="33" borderId="14">
      <alignment horizontal="right" vertical="center"/>
    </xf>
    <xf numFmtId="0" fontId="32" fillId="33" borderId="15">
      <alignment horizontal="right" vertical="center"/>
    </xf>
    <xf numFmtId="4" fontId="32" fillId="33" borderId="17">
      <alignment horizontal="right" vertical="center"/>
    </xf>
    <xf numFmtId="0" fontId="34" fillId="0" borderId="0"/>
    <xf numFmtId="0" fontId="34" fillId="36" borderId="16">
      <alignment horizontal="right" vertical="center"/>
    </xf>
    <xf numFmtId="0" fontId="34" fillId="36" borderId="0" applyBorder="0">
      <alignment horizontal="right" vertical="center"/>
    </xf>
    <xf numFmtId="0" fontId="5" fillId="0" borderId="0"/>
    <xf numFmtId="0" fontId="5" fillId="35" borderId="16"/>
    <xf numFmtId="4" fontId="5" fillId="0" borderId="0"/>
    <xf numFmtId="4" fontId="34" fillId="0" borderId="16" applyFill="0" applyBorder="0" applyProtection="0">
      <alignment horizontal="right" vertical="center"/>
    </xf>
    <xf numFmtId="0" fontId="39" fillId="0" borderId="0" applyNumberFormat="0" applyFill="0" applyBorder="0" applyAlignment="0" applyProtection="0"/>
    <xf numFmtId="4" fontId="5" fillId="0" borderId="0"/>
    <xf numFmtId="4" fontId="5" fillId="0" borderId="0"/>
    <xf numFmtId="0" fontId="26" fillId="0" borderId="0"/>
    <xf numFmtId="0" fontId="34" fillId="32" borderId="16"/>
    <xf numFmtId="0" fontId="32" fillId="33" borderId="17">
      <alignment horizontal="right" vertical="center"/>
    </xf>
    <xf numFmtId="0" fontId="28" fillId="12" borderId="11" applyNumberFormat="0" applyAlignment="0" applyProtection="0"/>
    <xf numFmtId="0" fontId="29" fillId="12" borderId="10" applyNumberFormat="0" applyAlignment="0" applyProtection="0"/>
    <xf numFmtId="0" fontId="1" fillId="0" borderId="0" applyNumberFormat="0" applyFill="0" applyBorder="0" applyAlignment="0" applyProtection="0"/>
    <xf numFmtId="0" fontId="30" fillId="0" borderId="0" applyNumberFormat="0" applyFill="0" applyBorder="0" applyAlignment="0" applyProtection="0"/>
    <xf numFmtId="0" fontId="2" fillId="0" borderId="12" applyNumberFormat="0" applyFill="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16" applyNumberFormat="0" applyFill="0" applyAlignment="0" applyProtection="0"/>
    <xf numFmtId="0" fontId="32" fillId="33" borderId="16">
      <alignment horizontal="right" vertical="center"/>
    </xf>
    <xf numFmtId="0" fontId="32" fillId="33" borderId="16">
      <alignment horizontal="right" vertical="center"/>
    </xf>
    <xf numFmtId="0" fontId="34" fillId="0" borderId="21">
      <alignment horizontal="left" vertical="center" wrapText="1" indent="2"/>
    </xf>
    <xf numFmtId="0" fontId="32" fillId="33" borderId="17">
      <alignment horizontal="right" vertical="center"/>
    </xf>
    <xf numFmtId="0" fontId="34" fillId="0" borderId="16">
      <alignment horizontal="right" vertical="center"/>
    </xf>
    <xf numFmtId="0" fontId="36" fillId="31" borderId="16">
      <alignment horizontal="right" vertical="center"/>
    </xf>
    <xf numFmtId="0" fontId="34" fillId="32" borderId="16"/>
    <xf numFmtId="0" fontId="32" fillId="31" borderId="16">
      <alignment horizontal="right" vertical="center"/>
    </xf>
    <xf numFmtId="0" fontId="32" fillId="33" borderId="15">
      <alignment horizontal="right" vertical="center"/>
    </xf>
    <xf numFmtId="0" fontId="38" fillId="0" borderId="0" applyNumberFormat="0" applyFill="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0" fontId="40" fillId="42" borderId="0" applyNumberFormat="0" applyBorder="0" applyAlignment="0" applyProtection="0"/>
    <xf numFmtId="0" fontId="5" fillId="0" borderId="0"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49" fontId="34" fillId="0" borderId="16" applyNumberFormat="0" applyFont="0" applyFill="0" applyBorder="0" applyProtection="0">
      <alignment horizontal="left" vertical="center" indent="2"/>
    </xf>
    <xf numFmtId="0" fontId="40"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40" fillId="40" borderId="0" applyNumberFormat="0" applyBorder="0" applyAlignment="0" applyProtection="0"/>
    <xf numFmtId="0" fontId="40" fillId="43" borderId="0" applyNumberFormat="0" applyBorder="0" applyAlignment="0" applyProtection="0"/>
    <xf numFmtId="0" fontId="40" fillId="46"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34" fillId="0" borderId="15" applyNumberFormat="0" applyFont="0" applyFill="0" applyBorder="0" applyProtection="0">
      <alignment horizontal="left" vertical="center" indent="5"/>
    </xf>
    <xf numFmtId="0" fontId="42" fillId="47"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53"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54" borderId="0" applyNumberFormat="0" applyBorder="0" applyAlignment="0" applyProtection="0"/>
    <xf numFmtId="0" fontId="33" fillId="36" borderId="0" applyBorder="0" applyAlignment="0"/>
    <xf numFmtId="4" fontId="33" fillId="36" borderId="0" applyBorder="0" applyAlignment="0"/>
    <xf numFmtId="4" fontId="34" fillId="36" borderId="0" applyBorder="0">
      <alignment horizontal="right" vertical="center"/>
    </xf>
    <xf numFmtId="4" fontId="34" fillId="31" borderId="0" applyBorder="0">
      <alignment horizontal="right" vertical="center"/>
    </xf>
    <xf numFmtId="4" fontId="34" fillId="31" borderId="0" applyBorder="0">
      <alignment horizontal="right" vertical="center"/>
    </xf>
    <xf numFmtId="4" fontId="32" fillId="31" borderId="16">
      <alignment horizontal="right" vertical="center"/>
    </xf>
    <xf numFmtId="4" fontId="36" fillId="31" borderId="16">
      <alignment horizontal="right" vertical="center"/>
    </xf>
    <xf numFmtId="4" fontId="32" fillId="33" borderId="16">
      <alignment horizontal="right" vertical="center"/>
    </xf>
    <xf numFmtId="4" fontId="32" fillId="33" borderId="16">
      <alignment horizontal="right" vertical="center"/>
    </xf>
    <xf numFmtId="4" fontId="32" fillId="33" borderId="15">
      <alignment horizontal="right" vertical="center"/>
    </xf>
    <xf numFmtId="4" fontId="32" fillId="33" borderId="17">
      <alignment horizontal="right" vertical="center"/>
    </xf>
    <xf numFmtId="0" fontId="41" fillId="51" borderId="0" applyNumberFormat="0" applyBorder="0" applyAlignment="0" applyProtection="0"/>
    <xf numFmtId="0" fontId="41" fillId="52" borderId="0" applyNumberFormat="0" applyBorder="0" applyAlignment="0" applyProtection="0"/>
    <xf numFmtId="0" fontId="41" fillId="53"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4" borderId="0" applyNumberFormat="0" applyBorder="0" applyAlignment="0" applyProtection="0"/>
    <xf numFmtId="0" fontId="44" fillId="38" borderId="0" applyNumberFormat="0" applyBorder="0" applyAlignment="0" applyProtection="0"/>
    <xf numFmtId="4" fontId="33" fillId="0" borderId="9" applyFill="0" applyBorder="0" applyProtection="0">
      <alignment horizontal="right" vertical="center"/>
    </xf>
    <xf numFmtId="0" fontId="46" fillId="55" borderId="23" applyNumberFormat="0" applyAlignment="0" applyProtection="0"/>
    <xf numFmtId="0" fontId="47" fillId="56" borderId="24" applyNumberFormat="0" applyAlignment="0" applyProtection="0"/>
    <xf numFmtId="43" fontId="37" fillId="0" borderId="0" applyFont="0" applyFill="0" applyBorder="0" applyAlignment="0" applyProtection="0"/>
    <xf numFmtId="172" fontId="48" fillId="0" borderId="0" applyFont="0" applyFill="0" applyBorder="0" applyAlignment="0" applyProtection="0"/>
    <xf numFmtId="43" fontId="37" fillId="0" borderId="0" applyFont="0" applyFill="0" applyBorder="0" applyAlignment="0" applyProtection="0"/>
    <xf numFmtId="0" fontId="34" fillId="33" borderId="21">
      <alignment horizontal="left" vertical="center" wrapText="1" indent="2"/>
    </xf>
    <xf numFmtId="0" fontId="34" fillId="31" borderId="15">
      <alignment horizontal="left" vertical="center"/>
    </xf>
    <xf numFmtId="0" fontId="52" fillId="0" borderId="0" applyNumberFormat="0" applyFill="0" applyBorder="0" applyAlignment="0" applyProtection="0"/>
    <xf numFmtId="0" fontId="53" fillId="39" borderId="0" applyNumberFormat="0" applyBorder="0" applyAlignment="0" applyProtection="0"/>
    <xf numFmtId="0" fontId="54" fillId="39" borderId="0" applyNumberFormat="0" applyBorder="0" applyAlignment="0" applyProtection="0"/>
    <xf numFmtId="0" fontId="55" fillId="0" borderId="26" applyNumberFormat="0" applyFill="0" applyAlignment="0" applyProtection="0"/>
    <xf numFmtId="0" fontId="56" fillId="0" borderId="27" applyNumberFormat="0" applyFill="0" applyAlignment="0" applyProtection="0"/>
    <xf numFmtId="0" fontId="57" fillId="0" borderId="28" applyNumberFormat="0" applyFill="0" applyAlignment="0" applyProtection="0"/>
    <xf numFmtId="0" fontId="57" fillId="0" borderId="0" applyNumberFormat="0" applyFill="0" applyBorder="0" applyAlignment="0" applyProtection="0"/>
    <xf numFmtId="0" fontId="58" fillId="42" borderId="23" applyNumberFormat="0" applyAlignment="0" applyProtection="0"/>
    <xf numFmtId="4" fontId="34" fillId="0" borderId="0" applyBorder="0">
      <alignment horizontal="right" vertical="center"/>
    </xf>
    <xf numFmtId="0" fontId="34" fillId="0" borderId="2">
      <alignment horizontal="right" vertical="center"/>
    </xf>
    <xf numFmtId="4" fontId="34" fillId="0" borderId="16">
      <alignment horizontal="right" vertical="center"/>
    </xf>
    <xf numFmtId="1" fontId="35" fillId="31" borderId="0" applyBorder="0">
      <alignment horizontal="right" vertical="center"/>
    </xf>
    <xf numFmtId="0" fontId="59" fillId="0" borderId="29" applyNumberFormat="0" applyFill="0" applyAlignment="0" applyProtection="0"/>
    <xf numFmtId="0" fontId="60" fillId="57" borderId="0" applyNumberFormat="0" applyBorder="0" applyAlignment="0" applyProtection="0"/>
    <xf numFmtId="0" fontId="5" fillId="0" borderId="0"/>
    <xf numFmtId="0" fontId="5" fillId="0" borderId="0"/>
    <xf numFmtId="0" fontId="5" fillId="0" borderId="0"/>
    <xf numFmtId="0" fontId="5" fillId="0" borderId="0"/>
    <xf numFmtId="0" fontId="48" fillId="0" borderId="0"/>
    <xf numFmtId="4" fontId="61" fillId="0" borderId="0"/>
    <xf numFmtId="0" fontId="5" fillId="0" borderId="0"/>
    <xf numFmtId="0" fontId="5" fillId="0" borderId="0"/>
    <xf numFmtId="0" fontId="5" fillId="0" borderId="0"/>
    <xf numFmtId="0" fontId="5" fillId="0" borderId="0"/>
    <xf numFmtId="0" fontId="26" fillId="0" borderId="0"/>
    <xf numFmtId="4" fontId="34" fillId="0" borderId="0" applyFill="0" applyBorder="0" applyProtection="0">
      <alignment horizontal="right" vertical="center"/>
    </xf>
    <xf numFmtId="4" fontId="34" fillId="0" borderId="0" applyFill="0" applyBorder="0" applyProtection="0">
      <alignment horizontal="right" vertical="center"/>
    </xf>
    <xf numFmtId="4" fontId="34" fillId="0" borderId="16" applyFill="0" applyBorder="0" applyProtection="0">
      <alignment horizontal="right" vertical="center"/>
    </xf>
    <xf numFmtId="0" fontId="33" fillId="0" borderId="0" applyNumberFormat="0" applyFill="0" applyBorder="0" applyProtection="0">
      <alignment horizontal="left" vertical="center"/>
    </xf>
    <xf numFmtId="49" fontId="33" fillId="0" borderId="16" applyNumberFormat="0" applyFill="0" applyBorder="0" applyProtection="0">
      <alignment horizontal="left" vertical="center"/>
    </xf>
    <xf numFmtId="0" fontId="5" fillId="32" borderId="0" applyNumberFormat="0" applyFont="0" applyBorder="0" applyAlignment="0" applyProtection="0"/>
    <xf numFmtId="4" fontId="5" fillId="32" borderId="0" applyNumberFormat="0" applyFont="0" applyBorder="0" applyAlignment="0" applyProtection="0"/>
    <xf numFmtId="4" fontId="5" fillId="32" borderId="0" applyNumberFormat="0" applyFont="0" applyBorder="0" applyAlignment="0" applyProtection="0"/>
    <xf numFmtId="0" fontId="5" fillId="32" borderId="0" applyNumberFormat="0" applyFont="0" applyBorder="0" applyAlignment="0" applyProtection="0"/>
    <xf numFmtId="0" fontId="5" fillId="32" borderId="0" applyNumberFormat="0" applyFont="0" applyBorder="0" applyAlignment="0" applyProtection="0"/>
    <xf numFmtId="0" fontId="48" fillId="34" borderId="0" applyNumberFormat="0" applyFont="0" applyBorder="0" applyAlignment="0" applyProtection="0"/>
    <xf numFmtId="0" fontId="40" fillId="58" borderId="30" applyNumberFormat="0" applyFont="0" applyAlignment="0" applyProtection="0"/>
    <xf numFmtId="0" fontId="5" fillId="58" borderId="30" applyNumberFormat="0" applyFont="0" applyAlignment="0" applyProtection="0"/>
    <xf numFmtId="0" fontId="62" fillId="55" borderId="22" applyNumberFormat="0" applyAlignment="0" applyProtection="0"/>
    <xf numFmtId="173" fontId="34" fillId="59" borderId="16" applyNumberFormat="0" applyFont="0" applyBorder="0" applyAlignment="0" applyProtection="0">
      <alignment horizontal="right" vertical="center"/>
    </xf>
    <xf numFmtId="9" fontId="48" fillId="0" borderId="0" applyFont="0" applyFill="0" applyBorder="0" applyAlignment="0" applyProtection="0"/>
    <xf numFmtId="0" fontId="63" fillId="38" borderId="0" applyNumberFormat="0" applyBorder="0" applyAlignment="0" applyProtection="0"/>
    <xf numFmtId="4" fontId="34" fillId="32" borderId="16"/>
    <xf numFmtId="0" fontId="34" fillId="32" borderId="14"/>
    <xf numFmtId="0" fontId="64" fillId="0" borderId="0" applyNumberFormat="0" applyFill="0" applyBorder="0" applyAlignment="0" applyProtection="0"/>
    <xf numFmtId="0" fontId="65" fillId="0" borderId="25" applyNumberFormat="0" applyFill="0" applyAlignment="0" applyProtection="0"/>
    <xf numFmtId="0" fontId="66" fillId="0" borderId="0" applyNumberFormat="0" applyFill="0" applyBorder="0" applyAlignment="0" applyProtection="0"/>
    <xf numFmtId="0" fontId="67" fillId="0" borderId="26" applyNumberFormat="0" applyFill="0" applyAlignment="0" applyProtection="0"/>
    <xf numFmtId="0" fontId="68" fillId="0" borderId="27" applyNumberFormat="0" applyFill="0" applyAlignment="0" applyProtection="0"/>
    <xf numFmtId="0" fontId="69" fillId="0" borderId="28" applyNumberFormat="0" applyFill="0" applyAlignment="0" applyProtection="0"/>
    <xf numFmtId="0" fontId="69" fillId="0" borderId="0" applyNumberFormat="0" applyFill="0" applyBorder="0" applyAlignment="0" applyProtection="0"/>
    <xf numFmtId="0" fontId="70" fillId="0" borderId="29" applyNumberFormat="0" applyFill="0" applyAlignment="0" applyProtection="0"/>
    <xf numFmtId="0" fontId="72" fillId="0" borderId="0" applyNumberFormat="0" applyFill="0" applyBorder="0" applyAlignment="0" applyProtection="0"/>
    <xf numFmtId="0" fontId="73" fillId="56" borderId="24" applyNumberFormat="0" applyAlignment="0" applyProtection="0"/>
    <xf numFmtId="0" fontId="39" fillId="0" borderId="0" applyNumberFormat="0" applyFill="0" applyBorder="0" applyAlignment="0" applyProtection="0"/>
    <xf numFmtId="0" fontId="74" fillId="0" borderId="0" applyNumberFormat="0" applyFill="0" applyBorder="0" applyAlignment="0" applyProtection="0"/>
    <xf numFmtId="0" fontId="5" fillId="0" borderId="0" applyNumberFormat="0" applyFont="0" applyFill="0" applyBorder="0" applyProtection="0">
      <alignment horizontal="left" vertical="center"/>
    </xf>
    <xf numFmtId="0" fontId="34" fillId="31" borderId="0" applyBorder="0">
      <alignment horizontal="right" vertical="center"/>
    </xf>
    <xf numFmtId="0" fontId="34" fillId="31" borderId="0" applyBorder="0">
      <alignment horizontal="right" vertical="center"/>
    </xf>
    <xf numFmtId="0" fontId="34" fillId="0" borderId="0" applyBorder="0">
      <alignment horizontal="right" vertical="center"/>
    </xf>
    <xf numFmtId="4" fontId="5" fillId="0" borderId="0"/>
    <xf numFmtId="0" fontId="75" fillId="0" borderId="0"/>
    <xf numFmtId="0" fontId="5" fillId="32" borderId="0" applyNumberFormat="0" applyFont="0" applyBorder="0" applyAlignment="0" applyProtection="0"/>
    <xf numFmtId="0" fontId="39" fillId="0" borderId="0" applyNumberFormat="0" applyFill="0" applyBorder="0" applyAlignment="0" applyProtection="0"/>
    <xf numFmtId="0" fontId="40" fillId="37"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40" fillId="40" borderId="0" applyNumberFormat="0" applyBorder="0" applyAlignment="0" applyProtection="0"/>
    <xf numFmtId="0" fontId="40" fillId="43" borderId="0" applyNumberFormat="0" applyBorder="0" applyAlignment="0" applyProtection="0"/>
    <xf numFmtId="0" fontId="40" fillId="46" borderId="0" applyNumberFormat="0" applyBorder="0" applyAlignment="0" applyProtection="0"/>
    <xf numFmtId="0" fontId="42" fillId="47"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53"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54" borderId="0" applyNumberFormat="0" applyBorder="0" applyAlignment="0" applyProtection="0"/>
    <xf numFmtId="0" fontId="44" fillId="38" borderId="0" applyNumberFormat="0" applyBorder="0" applyAlignment="0" applyProtection="0"/>
    <xf numFmtId="0" fontId="46" fillId="55" borderId="23" applyNumberFormat="0" applyAlignment="0" applyProtection="0"/>
    <xf numFmtId="0" fontId="47" fillId="56" borderId="24" applyNumberFormat="0" applyAlignment="0" applyProtection="0"/>
    <xf numFmtId="0" fontId="52" fillId="0" borderId="0" applyNumberFormat="0" applyFill="0" applyBorder="0" applyAlignment="0" applyProtection="0"/>
    <xf numFmtId="0" fontId="53" fillId="39" borderId="0" applyNumberFormat="0" applyBorder="0" applyAlignment="0" applyProtection="0"/>
    <xf numFmtId="0" fontId="55" fillId="0" borderId="26" applyNumberFormat="0" applyFill="0" applyAlignment="0" applyProtection="0"/>
    <xf numFmtId="0" fontId="56" fillId="0" borderId="27" applyNumberFormat="0" applyFill="0" applyAlignment="0" applyProtection="0"/>
    <xf numFmtId="0" fontId="57" fillId="0" borderId="28" applyNumberFormat="0" applyFill="0" applyAlignment="0" applyProtection="0"/>
    <xf numFmtId="0" fontId="57" fillId="0" borderId="0" applyNumberFormat="0" applyFill="0" applyBorder="0" applyAlignment="0" applyProtection="0"/>
    <xf numFmtId="0" fontId="58" fillId="42" borderId="23" applyNumberFormat="0" applyAlignment="0" applyProtection="0"/>
    <xf numFmtId="0" fontId="59" fillId="0" borderId="29" applyNumberFormat="0" applyFill="0" applyAlignment="0" applyProtection="0"/>
    <xf numFmtId="0" fontId="60" fillId="57" borderId="0" applyNumberFormat="0" applyBorder="0" applyAlignment="0" applyProtection="0"/>
    <xf numFmtId="0" fontId="5" fillId="0" borderId="0"/>
    <xf numFmtId="0" fontId="40" fillId="58" borderId="30" applyNumberFormat="0" applyFont="0" applyAlignment="0" applyProtection="0"/>
    <xf numFmtId="0" fontId="62" fillId="55" borderId="22" applyNumberFormat="0" applyAlignment="0" applyProtection="0"/>
    <xf numFmtId="0" fontId="64" fillId="0" borderId="0" applyNumberFormat="0" applyFill="0" applyBorder="0" applyAlignment="0" applyProtection="0"/>
    <xf numFmtId="0" fontId="65" fillId="0" borderId="25" applyNumberFormat="0" applyFill="0" applyAlignment="0" applyProtection="0"/>
    <xf numFmtId="0" fontId="72" fillId="0" borderId="0" applyNumberFormat="0" applyFill="0" applyBorder="0" applyAlignment="0" applyProtection="0"/>
    <xf numFmtId="0" fontId="76" fillId="0" borderId="0">
      <alignment horizontal="left" vertical="center" indent="1"/>
    </xf>
    <xf numFmtId="0" fontId="40" fillId="37" borderId="0" applyNumberFormat="0" applyBorder="0" applyAlignment="0" applyProtection="0"/>
    <xf numFmtId="0" fontId="40" fillId="38" borderId="0" applyNumberFormat="0" applyBorder="0" applyAlignment="0" applyProtection="0"/>
    <xf numFmtId="0" fontId="40" fillId="39"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0" fontId="40" fillId="42" borderId="0" applyNumberFormat="0" applyBorder="0" applyAlignment="0" applyProtection="0"/>
    <xf numFmtId="0" fontId="40"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40" fillId="40" borderId="0" applyNumberFormat="0" applyBorder="0" applyAlignment="0" applyProtection="0"/>
    <xf numFmtId="0" fontId="40" fillId="43" borderId="0" applyNumberFormat="0" applyBorder="0" applyAlignment="0" applyProtection="0"/>
    <xf numFmtId="0" fontId="40" fillId="46" borderId="0" applyNumberFormat="0" applyBorder="0" applyAlignment="0" applyProtection="0"/>
    <xf numFmtId="0" fontId="42" fillId="47" borderId="0" applyNumberFormat="0" applyBorder="0" applyAlignment="0" applyProtection="0"/>
    <xf numFmtId="0" fontId="42" fillId="44" borderId="0" applyNumberFormat="0" applyBorder="0" applyAlignment="0" applyProtection="0"/>
    <xf numFmtId="0" fontId="42" fillId="45" borderId="0" applyNumberFormat="0" applyBorder="0" applyAlignment="0" applyProtection="0"/>
    <xf numFmtId="0" fontId="42" fillId="48" borderId="0" applyNumberFormat="0" applyBorder="0" applyAlignment="0" applyProtection="0"/>
    <xf numFmtId="0" fontId="42" fillId="49" borderId="0" applyNumberFormat="0" applyBorder="0" applyAlignment="0" applyProtection="0"/>
    <xf numFmtId="0" fontId="42" fillId="50" borderId="0" applyNumberFormat="0" applyBorder="0" applyAlignment="0" applyProtection="0"/>
    <xf numFmtId="0" fontId="32" fillId="31" borderId="31">
      <alignment horizontal="right" vertical="center"/>
    </xf>
    <xf numFmtId="4" fontId="32" fillId="31" borderId="31">
      <alignment horizontal="right" vertical="center"/>
    </xf>
    <xf numFmtId="0" fontId="36" fillId="31" borderId="31">
      <alignment horizontal="right" vertical="center"/>
    </xf>
    <xf numFmtId="4" fontId="36" fillId="31" borderId="31">
      <alignment horizontal="right" vertical="center"/>
    </xf>
    <xf numFmtId="0" fontId="32" fillId="33" borderId="31">
      <alignment horizontal="right" vertical="center"/>
    </xf>
    <xf numFmtId="4" fontId="32" fillId="33" borderId="31">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32" fillId="33" borderId="33">
      <alignment horizontal="right" vertical="center"/>
    </xf>
    <xf numFmtId="4" fontId="32" fillId="33" borderId="33">
      <alignment horizontal="right" vertical="center"/>
    </xf>
    <xf numFmtId="0" fontId="46" fillId="55" borderId="23" applyNumberFormat="0" applyAlignment="0" applyProtection="0"/>
    <xf numFmtId="0" fontId="34" fillId="33" borderId="34">
      <alignment horizontal="left" vertical="center" wrapText="1" indent="2"/>
    </xf>
    <xf numFmtId="0" fontId="34" fillId="0" borderId="34">
      <alignment horizontal="left" vertical="center" wrapText="1" indent="2"/>
    </xf>
    <xf numFmtId="0" fontId="34" fillId="31" borderId="32">
      <alignment horizontal="left" vertical="center"/>
    </xf>
    <xf numFmtId="0" fontId="52" fillId="0" borderId="0" applyNumberFormat="0" applyFill="0" applyBorder="0" applyAlignment="0" applyProtection="0"/>
    <xf numFmtId="0" fontId="58" fillId="42" borderId="23" applyNumberFormat="0" applyAlignment="0" applyProtection="0"/>
    <xf numFmtId="0" fontId="34" fillId="0" borderId="31">
      <alignment horizontal="right" vertical="center"/>
    </xf>
    <xf numFmtId="4" fontId="34" fillId="0" borderId="31">
      <alignment horizontal="right" vertical="center"/>
    </xf>
    <xf numFmtId="0" fontId="26" fillId="0" borderId="0"/>
    <xf numFmtId="0" fontId="34" fillId="0" borderId="31" applyNumberFormat="0" applyFill="0" applyAlignment="0" applyProtection="0"/>
    <xf numFmtId="0" fontId="62" fillId="55" borderId="22" applyNumberFormat="0" applyAlignment="0" applyProtection="0"/>
    <xf numFmtId="173" fontId="34" fillId="59" borderId="31" applyNumberFormat="0" applyFont="0" applyBorder="0" applyAlignment="0" applyProtection="0">
      <alignment horizontal="right" vertical="center"/>
    </xf>
    <xf numFmtId="0" fontId="34" fillId="32" borderId="31"/>
    <xf numFmtId="4" fontId="34" fillId="32" borderId="31"/>
    <xf numFmtId="0" fontId="65" fillId="0" borderId="25" applyNumberFormat="0" applyFill="0" applyAlignment="0" applyProtection="0"/>
    <xf numFmtId="0" fontId="72"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7" fillId="11" borderId="10" applyNumberFormat="0" applyAlignment="0" applyProtection="0"/>
    <xf numFmtId="0" fontId="34" fillId="31" borderId="0" applyBorder="0">
      <alignment horizontal="right" vertical="center"/>
    </xf>
    <xf numFmtId="0" fontId="34" fillId="31" borderId="0" applyBorder="0">
      <alignment horizontal="right" vertical="center"/>
    </xf>
    <xf numFmtId="0" fontId="34" fillId="0" borderId="0" applyBorder="0">
      <alignment horizontal="right" vertical="center"/>
    </xf>
    <xf numFmtId="0" fontId="5" fillId="0" borderId="0"/>
    <xf numFmtId="49" fontId="34" fillId="0" borderId="31" applyNumberFormat="0" applyFont="0" applyFill="0" applyBorder="0" applyProtection="0">
      <alignment horizontal="left" vertical="center" indent="2"/>
    </xf>
    <xf numFmtId="49" fontId="34" fillId="0" borderId="32" applyNumberFormat="0" applyFont="0" applyFill="0" applyBorder="0" applyProtection="0">
      <alignment horizontal="left" vertical="center" indent="5"/>
    </xf>
    <xf numFmtId="0" fontId="41" fillId="51" borderId="0" applyNumberFormat="0" applyBorder="0" applyAlignment="0" applyProtection="0"/>
    <xf numFmtId="0" fontId="41" fillId="52" borderId="0" applyNumberFormat="0" applyBorder="0" applyAlignment="0" applyProtection="0"/>
    <xf numFmtId="0" fontId="41" fillId="53"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4" borderId="0" applyNumberFormat="0" applyBorder="0" applyAlignment="0" applyProtection="0"/>
    <xf numFmtId="0" fontId="54" fillId="39" borderId="0" applyNumberFormat="0" applyBorder="0" applyAlignment="0" applyProtection="0"/>
    <xf numFmtId="4" fontId="5" fillId="0" borderId="0"/>
    <xf numFmtId="0" fontId="5" fillId="0" borderId="0"/>
    <xf numFmtId="0" fontId="26" fillId="0" borderId="0"/>
    <xf numFmtId="4" fontId="34" fillId="0" borderId="31" applyFill="0" applyBorder="0" applyProtection="0">
      <alignment horizontal="right" vertical="center"/>
    </xf>
    <xf numFmtId="49" fontId="33" fillId="0" borderId="31" applyNumberFormat="0" applyFill="0" applyBorder="0" applyProtection="0">
      <alignment horizontal="left" vertical="center"/>
    </xf>
    <xf numFmtId="0" fontId="5" fillId="32" borderId="0" applyNumberFormat="0" applyFont="0" applyBorder="0" applyAlignment="0" applyProtection="0"/>
    <xf numFmtId="0" fontId="63" fillId="38" borderId="0" applyNumberFormat="0" applyBorder="0" applyAlignment="0" applyProtection="0"/>
    <xf numFmtId="0" fontId="67" fillId="0" borderId="26" applyNumberFormat="0" applyFill="0" applyAlignment="0" applyProtection="0"/>
    <xf numFmtId="0" fontId="68" fillId="0" borderId="27" applyNumberFormat="0" applyFill="0" applyAlignment="0" applyProtection="0"/>
    <xf numFmtId="0" fontId="69" fillId="0" borderId="28" applyNumberFormat="0" applyFill="0" applyAlignment="0" applyProtection="0"/>
    <xf numFmtId="0" fontId="69" fillId="0" borderId="0" applyNumberFormat="0" applyFill="0" applyBorder="0" applyAlignment="0" applyProtection="0"/>
    <xf numFmtId="0" fontId="70" fillId="0" borderId="29" applyNumberFormat="0" applyFill="0" applyAlignment="0" applyProtection="0"/>
    <xf numFmtId="0" fontId="73" fillId="56" borderId="24" applyNumberFormat="0" applyAlignment="0" applyProtection="0"/>
    <xf numFmtId="0" fontId="39" fillId="0" borderId="0" applyNumberFormat="0" applyFill="0" applyBorder="0" applyAlignment="0" applyProtection="0"/>
    <xf numFmtId="0" fontId="26" fillId="0" borderId="0"/>
    <xf numFmtId="0" fontId="27" fillId="11" borderId="10" applyNumberFormat="0" applyAlignment="0" applyProtection="0"/>
    <xf numFmtId="0" fontId="37" fillId="37" borderId="0" applyNumberFormat="0" applyBorder="0" applyAlignment="0" applyProtection="0"/>
    <xf numFmtId="0" fontId="37" fillId="38" borderId="0" applyNumberFormat="0" applyBorder="0" applyAlignment="0" applyProtection="0"/>
    <xf numFmtId="0" fontId="37" fillId="39" borderId="0" applyNumberFormat="0" applyBorder="0" applyAlignment="0" applyProtection="0"/>
    <xf numFmtId="0" fontId="37" fillId="40" borderId="0" applyNumberFormat="0" applyBorder="0" applyAlignment="0" applyProtection="0"/>
    <xf numFmtId="0" fontId="37" fillId="41" borderId="0" applyNumberFormat="0" applyBorder="0" applyAlignment="0" applyProtection="0"/>
    <xf numFmtId="0" fontId="37" fillId="42" borderId="0" applyNumberFormat="0" applyBorder="0" applyAlignment="0" applyProtection="0"/>
    <xf numFmtId="0" fontId="37" fillId="43" borderId="0" applyNumberFormat="0" applyBorder="0" applyAlignment="0" applyProtection="0"/>
    <xf numFmtId="0" fontId="37" fillId="44" borderId="0" applyNumberFormat="0" applyBorder="0" applyAlignment="0" applyProtection="0"/>
    <xf numFmtId="0" fontId="37" fillId="45" borderId="0" applyNumberFormat="0" applyBorder="0" applyAlignment="0" applyProtection="0"/>
    <xf numFmtId="0" fontId="37" fillId="40" borderId="0" applyNumberFormat="0" applyBorder="0" applyAlignment="0" applyProtection="0"/>
    <xf numFmtId="0" fontId="37" fillId="43" borderId="0" applyNumberFormat="0" applyBorder="0" applyAlignment="0" applyProtection="0"/>
    <xf numFmtId="0" fontId="37" fillId="46" borderId="0" applyNumberFormat="0" applyBorder="0" applyAlignment="0" applyProtection="0"/>
    <xf numFmtId="0" fontId="41" fillId="47"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0" borderId="0" applyNumberFormat="0" applyBorder="0" applyAlignment="0" applyProtection="0"/>
    <xf numFmtId="0" fontId="43" fillId="55" borderId="22" applyNumberFormat="0" applyAlignment="0" applyProtection="0"/>
    <xf numFmtId="0" fontId="45" fillId="55" borderId="23" applyNumberFormat="0" applyAlignment="0" applyProtection="0"/>
    <xf numFmtId="0" fontId="50" fillId="0" borderId="25" applyNumberFormat="0" applyFill="0" applyAlignment="0" applyProtection="0"/>
    <xf numFmtId="0" fontId="51" fillId="0" borderId="0" applyNumberFormat="0" applyFill="0" applyBorder="0" applyAlignment="0" applyProtection="0"/>
    <xf numFmtId="0" fontId="26" fillId="0" borderId="0"/>
    <xf numFmtId="0" fontId="71" fillId="0" borderId="0" applyNumberFormat="0" applyFill="0" applyBorder="0" applyAlignment="0" applyProtection="0"/>
    <xf numFmtId="0" fontId="26" fillId="0" borderId="0"/>
    <xf numFmtId="0" fontId="26" fillId="0" borderId="0"/>
    <xf numFmtId="0" fontId="26" fillId="0" borderId="0"/>
    <xf numFmtId="49" fontId="34" fillId="0" borderId="16" applyNumberFormat="0" applyFont="0" applyFill="0" applyBorder="0" applyProtection="0">
      <alignment horizontal="left" vertical="center" indent="2"/>
    </xf>
    <xf numFmtId="49" fontId="34" fillId="0" borderId="15" applyNumberFormat="0" applyFont="0" applyFill="0" applyBorder="0" applyProtection="0">
      <alignment horizontal="left" vertical="center" indent="5"/>
    </xf>
    <xf numFmtId="0" fontId="32" fillId="31" borderId="16">
      <alignment horizontal="right" vertical="center"/>
    </xf>
    <xf numFmtId="4" fontId="32" fillId="31" borderId="16">
      <alignment horizontal="right" vertical="center"/>
    </xf>
    <xf numFmtId="0" fontId="36" fillId="31" borderId="16">
      <alignment horizontal="right" vertical="center"/>
    </xf>
    <xf numFmtId="4" fontId="36" fillId="31" borderId="16">
      <alignment horizontal="right" vertical="center"/>
    </xf>
    <xf numFmtId="0" fontId="32" fillId="33" borderId="16">
      <alignment horizontal="right" vertical="center"/>
    </xf>
    <xf numFmtId="4" fontId="32" fillId="33" borderId="16">
      <alignment horizontal="right" vertical="center"/>
    </xf>
    <xf numFmtId="0" fontId="32" fillId="33" borderId="16">
      <alignment horizontal="right" vertical="center"/>
    </xf>
    <xf numFmtId="4" fontId="32" fillId="33" borderId="16">
      <alignment horizontal="right" vertical="center"/>
    </xf>
    <xf numFmtId="0" fontId="32" fillId="33" borderId="15">
      <alignment horizontal="right" vertical="center"/>
    </xf>
    <xf numFmtId="4" fontId="32" fillId="33" borderId="15">
      <alignment horizontal="right" vertical="center"/>
    </xf>
    <xf numFmtId="0" fontId="32" fillId="33" borderId="17">
      <alignment horizontal="right" vertical="center"/>
    </xf>
    <xf numFmtId="4" fontId="32" fillId="33" borderId="17">
      <alignment horizontal="right" vertical="center"/>
    </xf>
    <xf numFmtId="172" fontId="77" fillId="0" borderId="0" applyFont="0" applyFill="0" applyBorder="0" applyAlignment="0" applyProtection="0"/>
    <xf numFmtId="0" fontId="34" fillId="33" borderId="21">
      <alignment horizontal="left" vertical="center" wrapText="1" indent="2"/>
    </xf>
    <xf numFmtId="0" fontId="34" fillId="0" borderId="21">
      <alignment horizontal="left" vertical="center" wrapText="1" indent="2"/>
    </xf>
    <xf numFmtId="0" fontId="34" fillId="31" borderId="15">
      <alignment horizontal="left" vertical="center"/>
    </xf>
    <xf numFmtId="0" fontId="49" fillId="42" borderId="23" applyNumberFormat="0" applyAlignment="0" applyProtection="0"/>
    <xf numFmtId="0" fontId="34" fillId="0" borderId="16">
      <alignment horizontal="right" vertical="center"/>
    </xf>
    <xf numFmtId="4" fontId="34" fillId="0" borderId="16">
      <alignment horizontal="right" vertical="center"/>
    </xf>
    <xf numFmtId="0" fontId="77" fillId="0" borderId="0"/>
    <xf numFmtId="0" fontId="75" fillId="0" borderId="0"/>
    <xf numFmtId="0" fontId="75" fillId="0" borderId="0"/>
    <xf numFmtId="0" fontId="26" fillId="0" borderId="0"/>
    <xf numFmtId="0" fontId="26" fillId="0" borderId="0"/>
    <xf numFmtId="0" fontId="26" fillId="0" borderId="0"/>
    <xf numFmtId="0" fontId="26" fillId="0" borderId="0"/>
    <xf numFmtId="0" fontId="75" fillId="0" borderId="0"/>
    <xf numFmtId="0" fontId="5" fillId="0" borderId="0"/>
    <xf numFmtId="4" fontId="34" fillId="0" borderId="16" applyFill="0" applyBorder="0" applyProtection="0">
      <alignment horizontal="right" vertical="center"/>
    </xf>
    <xf numFmtId="49" fontId="33" fillId="0" borderId="16" applyNumberFormat="0" applyFill="0" applyBorder="0" applyProtection="0">
      <alignment horizontal="left" vertical="center"/>
    </xf>
    <xf numFmtId="0" fontId="34" fillId="0" borderId="16" applyNumberFormat="0" applyFill="0" applyAlignment="0" applyProtection="0"/>
    <xf numFmtId="0" fontId="77" fillId="34" borderId="0" applyNumberFormat="0" applyFont="0" applyBorder="0" applyAlignment="0" applyProtection="0"/>
    <xf numFmtId="173" fontId="34" fillId="59" borderId="16" applyNumberFormat="0" applyFont="0" applyBorder="0" applyAlignment="0" applyProtection="0">
      <alignment horizontal="right" vertical="center"/>
    </xf>
    <xf numFmtId="9" fontId="77" fillId="0" borderId="0" applyFont="0" applyFill="0" applyBorder="0" applyAlignment="0" applyProtection="0"/>
    <xf numFmtId="0" fontId="34" fillId="32" borderId="16"/>
    <xf numFmtId="4" fontId="34" fillId="32" borderId="16"/>
    <xf numFmtId="0" fontId="34" fillId="33" borderId="34">
      <alignment horizontal="left" vertical="center" wrapText="1" indent="2"/>
    </xf>
    <xf numFmtId="0" fontId="34" fillId="0" borderId="34">
      <alignment horizontal="left" vertical="center" wrapText="1" indent="2"/>
    </xf>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4" fillId="33" borderId="21">
      <alignment horizontal="left" vertical="center" wrapText="1" indent="2"/>
    </xf>
    <xf numFmtId="0" fontId="34" fillId="0" borderId="21">
      <alignment horizontal="left" vertical="center" wrapText="1" indent="2"/>
    </xf>
    <xf numFmtId="0" fontId="5" fillId="0" borderId="0"/>
    <xf numFmtId="4" fontId="32" fillId="33" borderId="31">
      <alignment horizontal="right" vertical="center"/>
    </xf>
    <xf numFmtId="0" fontId="34" fillId="32" borderId="31"/>
    <xf numFmtId="0" fontId="45" fillId="55" borderId="23" applyNumberFormat="0" applyAlignment="0" applyProtection="0"/>
    <xf numFmtId="0" fontId="32" fillId="31" borderId="31">
      <alignment horizontal="right" vertical="center"/>
    </xf>
    <xf numFmtId="0" fontId="34" fillId="0" borderId="31">
      <alignment horizontal="right" vertical="center"/>
    </xf>
    <xf numFmtId="0" fontId="65" fillId="0" borderId="25" applyNumberFormat="0" applyFill="0" applyAlignment="0" applyProtection="0"/>
    <xf numFmtId="0" fontId="34" fillId="31" borderId="32">
      <alignment horizontal="left" vertical="center"/>
    </xf>
    <xf numFmtId="0" fontId="58" fillId="42" borderId="23" applyNumberFormat="0" applyAlignment="0" applyProtection="0"/>
    <xf numFmtId="173" fontId="34" fillId="59" borderId="31" applyNumberFormat="0" applyFont="0" applyBorder="0" applyAlignment="0" applyProtection="0">
      <alignment horizontal="right" vertical="center"/>
    </xf>
    <xf numFmtId="0" fontId="40" fillId="58" borderId="30" applyNumberFormat="0" applyFont="0" applyAlignment="0" applyProtection="0"/>
    <xf numFmtId="0" fontId="34" fillId="0" borderId="34">
      <alignment horizontal="left" vertical="center" wrapText="1" indent="2"/>
    </xf>
    <xf numFmtId="4" fontId="34" fillId="32" borderId="31"/>
    <xf numFmtId="49" fontId="33" fillId="0" borderId="31" applyNumberFormat="0" applyFill="0" applyBorder="0" applyProtection="0">
      <alignment horizontal="left" vertical="center"/>
    </xf>
    <xf numFmtId="0" fontId="34" fillId="0" borderId="31">
      <alignment horizontal="right" vertical="center"/>
    </xf>
    <xf numFmtId="4" fontId="32" fillId="33" borderId="33">
      <alignment horizontal="right" vertical="center"/>
    </xf>
    <xf numFmtId="4" fontId="32" fillId="33" borderId="31">
      <alignment horizontal="right" vertical="center"/>
    </xf>
    <xf numFmtId="4" fontId="32" fillId="33" borderId="31">
      <alignment horizontal="right" vertical="center"/>
    </xf>
    <xf numFmtId="0" fontId="36" fillId="31" borderId="31">
      <alignment horizontal="right" vertical="center"/>
    </xf>
    <xf numFmtId="0" fontId="32" fillId="31" borderId="31">
      <alignment horizontal="right" vertical="center"/>
    </xf>
    <xf numFmtId="49" fontId="34" fillId="0" borderId="31" applyNumberFormat="0" applyFont="0" applyFill="0" applyBorder="0" applyProtection="0">
      <alignment horizontal="left" vertical="center" indent="2"/>
    </xf>
    <xf numFmtId="0" fontId="58" fillId="42" borderId="23" applyNumberFormat="0" applyAlignment="0" applyProtection="0"/>
    <xf numFmtId="0" fontId="43" fillId="55" borderId="22" applyNumberFormat="0" applyAlignment="0" applyProtection="0"/>
    <xf numFmtId="49" fontId="34" fillId="0" borderId="31" applyNumberFormat="0" applyFont="0" applyFill="0" applyBorder="0" applyProtection="0">
      <alignment horizontal="left" vertical="center" indent="2"/>
    </xf>
    <xf numFmtId="0" fontId="49" fillId="42" borderId="23" applyNumberFormat="0" applyAlignment="0" applyProtection="0"/>
    <xf numFmtId="4" fontId="34" fillId="0" borderId="31" applyFill="0" applyBorder="0" applyProtection="0">
      <alignment horizontal="right" vertical="center"/>
    </xf>
    <xf numFmtId="0" fontId="46" fillId="55" borderId="23" applyNumberFormat="0" applyAlignment="0" applyProtection="0"/>
    <xf numFmtId="0" fontId="65" fillId="0" borderId="25" applyNumberFormat="0" applyFill="0" applyAlignment="0" applyProtection="0"/>
    <xf numFmtId="0" fontId="62" fillId="55" borderId="22" applyNumberFormat="0" applyAlignment="0" applyProtection="0"/>
    <xf numFmtId="0" fontId="34" fillId="0" borderId="31" applyNumberFormat="0" applyFill="0" applyAlignment="0" applyProtection="0"/>
    <xf numFmtId="4" fontId="34" fillId="0" borderId="31">
      <alignment horizontal="right" vertical="center"/>
    </xf>
    <xf numFmtId="0" fontId="34" fillId="0" borderId="31">
      <alignment horizontal="right" vertical="center"/>
    </xf>
    <xf numFmtId="0" fontId="58" fillId="42" borderId="23" applyNumberFormat="0" applyAlignment="0" applyProtection="0"/>
    <xf numFmtId="0" fontId="43" fillId="55" borderId="22" applyNumberFormat="0" applyAlignment="0" applyProtection="0"/>
    <xf numFmtId="0" fontId="45" fillId="55" borderId="23" applyNumberFormat="0" applyAlignment="0" applyProtection="0"/>
    <xf numFmtId="0" fontId="34" fillId="33" borderId="34">
      <alignment horizontal="left" vertical="center" wrapText="1" indent="2"/>
    </xf>
    <xf numFmtId="0" fontId="46" fillId="55" borderId="23" applyNumberFormat="0" applyAlignment="0" applyProtection="0"/>
    <xf numFmtId="0" fontId="46" fillId="55" borderId="23" applyNumberFormat="0" applyAlignment="0" applyProtection="0"/>
    <xf numFmtId="4" fontId="32" fillId="33" borderId="32">
      <alignment horizontal="right" vertical="center"/>
    </xf>
    <xf numFmtId="0" fontId="32" fillId="33" borderId="32">
      <alignment horizontal="right" vertical="center"/>
    </xf>
    <xf numFmtId="0" fontId="32" fillId="33" borderId="31">
      <alignment horizontal="right" vertical="center"/>
    </xf>
    <xf numFmtId="4" fontId="36" fillId="31" borderId="31">
      <alignment horizontal="right" vertical="center"/>
    </xf>
    <xf numFmtId="0" fontId="49" fillId="42" borderId="23" applyNumberFormat="0" applyAlignment="0" applyProtection="0"/>
    <xf numFmtId="0" fontId="50" fillId="0" borderId="25" applyNumberFormat="0" applyFill="0" applyAlignment="0" applyProtection="0"/>
    <xf numFmtId="0" fontId="65" fillId="0" borderId="25" applyNumberFormat="0" applyFill="0" applyAlignment="0" applyProtection="0"/>
    <xf numFmtId="0" fontId="40" fillId="58" borderId="30" applyNumberFormat="0" applyFont="0" applyAlignment="0" applyProtection="0"/>
    <xf numFmtId="0" fontId="58" fillId="42" borderId="23" applyNumberFormat="0" applyAlignment="0" applyProtection="0"/>
    <xf numFmtId="49" fontId="33" fillId="0" borderId="31" applyNumberFormat="0" applyFill="0" applyBorder="0" applyProtection="0">
      <alignment horizontal="left" vertical="center"/>
    </xf>
    <xf numFmtId="0" fontId="34" fillId="33" borderId="34">
      <alignment horizontal="left" vertical="center" wrapText="1" indent="2"/>
    </xf>
    <xf numFmtId="0" fontId="46" fillId="55" borderId="23" applyNumberFormat="0" applyAlignment="0" applyProtection="0"/>
    <xf numFmtId="0" fontId="34" fillId="0" borderId="34">
      <alignment horizontal="left" vertical="center" wrapText="1" indent="2"/>
    </xf>
    <xf numFmtId="0" fontId="40" fillId="58" borderId="30" applyNumberFormat="0" applyFont="0" applyAlignment="0" applyProtection="0"/>
    <xf numFmtId="0" fontId="5" fillId="58" borderId="30" applyNumberFormat="0" applyFont="0" applyAlignment="0" applyProtection="0"/>
    <xf numFmtId="0" fontId="62" fillId="55" borderId="22" applyNumberFormat="0" applyAlignment="0" applyProtection="0"/>
    <xf numFmtId="0" fontId="65" fillId="0" borderId="25" applyNumberFormat="0" applyFill="0" applyAlignment="0" applyProtection="0"/>
    <xf numFmtId="4" fontId="34" fillId="32" borderId="31"/>
    <xf numFmtId="0" fontId="32" fillId="33" borderId="31">
      <alignment horizontal="right" vertical="center"/>
    </xf>
    <xf numFmtId="0" fontId="65" fillId="0" borderId="25" applyNumberFormat="0" applyFill="0" applyAlignment="0" applyProtection="0"/>
    <xf numFmtId="4" fontId="32" fillId="33" borderId="33">
      <alignment horizontal="right" vertical="center"/>
    </xf>
    <xf numFmtId="0" fontId="45" fillId="55" borderId="23" applyNumberFormat="0" applyAlignment="0" applyProtection="0"/>
    <xf numFmtId="0" fontId="32" fillId="33" borderId="32">
      <alignment horizontal="right" vertical="center"/>
    </xf>
    <xf numFmtId="0" fontId="46" fillId="55" borderId="23" applyNumberFormat="0" applyAlignment="0" applyProtection="0"/>
    <xf numFmtId="0" fontId="50" fillId="0" borderId="25" applyNumberFormat="0" applyFill="0" applyAlignment="0" applyProtection="0"/>
    <xf numFmtId="0" fontId="40" fillId="58" borderId="30" applyNumberFormat="0" applyFont="0" applyAlignment="0" applyProtection="0"/>
    <xf numFmtId="4" fontId="32" fillId="33" borderId="32">
      <alignment horizontal="right" vertical="center"/>
    </xf>
    <xf numFmtId="0" fontId="34" fillId="33" borderId="34">
      <alignment horizontal="left" vertical="center" wrapText="1" indent="2"/>
    </xf>
    <xf numFmtId="0" fontId="34" fillId="32" borderId="31"/>
    <xf numFmtId="173" fontId="34" fillId="59" borderId="31" applyNumberFormat="0" applyFont="0" applyBorder="0" applyAlignment="0" applyProtection="0">
      <alignment horizontal="right" vertical="center"/>
    </xf>
    <xf numFmtId="0" fontId="34" fillId="0" borderId="31" applyNumberFormat="0" applyFill="0" applyAlignment="0" applyProtection="0"/>
    <xf numFmtId="4" fontId="34" fillId="0" borderId="31" applyFill="0" applyBorder="0" applyProtection="0">
      <alignment horizontal="right" vertical="center"/>
    </xf>
    <xf numFmtId="4" fontId="32" fillId="31" borderId="31">
      <alignment horizontal="right" vertical="center"/>
    </xf>
    <xf numFmtId="0" fontId="50" fillId="0" borderId="25" applyNumberFormat="0" applyFill="0" applyAlignment="0" applyProtection="0"/>
    <xf numFmtId="49" fontId="33" fillId="0" borderId="31" applyNumberFormat="0" applyFill="0" applyBorder="0" applyProtection="0">
      <alignment horizontal="left" vertical="center"/>
    </xf>
    <xf numFmtId="49" fontId="34" fillId="0" borderId="32" applyNumberFormat="0" applyFont="0" applyFill="0" applyBorder="0" applyProtection="0">
      <alignment horizontal="left" vertical="center" indent="5"/>
    </xf>
    <xf numFmtId="0" fontId="34" fillId="31" borderId="32">
      <alignment horizontal="left" vertical="center"/>
    </xf>
    <xf numFmtId="0" fontId="46" fillId="55" borderId="23" applyNumberFormat="0" applyAlignment="0" applyProtection="0"/>
    <xf numFmtId="4" fontId="32" fillId="33" borderId="33">
      <alignment horizontal="right" vertical="center"/>
    </xf>
    <xf numFmtId="0" fontId="58" fillId="42" borderId="23" applyNumberFormat="0" applyAlignment="0" applyProtection="0"/>
    <xf numFmtId="0" fontId="58" fillId="42" borderId="23" applyNumberFormat="0" applyAlignment="0" applyProtection="0"/>
    <xf numFmtId="0" fontId="40" fillId="58" borderId="30" applyNumberFormat="0" applyFont="0" applyAlignment="0" applyProtection="0"/>
    <xf numFmtId="0" fontId="62" fillId="55" borderId="22" applyNumberFormat="0" applyAlignment="0" applyProtection="0"/>
    <xf numFmtId="0" fontId="65" fillId="0" borderId="25" applyNumberFormat="0" applyFill="0" applyAlignment="0" applyProtection="0"/>
    <xf numFmtId="0" fontId="32" fillId="33" borderId="31">
      <alignment horizontal="right" vertical="center"/>
    </xf>
    <xf numFmtId="0" fontId="5" fillId="58" borderId="30" applyNumberFormat="0" applyFont="0" applyAlignment="0" applyProtection="0"/>
    <xf numFmtId="4" fontId="34" fillId="0" borderId="31">
      <alignment horizontal="right" vertical="center"/>
    </xf>
    <xf numFmtId="0" fontId="65" fillId="0" borderId="25" applyNumberFormat="0" applyFill="0" applyAlignment="0" applyProtection="0"/>
    <xf numFmtId="0" fontId="32" fillId="33" borderId="31">
      <alignment horizontal="right" vertical="center"/>
    </xf>
    <xf numFmtId="0" fontId="32" fillId="33" borderId="31">
      <alignment horizontal="right" vertical="center"/>
    </xf>
    <xf numFmtId="4" fontId="36" fillId="31" borderId="31">
      <alignment horizontal="right" vertical="center"/>
    </xf>
    <xf numFmtId="0" fontId="32" fillId="31" borderId="31">
      <alignment horizontal="right" vertical="center"/>
    </xf>
    <xf numFmtId="4" fontId="32" fillId="31" borderId="31">
      <alignment horizontal="right" vertical="center"/>
    </xf>
    <xf numFmtId="0" fontId="36" fillId="31" borderId="31">
      <alignment horizontal="right" vertical="center"/>
    </xf>
    <xf numFmtId="4" fontId="36" fillId="31" borderId="31">
      <alignment horizontal="right" vertical="center"/>
    </xf>
    <xf numFmtId="0" fontId="32" fillId="33" borderId="31">
      <alignment horizontal="right" vertical="center"/>
    </xf>
    <xf numFmtId="4" fontId="32" fillId="33" borderId="31">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32" fillId="33" borderId="33">
      <alignment horizontal="right" vertical="center"/>
    </xf>
    <xf numFmtId="4" fontId="32" fillId="33" borderId="33">
      <alignment horizontal="right" vertical="center"/>
    </xf>
    <xf numFmtId="0" fontId="46" fillId="55" borderId="23" applyNumberFormat="0" applyAlignment="0" applyProtection="0"/>
    <xf numFmtId="0" fontId="34" fillId="33" borderId="34">
      <alignment horizontal="left" vertical="center" wrapText="1" indent="2"/>
    </xf>
    <xf numFmtId="0" fontId="34" fillId="0" borderId="34">
      <alignment horizontal="left" vertical="center" wrapText="1" indent="2"/>
    </xf>
    <xf numFmtId="0" fontId="34" fillId="31" borderId="32">
      <alignment horizontal="left" vertical="center"/>
    </xf>
    <xf numFmtId="0" fontId="58" fillId="42" borderId="23" applyNumberFormat="0" applyAlignment="0" applyProtection="0"/>
    <xf numFmtId="0" fontId="34" fillId="0" borderId="31">
      <alignment horizontal="right" vertical="center"/>
    </xf>
    <xf numFmtId="4" fontId="34" fillId="0" borderId="31">
      <alignment horizontal="right" vertical="center"/>
    </xf>
    <xf numFmtId="0" fontId="34" fillId="0" borderId="31" applyNumberFormat="0" applyFill="0" applyAlignment="0" applyProtection="0"/>
    <xf numFmtId="0" fontId="62" fillId="55" borderId="22" applyNumberFormat="0" applyAlignment="0" applyProtection="0"/>
    <xf numFmtId="173" fontId="34" fillId="59" borderId="31" applyNumberFormat="0" applyFont="0" applyBorder="0" applyAlignment="0" applyProtection="0">
      <alignment horizontal="right" vertical="center"/>
    </xf>
    <xf numFmtId="0" fontId="34" fillId="32" borderId="31"/>
    <xf numFmtId="4" fontId="34" fillId="32" borderId="31"/>
    <xf numFmtId="0" fontId="65" fillId="0" borderId="25" applyNumberFormat="0" applyFill="0" applyAlignment="0" applyProtection="0"/>
    <xf numFmtId="0" fontId="5" fillId="58" borderId="30" applyNumberFormat="0" applyFont="0" applyAlignment="0" applyProtection="0"/>
    <xf numFmtId="0" fontId="40" fillId="58" borderId="30" applyNumberFormat="0" applyFont="0" applyAlignment="0" applyProtection="0"/>
    <xf numFmtId="0" fontId="34" fillId="0" borderId="31" applyNumberFormat="0" applyFill="0" applyAlignment="0" applyProtection="0"/>
    <xf numFmtId="0" fontId="50" fillId="0" borderId="25" applyNumberFormat="0" applyFill="0" applyAlignment="0" applyProtection="0"/>
    <xf numFmtId="0" fontId="65" fillId="0" borderId="25" applyNumberFormat="0" applyFill="0" applyAlignment="0" applyProtection="0"/>
    <xf numFmtId="0" fontId="49" fillId="42" borderId="23" applyNumberFormat="0" applyAlignment="0" applyProtection="0"/>
    <xf numFmtId="0" fontId="46" fillId="55" borderId="23" applyNumberFormat="0" applyAlignment="0" applyProtection="0"/>
    <xf numFmtId="4" fontId="36" fillId="31" borderId="31">
      <alignment horizontal="right" vertical="center"/>
    </xf>
    <xf numFmtId="0" fontId="32" fillId="31" borderId="31">
      <alignment horizontal="right" vertical="center"/>
    </xf>
    <xf numFmtId="173" fontId="34" fillId="59" borderId="31" applyNumberFormat="0" applyFont="0" applyBorder="0" applyAlignment="0" applyProtection="0">
      <alignment horizontal="right" vertical="center"/>
    </xf>
    <xf numFmtId="0" fontId="50" fillId="0" borderId="25" applyNumberFormat="0" applyFill="0" applyAlignment="0" applyProtection="0"/>
    <xf numFmtId="49" fontId="34" fillId="0" borderId="31" applyNumberFormat="0" applyFont="0" applyFill="0" applyBorder="0" applyProtection="0">
      <alignment horizontal="left" vertical="center" indent="2"/>
    </xf>
    <xf numFmtId="49" fontId="34" fillId="0" borderId="32" applyNumberFormat="0" applyFont="0" applyFill="0" applyBorder="0" applyProtection="0">
      <alignment horizontal="left" vertical="center" indent="5"/>
    </xf>
    <xf numFmtId="49" fontId="34" fillId="0" borderId="31" applyNumberFormat="0" applyFont="0" applyFill="0" applyBorder="0" applyProtection="0">
      <alignment horizontal="left" vertical="center" indent="2"/>
    </xf>
    <xf numFmtId="4" fontId="34" fillId="0" borderId="31" applyFill="0" applyBorder="0" applyProtection="0">
      <alignment horizontal="right" vertical="center"/>
    </xf>
    <xf numFmtId="49" fontId="33" fillId="0" borderId="31" applyNumberFormat="0" applyFill="0" applyBorder="0" applyProtection="0">
      <alignment horizontal="left" vertical="center"/>
    </xf>
    <xf numFmtId="0" fontId="34" fillId="0" borderId="34">
      <alignment horizontal="left" vertical="center" wrapText="1" indent="2"/>
    </xf>
    <xf numFmtId="0" fontId="62" fillId="55" borderId="22" applyNumberFormat="0" applyAlignment="0" applyProtection="0"/>
    <xf numFmtId="0" fontId="32" fillId="33" borderId="33">
      <alignment horizontal="right" vertical="center"/>
    </xf>
    <xf numFmtId="0" fontId="49" fillId="42" borderId="23" applyNumberFormat="0" applyAlignment="0" applyProtection="0"/>
    <xf numFmtId="0" fontId="32" fillId="33" borderId="33">
      <alignment horizontal="right" vertical="center"/>
    </xf>
    <xf numFmtId="4" fontId="32" fillId="33" borderId="31">
      <alignment horizontal="right" vertical="center"/>
    </xf>
    <xf numFmtId="0" fontId="32" fillId="33" borderId="31">
      <alignment horizontal="right" vertical="center"/>
    </xf>
    <xf numFmtId="0" fontId="43" fillId="55" borderId="22" applyNumberFormat="0" applyAlignment="0" applyProtection="0"/>
    <xf numFmtId="0" fontId="45" fillId="55" borderId="23" applyNumberFormat="0" applyAlignment="0" applyProtection="0"/>
    <xf numFmtId="0" fontId="50" fillId="0" borderId="25" applyNumberFormat="0" applyFill="0" applyAlignment="0" applyProtection="0"/>
    <xf numFmtId="0" fontId="34" fillId="32" borderId="31"/>
    <xf numFmtId="4" fontId="34" fillId="32" borderId="31"/>
    <xf numFmtId="4" fontId="32" fillId="33" borderId="31">
      <alignment horizontal="right" vertical="center"/>
    </xf>
    <xf numFmtId="0" fontId="36" fillId="31" borderId="31">
      <alignment horizontal="right" vertical="center"/>
    </xf>
    <xf numFmtId="0" fontId="49" fillId="42" borderId="23" applyNumberFormat="0" applyAlignment="0" applyProtection="0"/>
    <xf numFmtId="0" fontId="46" fillId="55" borderId="23" applyNumberFormat="0" applyAlignment="0" applyProtection="0"/>
    <xf numFmtId="4" fontId="34" fillId="0" borderId="31">
      <alignment horizontal="right" vertical="center"/>
    </xf>
    <xf numFmtId="0" fontId="34" fillId="33" borderId="34">
      <alignment horizontal="left" vertical="center" wrapText="1" indent="2"/>
    </xf>
    <xf numFmtId="0" fontId="34" fillId="0" borderId="34">
      <alignment horizontal="left" vertical="center" wrapText="1" indent="2"/>
    </xf>
    <xf numFmtId="0" fontId="62" fillId="55" borderId="22" applyNumberFormat="0" applyAlignment="0" applyProtection="0"/>
    <xf numFmtId="0" fontId="58" fillId="42" borderId="23" applyNumberFormat="0" applyAlignment="0" applyProtection="0"/>
    <xf numFmtId="0" fontId="45" fillId="55" borderId="23" applyNumberFormat="0" applyAlignment="0" applyProtection="0"/>
    <xf numFmtId="0" fontId="43" fillId="55" borderId="22" applyNumberFormat="0" applyAlignment="0" applyProtection="0"/>
    <xf numFmtId="0" fontId="32" fillId="33" borderId="33">
      <alignment horizontal="right" vertical="center"/>
    </xf>
    <xf numFmtId="0" fontId="36" fillId="31" borderId="31">
      <alignment horizontal="right" vertical="center"/>
    </xf>
    <xf numFmtId="4" fontId="32" fillId="31" borderId="31">
      <alignment horizontal="right" vertical="center"/>
    </xf>
    <xf numFmtId="4" fontId="32" fillId="33" borderId="31">
      <alignment horizontal="right" vertical="center"/>
    </xf>
    <xf numFmtId="49" fontId="34" fillId="0" borderId="32" applyNumberFormat="0" applyFont="0" applyFill="0" applyBorder="0" applyProtection="0">
      <alignment horizontal="left" vertical="center" indent="5"/>
    </xf>
    <xf numFmtId="4" fontId="34" fillId="0" borderId="31" applyFill="0" applyBorder="0" applyProtection="0">
      <alignment horizontal="right" vertical="center"/>
    </xf>
    <xf numFmtId="4" fontId="32" fillId="31" borderId="31">
      <alignment horizontal="right" vertical="center"/>
    </xf>
    <xf numFmtId="0" fontId="5" fillId="0" borderId="0"/>
    <xf numFmtId="0" fontId="58" fillId="42" borderId="23" applyNumberFormat="0" applyAlignment="0" applyProtection="0"/>
    <xf numFmtId="0" fontId="49" fillId="42" borderId="23" applyNumberFormat="0" applyAlignment="0" applyProtection="0"/>
    <xf numFmtId="0" fontId="45" fillId="55" borderId="23" applyNumberFormat="0" applyAlignment="0" applyProtection="0"/>
    <xf numFmtId="0" fontId="34" fillId="33" borderId="34">
      <alignment horizontal="left" vertical="center" wrapText="1" indent="2"/>
    </xf>
    <xf numFmtId="0" fontId="34" fillId="0" borderId="34">
      <alignment horizontal="left" vertical="center" wrapText="1" indent="2"/>
    </xf>
    <xf numFmtId="0" fontId="34" fillId="33" borderId="34">
      <alignment horizontal="left" vertical="center" wrapText="1" indent="2"/>
    </xf>
    <xf numFmtId="0" fontId="34" fillId="0" borderId="34">
      <alignment horizontal="left" vertical="center" wrapText="1" indent="2"/>
    </xf>
    <xf numFmtId="0" fontId="43" fillId="55" borderId="22" applyNumberFormat="0" applyAlignment="0" applyProtection="0"/>
    <xf numFmtId="0" fontId="45" fillId="55" borderId="23" applyNumberFormat="0" applyAlignment="0" applyProtection="0"/>
    <xf numFmtId="0" fontId="46" fillId="55" borderId="23" applyNumberFormat="0" applyAlignment="0" applyProtection="0"/>
    <xf numFmtId="0" fontId="49" fillId="42" borderId="23" applyNumberFormat="0" applyAlignment="0" applyProtection="0"/>
    <xf numFmtId="0" fontId="50" fillId="0" borderId="25" applyNumberFormat="0" applyFill="0" applyAlignment="0" applyProtection="0"/>
    <xf numFmtId="0" fontId="58" fillId="42" borderId="23" applyNumberFormat="0" applyAlignment="0" applyProtection="0"/>
    <xf numFmtId="0" fontId="40" fillId="58" borderId="30" applyNumberFormat="0" applyFont="0" applyAlignment="0" applyProtection="0"/>
    <xf numFmtId="0" fontId="5" fillId="58" borderId="30" applyNumberFormat="0" applyFont="0" applyAlignment="0" applyProtection="0"/>
    <xf numFmtId="0" fontId="62" fillId="55" borderId="22" applyNumberFormat="0" applyAlignment="0" applyProtection="0"/>
    <xf numFmtId="0" fontId="65" fillId="0" borderId="25" applyNumberFormat="0" applyFill="0" applyAlignment="0" applyProtection="0"/>
    <xf numFmtId="0" fontId="46" fillId="55" borderId="23" applyNumberFormat="0" applyAlignment="0" applyProtection="0"/>
    <xf numFmtId="0" fontId="58" fillId="42" borderId="23" applyNumberFormat="0" applyAlignment="0" applyProtection="0"/>
    <xf numFmtId="0" fontId="40" fillId="58" borderId="30" applyNumberFormat="0" applyFont="0" applyAlignment="0" applyProtection="0"/>
    <xf numFmtId="0" fontId="62" fillId="55" borderId="22" applyNumberFormat="0" applyAlignment="0" applyProtection="0"/>
    <xf numFmtId="0" fontId="65" fillId="0" borderId="25" applyNumberFormat="0" applyFill="0" applyAlignment="0" applyProtection="0"/>
    <xf numFmtId="0" fontId="32" fillId="33" borderId="15">
      <alignment horizontal="right" vertical="center"/>
    </xf>
    <xf numFmtId="4" fontId="32" fillId="33" borderId="15">
      <alignment horizontal="right" vertical="center"/>
    </xf>
    <xf numFmtId="0" fontId="32" fillId="33" borderId="17">
      <alignment horizontal="right" vertical="center"/>
    </xf>
    <xf numFmtId="4" fontId="32" fillId="33" borderId="17">
      <alignment horizontal="right" vertical="center"/>
    </xf>
    <xf numFmtId="0" fontId="46" fillId="55" borderId="23" applyNumberFormat="0" applyAlignment="0" applyProtection="0"/>
    <xf numFmtId="0" fontId="34" fillId="33" borderId="21">
      <alignment horizontal="left" vertical="center" wrapText="1" indent="2"/>
    </xf>
    <xf numFmtId="0" fontId="34" fillId="0" borderId="21">
      <alignment horizontal="left" vertical="center" wrapText="1" indent="2"/>
    </xf>
    <xf numFmtId="0" fontId="34" fillId="31" borderId="15">
      <alignment horizontal="left" vertical="center"/>
    </xf>
    <xf numFmtId="0" fontId="58" fillId="42" borderId="23" applyNumberFormat="0" applyAlignment="0" applyProtection="0"/>
    <xf numFmtId="0" fontId="62" fillId="55" borderId="22" applyNumberFormat="0" applyAlignment="0" applyProtection="0"/>
    <xf numFmtId="0" fontId="65" fillId="0" borderId="25" applyNumberFormat="0" applyFill="0" applyAlignment="0" applyProtection="0"/>
    <xf numFmtId="49" fontId="34" fillId="0" borderId="15" applyNumberFormat="0" applyFont="0" applyFill="0" applyBorder="0" applyProtection="0">
      <alignment horizontal="left" vertical="center" indent="5"/>
    </xf>
    <xf numFmtId="0" fontId="43" fillId="55" borderId="22" applyNumberFormat="0" applyAlignment="0" applyProtection="0"/>
    <xf numFmtId="0" fontId="45" fillId="55" borderId="23" applyNumberFormat="0" applyAlignment="0" applyProtection="0"/>
    <xf numFmtId="0" fontId="50" fillId="0" borderId="25" applyNumberFormat="0" applyFill="0" applyAlignment="0" applyProtection="0"/>
    <xf numFmtId="49" fontId="34" fillId="0" borderId="31" applyNumberFormat="0" applyFont="0" applyFill="0" applyBorder="0" applyProtection="0">
      <alignment horizontal="left" vertical="center" indent="2"/>
    </xf>
    <xf numFmtId="0" fontId="32" fillId="31" borderId="31">
      <alignment horizontal="right" vertical="center"/>
    </xf>
    <xf numFmtId="4" fontId="32" fillId="31" borderId="31">
      <alignment horizontal="right" vertical="center"/>
    </xf>
    <xf numFmtId="0" fontId="36" fillId="31" borderId="31">
      <alignment horizontal="right" vertical="center"/>
    </xf>
    <xf numFmtId="4" fontId="36" fillId="31" borderId="31">
      <alignment horizontal="right" vertical="center"/>
    </xf>
    <xf numFmtId="0" fontId="32" fillId="33" borderId="31">
      <alignment horizontal="right" vertical="center"/>
    </xf>
    <xf numFmtId="4" fontId="32" fillId="33" borderId="31">
      <alignment horizontal="right" vertical="center"/>
    </xf>
    <xf numFmtId="0" fontId="32" fillId="33" borderId="31">
      <alignment horizontal="right" vertical="center"/>
    </xf>
    <xf numFmtId="4" fontId="32" fillId="33" borderId="31">
      <alignment horizontal="right" vertical="center"/>
    </xf>
    <xf numFmtId="0" fontId="49" fillId="42" borderId="23" applyNumberFormat="0" applyAlignment="0" applyProtection="0"/>
    <xf numFmtId="0" fontId="34" fillId="0" borderId="31">
      <alignment horizontal="right" vertical="center"/>
    </xf>
    <xf numFmtId="4" fontId="34" fillId="0" borderId="31">
      <alignment horizontal="right" vertical="center"/>
    </xf>
    <xf numFmtId="4" fontId="34" fillId="0" borderId="31" applyFill="0" applyBorder="0" applyProtection="0">
      <alignment horizontal="right" vertical="center"/>
    </xf>
    <xf numFmtId="49" fontId="33" fillId="0" borderId="31" applyNumberFormat="0" applyFill="0" applyBorder="0" applyProtection="0">
      <alignment horizontal="left" vertical="center"/>
    </xf>
    <xf numFmtId="0" fontId="34" fillId="0" borderId="31" applyNumberFormat="0" applyFill="0" applyAlignment="0" applyProtection="0"/>
    <xf numFmtId="173" fontId="34" fillId="59" borderId="31" applyNumberFormat="0" applyFont="0" applyBorder="0" applyAlignment="0" applyProtection="0">
      <alignment horizontal="right" vertical="center"/>
    </xf>
    <xf numFmtId="0" fontId="34" fillId="32" borderId="31"/>
    <xf numFmtId="4" fontId="34" fillId="32" borderId="31"/>
    <xf numFmtId="4" fontId="32" fillId="33" borderId="31">
      <alignment horizontal="right" vertical="center"/>
    </xf>
    <xf numFmtId="0" fontId="34" fillId="32" borderId="31"/>
    <xf numFmtId="0" fontId="45" fillId="55" borderId="23" applyNumberFormat="0" applyAlignment="0" applyProtection="0"/>
    <xf numFmtId="0" fontId="32" fillId="31" borderId="31">
      <alignment horizontal="right" vertical="center"/>
    </xf>
    <xf numFmtId="0" fontId="34" fillId="0" borderId="31">
      <alignment horizontal="right" vertical="center"/>
    </xf>
    <xf numFmtId="0" fontId="65" fillId="0" borderId="25" applyNumberFormat="0" applyFill="0" applyAlignment="0" applyProtection="0"/>
    <xf numFmtId="0" fontId="34" fillId="31" borderId="32">
      <alignment horizontal="left" vertical="center"/>
    </xf>
    <xf numFmtId="0" fontId="58" fillId="42" borderId="23" applyNumberFormat="0" applyAlignment="0" applyProtection="0"/>
    <xf numFmtId="173" fontId="34" fillId="59" borderId="31" applyNumberFormat="0" applyFont="0" applyBorder="0" applyAlignment="0" applyProtection="0">
      <alignment horizontal="right" vertical="center"/>
    </xf>
    <xf numFmtId="0" fontId="40" fillId="58" borderId="30" applyNumberFormat="0" applyFont="0" applyAlignment="0" applyProtection="0"/>
    <xf numFmtId="0" fontId="34" fillId="0" borderId="34">
      <alignment horizontal="left" vertical="center" wrapText="1" indent="2"/>
    </xf>
    <xf numFmtId="4" fontId="34" fillId="32" borderId="31"/>
    <xf numFmtId="49" fontId="33" fillId="0" borderId="31" applyNumberFormat="0" applyFill="0" applyBorder="0" applyProtection="0">
      <alignment horizontal="left" vertical="center"/>
    </xf>
    <xf numFmtId="0" fontId="34" fillId="0" borderId="31">
      <alignment horizontal="right" vertical="center"/>
    </xf>
    <xf numFmtId="4" fontId="32" fillId="33" borderId="33">
      <alignment horizontal="right" vertical="center"/>
    </xf>
    <xf numFmtId="4" fontId="32" fillId="33" borderId="31">
      <alignment horizontal="right" vertical="center"/>
    </xf>
    <xf numFmtId="4" fontId="32" fillId="33" borderId="31">
      <alignment horizontal="right" vertical="center"/>
    </xf>
    <xf numFmtId="0" fontId="36" fillId="31" borderId="31">
      <alignment horizontal="right" vertical="center"/>
    </xf>
    <xf numFmtId="0" fontId="32" fillId="31" borderId="31">
      <alignment horizontal="right" vertical="center"/>
    </xf>
    <xf numFmtId="49" fontId="34" fillId="0" borderId="31" applyNumberFormat="0" applyFont="0" applyFill="0" applyBorder="0" applyProtection="0">
      <alignment horizontal="left" vertical="center" indent="2"/>
    </xf>
    <xf numFmtId="0" fontId="58" fillId="42" borderId="23" applyNumberFormat="0" applyAlignment="0" applyProtection="0"/>
    <xf numFmtId="0" fontId="43" fillId="55" borderId="22" applyNumberFormat="0" applyAlignment="0" applyProtection="0"/>
    <xf numFmtId="49" fontId="34" fillId="0" borderId="31" applyNumberFormat="0" applyFont="0" applyFill="0" applyBorder="0" applyProtection="0">
      <alignment horizontal="left" vertical="center" indent="2"/>
    </xf>
    <xf numFmtId="0" fontId="49" fillId="42" borderId="23" applyNumberFormat="0" applyAlignment="0" applyProtection="0"/>
    <xf numFmtId="4" fontId="34" fillId="0" borderId="31" applyFill="0" applyBorder="0" applyProtection="0">
      <alignment horizontal="right" vertical="center"/>
    </xf>
    <xf numFmtId="0" fontId="46" fillId="55" borderId="23" applyNumberFormat="0" applyAlignment="0" applyProtection="0"/>
    <xf numFmtId="0" fontId="65" fillId="0" borderId="25" applyNumberFormat="0" applyFill="0" applyAlignment="0" applyProtection="0"/>
    <xf numFmtId="0" fontId="62" fillId="55" borderId="22" applyNumberFormat="0" applyAlignment="0" applyProtection="0"/>
    <xf numFmtId="0" fontId="34" fillId="0" borderId="31" applyNumberFormat="0" applyFill="0" applyAlignment="0" applyProtection="0"/>
    <xf numFmtId="4" fontId="34" fillId="0" borderId="31">
      <alignment horizontal="right" vertical="center"/>
    </xf>
    <xf numFmtId="0" fontId="34" fillId="0" borderId="31">
      <alignment horizontal="right" vertical="center"/>
    </xf>
    <xf numFmtId="0" fontId="58" fillId="42" borderId="23" applyNumberFormat="0" applyAlignment="0" applyProtection="0"/>
    <xf numFmtId="0" fontId="43" fillId="55" borderId="22" applyNumberFormat="0" applyAlignment="0" applyProtection="0"/>
    <xf numFmtId="0" fontId="45" fillId="55" borderId="23" applyNumberFormat="0" applyAlignment="0" applyProtection="0"/>
    <xf numFmtId="0" fontId="34" fillId="33" borderId="34">
      <alignment horizontal="left" vertical="center" wrapText="1" indent="2"/>
    </xf>
    <xf numFmtId="0" fontId="46" fillId="55" borderId="23" applyNumberFormat="0" applyAlignment="0" applyProtection="0"/>
    <xf numFmtId="0" fontId="46" fillId="55" borderId="23" applyNumberFormat="0" applyAlignment="0" applyProtection="0"/>
    <xf numFmtId="4" fontId="32" fillId="33" borderId="32">
      <alignment horizontal="right" vertical="center"/>
    </xf>
    <xf numFmtId="0" fontId="32" fillId="33" borderId="32">
      <alignment horizontal="right" vertical="center"/>
    </xf>
    <xf numFmtId="0" fontId="32" fillId="33" borderId="31">
      <alignment horizontal="right" vertical="center"/>
    </xf>
    <xf numFmtId="4" fontId="36" fillId="31" borderId="31">
      <alignment horizontal="right" vertical="center"/>
    </xf>
    <xf numFmtId="0" fontId="49" fillId="42" borderId="23" applyNumberFormat="0" applyAlignment="0" applyProtection="0"/>
    <xf numFmtId="0" fontId="50" fillId="0" borderId="25" applyNumberFormat="0" applyFill="0" applyAlignment="0" applyProtection="0"/>
    <xf numFmtId="0" fontId="65" fillId="0" borderId="25" applyNumberFormat="0" applyFill="0" applyAlignment="0" applyProtection="0"/>
    <xf numFmtId="0" fontId="40" fillId="58" borderId="30" applyNumberFormat="0" applyFont="0" applyAlignment="0" applyProtection="0"/>
    <xf numFmtId="0" fontId="58" fillId="42" borderId="23" applyNumberFormat="0" applyAlignment="0" applyProtection="0"/>
    <xf numFmtId="49" fontId="33" fillId="0" borderId="31" applyNumberFormat="0" applyFill="0" applyBorder="0" applyProtection="0">
      <alignment horizontal="left" vertical="center"/>
    </xf>
    <xf numFmtId="0" fontId="34" fillId="33" borderId="34">
      <alignment horizontal="left" vertical="center" wrapText="1" indent="2"/>
    </xf>
    <xf numFmtId="0" fontId="46" fillId="55" borderId="23" applyNumberFormat="0" applyAlignment="0" applyProtection="0"/>
    <xf numFmtId="0" fontId="34" fillId="0" borderId="34">
      <alignment horizontal="left" vertical="center" wrapText="1" indent="2"/>
    </xf>
    <xf numFmtId="0" fontId="40" fillId="58" borderId="30" applyNumberFormat="0" applyFont="0" applyAlignment="0" applyProtection="0"/>
    <xf numFmtId="0" fontId="5" fillId="58" borderId="30" applyNumberFormat="0" applyFont="0" applyAlignment="0" applyProtection="0"/>
    <xf numFmtId="0" fontId="62" fillId="55" borderId="22" applyNumberFormat="0" applyAlignment="0" applyProtection="0"/>
    <xf numFmtId="0" fontId="65" fillId="0" borderId="25" applyNumberFormat="0" applyFill="0" applyAlignment="0" applyProtection="0"/>
    <xf numFmtId="4" fontId="34" fillId="32" borderId="31"/>
    <xf numFmtId="0" fontId="32" fillId="33" borderId="31">
      <alignment horizontal="right" vertical="center"/>
    </xf>
    <xf numFmtId="0" fontId="65" fillId="0" borderId="25" applyNumberFormat="0" applyFill="0" applyAlignment="0" applyProtection="0"/>
    <xf numFmtId="4" fontId="32" fillId="33" borderId="33">
      <alignment horizontal="right" vertical="center"/>
    </xf>
    <xf numFmtId="0" fontId="45" fillId="55" borderId="23" applyNumberFormat="0" applyAlignment="0" applyProtection="0"/>
    <xf numFmtId="0" fontId="32" fillId="33" borderId="32">
      <alignment horizontal="right" vertical="center"/>
    </xf>
    <xf numFmtId="0" fontId="46" fillId="55" borderId="23" applyNumberFormat="0" applyAlignment="0" applyProtection="0"/>
    <xf numFmtId="0" fontId="50" fillId="0" borderId="25" applyNumberFormat="0" applyFill="0" applyAlignment="0" applyProtection="0"/>
    <xf numFmtId="0" fontId="40" fillId="58" borderId="30" applyNumberFormat="0" applyFont="0" applyAlignment="0" applyProtection="0"/>
    <xf numFmtId="4" fontId="32" fillId="33" borderId="32">
      <alignment horizontal="right" vertical="center"/>
    </xf>
    <xf numFmtId="0" fontId="34" fillId="33" borderId="34">
      <alignment horizontal="left" vertical="center" wrapText="1" indent="2"/>
    </xf>
    <xf numFmtId="0" fontId="34" fillId="32" borderId="31"/>
    <xf numFmtId="173" fontId="34" fillId="59" borderId="31" applyNumberFormat="0" applyFont="0" applyBorder="0" applyAlignment="0" applyProtection="0">
      <alignment horizontal="right" vertical="center"/>
    </xf>
    <xf numFmtId="0" fontId="34" fillId="0" borderId="31" applyNumberFormat="0" applyFill="0" applyAlignment="0" applyProtection="0"/>
    <xf numFmtId="4" fontId="34" fillId="0" borderId="31" applyFill="0" applyBorder="0" applyProtection="0">
      <alignment horizontal="right" vertical="center"/>
    </xf>
    <xf numFmtId="4" fontId="32" fillId="31" borderId="31">
      <alignment horizontal="right" vertical="center"/>
    </xf>
    <xf numFmtId="0" fontId="50" fillId="0" borderId="25" applyNumberFormat="0" applyFill="0" applyAlignment="0" applyProtection="0"/>
    <xf numFmtId="49" fontId="33" fillId="0" borderId="31" applyNumberFormat="0" applyFill="0" applyBorder="0" applyProtection="0">
      <alignment horizontal="left" vertical="center"/>
    </xf>
    <xf numFmtId="49" fontId="34" fillId="0" borderId="32" applyNumberFormat="0" applyFont="0" applyFill="0" applyBorder="0" applyProtection="0">
      <alignment horizontal="left" vertical="center" indent="5"/>
    </xf>
    <xf numFmtId="0" fontId="34" fillId="31" borderId="32">
      <alignment horizontal="left" vertical="center"/>
    </xf>
    <xf numFmtId="0" fontId="46" fillId="55" borderId="23" applyNumberFormat="0" applyAlignment="0" applyProtection="0"/>
    <xf numFmtId="4" fontId="32" fillId="33" borderId="33">
      <alignment horizontal="right" vertical="center"/>
    </xf>
    <xf numFmtId="0" fontId="58" fillId="42" borderId="23" applyNumberFormat="0" applyAlignment="0" applyProtection="0"/>
    <xf numFmtId="0" fontId="58" fillId="42" borderId="23" applyNumberFormat="0" applyAlignment="0" applyProtection="0"/>
    <xf numFmtId="0" fontId="40" fillId="58" borderId="30" applyNumberFormat="0" applyFont="0" applyAlignment="0" applyProtection="0"/>
    <xf numFmtId="0" fontId="62" fillId="55" borderId="22" applyNumberFormat="0" applyAlignment="0" applyProtection="0"/>
    <xf numFmtId="0" fontId="65" fillId="0" borderId="25" applyNumberFormat="0" applyFill="0" applyAlignment="0" applyProtection="0"/>
    <xf numFmtId="0" fontId="32" fillId="33" borderId="31">
      <alignment horizontal="right" vertical="center"/>
    </xf>
    <xf numFmtId="0" fontId="5" fillId="58" borderId="30" applyNumberFormat="0" applyFont="0" applyAlignment="0" applyProtection="0"/>
    <xf numFmtId="4" fontId="34" fillId="0" borderId="31">
      <alignment horizontal="right" vertical="center"/>
    </xf>
    <xf numFmtId="0" fontId="65" fillId="0" borderId="25" applyNumberFormat="0" applyFill="0" applyAlignment="0" applyProtection="0"/>
    <xf numFmtId="0" fontId="32" fillId="33" borderId="31">
      <alignment horizontal="right" vertical="center"/>
    </xf>
    <xf numFmtId="0" fontId="32" fillId="33" borderId="31">
      <alignment horizontal="right" vertical="center"/>
    </xf>
    <xf numFmtId="4" fontId="36" fillId="31" borderId="31">
      <alignment horizontal="right" vertical="center"/>
    </xf>
    <xf numFmtId="0" fontId="32" fillId="31" borderId="31">
      <alignment horizontal="right" vertical="center"/>
    </xf>
    <xf numFmtId="4" fontId="32" fillId="31" borderId="31">
      <alignment horizontal="right" vertical="center"/>
    </xf>
    <xf numFmtId="0" fontId="36" fillId="31" borderId="31">
      <alignment horizontal="right" vertical="center"/>
    </xf>
    <xf numFmtId="4" fontId="36" fillId="31" borderId="31">
      <alignment horizontal="right" vertical="center"/>
    </xf>
    <xf numFmtId="0" fontId="32" fillId="33" borderId="31">
      <alignment horizontal="right" vertical="center"/>
    </xf>
    <xf numFmtId="4" fontId="32" fillId="33" borderId="31">
      <alignment horizontal="right" vertical="center"/>
    </xf>
    <xf numFmtId="0" fontId="32" fillId="33" borderId="31">
      <alignment horizontal="right" vertical="center"/>
    </xf>
    <xf numFmtId="4" fontId="32" fillId="33" borderId="31">
      <alignment horizontal="right" vertical="center"/>
    </xf>
    <xf numFmtId="0" fontId="32" fillId="33" borderId="32">
      <alignment horizontal="right" vertical="center"/>
    </xf>
    <xf numFmtId="4" fontId="32" fillId="33" borderId="32">
      <alignment horizontal="right" vertical="center"/>
    </xf>
    <xf numFmtId="0" fontId="32" fillId="33" borderId="33">
      <alignment horizontal="right" vertical="center"/>
    </xf>
    <xf numFmtId="4" fontId="32" fillId="33" borderId="33">
      <alignment horizontal="right" vertical="center"/>
    </xf>
    <xf numFmtId="0" fontId="46" fillId="55" borderId="23" applyNumberFormat="0" applyAlignment="0" applyProtection="0"/>
    <xf numFmtId="0" fontId="34" fillId="33" borderId="34">
      <alignment horizontal="left" vertical="center" wrapText="1" indent="2"/>
    </xf>
    <xf numFmtId="0" fontId="34" fillId="0" borderId="34">
      <alignment horizontal="left" vertical="center" wrapText="1" indent="2"/>
    </xf>
    <xf numFmtId="0" fontId="34" fillId="31" borderId="32">
      <alignment horizontal="left" vertical="center"/>
    </xf>
    <xf numFmtId="0" fontId="58" fillId="42" borderId="23" applyNumberFormat="0" applyAlignment="0" applyProtection="0"/>
    <xf numFmtId="0" fontId="34" fillId="0" borderId="31">
      <alignment horizontal="right" vertical="center"/>
    </xf>
    <xf numFmtId="4" fontId="34" fillId="0" borderId="31">
      <alignment horizontal="right" vertical="center"/>
    </xf>
    <xf numFmtId="0" fontId="34" fillId="0" borderId="31" applyNumberFormat="0" applyFill="0" applyAlignment="0" applyProtection="0"/>
    <xf numFmtId="0" fontId="62" fillId="55" borderId="22" applyNumberFormat="0" applyAlignment="0" applyProtection="0"/>
    <xf numFmtId="173" fontId="34" fillId="59" borderId="31" applyNumberFormat="0" applyFont="0" applyBorder="0" applyAlignment="0" applyProtection="0">
      <alignment horizontal="right" vertical="center"/>
    </xf>
    <xf numFmtId="0" fontId="34" fillId="32" borderId="31"/>
    <xf numFmtId="4" fontId="34" fillId="32" borderId="31"/>
    <xf numFmtId="0" fontId="65" fillId="0" borderId="25" applyNumberFormat="0" applyFill="0" applyAlignment="0" applyProtection="0"/>
    <xf numFmtId="0" fontId="5" fillId="58" borderId="30" applyNumberFormat="0" applyFont="0" applyAlignment="0" applyProtection="0"/>
    <xf numFmtId="0" fontId="40" fillId="58" borderId="30" applyNumberFormat="0" applyFont="0" applyAlignment="0" applyProtection="0"/>
    <xf numFmtId="0" fontId="34" fillId="0" borderId="31" applyNumberFormat="0" applyFill="0" applyAlignment="0" applyProtection="0"/>
    <xf numFmtId="0" fontId="50" fillId="0" borderId="25" applyNumberFormat="0" applyFill="0" applyAlignment="0" applyProtection="0"/>
    <xf numFmtId="0" fontId="65" fillId="0" borderId="25" applyNumberFormat="0" applyFill="0" applyAlignment="0" applyProtection="0"/>
    <xf numFmtId="0" fontId="49" fillId="42" borderId="23" applyNumberFormat="0" applyAlignment="0" applyProtection="0"/>
    <xf numFmtId="0" fontId="46" fillId="55" borderId="23" applyNumberFormat="0" applyAlignment="0" applyProtection="0"/>
    <xf numFmtId="4" fontId="36" fillId="31" borderId="31">
      <alignment horizontal="right" vertical="center"/>
    </xf>
    <xf numFmtId="0" fontId="32" fillId="31" borderId="31">
      <alignment horizontal="right" vertical="center"/>
    </xf>
    <xf numFmtId="173" fontId="34" fillId="59" borderId="31" applyNumberFormat="0" applyFont="0" applyBorder="0" applyAlignment="0" applyProtection="0">
      <alignment horizontal="right" vertical="center"/>
    </xf>
    <xf numFmtId="0" fontId="50" fillId="0" borderId="25" applyNumberFormat="0" applyFill="0" applyAlignment="0" applyProtection="0"/>
    <xf numFmtId="49" fontId="34" fillId="0" borderId="31" applyNumberFormat="0" applyFont="0" applyFill="0" applyBorder="0" applyProtection="0">
      <alignment horizontal="left" vertical="center" indent="2"/>
    </xf>
    <xf numFmtId="49" fontId="34" fillId="0" borderId="32" applyNumberFormat="0" applyFont="0" applyFill="0" applyBorder="0" applyProtection="0">
      <alignment horizontal="left" vertical="center" indent="5"/>
    </xf>
    <xf numFmtId="49" fontId="34" fillId="0" borderId="31" applyNumberFormat="0" applyFont="0" applyFill="0" applyBorder="0" applyProtection="0">
      <alignment horizontal="left" vertical="center" indent="2"/>
    </xf>
    <xf numFmtId="4" fontId="34" fillId="0" borderId="31" applyFill="0" applyBorder="0" applyProtection="0">
      <alignment horizontal="right" vertical="center"/>
    </xf>
    <xf numFmtId="49" fontId="33" fillId="0" borderId="31" applyNumberFormat="0" applyFill="0" applyBorder="0" applyProtection="0">
      <alignment horizontal="left" vertical="center"/>
    </xf>
    <xf numFmtId="0" fontId="34" fillId="0" borderId="34">
      <alignment horizontal="left" vertical="center" wrapText="1" indent="2"/>
    </xf>
    <xf numFmtId="0" fontId="62" fillId="55" borderId="22" applyNumberFormat="0" applyAlignment="0" applyProtection="0"/>
    <xf numFmtId="0" fontId="32" fillId="33" borderId="33">
      <alignment horizontal="right" vertical="center"/>
    </xf>
    <xf numFmtId="0" fontId="49" fillId="42" borderId="23" applyNumberFormat="0" applyAlignment="0" applyProtection="0"/>
    <xf numFmtId="0" fontId="32" fillId="33" borderId="33">
      <alignment horizontal="right" vertical="center"/>
    </xf>
    <xf numFmtId="4" fontId="32" fillId="33" borderId="31">
      <alignment horizontal="right" vertical="center"/>
    </xf>
    <xf numFmtId="0" fontId="32" fillId="33" borderId="31">
      <alignment horizontal="right" vertical="center"/>
    </xf>
    <xf numFmtId="0" fontId="43" fillId="55" borderId="22" applyNumberFormat="0" applyAlignment="0" applyProtection="0"/>
    <xf numFmtId="0" fontId="45" fillId="55" borderId="23" applyNumberFormat="0" applyAlignment="0" applyProtection="0"/>
    <xf numFmtId="0" fontId="50" fillId="0" borderId="25" applyNumberFormat="0" applyFill="0" applyAlignment="0" applyProtection="0"/>
    <xf numFmtId="0" fontId="34" fillId="32" borderId="31"/>
    <xf numFmtId="4" fontId="34" fillId="32" borderId="31"/>
    <xf numFmtId="4" fontId="32" fillId="33" borderId="31">
      <alignment horizontal="right" vertical="center"/>
    </xf>
    <xf numFmtId="0" fontId="36" fillId="31" borderId="31">
      <alignment horizontal="right" vertical="center"/>
    </xf>
    <xf numFmtId="0" fontId="49" fillId="42" borderId="23" applyNumberFormat="0" applyAlignment="0" applyProtection="0"/>
    <xf numFmtId="0" fontId="46" fillId="55" borderId="23" applyNumberFormat="0" applyAlignment="0" applyProtection="0"/>
    <xf numFmtId="4" fontId="34" fillId="0" borderId="31">
      <alignment horizontal="right" vertical="center"/>
    </xf>
    <xf numFmtId="0" fontId="34" fillId="33" borderId="34">
      <alignment horizontal="left" vertical="center" wrapText="1" indent="2"/>
    </xf>
    <xf numFmtId="0" fontId="34" fillId="0" borderId="34">
      <alignment horizontal="left" vertical="center" wrapText="1" indent="2"/>
    </xf>
    <xf numFmtId="0" fontId="62" fillId="55" borderId="22" applyNumberFormat="0" applyAlignment="0" applyProtection="0"/>
    <xf numFmtId="0" fontId="58" fillId="42" borderId="23" applyNumberFormat="0" applyAlignment="0" applyProtection="0"/>
    <xf numFmtId="0" fontId="45" fillId="55" borderId="23" applyNumberFormat="0" applyAlignment="0" applyProtection="0"/>
    <xf numFmtId="0" fontId="43" fillId="55" borderId="22" applyNumberFormat="0" applyAlignment="0" applyProtection="0"/>
    <xf numFmtId="0" fontId="32" fillId="33" borderId="33">
      <alignment horizontal="right" vertical="center"/>
    </xf>
    <xf numFmtId="0" fontId="36" fillId="31" borderId="31">
      <alignment horizontal="right" vertical="center"/>
    </xf>
    <xf numFmtId="4" fontId="32" fillId="31" borderId="31">
      <alignment horizontal="right" vertical="center"/>
    </xf>
    <xf numFmtId="4" fontId="32" fillId="33" borderId="31">
      <alignment horizontal="right" vertical="center"/>
    </xf>
    <xf numFmtId="49" fontId="34" fillId="0" borderId="32" applyNumberFormat="0" applyFont="0" applyFill="0" applyBorder="0" applyProtection="0">
      <alignment horizontal="left" vertical="center" indent="5"/>
    </xf>
    <xf numFmtId="4" fontId="34" fillId="0" borderId="31" applyFill="0" applyBorder="0" applyProtection="0">
      <alignment horizontal="right" vertical="center"/>
    </xf>
    <xf numFmtId="4" fontId="32" fillId="31" borderId="31">
      <alignment horizontal="right" vertical="center"/>
    </xf>
    <xf numFmtId="0" fontId="58" fillId="42" borderId="23" applyNumberFormat="0" applyAlignment="0" applyProtection="0"/>
    <xf numFmtId="0" fontId="49" fillId="42" borderId="23" applyNumberFormat="0" applyAlignment="0" applyProtection="0"/>
    <xf numFmtId="0" fontId="45" fillId="55" borderId="23" applyNumberFormat="0" applyAlignment="0" applyProtection="0"/>
    <xf numFmtId="0" fontId="34" fillId="33" borderId="34">
      <alignment horizontal="left" vertical="center" wrapText="1" indent="2"/>
    </xf>
    <xf numFmtId="0" fontId="34" fillId="0" borderId="34">
      <alignment horizontal="left" vertical="center" wrapText="1" indent="2"/>
    </xf>
    <xf numFmtId="0" fontId="34" fillId="33" borderId="34">
      <alignment horizontal="left" vertical="center" wrapText="1" indent="2"/>
    </xf>
    <xf numFmtId="0" fontId="26" fillId="0" borderId="0"/>
    <xf numFmtId="0" fontId="28" fillId="12" borderId="11" applyNumberFormat="0" applyAlignment="0" applyProtection="0"/>
    <xf numFmtId="0" fontId="29" fillId="12" borderId="10" applyNumberFormat="0" applyAlignment="0" applyProtection="0"/>
    <xf numFmtId="0" fontId="1" fillId="0" borderId="0" applyNumberFormat="0" applyFill="0" applyBorder="0" applyAlignment="0" applyProtection="0"/>
    <xf numFmtId="0" fontId="30" fillId="0" borderId="0" applyNumberFormat="0" applyFill="0" applyBorder="0" applyAlignment="0" applyProtection="0"/>
    <xf numFmtId="0" fontId="2" fillId="0" borderId="12" applyNumberFormat="0" applyFill="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31" applyNumberFormat="0" applyFill="0" applyAlignment="0" applyProtection="0"/>
    <xf numFmtId="0" fontId="32" fillId="33" borderId="31">
      <alignment horizontal="right" vertical="center"/>
    </xf>
    <xf numFmtId="0" fontId="32" fillId="33" borderId="31">
      <alignment horizontal="right" vertical="center"/>
    </xf>
    <xf numFmtId="0" fontId="34" fillId="0" borderId="31">
      <alignment horizontal="right" vertical="center"/>
    </xf>
    <xf numFmtId="0" fontId="36" fillId="31" borderId="31">
      <alignment horizontal="right" vertical="center"/>
    </xf>
    <xf numFmtId="0" fontId="34" fillId="32" borderId="31"/>
    <xf numFmtId="0" fontId="32" fillId="31" borderId="31">
      <alignment horizontal="right" vertical="center"/>
    </xf>
    <xf numFmtId="0" fontId="46" fillId="55" borderId="36" applyNumberFormat="0" applyAlignment="0" applyProtection="0"/>
    <xf numFmtId="43" fontId="37" fillId="0" borderId="0" applyFont="0" applyFill="0" applyBorder="0" applyAlignment="0" applyProtection="0"/>
    <xf numFmtId="43" fontId="37" fillId="0" borderId="0" applyFont="0" applyFill="0" applyBorder="0" applyAlignment="0" applyProtection="0"/>
    <xf numFmtId="0" fontId="58" fillId="42" borderId="36" applyNumberFormat="0" applyAlignment="0" applyProtection="0"/>
    <xf numFmtId="4" fontId="34" fillId="0" borderId="31" applyFill="0" applyBorder="0" applyProtection="0">
      <alignment horizontal="right" vertical="center"/>
    </xf>
    <xf numFmtId="0" fontId="40" fillId="58" borderId="38" applyNumberFormat="0" applyFont="0" applyAlignment="0" applyProtection="0"/>
    <xf numFmtId="0" fontId="5"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0" fontId="46" fillId="55" borderId="36" applyNumberFormat="0" applyAlignment="0" applyProtection="0"/>
    <xf numFmtId="0" fontId="58" fillId="42" borderId="36" applyNumberFormat="0" applyAlignment="0" applyProtection="0"/>
    <xf numFmtId="0" fontId="29" fillId="12" borderId="10" applyNumberFormat="0" applyAlignment="0" applyProtection="0"/>
    <xf numFmtId="0" fontId="40"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0" fontId="32" fillId="31" borderId="39">
      <alignment horizontal="right" vertical="center"/>
    </xf>
    <xf numFmtId="4" fontId="32" fillId="31" borderId="39">
      <alignment horizontal="right" vertical="center"/>
    </xf>
    <xf numFmtId="0" fontId="36" fillId="31" borderId="39">
      <alignment horizontal="right" vertical="center"/>
    </xf>
    <xf numFmtId="4" fontId="36" fillId="31" borderId="39">
      <alignment horizontal="right" vertical="center"/>
    </xf>
    <xf numFmtId="0" fontId="32" fillId="33" borderId="39">
      <alignment horizontal="right" vertical="center"/>
    </xf>
    <xf numFmtId="4" fontId="32" fillId="33" borderId="39">
      <alignment horizontal="right" vertical="center"/>
    </xf>
    <xf numFmtId="0" fontId="32" fillId="33" borderId="39">
      <alignment horizontal="right" vertical="center"/>
    </xf>
    <xf numFmtId="4" fontId="32" fillId="33" borderId="39">
      <alignment horizontal="right" vertical="center"/>
    </xf>
    <xf numFmtId="0" fontId="32" fillId="33" borderId="40">
      <alignment horizontal="right" vertical="center"/>
    </xf>
    <xf numFmtId="4" fontId="32" fillId="33" borderId="40">
      <alignment horizontal="right" vertical="center"/>
    </xf>
    <xf numFmtId="0" fontId="32" fillId="33" borderId="41">
      <alignment horizontal="right" vertical="center"/>
    </xf>
    <xf numFmtId="4" fontId="32" fillId="33" borderId="41">
      <alignment horizontal="right" vertical="center"/>
    </xf>
    <xf numFmtId="0" fontId="46" fillId="55" borderId="36" applyNumberFormat="0" applyAlignment="0" applyProtection="0"/>
    <xf numFmtId="0" fontId="34" fillId="33" borderId="42">
      <alignment horizontal="left" vertical="center" wrapText="1" indent="2"/>
    </xf>
    <xf numFmtId="0" fontId="34" fillId="0" borderId="42">
      <alignment horizontal="left" vertical="center" wrapText="1" indent="2"/>
    </xf>
    <xf numFmtId="0" fontId="34" fillId="31" borderId="40">
      <alignment horizontal="left" vertical="center"/>
    </xf>
    <xf numFmtId="0" fontId="58" fillId="42" borderId="36" applyNumberFormat="0" applyAlignment="0" applyProtection="0"/>
    <xf numFmtId="0" fontId="34" fillId="0" borderId="39">
      <alignment horizontal="right" vertical="center"/>
    </xf>
    <xf numFmtId="4" fontId="34" fillId="0" borderId="39">
      <alignment horizontal="right" vertical="center"/>
    </xf>
    <xf numFmtId="0" fontId="34" fillId="0" borderId="39" applyNumberFormat="0" applyFill="0" applyAlignment="0" applyProtection="0"/>
    <xf numFmtId="0" fontId="62" fillId="55" borderId="35" applyNumberFormat="0" applyAlignment="0" applyProtection="0"/>
    <xf numFmtId="173" fontId="34" fillId="59" borderId="39" applyNumberFormat="0" applyFont="0" applyBorder="0" applyAlignment="0" applyProtection="0">
      <alignment horizontal="right" vertical="center"/>
    </xf>
    <xf numFmtId="0" fontId="34" fillId="32" borderId="39"/>
    <xf numFmtId="4" fontId="34" fillId="32" borderId="39"/>
    <xf numFmtId="0" fontId="65" fillId="0" borderId="37" applyNumberFormat="0" applyFill="0" applyAlignment="0" applyProtection="0"/>
    <xf numFmtId="0" fontId="26" fillId="20" borderId="0" applyNumberFormat="0" applyBorder="0" applyAlignment="0" applyProtection="0"/>
    <xf numFmtId="0" fontId="26" fillId="14" borderId="0" applyNumberFormat="0" applyBorder="0" applyAlignment="0" applyProtection="0"/>
    <xf numFmtId="0" fontId="12" fillId="27" borderId="0" applyNumberFormat="0" applyBorder="0" applyAlignment="0" applyProtection="0"/>
    <xf numFmtId="0" fontId="26" fillId="19" borderId="0" applyNumberFormat="0" applyBorder="0" applyAlignment="0" applyProtection="0"/>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26" fillId="26" borderId="0" applyNumberFormat="0" applyBorder="0" applyAlignment="0" applyProtection="0"/>
    <xf numFmtId="0" fontId="26" fillId="16" borderId="0" applyNumberFormat="0" applyBorder="0" applyAlignment="0" applyProtection="0"/>
    <xf numFmtId="0" fontId="26" fillId="13" borderId="0" applyNumberFormat="0" applyBorder="0" applyAlignment="0" applyProtection="0"/>
    <xf numFmtId="0" fontId="1" fillId="0" borderId="0" applyNumberFormat="0" applyFill="0" applyBorder="0" applyAlignment="0" applyProtection="0"/>
    <xf numFmtId="49" fontId="34" fillId="0" borderId="39" applyNumberFormat="0" applyFont="0" applyFill="0" applyBorder="0" applyProtection="0">
      <alignment horizontal="left" vertical="center" indent="2"/>
    </xf>
    <xf numFmtId="49" fontId="34" fillId="0" borderId="40" applyNumberFormat="0" applyFont="0" applyFill="0" applyBorder="0" applyProtection="0">
      <alignment horizontal="left" vertical="center" indent="5"/>
    </xf>
    <xf numFmtId="4" fontId="34" fillId="0" borderId="39" applyFill="0" applyBorder="0" applyProtection="0">
      <alignment horizontal="right" vertical="center"/>
    </xf>
    <xf numFmtId="49" fontId="33" fillId="0" borderId="39" applyNumberFormat="0" applyFill="0" applyBorder="0" applyProtection="0">
      <alignment horizontal="left" vertical="center"/>
    </xf>
    <xf numFmtId="0" fontId="43" fillId="55" borderId="35" applyNumberFormat="0" applyAlignment="0" applyProtection="0"/>
    <xf numFmtId="0" fontId="45" fillId="55" borderId="36" applyNumberFormat="0" applyAlignment="0" applyProtection="0"/>
    <xf numFmtId="0" fontId="50" fillId="0" borderId="37" applyNumberFormat="0" applyFill="0" applyAlignment="0" applyProtection="0"/>
    <xf numFmtId="0" fontId="49" fillId="42" borderId="36" applyNumberFormat="0" applyAlignment="0" applyProtection="0"/>
    <xf numFmtId="0" fontId="26" fillId="22" borderId="0" applyNumberFormat="0" applyBorder="0" applyAlignment="0" applyProtection="0"/>
    <xf numFmtId="0" fontId="28" fillId="12" borderId="11" applyNumberFormat="0" applyAlignment="0" applyProtection="0"/>
    <xf numFmtId="0" fontId="34" fillId="33" borderId="42">
      <alignment horizontal="left" vertical="center" wrapText="1" indent="2"/>
    </xf>
    <xf numFmtId="0" fontId="34" fillId="0" borderId="42">
      <alignment horizontal="left" vertical="center" wrapText="1" indent="2"/>
    </xf>
    <xf numFmtId="0" fontId="12" fillId="21" borderId="0" applyNumberFormat="0" applyBorder="0" applyAlignment="0" applyProtection="0"/>
    <xf numFmtId="0" fontId="12" fillId="30" borderId="0" applyNumberFormat="0" applyBorder="0" applyAlignment="0" applyProtection="0"/>
    <xf numFmtId="0" fontId="26" fillId="28" borderId="0" applyNumberFormat="0" applyBorder="0" applyAlignment="0" applyProtection="0"/>
    <xf numFmtId="0" fontId="26" fillId="25" borderId="0" applyNumberFormat="0" applyBorder="0" applyAlignment="0" applyProtection="0"/>
    <xf numFmtId="0" fontId="26" fillId="23" borderId="0" applyNumberFormat="0" applyBorder="0" applyAlignment="0" applyProtection="0"/>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 fillId="0" borderId="12" applyNumberFormat="0" applyFill="0" applyAlignment="0" applyProtection="0"/>
    <xf numFmtId="4" fontId="32" fillId="33" borderId="39">
      <alignment horizontal="right" vertical="center"/>
    </xf>
    <xf numFmtId="0" fontId="34" fillId="32" borderId="39"/>
    <xf numFmtId="0" fontId="45" fillId="55" borderId="36" applyNumberFormat="0" applyAlignment="0" applyProtection="0"/>
    <xf numFmtId="0" fontId="32" fillId="31" borderId="39">
      <alignment horizontal="right" vertical="center"/>
    </xf>
    <xf numFmtId="0" fontId="34" fillId="0" borderId="39">
      <alignment horizontal="right" vertical="center"/>
    </xf>
    <xf numFmtId="0" fontId="65" fillId="0" borderId="37" applyNumberFormat="0" applyFill="0" applyAlignment="0" applyProtection="0"/>
    <xf numFmtId="0" fontId="34" fillId="31" borderId="40">
      <alignment horizontal="left" vertical="center"/>
    </xf>
    <xf numFmtId="0" fontId="58" fillId="42" borderId="36" applyNumberFormat="0" applyAlignment="0" applyProtection="0"/>
    <xf numFmtId="173" fontId="34" fillId="59" borderId="39" applyNumberFormat="0" applyFont="0" applyBorder="0" applyAlignment="0" applyProtection="0">
      <alignment horizontal="right" vertical="center"/>
    </xf>
    <xf numFmtId="0" fontId="40" fillId="58" borderId="38" applyNumberFormat="0" applyFont="0" applyAlignment="0" applyProtection="0"/>
    <xf numFmtId="0" fontId="34" fillId="0" borderId="42">
      <alignment horizontal="left" vertical="center" wrapText="1" indent="2"/>
    </xf>
    <xf numFmtId="4" fontId="34" fillId="32" borderId="39"/>
    <xf numFmtId="49" fontId="33" fillId="0" borderId="39" applyNumberFormat="0" applyFill="0" applyBorder="0" applyProtection="0">
      <alignment horizontal="left" vertical="center"/>
    </xf>
    <xf numFmtId="0" fontId="34" fillId="0" borderId="39">
      <alignment horizontal="right" vertical="center"/>
    </xf>
    <xf numFmtId="4" fontId="32" fillId="33" borderId="41">
      <alignment horizontal="right" vertical="center"/>
    </xf>
    <xf numFmtId="4" fontId="32" fillId="33" borderId="39">
      <alignment horizontal="right" vertical="center"/>
    </xf>
    <xf numFmtId="4" fontId="32" fillId="33" borderId="39">
      <alignment horizontal="right" vertical="center"/>
    </xf>
    <xf numFmtId="0" fontId="36" fillId="31" borderId="39">
      <alignment horizontal="right" vertical="center"/>
    </xf>
    <xf numFmtId="0" fontId="32" fillId="31" borderId="39">
      <alignment horizontal="right" vertical="center"/>
    </xf>
    <xf numFmtId="49" fontId="34" fillId="0" borderId="39" applyNumberFormat="0" applyFont="0" applyFill="0" applyBorder="0" applyProtection="0">
      <alignment horizontal="left" vertical="center" indent="2"/>
    </xf>
    <xf numFmtId="0" fontId="58" fillId="42" borderId="36" applyNumberFormat="0" applyAlignment="0" applyProtection="0"/>
    <xf numFmtId="0" fontId="43" fillId="55" borderId="35" applyNumberFormat="0" applyAlignment="0" applyProtection="0"/>
    <xf numFmtId="49" fontId="34" fillId="0" borderId="39" applyNumberFormat="0" applyFont="0" applyFill="0" applyBorder="0" applyProtection="0">
      <alignment horizontal="left" vertical="center" indent="2"/>
    </xf>
    <xf numFmtId="0" fontId="49" fillId="42" borderId="36" applyNumberFormat="0" applyAlignment="0" applyProtection="0"/>
    <xf numFmtId="4" fontId="34" fillId="0" borderId="39" applyFill="0" applyBorder="0" applyProtection="0">
      <alignment horizontal="right" vertical="center"/>
    </xf>
    <xf numFmtId="0" fontId="46" fillId="55" borderId="36" applyNumberFormat="0" applyAlignment="0" applyProtection="0"/>
    <xf numFmtId="0" fontId="65" fillId="0" borderId="37" applyNumberFormat="0" applyFill="0" applyAlignment="0" applyProtection="0"/>
    <xf numFmtId="0" fontId="62" fillId="55" borderId="35" applyNumberFormat="0" applyAlignment="0" applyProtection="0"/>
    <xf numFmtId="0" fontId="34" fillId="0" borderId="39" applyNumberFormat="0" applyFill="0" applyAlignment="0" applyProtection="0"/>
    <xf numFmtId="4" fontId="34" fillId="0" borderId="39">
      <alignment horizontal="right" vertical="center"/>
    </xf>
    <xf numFmtId="0" fontId="34" fillId="0" borderId="39">
      <alignment horizontal="right" vertical="center"/>
    </xf>
    <xf numFmtId="0" fontId="58" fillId="42" borderId="36" applyNumberFormat="0" applyAlignment="0" applyProtection="0"/>
    <xf numFmtId="0" fontId="43" fillId="55" borderId="35" applyNumberFormat="0" applyAlignment="0" applyProtection="0"/>
    <xf numFmtId="0" fontId="45" fillId="55" borderId="36" applyNumberFormat="0" applyAlignment="0" applyProtection="0"/>
    <xf numFmtId="0" fontId="34" fillId="33" borderId="42">
      <alignment horizontal="left" vertical="center" wrapText="1" indent="2"/>
    </xf>
    <xf numFmtId="0" fontId="46" fillId="55" borderId="36" applyNumberFormat="0" applyAlignment="0" applyProtection="0"/>
    <xf numFmtId="0" fontId="46" fillId="55" borderId="36" applyNumberFormat="0" applyAlignment="0" applyProtection="0"/>
    <xf numFmtId="4" fontId="32" fillId="33" borderId="40">
      <alignment horizontal="right" vertical="center"/>
    </xf>
    <xf numFmtId="0" fontId="32" fillId="33" borderId="40">
      <alignment horizontal="right" vertical="center"/>
    </xf>
    <xf numFmtId="0" fontId="32" fillId="33" borderId="39">
      <alignment horizontal="right" vertical="center"/>
    </xf>
    <xf numFmtId="4" fontId="36" fillId="31" borderId="39">
      <alignment horizontal="right" vertical="center"/>
    </xf>
    <xf numFmtId="0" fontId="49" fillId="42" borderId="36" applyNumberFormat="0" applyAlignment="0" applyProtection="0"/>
    <xf numFmtId="0" fontId="50" fillId="0" borderId="37" applyNumberFormat="0" applyFill="0" applyAlignment="0" applyProtection="0"/>
    <xf numFmtId="0" fontId="65" fillId="0" borderId="37" applyNumberFormat="0" applyFill="0" applyAlignment="0" applyProtection="0"/>
    <xf numFmtId="0" fontId="40" fillId="58" borderId="38" applyNumberFormat="0" applyFont="0" applyAlignment="0" applyProtection="0"/>
    <xf numFmtId="0" fontId="58" fillId="42" borderId="36" applyNumberFormat="0" applyAlignment="0" applyProtection="0"/>
    <xf numFmtId="49" fontId="33" fillId="0" borderId="39" applyNumberFormat="0" applyFill="0" applyBorder="0" applyProtection="0">
      <alignment horizontal="left" vertical="center"/>
    </xf>
    <xf numFmtId="0" fontId="34" fillId="33" borderId="42">
      <alignment horizontal="left" vertical="center" wrapText="1" indent="2"/>
    </xf>
    <xf numFmtId="0" fontId="46" fillId="55" borderId="36" applyNumberFormat="0" applyAlignment="0" applyProtection="0"/>
    <xf numFmtId="0" fontId="34" fillId="0" borderId="42">
      <alignment horizontal="left" vertical="center" wrapText="1" indent="2"/>
    </xf>
    <xf numFmtId="0" fontId="40" fillId="58" borderId="38" applyNumberFormat="0" applyFont="0" applyAlignment="0" applyProtection="0"/>
    <xf numFmtId="0" fontId="5"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4" fontId="34" fillId="32" borderId="39"/>
    <xf numFmtId="0" fontId="32" fillId="33" borderId="39">
      <alignment horizontal="right" vertical="center"/>
    </xf>
    <xf numFmtId="0" fontId="65" fillId="0" borderId="37" applyNumberFormat="0" applyFill="0" applyAlignment="0" applyProtection="0"/>
    <xf numFmtId="4" fontId="32" fillId="33" borderId="41">
      <alignment horizontal="right" vertical="center"/>
    </xf>
    <xf numFmtId="0" fontId="45" fillId="55" borderId="36" applyNumberFormat="0" applyAlignment="0" applyProtection="0"/>
    <xf numFmtId="0" fontId="32" fillId="33" borderId="40">
      <alignment horizontal="right" vertical="center"/>
    </xf>
    <xf numFmtId="0" fontId="46" fillId="55" borderId="36" applyNumberFormat="0" applyAlignment="0" applyProtection="0"/>
    <xf numFmtId="0" fontId="50" fillId="0" borderId="37" applyNumberFormat="0" applyFill="0" applyAlignment="0" applyProtection="0"/>
    <xf numFmtId="0" fontId="40" fillId="58" borderId="38" applyNumberFormat="0" applyFont="0" applyAlignment="0" applyProtection="0"/>
    <xf numFmtId="4" fontId="32" fillId="33" borderId="40">
      <alignment horizontal="right" vertical="center"/>
    </xf>
    <xf numFmtId="0" fontId="34" fillId="33" borderId="42">
      <alignment horizontal="left" vertical="center" wrapText="1" indent="2"/>
    </xf>
    <xf numFmtId="0" fontId="34" fillId="32" borderId="39"/>
    <xf numFmtId="173" fontId="34" fillId="59" borderId="39" applyNumberFormat="0" applyFont="0" applyBorder="0" applyAlignment="0" applyProtection="0">
      <alignment horizontal="right" vertical="center"/>
    </xf>
    <xf numFmtId="0" fontId="34" fillId="0" borderId="39" applyNumberFormat="0" applyFill="0" applyAlignment="0" applyProtection="0"/>
    <xf numFmtId="4" fontId="34" fillId="0" borderId="39" applyFill="0" applyBorder="0" applyProtection="0">
      <alignment horizontal="right" vertical="center"/>
    </xf>
    <xf numFmtId="4" fontId="32" fillId="31" borderId="39">
      <alignment horizontal="right" vertical="center"/>
    </xf>
    <xf numFmtId="0" fontId="50" fillId="0" borderId="37" applyNumberFormat="0" applyFill="0" applyAlignment="0" applyProtection="0"/>
    <xf numFmtId="49" fontId="33" fillId="0" borderId="39" applyNumberFormat="0" applyFill="0" applyBorder="0" applyProtection="0">
      <alignment horizontal="left" vertical="center"/>
    </xf>
    <xf numFmtId="49" fontId="34" fillId="0" borderId="40" applyNumberFormat="0" applyFont="0" applyFill="0" applyBorder="0" applyProtection="0">
      <alignment horizontal="left" vertical="center" indent="5"/>
    </xf>
    <xf numFmtId="0" fontId="34" fillId="31" borderId="40">
      <alignment horizontal="left" vertical="center"/>
    </xf>
    <xf numFmtId="0" fontId="46" fillId="55" borderId="36" applyNumberFormat="0" applyAlignment="0" applyProtection="0"/>
    <xf numFmtId="4" fontId="32" fillId="33" borderId="41">
      <alignment horizontal="right" vertical="center"/>
    </xf>
    <xf numFmtId="0" fontId="58" fillId="42" borderId="36" applyNumberFormat="0" applyAlignment="0" applyProtection="0"/>
    <xf numFmtId="0" fontId="58" fillId="42" borderId="36" applyNumberFormat="0" applyAlignment="0" applyProtection="0"/>
    <xf numFmtId="0" fontId="40"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0" fontId="32" fillId="33" borderId="39">
      <alignment horizontal="right" vertical="center"/>
    </xf>
    <xf numFmtId="0" fontId="5" fillId="58" borderId="38" applyNumberFormat="0" applyFont="0" applyAlignment="0" applyProtection="0"/>
    <xf numFmtId="4" fontId="34" fillId="0" borderId="39">
      <alignment horizontal="right" vertical="center"/>
    </xf>
    <xf numFmtId="0" fontId="65" fillId="0" borderId="37" applyNumberFormat="0" applyFill="0" applyAlignment="0" applyProtection="0"/>
    <xf numFmtId="0" fontId="32" fillId="33" borderId="39">
      <alignment horizontal="right" vertical="center"/>
    </xf>
    <xf numFmtId="0" fontId="32" fillId="33" borderId="39">
      <alignment horizontal="right" vertical="center"/>
    </xf>
    <xf numFmtId="4" fontId="36" fillId="31" borderId="39">
      <alignment horizontal="right" vertical="center"/>
    </xf>
    <xf numFmtId="0" fontId="32" fillId="31" borderId="39">
      <alignment horizontal="right" vertical="center"/>
    </xf>
    <xf numFmtId="4" fontId="32" fillId="31" borderId="39">
      <alignment horizontal="right" vertical="center"/>
    </xf>
    <xf numFmtId="0" fontId="36" fillId="31" borderId="39">
      <alignment horizontal="right" vertical="center"/>
    </xf>
    <xf numFmtId="4" fontId="36" fillId="31" borderId="39">
      <alignment horizontal="right" vertical="center"/>
    </xf>
    <xf numFmtId="0" fontId="32" fillId="33" borderId="39">
      <alignment horizontal="right" vertical="center"/>
    </xf>
    <xf numFmtId="4" fontId="32" fillId="33" borderId="39">
      <alignment horizontal="right" vertical="center"/>
    </xf>
    <xf numFmtId="0" fontId="32" fillId="33" borderId="39">
      <alignment horizontal="right" vertical="center"/>
    </xf>
    <xf numFmtId="4" fontId="32" fillId="33" borderId="39">
      <alignment horizontal="right" vertical="center"/>
    </xf>
    <xf numFmtId="0" fontId="32" fillId="33" borderId="40">
      <alignment horizontal="right" vertical="center"/>
    </xf>
    <xf numFmtId="4" fontId="32" fillId="33" borderId="40">
      <alignment horizontal="right" vertical="center"/>
    </xf>
    <xf numFmtId="0" fontId="32" fillId="33" borderId="41">
      <alignment horizontal="right" vertical="center"/>
    </xf>
    <xf numFmtId="4" fontId="32" fillId="33" borderId="41">
      <alignment horizontal="right" vertical="center"/>
    </xf>
    <xf numFmtId="0" fontId="46" fillId="55" borderId="36" applyNumberFormat="0" applyAlignment="0" applyProtection="0"/>
    <xf numFmtId="0" fontId="34" fillId="33" borderId="42">
      <alignment horizontal="left" vertical="center" wrapText="1" indent="2"/>
    </xf>
    <xf numFmtId="0" fontId="34" fillId="0" borderId="42">
      <alignment horizontal="left" vertical="center" wrapText="1" indent="2"/>
    </xf>
    <xf numFmtId="0" fontId="34" fillId="31" borderId="40">
      <alignment horizontal="left" vertical="center"/>
    </xf>
    <xf numFmtId="0" fontId="58" fillId="42" borderId="36" applyNumberFormat="0" applyAlignment="0" applyProtection="0"/>
    <xf numFmtId="0" fontId="34" fillId="0" borderId="39">
      <alignment horizontal="right" vertical="center"/>
    </xf>
    <xf numFmtId="4" fontId="34" fillId="0" borderId="39">
      <alignment horizontal="right" vertical="center"/>
    </xf>
    <xf numFmtId="0" fontId="34" fillId="0" borderId="39" applyNumberFormat="0" applyFill="0" applyAlignment="0" applyProtection="0"/>
    <xf numFmtId="0" fontId="62" fillId="55" borderId="35" applyNumberFormat="0" applyAlignment="0" applyProtection="0"/>
    <xf numFmtId="173" fontId="34" fillId="59" borderId="39" applyNumberFormat="0" applyFont="0" applyBorder="0" applyAlignment="0" applyProtection="0">
      <alignment horizontal="right" vertical="center"/>
    </xf>
    <xf numFmtId="0" fontId="34" fillId="32" borderId="39"/>
    <xf numFmtId="4" fontId="34" fillId="32" borderId="39"/>
    <xf numFmtId="0" fontId="65" fillId="0" borderId="37" applyNumberFormat="0" applyFill="0" applyAlignment="0" applyProtection="0"/>
    <xf numFmtId="0" fontId="5" fillId="58" borderId="38" applyNumberFormat="0" applyFont="0" applyAlignment="0" applyProtection="0"/>
    <xf numFmtId="0" fontId="40" fillId="58" borderId="38" applyNumberFormat="0" applyFont="0" applyAlignment="0" applyProtection="0"/>
    <xf numFmtId="0" fontId="34" fillId="0" borderId="39" applyNumberFormat="0" applyFill="0" applyAlignment="0" applyProtection="0"/>
    <xf numFmtId="0" fontId="50" fillId="0" borderId="37" applyNumberFormat="0" applyFill="0" applyAlignment="0" applyProtection="0"/>
    <xf numFmtId="0" fontId="65" fillId="0" borderId="37" applyNumberFormat="0" applyFill="0" applyAlignment="0" applyProtection="0"/>
    <xf numFmtId="0" fontId="49" fillId="42" borderId="36" applyNumberFormat="0" applyAlignment="0" applyProtection="0"/>
    <xf numFmtId="0" fontId="46" fillId="55" borderId="36" applyNumberFormat="0" applyAlignment="0" applyProtection="0"/>
    <xf numFmtId="4" fontId="36" fillId="31" borderId="39">
      <alignment horizontal="right" vertical="center"/>
    </xf>
    <xf numFmtId="0" fontId="32" fillId="31" borderId="39">
      <alignment horizontal="right" vertical="center"/>
    </xf>
    <xf numFmtId="173" fontId="34" fillId="59" borderId="39" applyNumberFormat="0" applyFont="0" applyBorder="0" applyAlignment="0" applyProtection="0">
      <alignment horizontal="right" vertical="center"/>
    </xf>
    <xf numFmtId="0" fontId="50" fillId="0" borderId="37" applyNumberFormat="0" applyFill="0" applyAlignment="0" applyProtection="0"/>
    <xf numFmtId="49" fontId="34" fillId="0" borderId="39" applyNumberFormat="0" applyFont="0" applyFill="0" applyBorder="0" applyProtection="0">
      <alignment horizontal="left" vertical="center" indent="2"/>
    </xf>
    <xf numFmtId="49" fontId="34" fillId="0" borderId="40" applyNumberFormat="0" applyFont="0" applyFill="0" applyBorder="0" applyProtection="0">
      <alignment horizontal="left" vertical="center" indent="5"/>
    </xf>
    <xf numFmtId="49" fontId="34" fillId="0" borderId="39" applyNumberFormat="0" applyFont="0" applyFill="0" applyBorder="0" applyProtection="0">
      <alignment horizontal="left" vertical="center" indent="2"/>
    </xf>
    <xf numFmtId="4" fontId="34" fillId="0" borderId="39" applyFill="0" applyBorder="0" applyProtection="0">
      <alignment horizontal="right" vertical="center"/>
    </xf>
    <xf numFmtId="49" fontId="33" fillId="0" borderId="39" applyNumberFormat="0" applyFill="0" applyBorder="0" applyProtection="0">
      <alignment horizontal="left" vertical="center"/>
    </xf>
    <xf numFmtId="0" fontId="34" fillId="0" borderId="42">
      <alignment horizontal="left" vertical="center" wrapText="1" indent="2"/>
    </xf>
    <xf numFmtId="0" fontId="62" fillId="55" borderId="35" applyNumberFormat="0" applyAlignment="0" applyProtection="0"/>
    <xf numFmtId="0" fontId="32" fillId="33" borderId="41">
      <alignment horizontal="right" vertical="center"/>
    </xf>
    <xf numFmtId="0" fontId="49" fillId="42" borderId="36" applyNumberFormat="0" applyAlignment="0" applyProtection="0"/>
    <xf numFmtId="0" fontId="32" fillId="33" borderId="41">
      <alignment horizontal="right" vertical="center"/>
    </xf>
    <xf numFmtId="4" fontId="32" fillId="33" borderId="39">
      <alignment horizontal="right" vertical="center"/>
    </xf>
    <xf numFmtId="0" fontId="32" fillId="33" borderId="39">
      <alignment horizontal="right" vertical="center"/>
    </xf>
    <xf numFmtId="0" fontId="43" fillId="55" borderId="35" applyNumberFormat="0" applyAlignment="0" applyProtection="0"/>
    <xf numFmtId="0" fontId="45" fillId="55" borderId="36" applyNumberFormat="0" applyAlignment="0" applyProtection="0"/>
    <xf numFmtId="0" fontId="50" fillId="0" borderId="37" applyNumberFormat="0" applyFill="0" applyAlignment="0" applyProtection="0"/>
    <xf numFmtId="0" fontId="34" fillId="32" borderId="39"/>
    <xf numFmtId="4" fontId="34" fillId="32" borderId="39"/>
    <xf numFmtId="4" fontId="32" fillId="33" borderId="39">
      <alignment horizontal="right" vertical="center"/>
    </xf>
    <xf numFmtId="0" fontId="36" fillId="31" borderId="39">
      <alignment horizontal="right" vertical="center"/>
    </xf>
    <xf numFmtId="0" fontId="49" fillId="42" borderId="36" applyNumberFormat="0" applyAlignment="0" applyProtection="0"/>
    <xf numFmtId="0" fontId="46" fillId="55" borderId="36" applyNumberFormat="0" applyAlignment="0" applyProtection="0"/>
    <xf numFmtId="4" fontId="34" fillId="0" borderId="39">
      <alignment horizontal="right" vertical="center"/>
    </xf>
    <xf numFmtId="0" fontId="34" fillId="33" borderId="42">
      <alignment horizontal="left" vertical="center" wrapText="1" indent="2"/>
    </xf>
    <xf numFmtId="0" fontId="34" fillId="0" borderId="42">
      <alignment horizontal="left" vertical="center" wrapText="1" indent="2"/>
    </xf>
    <xf numFmtId="0" fontId="62" fillId="55" borderId="35" applyNumberFormat="0" applyAlignment="0" applyProtection="0"/>
    <xf numFmtId="0" fontId="58" fillId="42" borderId="36" applyNumberFormat="0" applyAlignment="0" applyProtection="0"/>
    <xf numFmtId="0" fontId="45" fillId="55" borderId="36" applyNumberFormat="0" applyAlignment="0" applyProtection="0"/>
    <xf numFmtId="0" fontId="43" fillId="55" borderId="35" applyNumberFormat="0" applyAlignment="0" applyProtection="0"/>
    <xf numFmtId="0" fontId="32" fillId="33" borderId="41">
      <alignment horizontal="right" vertical="center"/>
    </xf>
    <xf numFmtId="0" fontId="36" fillId="31" borderId="39">
      <alignment horizontal="right" vertical="center"/>
    </xf>
    <xf numFmtId="4" fontId="32" fillId="31" borderId="39">
      <alignment horizontal="right" vertical="center"/>
    </xf>
    <xf numFmtId="4" fontId="32" fillId="33" borderId="39">
      <alignment horizontal="right" vertical="center"/>
    </xf>
    <xf numFmtId="49" fontId="34" fillId="0" borderId="40" applyNumberFormat="0" applyFont="0" applyFill="0" applyBorder="0" applyProtection="0">
      <alignment horizontal="left" vertical="center" indent="5"/>
    </xf>
    <xf numFmtId="4" fontId="34" fillId="0" borderId="39" applyFill="0" applyBorder="0" applyProtection="0">
      <alignment horizontal="right" vertical="center"/>
    </xf>
    <xf numFmtId="4" fontId="32" fillId="31" borderId="39">
      <alignment horizontal="right" vertical="center"/>
    </xf>
    <xf numFmtId="0" fontId="58" fillId="42" borderId="36" applyNumberFormat="0" applyAlignment="0" applyProtection="0"/>
    <xf numFmtId="0" fontId="49" fillId="42" borderId="36" applyNumberFormat="0" applyAlignment="0" applyProtection="0"/>
    <xf numFmtId="0" fontId="45" fillId="55" borderId="36" applyNumberFormat="0" applyAlignment="0" applyProtection="0"/>
    <xf numFmtId="0" fontId="34" fillId="33" borderId="42">
      <alignment horizontal="left" vertical="center" wrapText="1" indent="2"/>
    </xf>
    <xf numFmtId="0" fontId="34" fillId="0" borderId="42">
      <alignment horizontal="left" vertical="center" wrapText="1" indent="2"/>
    </xf>
    <xf numFmtId="0" fontId="34" fillId="33" borderId="42">
      <alignment horizontal="left" vertical="center" wrapText="1" indent="2"/>
    </xf>
    <xf numFmtId="0" fontId="34" fillId="0" borderId="42">
      <alignment horizontal="left" vertical="center" wrapText="1" indent="2"/>
    </xf>
    <xf numFmtId="0" fontId="43" fillId="55" borderId="35" applyNumberFormat="0" applyAlignment="0" applyProtection="0"/>
    <xf numFmtId="0" fontId="45" fillId="55" borderId="36" applyNumberFormat="0" applyAlignment="0" applyProtection="0"/>
    <xf numFmtId="0" fontId="46" fillId="55" borderId="36" applyNumberFormat="0" applyAlignment="0" applyProtection="0"/>
    <xf numFmtId="0" fontId="49" fillId="42" borderId="36" applyNumberFormat="0" applyAlignment="0" applyProtection="0"/>
    <xf numFmtId="0" fontId="50" fillId="0" borderId="37" applyNumberFormat="0" applyFill="0" applyAlignment="0" applyProtection="0"/>
    <xf numFmtId="0" fontId="58" fillId="42" borderId="36" applyNumberFormat="0" applyAlignment="0" applyProtection="0"/>
    <xf numFmtId="0" fontId="40" fillId="58" borderId="38" applyNumberFormat="0" applyFont="0" applyAlignment="0" applyProtection="0"/>
    <xf numFmtId="0" fontId="5"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0" fontId="46" fillId="55" borderId="36" applyNumberFormat="0" applyAlignment="0" applyProtection="0"/>
    <xf numFmtId="0" fontId="58" fillId="42" borderId="36" applyNumberFormat="0" applyAlignment="0" applyProtection="0"/>
    <xf numFmtId="0" fontId="40"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0" fontId="46" fillId="55" borderId="36" applyNumberFormat="0" applyAlignment="0" applyProtection="0"/>
    <xf numFmtId="0" fontId="58" fillId="42" borderId="36" applyNumberFormat="0" applyAlignment="0" applyProtection="0"/>
    <xf numFmtId="0" fontId="62" fillId="55" borderId="35" applyNumberFormat="0" applyAlignment="0" applyProtection="0"/>
    <xf numFmtId="0" fontId="65" fillId="0" borderId="37" applyNumberFormat="0" applyFill="0" applyAlignment="0" applyProtection="0"/>
    <xf numFmtId="0" fontId="43" fillId="55" borderId="35" applyNumberFormat="0" applyAlignment="0" applyProtection="0"/>
    <xf numFmtId="0" fontId="45" fillId="55" borderId="36" applyNumberFormat="0" applyAlignment="0" applyProtection="0"/>
    <xf numFmtId="0" fontId="50" fillId="0" borderId="37" applyNumberFormat="0" applyFill="0" applyAlignment="0" applyProtection="0"/>
    <xf numFmtId="49" fontId="34" fillId="0" borderId="39" applyNumberFormat="0" applyFont="0" applyFill="0" applyBorder="0" applyProtection="0">
      <alignment horizontal="left" vertical="center" indent="2"/>
    </xf>
    <xf numFmtId="0" fontId="32" fillId="31" borderId="39">
      <alignment horizontal="right" vertical="center"/>
    </xf>
    <xf numFmtId="4" fontId="32" fillId="31" borderId="39">
      <alignment horizontal="right" vertical="center"/>
    </xf>
    <xf numFmtId="0" fontId="36" fillId="31" borderId="39">
      <alignment horizontal="right" vertical="center"/>
    </xf>
    <xf numFmtId="4" fontId="36" fillId="31" borderId="39">
      <alignment horizontal="right" vertical="center"/>
    </xf>
    <xf numFmtId="0" fontId="32" fillId="33" borderId="39">
      <alignment horizontal="right" vertical="center"/>
    </xf>
    <xf numFmtId="4" fontId="32" fillId="33" borderId="39">
      <alignment horizontal="right" vertical="center"/>
    </xf>
    <xf numFmtId="0" fontId="32" fillId="33" borderId="39">
      <alignment horizontal="right" vertical="center"/>
    </xf>
    <xf numFmtId="4" fontId="32" fillId="33" borderId="39">
      <alignment horizontal="right" vertical="center"/>
    </xf>
    <xf numFmtId="0" fontId="49" fillId="42" borderId="36" applyNumberFormat="0" applyAlignment="0" applyProtection="0"/>
    <xf numFmtId="0" fontId="34" fillId="0" borderId="39">
      <alignment horizontal="right" vertical="center"/>
    </xf>
    <xf numFmtId="4" fontId="34" fillId="0" borderId="39">
      <alignment horizontal="right" vertical="center"/>
    </xf>
    <xf numFmtId="4" fontId="34" fillId="0" borderId="39" applyFill="0" applyBorder="0" applyProtection="0">
      <alignment horizontal="right" vertical="center"/>
    </xf>
    <xf numFmtId="49" fontId="33" fillId="0" borderId="39" applyNumberFormat="0" applyFill="0" applyBorder="0" applyProtection="0">
      <alignment horizontal="left" vertical="center"/>
    </xf>
    <xf numFmtId="0" fontId="34" fillId="0" borderId="39" applyNumberFormat="0" applyFill="0" applyAlignment="0" applyProtection="0"/>
    <xf numFmtId="173" fontId="34" fillId="59" borderId="39" applyNumberFormat="0" applyFont="0" applyBorder="0" applyAlignment="0" applyProtection="0">
      <alignment horizontal="right" vertical="center"/>
    </xf>
    <xf numFmtId="0" fontId="34" fillId="32" borderId="39"/>
    <xf numFmtId="4" fontId="34" fillId="32" borderId="39"/>
    <xf numFmtId="4" fontId="32" fillId="33" borderId="39">
      <alignment horizontal="right" vertical="center"/>
    </xf>
    <xf numFmtId="0" fontId="34" fillId="32" borderId="39"/>
    <xf numFmtId="0" fontId="45" fillId="55" borderId="36" applyNumberFormat="0" applyAlignment="0" applyProtection="0"/>
    <xf numFmtId="0" fontId="32" fillId="31" borderId="39">
      <alignment horizontal="right" vertical="center"/>
    </xf>
    <xf numFmtId="0" fontId="34" fillId="0" borderId="39">
      <alignment horizontal="right" vertical="center"/>
    </xf>
    <xf numFmtId="0" fontId="65" fillId="0" borderId="37" applyNumberFormat="0" applyFill="0" applyAlignment="0" applyProtection="0"/>
    <xf numFmtId="0" fontId="34" fillId="31" borderId="40">
      <alignment horizontal="left" vertical="center"/>
    </xf>
    <xf numFmtId="0" fontId="58" fillId="42" borderId="36" applyNumberFormat="0" applyAlignment="0" applyProtection="0"/>
    <xf numFmtId="173" fontId="34" fillId="59" borderId="39" applyNumberFormat="0" applyFont="0" applyBorder="0" applyAlignment="0" applyProtection="0">
      <alignment horizontal="right" vertical="center"/>
    </xf>
    <xf numFmtId="0" fontId="40" fillId="58" borderId="38" applyNumberFormat="0" applyFont="0" applyAlignment="0" applyProtection="0"/>
    <xf numFmtId="0" fontId="34" fillId="0" borderId="42">
      <alignment horizontal="left" vertical="center" wrapText="1" indent="2"/>
    </xf>
    <xf numFmtId="4" fontId="34" fillId="32" borderId="39"/>
    <xf numFmtId="49" fontId="33" fillId="0" borderId="39" applyNumberFormat="0" applyFill="0" applyBorder="0" applyProtection="0">
      <alignment horizontal="left" vertical="center"/>
    </xf>
    <xf numFmtId="0" fontId="34" fillId="0" borderId="39">
      <alignment horizontal="right" vertical="center"/>
    </xf>
    <xf numFmtId="4" fontId="32" fillId="33" borderId="41">
      <alignment horizontal="right" vertical="center"/>
    </xf>
    <xf numFmtId="4" fontId="32" fillId="33" borderId="39">
      <alignment horizontal="right" vertical="center"/>
    </xf>
    <xf numFmtId="4" fontId="32" fillId="33" borderId="39">
      <alignment horizontal="right" vertical="center"/>
    </xf>
    <xf numFmtId="0" fontId="36" fillId="31" borderId="39">
      <alignment horizontal="right" vertical="center"/>
    </xf>
    <xf numFmtId="0" fontId="32" fillId="31" borderId="39">
      <alignment horizontal="right" vertical="center"/>
    </xf>
    <xf numFmtId="49" fontId="34" fillId="0" borderId="39" applyNumberFormat="0" applyFont="0" applyFill="0" applyBorder="0" applyProtection="0">
      <alignment horizontal="left" vertical="center" indent="2"/>
    </xf>
    <xf numFmtId="0" fontId="58" fillId="42" borderId="36" applyNumberFormat="0" applyAlignment="0" applyProtection="0"/>
    <xf numFmtId="0" fontId="43" fillId="55" borderId="35" applyNumberFormat="0" applyAlignment="0" applyProtection="0"/>
    <xf numFmtId="49" fontId="34" fillId="0" borderId="39" applyNumberFormat="0" applyFont="0" applyFill="0" applyBorder="0" applyProtection="0">
      <alignment horizontal="left" vertical="center" indent="2"/>
    </xf>
    <xf numFmtId="0" fontId="49" fillId="42" borderId="36" applyNumberFormat="0" applyAlignment="0" applyProtection="0"/>
    <xf numFmtId="4" fontId="34" fillId="0" borderId="39" applyFill="0" applyBorder="0" applyProtection="0">
      <alignment horizontal="right" vertical="center"/>
    </xf>
    <xf numFmtId="0" fontId="46" fillId="55" borderId="36" applyNumberFormat="0" applyAlignment="0" applyProtection="0"/>
    <xf numFmtId="0" fontId="65" fillId="0" borderId="37" applyNumberFormat="0" applyFill="0" applyAlignment="0" applyProtection="0"/>
    <xf numFmtId="0" fontId="62" fillId="55" borderId="35" applyNumberFormat="0" applyAlignment="0" applyProtection="0"/>
    <xf numFmtId="0" fontId="34" fillId="0" borderId="39" applyNumberFormat="0" applyFill="0" applyAlignment="0" applyProtection="0"/>
    <xf numFmtId="4" fontId="34" fillId="0" borderId="39">
      <alignment horizontal="right" vertical="center"/>
    </xf>
    <xf numFmtId="0" fontId="34" fillId="0" borderId="39">
      <alignment horizontal="right" vertical="center"/>
    </xf>
    <xf numFmtId="0" fontId="58" fillId="42" borderId="36" applyNumberFormat="0" applyAlignment="0" applyProtection="0"/>
    <xf numFmtId="0" fontId="43" fillId="55" borderId="35" applyNumberFormat="0" applyAlignment="0" applyProtection="0"/>
    <xf numFmtId="0" fontId="45" fillId="55" borderId="36" applyNumberFormat="0" applyAlignment="0" applyProtection="0"/>
    <xf numFmtId="0" fontId="34" fillId="33" borderId="42">
      <alignment horizontal="left" vertical="center" wrapText="1" indent="2"/>
    </xf>
    <xf numFmtId="0" fontId="46" fillId="55" borderId="36" applyNumberFormat="0" applyAlignment="0" applyProtection="0"/>
    <xf numFmtId="0" fontId="46" fillId="55" borderId="36" applyNumberFormat="0" applyAlignment="0" applyProtection="0"/>
    <xf numFmtId="4" fontId="32" fillId="33" borderId="40">
      <alignment horizontal="right" vertical="center"/>
    </xf>
    <xf numFmtId="0" fontId="32" fillId="33" borderId="40">
      <alignment horizontal="right" vertical="center"/>
    </xf>
    <xf numFmtId="0" fontId="32" fillId="33" borderId="39">
      <alignment horizontal="right" vertical="center"/>
    </xf>
    <xf numFmtId="4" fontId="36" fillId="31" borderId="39">
      <alignment horizontal="right" vertical="center"/>
    </xf>
    <xf numFmtId="0" fontId="49" fillId="42" borderId="36" applyNumberFormat="0" applyAlignment="0" applyProtection="0"/>
    <xf numFmtId="0" fontId="50" fillId="0" borderId="37" applyNumberFormat="0" applyFill="0" applyAlignment="0" applyProtection="0"/>
    <xf numFmtId="0" fontId="65" fillId="0" borderId="37" applyNumberFormat="0" applyFill="0" applyAlignment="0" applyProtection="0"/>
    <xf numFmtId="0" fontId="40" fillId="58" borderId="38" applyNumberFormat="0" applyFont="0" applyAlignment="0" applyProtection="0"/>
    <xf numFmtId="0" fontId="58" fillId="42" borderId="36" applyNumberFormat="0" applyAlignment="0" applyProtection="0"/>
    <xf numFmtId="49" fontId="33" fillId="0" borderId="39" applyNumberFormat="0" applyFill="0" applyBorder="0" applyProtection="0">
      <alignment horizontal="left" vertical="center"/>
    </xf>
    <xf numFmtId="0" fontId="34" fillId="33" borderId="42">
      <alignment horizontal="left" vertical="center" wrapText="1" indent="2"/>
    </xf>
    <xf numFmtId="0" fontId="46" fillId="55" borderId="36" applyNumberFormat="0" applyAlignment="0" applyProtection="0"/>
    <xf numFmtId="0" fontId="34" fillId="0" borderId="42">
      <alignment horizontal="left" vertical="center" wrapText="1" indent="2"/>
    </xf>
    <xf numFmtId="0" fontId="40" fillId="58" borderId="38" applyNumberFormat="0" applyFont="0" applyAlignment="0" applyProtection="0"/>
    <xf numFmtId="0" fontId="5"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4" fontId="34" fillId="32" borderId="39"/>
    <xf numFmtId="0" fontId="32" fillId="33" borderId="39">
      <alignment horizontal="right" vertical="center"/>
    </xf>
    <xf numFmtId="0" fontId="65" fillId="0" borderId="37" applyNumberFormat="0" applyFill="0" applyAlignment="0" applyProtection="0"/>
    <xf numFmtId="4" fontId="32" fillId="33" borderId="41">
      <alignment horizontal="right" vertical="center"/>
    </xf>
    <xf numFmtId="0" fontId="45" fillId="55" borderId="36" applyNumberFormat="0" applyAlignment="0" applyProtection="0"/>
    <xf numFmtId="0" fontId="32" fillId="33" borderId="40">
      <alignment horizontal="right" vertical="center"/>
    </xf>
    <xf numFmtId="0" fontId="46" fillId="55" borderId="36" applyNumberFormat="0" applyAlignment="0" applyProtection="0"/>
    <xf numFmtId="0" fontId="50" fillId="0" borderId="37" applyNumberFormat="0" applyFill="0" applyAlignment="0" applyProtection="0"/>
    <xf numFmtId="0" fontId="40" fillId="58" borderId="38" applyNumberFormat="0" applyFont="0" applyAlignment="0" applyProtection="0"/>
    <xf numFmtId="4" fontId="32" fillId="33" borderId="40">
      <alignment horizontal="right" vertical="center"/>
    </xf>
    <xf numFmtId="0" fontId="34" fillId="33" borderId="42">
      <alignment horizontal="left" vertical="center" wrapText="1" indent="2"/>
    </xf>
    <xf numFmtId="0" fontId="34" fillId="32" borderId="39"/>
    <xf numFmtId="173" fontId="34" fillId="59" borderId="39" applyNumberFormat="0" applyFont="0" applyBorder="0" applyAlignment="0" applyProtection="0">
      <alignment horizontal="right" vertical="center"/>
    </xf>
    <xf numFmtId="0" fontId="34" fillId="0" borderId="39" applyNumberFormat="0" applyFill="0" applyAlignment="0" applyProtection="0"/>
    <xf numFmtId="4" fontId="34" fillId="0" borderId="39" applyFill="0" applyBorder="0" applyProtection="0">
      <alignment horizontal="right" vertical="center"/>
    </xf>
    <xf numFmtId="4" fontId="32" fillId="31" borderId="39">
      <alignment horizontal="right" vertical="center"/>
    </xf>
    <xf numFmtId="0" fontId="50" fillId="0" borderId="37" applyNumberFormat="0" applyFill="0" applyAlignment="0" applyProtection="0"/>
    <xf numFmtId="49" fontId="33" fillId="0" borderId="39" applyNumberFormat="0" applyFill="0" applyBorder="0" applyProtection="0">
      <alignment horizontal="left" vertical="center"/>
    </xf>
    <xf numFmtId="49" fontId="34" fillId="0" borderId="40" applyNumberFormat="0" applyFont="0" applyFill="0" applyBorder="0" applyProtection="0">
      <alignment horizontal="left" vertical="center" indent="5"/>
    </xf>
    <xf numFmtId="0" fontId="34" fillId="31" borderId="40">
      <alignment horizontal="left" vertical="center"/>
    </xf>
    <xf numFmtId="0" fontId="46" fillId="55" borderId="36" applyNumberFormat="0" applyAlignment="0" applyProtection="0"/>
    <xf numFmtId="4" fontId="32" fillId="33" borderId="41">
      <alignment horizontal="right" vertical="center"/>
    </xf>
    <xf numFmtId="0" fontId="58" fillId="42" borderId="36" applyNumberFormat="0" applyAlignment="0" applyProtection="0"/>
    <xf numFmtId="0" fontId="58" fillId="42" borderId="36" applyNumberFormat="0" applyAlignment="0" applyProtection="0"/>
    <xf numFmtId="0" fontId="40" fillId="58" borderId="38" applyNumberFormat="0" applyFont="0" applyAlignment="0" applyProtection="0"/>
    <xf numFmtId="0" fontId="62" fillId="55" borderId="35" applyNumberFormat="0" applyAlignment="0" applyProtection="0"/>
    <xf numFmtId="0" fontId="65" fillId="0" borderId="37" applyNumberFormat="0" applyFill="0" applyAlignment="0" applyProtection="0"/>
    <xf numFmtId="0" fontId="32" fillId="33" borderId="39">
      <alignment horizontal="right" vertical="center"/>
    </xf>
    <xf numFmtId="0" fontId="5" fillId="58" borderId="38" applyNumberFormat="0" applyFont="0" applyAlignment="0" applyProtection="0"/>
    <xf numFmtId="4" fontId="34" fillId="0" borderId="39">
      <alignment horizontal="right" vertical="center"/>
    </xf>
    <xf numFmtId="0" fontId="65" fillId="0" borderId="37" applyNumberFormat="0" applyFill="0" applyAlignment="0" applyProtection="0"/>
    <xf numFmtId="0" fontId="32" fillId="33" borderId="39">
      <alignment horizontal="right" vertical="center"/>
    </xf>
    <xf numFmtId="0" fontId="32" fillId="33" borderId="39">
      <alignment horizontal="right" vertical="center"/>
    </xf>
    <xf numFmtId="4" fontId="36" fillId="31" borderId="39">
      <alignment horizontal="right" vertical="center"/>
    </xf>
    <xf numFmtId="0" fontId="32" fillId="31" borderId="39">
      <alignment horizontal="right" vertical="center"/>
    </xf>
    <xf numFmtId="4" fontId="32" fillId="31" borderId="39">
      <alignment horizontal="right" vertical="center"/>
    </xf>
    <xf numFmtId="0" fontId="36" fillId="31" borderId="39">
      <alignment horizontal="right" vertical="center"/>
    </xf>
    <xf numFmtId="4" fontId="36" fillId="31" borderId="39">
      <alignment horizontal="right" vertical="center"/>
    </xf>
    <xf numFmtId="0" fontId="32" fillId="33" borderId="39">
      <alignment horizontal="right" vertical="center"/>
    </xf>
    <xf numFmtId="4" fontId="32" fillId="33" borderId="39">
      <alignment horizontal="right" vertical="center"/>
    </xf>
    <xf numFmtId="0" fontId="32" fillId="33" borderId="39">
      <alignment horizontal="right" vertical="center"/>
    </xf>
    <xf numFmtId="4" fontId="32" fillId="33" borderId="39">
      <alignment horizontal="right" vertical="center"/>
    </xf>
    <xf numFmtId="0" fontId="32" fillId="33" borderId="40">
      <alignment horizontal="right" vertical="center"/>
    </xf>
    <xf numFmtId="4" fontId="32" fillId="33" borderId="40">
      <alignment horizontal="right" vertical="center"/>
    </xf>
    <xf numFmtId="0" fontId="32" fillId="33" borderId="41">
      <alignment horizontal="right" vertical="center"/>
    </xf>
    <xf numFmtId="4" fontId="32" fillId="33" borderId="41">
      <alignment horizontal="right" vertical="center"/>
    </xf>
    <xf numFmtId="0" fontId="46" fillId="55" borderId="36" applyNumberFormat="0" applyAlignment="0" applyProtection="0"/>
    <xf numFmtId="0" fontId="34" fillId="33" borderId="42">
      <alignment horizontal="left" vertical="center" wrapText="1" indent="2"/>
    </xf>
    <xf numFmtId="0" fontId="34" fillId="0" borderId="42">
      <alignment horizontal="left" vertical="center" wrapText="1" indent="2"/>
    </xf>
    <xf numFmtId="0" fontId="34" fillId="31" borderId="40">
      <alignment horizontal="left" vertical="center"/>
    </xf>
    <xf numFmtId="0" fontId="58" fillId="42" borderId="36" applyNumberFormat="0" applyAlignment="0" applyProtection="0"/>
    <xf numFmtId="0" fontId="34" fillId="0" borderId="39">
      <alignment horizontal="right" vertical="center"/>
    </xf>
    <xf numFmtId="4" fontId="34" fillId="0" borderId="39">
      <alignment horizontal="right" vertical="center"/>
    </xf>
    <xf numFmtId="0" fontId="34" fillId="0" borderId="39" applyNumberFormat="0" applyFill="0" applyAlignment="0" applyProtection="0"/>
    <xf numFmtId="0" fontId="62" fillId="55" borderId="35" applyNumberFormat="0" applyAlignment="0" applyProtection="0"/>
    <xf numFmtId="173" fontId="34" fillId="59" borderId="39" applyNumberFormat="0" applyFont="0" applyBorder="0" applyAlignment="0" applyProtection="0">
      <alignment horizontal="right" vertical="center"/>
    </xf>
    <xf numFmtId="0" fontId="34" fillId="32" borderId="39"/>
    <xf numFmtId="4" fontId="34" fillId="32" borderId="39"/>
    <xf numFmtId="0" fontId="65" fillId="0" borderId="37" applyNumberFormat="0" applyFill="0" applyAlignment="0" applyProtection="0"/>
    <xf numFmtId="0" fontId="5" fillId="58" borderId="38" applyNumberFormat="0" applyFont="0" applyAlignment="0" applyProtection="0"/>
    <xf numFmtId="0" fontId="40" fillId="58" borderId="38" applyNumberFormat="0" applyFont="0" applyAlignment="0" applyProtection="0"/>
    <xf numFmtId="0" fontId="34" fillId="0" borderId="39" applyNumberFormat="0" applyFill="0" applyAlignment="0" applyProtection="0"/>
    <xf numFmtId="0" fontId="50" fillId="0" borderId="37" applyNumberFormat="0" applyFill="0" applyAlignment="0" applyProtection="0"/>
    <xf numFmtId="0" fontId="65" fillId="0" borderId="37" applyNumberFormat="0" applyFill="0" applyAlignment="0" applyProtection="0"/>
    <xf numFmtId="0" fontId="49" fillId="42" borderId="36" applyNumberFormat="0" applyAlignment="0" applyProtection="0"/>
    <xf numFmtId="0" fontId="46" fillId="55" borderId="36" applyNumberFormat="0" applyAlignment="0" applyProtection="0"/>
    <xf numFmtId="4" fontId="36" fillId="31" borderId="39">
      <alignment horizontal="right" vertical="center"/>
    </xf>
    <xf numFmtId="0" fontId="32" fillId="31" borderId="39">
      <alignment horizontal="right" vertical="center"/>
    </xf>
    <xf numFmtId="173" fontId="34" fillId="59" borderId="39" applyNumberFormat="0" applyFont="0" applyBorder="0" applyAlignment="0" applyProtection="0">
      <alignment horizontal="right" vertical="center"/>
    </xf>
    <xf numFmtId="0" fontId="50" fillId="0" borderId="37" applyNumberFormat="0" applyFill="0" applyAlignment="0" applyProtection="0"/>
    <xf numFmtId="49" fontId="34" fillId="0" borderId="39" applyNumberFormat="0" applyFont="0" applyFill="0" applyBorder="0" applyProtection="0">
      <alignment horizontal="left" vertical="center" indent="2"/>
    </xf>
    <xf numFmtId="49" fontId="34" fillId="0" borderId="40" applyNumberFormat="0" applyFont="0" applyFill="0" applyBorder="0" applyProtection="0">
      <alignment horizontal="left" vertical="center" indent="5"/>
    </xf>
    <xf numFmtId="49" fontId="34" fillId="0" borderId="39" applyNumberFormat="0" applyFont="0" applyFill="0" applyBorder="0" applyProtection="0">
      <alignment horizontal="left" vertical="center" indent="2"/>
    </xf>
    <xf numFmtId="4" fontId="34" fillId="0" borderId="39" applyFill="0" applyBorder="0" applyProtection="0">
      <alignment horizontal="right" vertical="center"/>
    </xf>
    <xf numFmtId="49" fontId="33" fillId="0" borderId="39" applyNumberFormat="0" applyFill="0" applyBorder="0" applyProtection="0">
      <alignment horizontal="left" vertical="center"/>
    </xf>
    <xf numFmtId="0" fontId="34" fillId="0" borderId="42">
      <alignment horizontal="left" vertical="center" wrapText="1" indent="2"/>
    </xf>
    <xf numFmtId="0" fontId="62" fillId="55" borderId="35" applyNumberFormat="0" applyAlignment="0" applyProtection="0"/>
    <xf numFmtId="0" fontId="32" fillId="33" borderId="41">
      <alignment horizontal="right" vertical="center"/>
    </xf>
    <xf numFmtId="0" fontId="49" fillId="42" borderId="36" applyNumberFormat="0" applyAlignment="0" applyProtection="0"/>
    <xf numFmtId="0" fontId="32" fillId="33" borderId="41">
      <alignment horizontal="right" vertical="center"/>
    </xf>
    <xf numFmtId="4" fontId="32" fillId="33" borderId="39">
      <alignment horizontal="right" vertical="center"/>
    </xf>
    <xf numFmtId="0" fontId="32" fillId="33" borderId="39">
      <alignment horizontal="right" vertical="center"/>
    </xf>
    <xf numFmtId="0" fontId="43" fillId="55" borderId="35" applyNumberFormat="0" applyAlignment="0" applyProtection="0"/>
    <xf numFmtId="0" fontId="45" fillId="55" borderId="36" applyNumberFormat="0" applyAlignment="0" applyProtection="0"/>
    <xf numFmtId="0" fontId="50" fillId="0" borderId="37" applyNumberFormat="0" applyFill="0" applyAlignment="0" applyProtection="0"/>
    <xf numFmtId="0" fontId="34" fillId="32" borderId="39"/>
    <xf numFmtId="4" fontId="34" fillId="32" borderId="39"/>
    <xf numFmtId="4" fontId="32" fillId="33" borderId="39">
      <alignment horizontal="right" vertical="center"/>
    </xf>
    <xf numFmtId="0" fontId="36" fillId="31" borderId="39">
      <alignment horizontal="right" vertical="center"/>
    </xf>
    <xf numFmtId="0" fontId="49" fillId="42" borderId="36" applyNumberFormat="0" applyAlignment="0" applyProtection="0"/>
    <xf numFmtId="0" fontId="46" fillId="55" borderId="36" applyNumberFormat="0" applyAlignment="0" applyProtection="0"/>
    <xf numFmtId="4" fontId="34" fillId="0" borderId="39">
      <alignment horizontal="right" vertical="center"/>
    </xf>
    <xf numFmtId="0" fontId="34" fillId="33" borderId="42">
      <alignment horizontal="left" vertical="center" wrapText="1" indent="2"/>
    </xf>
    <xf numFmtId="0" fontId="34" fillId="0" borderId="42">
      <alignment horizontal="left" vertical="center" wrapText="1" indent="2"/>
    </xf>
    <xf numFmtId="0" fontId="62" fillId="55" borderId="35" applyNumberFormat="0" applyAlignment="0" applyProtection="0"/>
    <xf numFmtId="0" fontId="58" fillId="42" borderId="36" applyNumberFormat="0" applyAlignment="0" applyProtection="0"/>
    <xf numFmtId="0" fontId="45" fillId="55" borderId="36" applyNumberFormat="0" applyAlignment="0" applyProtection="0"/>
    <xf numFmtId="0" fontId="43" fillId="55" borderId="35" applyNumberFormat="0" applyAlignment="0" applyProtection="0"/>
    <xf numFmtId="0" fontId="32" fillId="33" borderId="41">
      <alignment horizontal="right" vertical="center"/>
    </xf>
    <xf numFmtId="0" fontId="36" fillId="31" borderId="39">
      <alignment horizontal="right" vertical="center"/>
    </xf>
    <xf numFmtId="4" fontId="32" fillId="31" borderId="39">
      <alignment horizontal="right" vertical="center"/>
    </xf>
    <xf numFmtId="4" fontId="32" fillId="33" borderId="39">
      <alignment horizontal="right" vertical="center"/>
    </xf>
    <xf numFmtId="49" fontId="34" fillId="0" borderId="40" applyNumberFormat="0" applyFont="0" applyFill="0" applyBorder="0" applyProtection="0">
      <alignment horizontal="left" vertical="center" indent="5"/>
    </xf>
    <xf numFmtId="4" fontId="34" fillId="0" borderId="39" applyFill="0" applyBorder="0" applyProtection="0">
      <alignment horizontal="right" vertical="center"/>
    </xf>
    <xf numFmtId="4" fontId="32" fillId="31" borderId="39">
      <alignment horizontal="right" vertical="center"/>
    </xf>
    <xf numFmtId="0" fontId="58" fillId="42" borderId="36" applyNumberFormat="0" applyAlignment="0" applyProtection="0"/>
    <xf numFmtId="0" fontId="49" fillId="42" borderId="36" applyNumberFormat="0" applyAlignment="0" applyProtection="0"/>
    <xf numFmtId="0" fontId="45" fillId="55" borderId="36" applyNumberFormat="0" applyAlignment="0" applyProtection="0"/>
    <xf numFmtId="0" fontId="34" fillId="33" borderId="42">
      <alignment horizontal="left" vertical="center" wrapText="1" indent="2"/>
    </xf>
    <xf numFmtId="0" fontId="34" fillId="0" borderId="42">
      <alignment horizontal="left" vertical="center" wrapText="1" indent="2"/>
    </xf>
    <xf numFmtId="0" fontId="34" fillId="33" borderId="42">
      <alignment horizontal="left" vertical="center" wrapText="1" indent="2"/>
    </xf>
    <xf numFmtId="4" fontId="32" fillId="31" borderId="44">
      <alignment horizontal="right" vertical="center"/>
    </xf>
    <xf numFmtId="0" fontId="62" fillId="55" borderId="48" applyNumberFormat="0" applyAlignment="0" applyProtection="0"/>
    <xf numFmtId="0" fontId="65" fillId="0" borderId="50" applyNumberFormat="0" applyFill="0" applyAlignment="0" applyProtection="0"/>
    <xf numFmtId="0" fontId="45" fillId="55" borderId="49" applyNumberFormat="0" applyAlignment="0" applyProtection="0"/>
    <xf numFmtId="0" fontId="58" fillId="42" borderId="49" applyNumberFormat="0" applyAlignment="0" applyProtection="0"/>
    <xf numFmtId="0" fontId="5" fillId="58" borderId="43" applyNumberFormat="0" applyFont="0" applyAlignment="0" applyProtection="0"/>
    <xf numFmtId="0" fontId="34" fillId="32" borderId="44"/>
    <xf numFmtId="173" fontId="34" fillId="59" borderId="44" applyNumberFormat="0" applyFont="0" applyBorder="0" applyAlignment="0" applyProtection="0">
      <alignment horizontal="right" vertical="center"/>
    </xf>
    <xf numFmtId="0" fontId="34" fillId="0" borderId="47">
      <alignment horizontal="left" vertical="center" wrapText="1" indent="2"/>
    </xf>
    <xf numFmtId="0" fontId="58" fillId="42" borderId="49" applyNumberFormat="0" applyAlignment="0" applyProtection="0"/>
    <xf numFmtId="0" fontId="34" fillId="33" borderId="47">
      <alignment horizontal="left" vertical="center" wrapText="1" indent="2"/>
    </xf>
    <xf numFmtId="0" fontId="32" fillId="31" borderId="44">
      <alignment horizontal="right" vertical="center"/>
    </xf>
    <xf numFmtId="0" fontId="40" fillId="58" borderId="43" applyNumberFormat="0" applyFont="0" applyAlignment="0" applyProtection="0"/>
    <xf numFmtId="4" fontId="36" fillId="31" borderId="44">
      <alignment horizontal="right" vertical="center"/>
    </xf>
    <xf numFmtId="4" fontId="36" fillId="31" borderId="44">
      <alignment horizontal="right" vertical="center"/>
    </xf>
    <xf numFmtId="0" fontId="36" fillId="31" borderId="44">
      <alignment horizontal="right" vertical="center"/>
    </xf>
    <xf numFmtId="0" fontId="32" fillId="33" borderId="44">
      <alignment horizontal="right" vertical="center"/>
    </xf>
    <xf numFmtId="4" fontId="34" fillId="32" borderId="44"/>
    <xf numFmtId="173" fontId="34" fillId="59" borderId="44" applyNumberFormat="0" applyFont="0" applyBorder="0" applyAlignment="0" applyProtection="0">
      <alignment horizontal="right" vertical="center"/>
    </xf>
    <xf numFmtId="173" fontId="34" fillId="59" borderId="44" applyNumberFormat="0" applyFont="0" applyBorder="0" applyAlignment="0" applyProtection="0">
      <alignment horizontal="right" vertical="center"/>
    </xf>
    <xf numFmtId="0" fontId="62" fillId="55" borderId="48" applyNumberFormat="0" applyAlignment="0" applyProtection="0"/>
    <xf numFmtId="0" fontId="28" fillId="12" borderId="11" applyNumberFormat="0" applyAlignment="0" applyProtection="0"/>
    <xf numFmtId="0" fontId="29" fillId="12" borderId="10" applyNumberFormat="0" applyAlignment="0" applyProtection="0"/>
    <xf numFmtId="0" fontId="1" fillId="0" borderId="0" applyNumberFormat="0" applyFill="0" applyBorder="0" applyAlignment="0" applyProtection="0"/>
    <xf numFmtId="0" fontId="30" fillId="0" borderId="0" applyNumberFormat="0" applyFill="0" applyBorder="0" applyAlignment="0" applyProtection="0"/>
    <xf numFmtId="0" fontId="2" fillId="0" borderId="12" applyNumberFormat="0" applyFill="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4" fontId="32" fillId="31" borderId="44">
      <alignment horizontal="right" vertical="center"/>
    </xf>
    <xf numFmtId="0" fontId="34" fillId="0" borderId="44" applyNumberFormat="0" applyFill="0" applyAlignment="0" applyProtection="0"/>
    <xf numFmtId="0" fontId="49" fillId="42" borderId="49" applyNumberFormat="0" applyAlignment="0" applyProtection="0"/>
    <xf numFmtId="4" fontId="34" fillId="32" borderId="44"/>
    <xf numFmtId="0" fontId="34" fillId="0" borderId="47">
      <alignment horizontal="left" vertical="center" wrapText="1" indent="2"/>
    </xf>
    <xf numFmtId="0" fontId="34" fillId="0" borderId="44" applyNumberFormat="0" applyFill="0" applyAlignment="0" applyProtection="0"/>
    <xf numFmtId="0" fontId="28" fillId="12" borderId="11" applyNumberFormat="0" applyAlignment="0" applyProtection="0"/>
    <xf numFmtId="0" fontId="32" fillId="33" borderId="45">
      <alignment horizontal="right" vertical="center"/>
    </xf>
    <xf numFmtId="0" fontId="32" fillId="33" borderId="44">
      <alignment horizontal="right" vertical="center"/>
    </xf>
    <xf numFmtId="0" fontId="32" fillId="33" borderId="44">
      <alignment horizontal="right" vertical="center"/>
    </xf>
    <xf numFmtId="0" fontId="36" fillId="31" borderId="44">
      <alignment horizontal="right" vertical="center"/>
    </xf>
    <xf numFmtId="0" fontId="32" fillId="31" borderId="44">
      <alignment horizontal="right" vertical="center"/>
    </xf>
    <xf numFmtId="0" fontId="32" fillId="33" borderId="44">
      <alignment horizontal="right" vertical="center"/>
    </xf>
    <xf numFmtId="4" fontId="34" fillId="0" borderId="44">
      <alignment horizontal="right" vertical="center"/>
    </xf>
    <xf numFmtId="0" fontId="5" fillId="58" borderId="43" applyNumberFormat="0" applyFont="0" applyAlignment="0" applyProtection="0"/>
    <xf numFmtId="0" fontId="32" fillId="33" borderId="44">
      <alignment horizontal="right" vertical="center"/>
    </xf>
    <xf numFmtId="4" fontId="32" fillId="33" borderId="46">
      <alignment horizontal="right" vertical="center"/>
    </xf>
    <xf numFmtId="0" fontId="32" fillId="33" borderId="44">
      <alignment horizontal="right" vertical="center"/>
    </xf>
    <xf numFmtId="0" fontId="65" fillId="0" borderId="50" applyNumberFormat="0" applyFill="0" applyAlignment="0" applyProtection="0"/>
    <xf numFmtId="0" fontId="5" fillId="58" borderId="43" applyNumberFormat="0" applyFont="0" applyAlignment="0" applyProtection="0"/>
    <xf numFmtId="0" fontId="34" fillId="0" borderId="47">
      <alignment horizontal="left" vertical="center" wrapText="1" indent="2"/>
    </xf>
    <xf numFmtId="0" fontId="34" fillId="33" borderId="47">
      <alignment horizontal="left" vertical="center" wrapText="1" indent="2"/>
    </xf>
    <xf numFmtId="0" fontId="40" fillId="58" borderId="43" applyNumberFormat="0" applyFont="0" applyAlignment="0" applyProtection="0"/>
    <xf numFmtId="0" fontId="65" fillId="0" borderId="50" applyNumberFormat="0" applyFill="0" applyAlignment="0" applyProtection="0"/>
    <xf numFmtId="0" fontId="50" fillId="0" borderId="50" applyNumberFormat="0" applyFill="0" applyAlignment="0" applyProtection="0"/>
    <xf numFmtId="49" fontId="34" fillId="0" borderId="44" applyNumberFormat="0" applyFont="0" applyFill="0" applyBorder="0" applyProtection="0">
      <alignment horizontal="left" vertical="center" indent="2"/>
    </xf>
    <xf numFmtId="0" fontId="36" fillId="31" borderId="44">
      <alignment horizontal="right" vertical="center"/>
    </xf>
    <xf numFmtId="4" fontId="32" fillId="33" borderId="44">
      <alignment horizontal="right" vertical="center"/>
    </xf>
    <xf numFmtId="0" fontId="34" fillId="0" borderId="44">
      <alignment horizontal="right" vertical="center"/>
    </xf>
    <xf numFmtId="4" fontId="34" fillId="32" borderId="44"/>
    <xf numFmtId="0" fontId="40" fillId="58" borderId="43" applyNumberFormat="0" applyFont="0" applyAlignment="0" applyProtection="0"/>
    <xf numFmtId="0" fontId="58" fillId="42" borderId="49" applyNumberFormat="0" applyAlignment="0" applyProtection="0"/>
    <xf numFmtId="0" fontId="34" fillId="0" borderId="44">
      <alignment horizontal="right" vertical="center"/>
    </xf>
    <xf numFmtId="0" fontId="34" fillId="32" borderId="44"/>
    <xf numFmtId="0" fontId="34" fillId="32" borderId="44"/>
    <xf numFmtId="49" fontId="33" fillId="0" borderId="44" applyNumberFormat="0" applyFill="0" applyBorder="0" applyProtection="0">
      <alignment horizontal="left" vertical="center"/>
    </xf>
    <xf numFmtId="0" fontId="34" fillId="0" borderId="44">
      <alignment horizontal="right" vertical="center"/>
    </xf>
    <xf numFmtId="0" fontId="32" fillId="33" borderId="44">
      <alignment horizontal="right" vertical="center"/>
    </xf>
    <xf numFmtId="4" fontId="32" fillId="33" borderId="44">
      <alignment horizontal="right" vertical="center"/>
    </xf>
    <xf numFmtId="4" fontId="36" fillId="31" borderId="44">
      <alignment horizontal="right" vertical="center"/>
    </xf>
    <xf numFmtId="0" fontId="32" fillId="31" borderId="44">
      <alignment horizontal="right" vertical="center"/>
    </xf>
    <xf numFmtId="0" fontId="43" fillId="55" borderId="48" applyNumberFormat="0" applyAlignment="0" applyProtection="0"/>
    <xf numFmtId="0" fontId="34" fillId="33" borderId="47">
      <alignment horizontal="left" vertical="center" wrapText="1" indent="2"/>
    </xf>
    <xf numFmtId="0" fontId="50" fillId="0" borderId="50" applyNumberFormat="0" applyFill="0" applyAlignment="0" applyProtection="0"/>
    <xf numFmtId="0" fontId="65" fillId="0" borderId="50" applyNumberFormat="0" applyFill="0" applyAlignment="0" applyProtection="0"/>
    <xf numFmtId="0" fontId="32" fillId="33" borderId="44">
      <alignment horizontal="right" vertical="center"/>
    </xf>
    <xf numFmtId="0" fontId="34" fillId="32" borderId="44"/>
    <xf numFmtId="0" fontId="32" fillId="33" borderId="44">
      <alignment horizontal="right" vertical="center"/>
    </xf>
    <xf numFmtId="0" fontId="32" fillId="33" borderId="45">
      <alignment horizontal="right" vertical="center"/>
    </xf>
    <xf numFmtId="4" fontId="32" fillId="33" borderId="45">
      <alignment horizontal="right" vertical="center"/>
    </xf>
    <xf numFmtId="0" fontId="46" fillId="55" borderId="49" applyNumberFormat="0" applyAlignment="0" applyProtection="0"/>
    <xf numFmtId="0" fontId="46" fillId="55" borderId="49" applyNumberFormat="0" applyAlignment="0" applyProtection="0"/>
    <xf numFmtId="0" fontId="34" fillId="33" borderId="47">
      <alignment horizontal="left" vertical="center" wrapText="1" indent="2"/>
    </xf>
    <xf numFmtId="4" fontId="32" fillId="33" borderId="44">
      <alignment horizontal="right" vertical="center"/>
    </xf>
    <xf numFmtId="43" fontId="37" fillId="0" borderId="0" applyFont="0" applyFill="0" applyBorder="0" applyAlignment="0" applyProtection="0"/>
    <xf numFmtId="43" fontId="37" fillId="0" borderId="0" applyFont="0" applyFill="0" applyBorder="0" applyAlignment="0" applyProtection="0"/>
    <xf numFmtId="0" fontId="34" fillId="32" borderId="44"/>
    <xf numFmtId="4" fontId="34" fillId="0" borderId="44">
      <alignment horizontal="right" vertical="center"/>
    </xf>
    <xf numFmtId="0" fontId="34" fillId="0" borderId="44">
      <alignment horizontal="right" vertical="center"/>
    </xf>
    <xf numFmtId="0" fontId="34" fillId="0" borderId="47">
      <alignment horizontal="left" vertical="center" wrapText="1" indent="2"/>
    </xf>
    <xf numFmtId="0" fontId="26" fillId="26" borderId="0" applyNumberFormat="0" applyBorder="0" applyAlignment="0" applyProtection="0"/>
    <xf numFmtId="0" fontId="26" fillId="17" borderId="0" applyNumberFormat="0" applyBorder="0" applyAlignment="0" applyProtection="0"/>
    <xf numFmtId="0" fontId="43" fillId="55" borderId="48" applyNumberFormat="0" applyAlignment="0" applyProtection="0"/>
    <xf numFmtId="49" fontId="34" fillId="0" borderId="44" applyNumberFormat="0" applyFont="0" applyFill="0" applyBorder="0" applyProtection="0">
      <alignment horizontal="left" vertical="center" indent="2"/>
    </xf>
    <xf numFmtId="4" fontId="32" fillId="33" borderId="44">
      <alignment horizontal="right" vertical="center"/>
    </xf>
    <xf numFmtId="4" fontId="32" fillId="33" borderId="44">
      <alignment horizontal="right" vertical="center"/>
    </xf>
    <xf numFmtId="4" fontId="36" fillId="31" borderId="44">
      <alignment horizontal="right" vertical="center"/>
    </xf>
    <xf numFmtId="4" fontId="32" fillId="31" borderId="44">
      <alignment horizontal="right" vertical="center"/>
    </xf>
    <xf numFmtId="4" fontId="36" fillId="31" borderId="44">
      <alignment horizontal="right" vertical="center"/>
    </xf>
    <xf numFmtId="0" fontId="32" fillId="33" borderId="44">
      <alignment horizontal="right" vertical="center"/>
    </xf>
    <xf numFmtId="0" fontId="65" fillId="0" borderId="50" applyNumberFormat="0" applyFill="0" applyAlignment="0" applyProtection="0"/>
    <xf numFmtId="4" fontId="34" fillId="32" borderId="44"/>
    <xf numFmtId="0" fontId="62" fillId="55" borderId="48" applyNumberFormat="0" applyAlignment="0" applyProtection="0"/>
    <xf numFmtId="0" fontId="40" fillId="58" borderId="43" applyNumberFormat="0" applyFont="0" applyAlignment="0" applyProtection="0"/>
    <xf numFmtId="0" fontId="46" fillId="55" borderId="49" applyNumberFormat="0" applyAlignment="0" applyProtection="0"/>
    <xf numFmtId="49" fontId="33" fillId="0" borderId="44" applyNumberFormat="0" applyFill="0" applyBorder="0" applyProtection="0">
      <alignment horizontal="left" vertical="center"/>
    </xf>
    <xf numFmtId="0" fontId="32" fillId="31" borderId="44">
      <alignment horizontal="right" vertical="center"/>
    </xf>
    <xf numFmtId="4" fontId="32" fillId="33" borderId="44">
      <alignment horizontal="right" vertical="center"/>
    </xf>
    <xf numFmtId="4" fontId="32" fillId="33" borderId="46">
      <alignment horizontal="right" vertical="center"/>
    </xf>
    <xf numFmtId="49" fontId="33" fillId="0" borderId="44" applyNumberFormat="0" applyFill="0" applyBorder="0" applyProtection="0">
      <alignment horizontal="left" vertical="center"/>
    </xf>
    <xf numFmtId="0" fontId="34" fillId="0" borderId="47">
      <alignment horizontal="left" vertical="center" wrapText="1" indent="2"/>
    </xf>
    <xf numFmtId="173" fontId="34" fillId="59" borderId="44" applyNumberFormat="0" applyFont="0" applyBorder="0" applyAlignment="0" applyProtection="0">
      <alignment horizontal="right" vertical="center"/>
    </xf>
    <xf numFmtId="0" fontId="34" fillId="31" borderId="45">
      <alignment horizontal="left" vertical="center"/>
    </xf>
    <xf numFmtId="0" fontId="32" fillId="31" borderId="44">
      <alignment horizontal="right" vertical="center"/>
    </xf>
    <xf numFmtId="4" fontId="32" fillId="33" borderId="44">
      <alignment horizontal="right" vertical="center"/>
    </xf>
    <xf numFmtId="173" fontId="34" fillId="59" borderId="44" applyNumberFormat="0" applyFont="0" applyBorder="0" applyAlignment="0" applyProtection="0">
      <alignment horizontal="right" vertical="center"/>
    </xf>
    <xf numFmtId="4" fontId="34" fillId="0" borderId="44" applyFill="0" applyBorder="0" applyProtection="0">
      <alignment horizontal="right" vertical="center"/>
    </xf>
    <xf numFmtId="0" fontId="49" fillId="42" borderId="49" applyNumberFormat="0" applyAlignment="0" applyProtection="0"/>
    <xf numFmtId="4" fontId="32" fillId="33" borderId="44">
      <alignment horizontal="right" vertical="center"/>
    </xf>
    <xf numFmtId="49" fontId="33" fillId="0" borderId="44" applyNumberFormat="0" applyFill="0" applyBorder="0" applyProtection="0">
      <alignment horizontal="left" vertical="center"/>
    </xf>
    <xf numFmtId="0" fontId="34" fillId="0" borderId="44" applyNumberFormat="0" applyFill="0" applyAlignment="0" applyProtection="0"/>
    <xf numFmtId="0" fontId="34" fillId="0" borderId="44">
      <alignment horizontal="right" vertical="center"/>
    </xf>
    <xf numFmtId="0" fontId="34" fillId="31" borderId="45">
      <alignment horizontal="left" vertical="center"/>
    </xf>
    <xf numFmtId="0" fontId="34" fillId="33" borderId="47">
      <alignment horizontal="left" vertical="center" wrapText="1" indent="2"/>
    </xf>
    <xf numFmtId="4" fontId="32" fillId="33" borderId="46">
      <alignment horizontal="right" vertical="center"/>
    </xf>
    <xf numFmtId="4" fontId="32" fillId="33" borderId="45">
      <alignment horizontal="right" vertical="center"/>
    </xf>
    <xf numFmtId="4" fontId="34" fillId="0" borderId="44" applyFill="0" applyBorder="0" applyProtection="0">
      <alignment horizontal="right" vertical="center"/>
    </xf>
    <xf numFmtId="173" fontId="34" fillId="59" borderId="44" applyNumberFormat="0" applyFont="0" applyBorder="0" applyAlignment="0" applyProtection="0">
      <alignment horizontal="right" vertical="center"/>
    </xf>
    <xf numFmtId="0" fontId="34" fillId="33" borderId="47">
      <alignment horizontal="left" vertical="center" wrapText="1" indent="2"/>
    </xf>
    <xf numFmtId="0" fontId="40" fillId="58" borderId="43" applyNumberFormat="0" applyFont="0" applyAlignment="0" applyProtection="0"/>
    <xf numFmtId="0" fontId="46" fillId="55" borderId="49" applyNumberFormat="0" applyAlignment="0" applyProtection="0"/>
    <xf numFmtId="0" fontId="45" fillId="55" borderId="49" applyNumberFormat="0" applyAlignment="0" applyProtection="0"/>
    <xf numFmtId="0" fontId="34" fillId="0" borderId="44">
      <alignment horizontal="right" vertical="center"/>
    </xf>
    <xf numFmtId="0" fontId="34" fillId="0" borderId="44" applyNumberFormat="0" applyFill="0" applyAlignment="0" applyProtection="0"/>
    <xf numFmtId="0" fontId="65" fillId="0" borderId="50" applyNumberFormat="0" applyFill="0" applyAlignment="0" applyProtection="0"/>
    <xf numFmtId="4" fontId="34" fillId="0" borderId="44" applyFill="0" applyBorder="0" applyProtection="0">
      <alignment horizontal="right" vertical="center"/>
    </xf>
    <xf numFmtId="49" fontId="34" fillId="0" borderId="44" applyNumberFormat="0" applyFont="0" applyFill="0" applyBorder="0" applyProtection="0">
      <alignment horizontal="left" vertical="center" indent="2"/>
    </xf>
    <xf numFmtId="0" fontId="58" fillId="42" borderId="49" applyNumberFormat="0" applyAlignment="0" applyProtection="0"/>
    <xf numFmtId="0" fontId="40" fillId="58" borderId="43" applyNumberFormat="0" applyFont="0" applyAlignment="0" applyProtection="0"/>
    <xf numFmtId="0" fontId="34" fillId="0" borderId="47">
      <alignment horizontal="left" vertical="center" wrapText="1" indent="2"/>
    </xf>
    <xf numFmtId="4" fontId="32" fillId="31" borderId="44">
      <alignment horizontal="right" vertical="center"/>
    </xf>
    <xf numFmtId="173" fontId="34" fillId="59" borderId="44" applyNumberFormat="0" applyFont="0" applyBorder="0" applyAlignment="0" applyProtection="0">
      <alignment horizontal="right" vertical="center"/>
    </xf>
    <xf numFmtId="0" fontId="32" fillId="33" borderId="46">
      <alignment horizontal="right" vertical="center"/>
    </xf>
    <xf numFmtId="0" fontId="32" fillId="33" borderId="45">
      <alignment horizontal="right" vertical="center"/>
    </xf>
    <xf numFmtId="0" fontId="34" fillId="0" borderId="44" applyNumberFormat="0" applyFill="0" applyAlignment="0" applyProtection="0"/>
    <xf numFmtId="4" fontId="32" fillId="33" borderId="46">
      <alignment horizontal="right" vertical="center"/>
    </xf>
    <xf numFmtId="0" fontId="65" fillId="0" borderId="50" applyNumberFormat="0" applyFill="0" applyAlignment="0" applyProtection="0"/>
    <xf numFmtId="0" fontId="34" fillId="0" borderId="47">
      <alignment horizontal="left" vertical="center" wrapText="1" indent="2"/>
    </xf>
    <xf numFmtId="0" fontId="50" fillId="0" borderId="50" applyNumberFormat="0" applyFill="0" applyAlignment="0" applyProtection="0"/>
    <xf numFmtId="0" fontId="65" fillId="0" borderId="50" applyNumberFormat="0" applyFill="0" applyAlignment="0" applyProtection="0"/>
    <xf numFmtId="0" fontId="62" fillId="55" borderId="48" applyNumberFormat="0" applyAlignment="0" applyProtection="0"/>
    <xf numFmtId="0" fontId="26" fillId="13" borderId="0" applyNumberFormat="0" applyBorder="0" applyAlignment="0" applyProtection="0"/>
    <xf numFmtId="0" fontId="34" fillId="33" borderId="47">
      <alignment horizontal="left" vertical="center" wrapText="1" indent="2"/>
    </xf>
    <xf numFmtId="0" fontId="32" fillId="33" borderId="44">
      <alignment horizontal="right" vertical="center"/>
    </xf>
    <xf numFmtId="4" fontId="32" fillId="33" borderId="46">
      <alignment horizontal="right" vertical="center"/>
    </xf>
    <xf numFmtId="0" fontId="32" fillId="31" borderId="44">
      <alignment horizontal="right" vertical="center"/>
    </xf>
    <xf numFmtId="4" fontId="32" fillId="33" borderId="44">
      <alignment horizontal="right" vertical="center"/>
    </xf>
    <xf numFmtId="0" fontId="32" fillId="33" borderId="46">
      <alignment horizontal="right" vertical="center"/>
    </xf>
    <xf numFmtId="4" fontId="36" fillId="31" borderId="44">
      <alignment horizontal="right" vertical="center"/>
    </xf>
    <xf numFmtId="0" fontId="50" fillId="0" borderId="50" applyNumberFormat="0" applyFill="0" applyAlignment="0" applyProtection="0"/>
    <xf numFmtId="0" fontId="65" fillId="0" borderId="50" applyNumberFormat="0" applyFill="0" applyAlignment="0" applyProtection="0"/>
    <xf numFmtId="0" fontId="58" fillId="42" borderId="49" applyNumberFormat="0" applyAlignment="0" applyProtection="0"/>
    <xf numFmtId="4" fontId="36" fillId="31" borderId="44">
      <alignment horizontal="right" vertical="center"/>
    </xf>
    <xf numFmtId="0" fontId="65" fillId="0" borderId="50" applyNumberFormat="0" applyFill="0" applyAlignment="0" applyProtection="0"/>
    <xf numFmtId="0" fontId="45" fillId="55" borderId="49" applyNumberFormat="0" applyAlignment="0" applyProtection="0"/>
    <xf numFmtId="4" fontId="34" fillId="32" borderId="44"/>
    <xf numFmtId="0" fontId="34" fillId="0" borderId="44" applyNumberFormat="0" applyFill="0" applyAlignment="0" applyProtection="0"/>
    <xf numFmtId="4" fontId="34" fillId="0" borderId="44">
      <alignment horizontal="right" vertical="center"/>
    </xf>
    <xf numFmtId="4" fontId="32" fillId="33" borderId="44">
      <alignment horizontal="right" vertical="center"/>
    </xf>
    <xf numFmtId="0" fontId="34" fillId="0" borderId="44" applyNumberFormat="0" applyFill="0" applyAlignment="0" applyProtection="0"/>
    <xf numFmtId="4" fontId="32" fillId="33" borderId="46">
      <alignment horizontal="right" vertical="center"/>
    </xf>
    <xf numFmtId="4" fontId="34" fillId="0" borderId="44" applyFill="0" applyBorder="0" applyProtection="0">
      <alignment horizontal="right" vertical="center"/>
    </xf>
    <xf numFmtId="0" fontId="62" fillId="55" borderId="48" applyNumberFormat="0" applyAlignment="0" applyProtection="0"/>
    <xf numFmtId="4" fontId="34" fillId="0" borderId="44">
      <alignment horizontal="right" vertical="center"/>
    </xf>
    <xf numFmtId="0" fontId="58" fillId="42" borderId="49" applyNumberFormat="0" applyAlignment="0" applyProtection="0"/>
    <xf numFmtId="0" fontId="34" fillId="0" borderId="47">
      <alignment horizontal="left" vertical="center" wrapText="1" indent="2"/>
    </xf>
    <xf numFmtId="0" fontId="46" fillId="55" borderId="49" applyNumberFormat="0" applyAlignment="0" applyProtection="0"/>
    <xf numFmtId="0" fontId="32" fillId="33" borderId="46">
      <alignment horizontal="right" vertical="center"/>
    </xf>
    <xf numFmtId="4" fontId="32" fillId="31" borderId="44">
      <alignment horizontal="right" vertical="center"/>
    </xf>
    <xf numFmtId="0" fontId="34" fillId="0" borderId="44" applyNumberFormat="0" applyFill="0" applyAlignment="0" applyProtection="0"/>
    <xf numFmtId="0" fontId="34" fillId="32" borderId="44"/>
    <xf numFmtId="4" fontId="32" fillId="33" borderId="45">
      <alignment horizontal="right" vertical="center"/>
    </xf>
    <xf numFmtId="0" fontId="50" fillId="0" borderId="50" applyNumberFormat="0" applyFill="0" applyAlignment="0" applyProtection="0"/>
    <xf numFmtId="0" fontId="32" fillId="33" borderId="45">
      <alignment horizontal="right" vertical="center"/>
    </xf>
    <xf numFmtId="0" fontId="58" fillId="42" borderId="49" applyNumberFormat="0" applyAlignment="0" applyProtection="0"/>
    <xf numFmtId="4" fontId="34" fillId="0" borderId="44">
      <alignment horizontal="right" vertical="center"/>
    </xf>
    <xf numFmtId="0" fontId="62" fillId="55" borderId="48" applyNumberFormat="0" applyAlignment="0" applyProtection="0"/>
    <xf numFmtId="0" fontId="46" fillId="55" borderId="49" applyNumberFormat="0" applyAlignment="0" applyProtection="0"/>
    <xf numFmtId="0" fontId="49" fillId="42" borderId="49" applyNumberFormat="0" applyAlignment="0" applyProtection="0"/>
    <xf numFmtId="0" fontId="43" fillId="55" borderId="48" applyNumberFormat="0" applyAlignment="0" applyProtection="0"/>
    <xf numFmtId="0" fontId="45" fillId="55" borderId="49" applyNumberFormat="0" applyAlignment="0" applyProtection="0"/>
    <xf numFmtId="0" fontId="34" fillId="0" borderId="44">
      <alignment horizontal="right" vertical="center"/>
    </xf>
    <xf numFmtId="0" fontId="65" fillId="0" borderId="50" applyNumberFormat="0" applyFill="0" applyAlignment="0" applyProtection="0"/>
    <xf numFmtId="0" fontId="49" fillId="42" borderId="49" applyNumberFormat="0" applyAlignment="0" applyProtection="0"/>
    <xf numFmtId="0" fontId="46" fillId="55" borderId="49" applyNumberFormat="0" applyAlignment="0" applyProtection="0"/>
    <xf numFmtId="0" fontId="43" fillId="55" borderId="48" applyNumberFormat="0" applyAlignment="0" applyProtection="0"/>
    <xf numFmtId="0" fontId="45" fillId="55" borderId="49" applyNumberFormat="0" applyAlignment="0" applyProtection="0"/>
    <xf numFmtId="49" fontId="34" fillId="0" borderId="44" applyNumberFormat="0" applyFont="0" applyFill="0" applyBorder="0" applyProtection="0">
      <alignment horizontal="left" vertical="center" indent="2"/>
    </xf>
    <xf numFmtId="0" fontId="45" fillId="55" borderId="49" applyNumberFormat="0" applyAlignment="0" applyProtection="0"/>
    <xf numFmtId="0" fontId="46" fillId="55" borderId="49" applyNumberFormat="0" applyAlignment="0" applyProtection="0"/>
    <xf numFmtId="4" fontId="34" fillId="32" borderId="44"/>
    <xf numFmtId="0" fontId="58" fillId="42" borderId="49" applyNumberFormat="0" applyAlignment="0" applyProtection="0"/>
    <xf numFmtId="0" fontId="32" fillId="33" borderId="44">
      <alignment horizontal="right" vertical="center"/>
    </xf>
    <xf numFmtId="0" fontId="65" fillId="0" borderId="50" applyNumberFormat="0" applyFill="0" applyAlignment="0" applyProtection="0"/>
    <xf numFmtId="0" fontId="34" fillId="33" borderId="47">
      <alignment horizontal="left" vertical="center" wrapText="1" indent="2"/>
    </xf>
    <xf numFmtId="0" fontId="34" fillId="31" borderId="45">
      <alignment horizontal="left" vertical="center"/>
    </xf>
    <xf numFmtId="0" fontId="26" fillId="16" borderId="0" applyNumberFormat="0" applyBorder="0" applyAlignment="0" applyProtection="0"/>
    <xf numFmtId="0" fontId="29" fillId="12" borderId="10" applyNumberFormat="0" applyAlignment="0" applyProtection="0"/>
    <xf numFmtId="4" fontId="32" fillId="33" borderId="44">
      <alignment horizontal="right" vertical="center"/>
    </xf>
    <xf numFmtId="0" fontId="32" fillId="33" borderId="45">
      <alignment horizontal="right" vertical="center"/>
    </xf>
    <xf numFmtId="4" fontId="32" fillId="33" borderId="45">
      <alignment horizontal="right" vertical="center"/>
    </xf>
    <xf numFmtId="0" fontId="32" fillId="33" borderId="44">
      <alignment horizontal="right" vertical="center"/>
    </xf>
    <xf numFmtId="4" fontId="32" fillId="31" borderId="44">
      <alignment horizontal="right" vertical="center"/>
    </xf>
    <xf numFmtId="0" fontId="36" fillId="31" borderId="44">
      <alignment horizontal="right" vertical="center"/>
    </xf>
    <xf numFmtId="0" fontId="40" fillId="58" borderId="43" applyNumberFormat="0" applyFont="0" applyAlignment="0" applyProtection="0"/>
    <xf numFmtId="0" fontId="40" fillId="58" borderId="43" applyNumberFormat="0" applyFont="0" applyAlignment="0" applyProtection="0"/>
    <xf numFmtId="0" fontId="5" fillId="58" borderId="43" applyNumberFormat="0" applyFont="0" applyAlignment="0" applyProtection="0"/>
    <xf numFmtId="0" fontId="62" fillId="55" borderId="48" applyNumberFormat="0" applyAlignment="0" applyProtection="0"/>
    <xf numFmtId="0" fontId="34" fillId="0" borderId="47">
      <alignment horizontal="left" vertical="center" wrapText="1" indent="2"/>
    </xf>
    <xf numFmtId="0" fontId="49" fillId="42" borderId="49" applyNumberFormat="0" applyAlignment="0" applyProtection="0"/>
    <xf numFmtId="0" fontId="30" fillId="0" borderId="0" applyNumberFormat="0" applyFill="0" applyBorder="0" applyAlignment="0" applyProtection="0"/>
    <xf numFmtId="4" fontId="32" fillId="33" borderId="45">
      <alignment horizontal="right" vertical="center"/>
    </xf>
    <xf numFmtId="49" fontId="33" fillId="0" borderId="44" applyNumberFormat="0" applyFill="0" applyBorder="0" applyProtection="0">
      <alignment horizontal="left" vertical="center"/>
    </xf>
    <xf numFmtId="0" fontId="43" fillId="55" borderId="48" applyNumberFormat="0" applyAlignment="0" applyProtection="0"/>
    <xf numFmtId="0" fontId="45" fillId="55" borderId="49" applyNumberFormat="0" applyAlignment="0" applyProtection="0"/>
    <xf numFmtId="0" fontId="65" fillId="0" borderId="50" applyNumberFormat="0" applyFill="0" applyAlignment="0" applyProtection="0"/>
    <xf numFmtId="0" fontId="62" fillId="55" borderId="48" applyNumberFormat="0" applyAlignment="0" applyProtection="0"/>
    <xf numFmtId="0" fontId="34" fillId="0" borderId="44">
      <alignment horizontal="right" vertical="center"/>
    </xf>
    <xf numFmtId="49" fontId="33" fillId="0" borderId="44" applyNumberFormat="0" applyFill="0" applyBorder="0" applyProtection="0">
      <alignment horizontal="left" vertical="center"/>
    </xf>
    <xf numFmtId="4" fontId="34" fillId="0" borderId="44" applyFill="0" applyBorder="0" applyProtection="0">
      <alignment horizontal="right" vertical="center"/>
    </xf>
    <xf numFmtId="0" fontId="43" fillId="55" borderId="48" applyNumberFormat="0" applyAlignment="0" applyProtection="0"/>
    <xf numFmtId="0" fontId="45" fillId="55" borderId="49" applyNumberFormat="0" applyAlignment="0" applyProtection="0"/>
    <xf numFmtId="0" fontId="32" fillId="33" borderId="44">
      <alignment horizontal="right" vertical="center"/>
    </xf>
    <xf numFmtId="49" fontId="34" fillId="0" borderId="45" applyNumberFormat="0" applyFont="0" applyFill="0" applyBorder="0" applyProtection="0">
      <alignment horizontal="left" vertical="center" indent="5"/>
    </xf>
    <xf numFmtId="4" fontId="32" fillId="33" borderId="44">
      <alignment horizontal="right" vertical="center"/>
    </xf>
    <xf numFmtId="4" fontId="32" fillId="33" borderId="44">
      <alignment horizontal="right" vertical="center"/>
    </xf>
    <xf numFmtId="4" fontId="32" fillId="33" borderId="44">
      <alignment horizontal="right" vertical="center"/>
    </xf>
    <xf numFmtId="0" fontId="26" fillId="25" borderId="0" applyNumberFormat="0" applyBorder="0" applyAlignment="0" applyProtection="0"/>
    <xf numFmtId="0" fontId="65" fillId="0" borderId="50" applyNumberFormat="0" applyFill="0" applyAlignment="0" applyProtection="0"/>
    <xf numFmtId="0" fontId="65" fillId="0" borderId="50" applyNumberFormat="0" applyFill="0" applyAlignment="0" applyProtection="0"/>
    <xf numFmtId="173" fontId="34" fillId="59" borderId="44" applyNumberFormat="0" applyFont="0" applyBorder="0" applyAlignment="0" applyProtection="0">
      <alignment horizontal="right" vertical="center"/>
    </xf>
    <xf numFmtId="0" fontId="50" fillId="0" borderId="50" applyNumberFormat="0" applyFill="0" applyAlignment="0" applyProtection="0"/>
    <xf numFmtId="0" fontId="62" fillId="55" borderId="48" applyNumberFormat="0" applyAlignment="0" applyProtection="0"/>
    <xf numFmtId="4" fontId="32" fillId="33" borderId="45">
      <alignment horizontal="right" vertical="center"/>
    </xf>
    <xf numFmtId="0" fontId="45" fillId="55" borderId="49" applyNumberFormat="0" applyAlignment="0" applyProtection="0"/>
    <xf numFmtId="0" fontId="12" fillId="21" borderId="0" applyNumberFormat="0" applyBorder="0" applyAlignment="0" applyProtection="0"/>
    <xf numFmtId="0" fontId="46" fillId="55" borderId="49" applyNumberFormat="0" applyAlignment="0" applyProtection="0"/>
    <xf numFmtId="0" fontId="26" fillId="28" borderId="0" applyNumberFormat="0" applyBorder="0" applyAlignment="0" applyProtection="0"/>
    <xf numFmtId="4" fontId="36" fillId="31" borderId="44">
      <alignment horizontal="right" vertical="center"/>
    </xf>
    <xf numFmtId="4" fontId="32" fillId="33" borderId="46">
      <alignment horizontal="right" vertical="center"/>
    </xf>
    <xf numFmtId="0" fontId="49" fillId="42" borderId="49" applyNumberFormat="0" applyAlignment="0" applyProtection="0"/>
    <xf numFmtId="0" fontId="58" fillId="42" borderId="49" applyNumberFormat="0" applyAlignment="0" applyProtection="0"/>
    <xf numFmtId="0" fontId="34" fillId="33" borderId="47">
      <alignment horizontal="left" vertical="center" wrapText="1" indent="2"/>
    </xf>
    <xf numFmtId="4" fontId="34" fillId="0" borderId="44" applyFill="0" applyBorder="0" applyProtection="0">
      <alignment horizontal="right" vertical="center"/>
    </xf>
    <xf numFmtId="0" fontId="32" fillId="31" borderId="44">
      <alignment horizontal="right" vertical="center"/>
    </xf>
    <xf numFmtId="0" fontId="49" fillId="42" borderId="49" applyNumberFormat="0" applyAlignment="0" applyProtection="0"/>
    <xf numFmtId="4" fontId="32" fillId="33" borderId="44">
      <alignment horizontal="right" vertical="center"/>
    </xf>
    <xf numFmtId="4" fontId="34" fillId="0" borderId="44">
      <alignment horizontal="right" vertical="center"/>
    </xf>
    <xf numFmtId="0" fontId="46" fillId="55" borderId="49" applyNumberFormat="0" applyAlignment="0" applyProtection="0"/>
    <xf numFmtId="4" fontId="34" fillId="0" borderId="44">
      <alignment horizontal="right" vertical="center"/>
    </xf>
    <xf numFmtId="0" fontId="46" fillId="55" borderId="49" applyNumberFormat="0" applyAlignment="0" applyProtection="0"/>
    <xf numFmtId="0" fontId="46" fillId="55" borderId="49" applyNumberFormat="0" applyAlignment="0" applyProtection="0"/>
    <xf numFmtId="0" fontId="34" fillId="0" borderId="44">
      <alignment horizontal="right" vertical="center"/>
    </xf>
    <xf numFmtId="0" fontId="65" fillId="0" borderId="50" applyNumberFormat="0" applyFill="0" applyAlignment="0" applyProtection="0"/>
    <xf numFmtId="0" fontId="12" fillId="30" borderId="0" applyNumberFormat="0" applyBorder="0" applyAlignment="0" applyProtection="0"/>
    <xf numFmtId="0" fontId="36" fillId="31" borderId="44">
      <alignment horizontal="right" vertical="center"/>
    </xf>
    <xf numFmtId="0" fontId="45" fillId="55" borderId="49" applyNumberFormat="0" applyAlignment="0" applyProtection="0"/>
    <xf numFmtId="0" fontId="1" fillId="0" borderId="0" applyNumberFormat="0" applyFill="0" applyBorder="0" applyAlignment="0" applyProtection="0"/>
    <xf numFmtId="4" fontId="32" fillId="33" borderId="46">
      <alignment horizontal="right" vertical="center"/>
    </xf>
    <xf numFmtId="0" fontId="32" fillId="33" borderId="44">
      <alignment horizontal="right" vertical="center"/>
    </xf>
    <xf numFmtId="0" fontId="34" fillId="31" borderId="45">
      <alignment horizontal="left" vertical="center"/>
    </xf>
    <xf numFmtId="0" fontId="26" fillId="19" borderId="0" applyNumberFormat="0" applyBorder="0" applyAlignment="0" applyProtection="0"/>
    <xf numFmtId="49" fontId="33" fillId="0" borderId="44" applyNumberFormat="0" applyFill="0" applyBorder="0" applyProtection="0">
      <alignment horizontal="left" vertical="center"/>
    </xf>
    <xf numFmtId="0" fontId="5" fillId="58" borderId="43" applyNumberFormat="0" applyFont="0" applyAlignment="0" applyProtection="0"/>
    <xf numFmtId="0" fontId="34" fillId="32" borderId="44"/>
    <xf numFmtId="49" fontId="34" fillId="0" borderId="45" applyNumberFormat="0" applyFont="0" applyFill="0" applyBorder="0" applyProtection="0">
      <alignment horizontal="left" vertical="center" indent="5"/>
    </xf>
    <xf numFmtId="0" fontId="43" fillId="55" borderId="48" applyNumberFormat="0" applyAlignment="0" applyProtection="0"/>
    <xf numFmtId="49" fontId="33" fillId="0" borderId="44" applyNumberFormat="0" applyFill="0" applyBorder="0" applyProtection="0">
      <alignment horizontal="left" vertical="center"/>
    </xf>
    <xf numFmtId="0" fontId="58" fillId="42" borderId="49" applyNumberFormat="0" applyAlignment="0" applyProtection="0"/>
    <xf numFmtId="0" fontId="46" fillId="55" borderId="49" applyNumberFormat="0" applyAlignment="0" applyProtection="0"/>
    <xf numFmtId="0" fontId="12" fillId="24" borderId="0" applyNumberFormat="0" applyBorder="0" applyAlignment="0" applyProtection="0"/>
    <xf numFmtId="49" fontId="34" fillId="0" borderId="44" applyNumberFormat="0" applyFont="0" applyFill="0" applyBorder="0" applyProtection="0">
      <alignment horizontal="left" vertical="center" indent="2"/>
    </xf>
    <xf numFmtId="0" fontId="40" fillId="58" borderId="43" applyNumberFormat="0" applyFont="0" applyAlignment="0" applyProtection="0"/>
    <xf numFmtId="0" fontId="36" fillId="31" borderId="44">
      <alignment horizontal="right" vertical="center"/>
    </xf>
    <xf numFmtId="0" fontId="40" fillId="58" borderId="43" applyNumberFormat="0" applyFont="0" applyAlignment="0" applyProtection="0"/>
    <xf numFmtId="0" fontId="34" fillId="0" borderId="47">
      <alignment horizontal="left" vertical="center" wrapText="1" indent="2"/>
    </xf>
    <xf numFmtId="0" fontId="46" fillId="55" borderId="49" applyNumberFormat="0" applyAlignment="0" applyProtection="0"/>
    <xf numFmtId="0" fontId="65" fillId="0" borderId="50" applyNumberFormat="0" applyFill="0" applyAlignment="0" applyProtection="0"/>
    <xf numFmtId="0" fontId="36" fillId="31" borderId="44">
      <alignment horizontal="right" vertical="center"/>
    </xf>
    <xf numFmtId="49" fontId="34" fillId="0" borderId="44" applyNumberFormat="0" applyFont="0" applyFill="0" applyBorder="0" applyProtection="0">
      <alignment horizontal="left" vertical="center" indent="2"/>
    </xf>
    <xf numFmtId="0" fontId="12" fillId="27" borderId="0" applyNumberFormat="0" applyBorder="0" applyAlignment="0" applyProtection="0"/>
    <xf numFmtId="0" fontId="26" fillId="22" borderId="0" applyNumberFormat="0" applyBorder="0" applyAlignment="0" applyProtection="0"/>
    <xf numFmtId="0" fontId="12" fillId="18" borderId="0" applyNumberFormat="0" applyBorder="0" applyAlignment="0" applyProtection="0"/>
    <xf numFmtId="4" fontId="34" fillId="0" borderId="44" applyFill="0" applyBorder="0" applyProtection="0">
      <alignment horizontal="right" vertical="center"/>
    </xf>
    <xf numFmtId="0" fontId="58" fillId="42" borderId="49" applyNumberFormat="0" applyAlignment="0" applyProtection="0"/>
    <xf numFmtId="0" fontId="50" fillId="0" borderId="50" applyNumberFormat="0" applyFill="0" applyAlignment="0" applyProtection="0"/>
    <xf numFmtId="4" fontId="34" fillId="32" borderId="44"/>
    <xf numFmtId="0" fontId="34" fillId="33" borderId="47">
      <alignment horizontal="left" vertical="center" wrapText="1" indent="2"/>
    </xf>
    <xf numFmtId="49" fontId="34" fillId="0" borderId="44" applyNumberFormat="0" applyFont="0" applyFill="0" applyBorder="0" applyProtection="0">
      <alignment horizontal="left" vertical="center" indent="2"/>
    </xf>
    <xf numFmtId="0" fontId="45" fillId="55" borderId="49" applyNumberFormat="0" applyAlignment="0" applyProtection="0"/>
    <xf numFmtId="0" fontId="34" fillId="0" borderId="44" applyNumberFormat="0" applyFill="0" applyAlignment="0" applyProtection="0"/>
    <xf numFmtId="0" fontId="34" fillId="31" borderId="45">
      <alignment horizontal="left" vertical="center"/>
    </xf>
    <xf numFmtId="0" fontId="58" fillId="42" borderId="49" applyNumberFormat="0" applyAlignment="0" applyProtection="0"/>
    <xf numFmtId="0" fontId="5" fillId="58" borderId="43" applyNumberFormat="0" applyFont="0" applyAlignment="0" applyProtection="0"/>
    <xf numFmtId="0" fontId="62" fillId="55" borderId="48" applyNumberFormat="0" applyAlignment="0" applyProtection="0"/>
    <xf numFmtId="0" fontId="50" fillId="0" borderId="50" applyNumberFormat="0" applyFill="0" applyAlignment="0" applyProtection="0"/>
    <xf numFmtId="4" fontId="32" fillId="33" borderId="44">
      <alignment horizontal="right" vertical="center"/>
    </xf>
    <xf numFmtId="4" fontId="32" fillId="33" borderId="45">
      <alignment horizontal="right" vertical="center"/>
    </xf>
    <xf numFmtId="0" fontId="62" fillId="55" borderId="48" applyNumberFormat="0" applyAlignment="0" applyProtection="0"/>
    <xf numFmtId="0" fontId="26" fillId="14" borderId="0" applyNumberFormat="0" applyBorder="0" applyAlignment="0" applyProtection="0"/>
    <xf numFmtId="0" fontId="34" fillId="0" borderId="47">
      <alignment horizontal="left" vertical="center" wrapText="1" indent="2"/>
    </xf>
    <xf numFmtId="0" fontId="40" fillId="58" borderId="43" applyNumberFormat="0" applyFont="0" applyAlignment="0" applyProtection="0"/>
    <xf numFmtId="0" fontId="46" fillId="55" borderId="49" applyNumberFormat="0" applyAlignment="0" applyProtection="0"/>
    <xf numFmtId="0" fontId="40" fillId="58" borderId="43" applyNumberFormat="0" applyFont="0" applyAlignment="0" applyProtection="0"/>
    <xf numFmtId="4" fontId="34" fillId="0" borderId="44" applyFill="0" applyBorder="0" applyProtection="0">
      <alignment horizontal="right" vertical="center"/>
    </xf>
    <xf numFmtId="0" fontId="32" fillId="33" borderId="44">
      <alignment horizontal="right" vertical="center"/>
    </xf>
    <xf numFmtId="0" fontId="58" fillId="42" borderId="49" applyNumberFormat="0" applyAlignment="0" applyProtection="0"/>
    <xf numFmtId="0" fontId="62" fillId="55" borderId="48" applyNumberFormat="0" applyAlignment="0" applyProtection="0"/>
    <xf numFmtId="0" fontId="40" fillId="58" borderId="43" applyNumberFormat="0" applyFont="0" applyAlignment="0" applyProtection="0"/>
    <xf numFmtId="4" fontId="34" fillId="0" borderId="44">
      <alignment horizontal="right" vertical="center"/>
    </xf>
    <xf numFmtId="0" fontId="50" fillId="0" borderId="50" applyNumberFormat="0" applyFill="0" applyAlignment="0" applyProtection="0"/>
    <xf numFmtId="0" fontId="49" fillId="42" borderId="49" applyNumberFormat="0" applyAlignment="0" applyProtection="0"/>
    <xf numFmtId="0" fontId="58" fillId="42" borderId="49" applyNumberFormat="0" applyAlignment="0" applyProtection="0"/>
    <xf numFmtId="0" fontId="34" fillId="32" borderId="44"/>
    <xf numFmtId="0" fontId="65" fillId="0" borderId="50" applyNumberFormat="0" applyFill="0" applyAlignment="0" applyProtection="0"/>
    <xf numFmtId="49" fontId="33" fillId="0" borderId="44" applyNumberFormat="0" applyFill="0" applyBorder="0" applyProtection="0">
      <alignment horizontal="left" vertical="center"/>
    </xf>
    <xf numFmtId="0" fontId="32" fillId="33" borderId="44">
      <alignment horizontal="right" vertical="center"/>
    </xf>
    <xf numFmtId="4" fontId="32" fillId="31" borderId="44">
      <alignment horizontal="right" vertical="center"/>
    </xf>
    <xf numFmtId="0" fontId="34" fillId="0" borderId="47">
      <alignment horizontal="left" vertical="center" wrapText="1" indent="2"/>
    </xf>
    <xf numFmtId="0" fontId="50" fillId="0" borderId="50" applyNumberFormat="0" applyFill="0" applyAlignment="0" applyProtection="0"/>
    <xf numFmtId="0" fontId="32" fillId="33" borderId="44">
      <alignment horizontal="right" vertical="center"/>
    </xf>
    <xf numFmtId="0" fontId="58" fillId="42" borderId="49" applyNumberFormat="0" applyAlignment="0" applyProtection="0"/>
    <xf numFmtId="4" fontId="32" fillId="31" borderId="44">
      <alignment horizontal="right" vertical="center"/>
    </xf>
    <xf numFmtId="0" fontId="40" fillId="58" borderId="43" applyNumberFormat="0" applyFont="0" applyAlignment="0" applyProtection="0"/>
    <xf numFmtId="0" fontId="12" fillId="15" borderId="0" applyNumberFormat="0" applyBorder="0" applyAlignment="0" applyProtection="0"/>
    <xf numFmtId="0" fontId="46" fillId="55" borderId="49" applyNumberFormat="0" applyAlignment="0" applyProtection="0"/>
    <xf numFmtId="0" fontId="46" fillId="55" borderId="49" applyNumberFormat="0" applyAlignment="0" applyProtection="0"/>
    <xf numFmtId="4" fontId="32" fillId="33" borderId="46">
      <alignment horizontal="right" vertical="center"/>
    </xf>
    <xf numFmtId="0" fontId="26" fillId="20" borderId="0" applyNumberFormat="0" applyBorder="0" applyAlignment="0" applyProtection="0"/>
    <xf numFmtId="0" fontId="49" fillId="42" borderId="49" applyNumberFormat="0" applyAlignment="0" applyProtection="0"/>
    <xf numFmtId="0" fontId="36" fillId="31" borderId="44">
      <alignment horizontal="right" vertical="center"/>
    </xf>
    <xf numFmtId="0" fontId="32" fillId="33" borderId="46">
      <alignment horizontal="right" vertical="center"/>
    </xf>
    <xf numFmtId="0" fontId="58" fillId="42" borderId="49" applyNumberFormat="0" applyAlignment="0" applyProtection="0"/>
    <xf numFmtId="0" fontId="50" fillId="0" borderId="50" applyNumberFormat="0" applyFill="0" applyAlignment="0" applyProtection="0"/>
    <xf numFmtId="4" fontId="34" fillId="0" borderId="44">
      <alignment horizontal="right" vertical="center"/>
    </xf>
    <xf numFmtId="49" fontId="34" fillId="0" borderId="45" applyNumberFormat="0" applyFont="0" applyFill="0" applyBorder="0" applyProtection="0">
      <alignment horizontal="left" vertical="center" indent="5"/>
    </xf>
    <xf numFmtId="4" fontId="36" fillId="31" borderId="44">
      <alignment horizontal="right" vertical="center"/>
    </xf>
    <xf numFmtId="0" fontId="32" fillId="33" borderId="46">
      <alignment horizontal="right" vertical="center"/>
    </xf>
    <xf numFmtId="0" fontId="32" fillId="33" borderId="44">
      <alignment horizontal="right" vertical="center"/>
    </xf>
    <xf numFmtId="0" fontId="34" fillId="0" borderId="44">
      <alignment horizontal="right" vertical="center"/>
    </xf>
    <xf numFmtId="0" fontId="34" fillId="31" borderId="45">
      <alignment horizontal="left" vertical="center"/>
    </xf>
    <xf numFmtId="0" fontId="5" fillId="58" borderId="43" applyNumberFormat="0" applyFont="0" applyAlignment="0" applyProtection="0"/>
    <xf numFmtId="0" fontId="34" fillId="33" borderId="47">
      <alignment horizontal="left" vertical="center" wrapText="1" indent="2"/>
    </xf>
    <xf numFmtId="0" fontId="32" fillId="33" borderId="45">
      <alignment horizontal="right" vertical="center"/>
    </xf>
    <xf numFmtId="0" fontId="32" fillId="31" borderId="44">
      <alignment horizontal="right" vertical="center"/>
    </xf>
    <xf numFmtId="0" fontId="46" fillId="55" borderId="49" applyNumberFormat="0" applyAlignment="0" applyProtection="0"/>
    <xf numFmtId="0" fontId="2" fillId="0" borderId="12" applyNumberFormat="0" applyFill="0" applyAlignment="0" applyProtection="0"/>
    <xf numFmtId="0" fontId="26" fillId="29" borderId="0" applyNumberFormat="0" applyBorder="0" applyAlignment="0" applyProtection="0"/>
    <xf numFmtId="0" fontId="32" fillId="33" borderId="46">
      <alignment horizontal="right" vertical="center"/>
    </xf>
    <xf numFmtId="0" fontId="43" fillId="55" borderId="48" applyNumberFormat="0" applyAlignment="0" applyProtection="0"/>
    <xf numFmtId="0" fontId="46" fillId="55" borderId="49" applyNumberFormat="0" applyAlignment="0" applyProtection="0"/>
    <xf numFmtId="0" fontId="32" fillId="33" borderId="45">
      <alignment horizontal="right" vertical="center"/>
    </xf>
    <xf numFmtId="49" fontId="34" fillId="0" borderId="45" applyNumberFormat="0" applyFont="0" applyFill="0" applyBorder="0" applyProtection="0">
      <alignment horizontal="left" vertical="center" indent="5"/>
    </xf>
    <xf numFmtId="0" fontId="58" fillId="42" borderId="49" applyNumberFormat="0" applyAlignment="0" applyProtection="0"/>
    <xf numFmtId="0" fontId="40" fillId="58" borderId="43" applyNumberFormat="0" applyFont="0" applyAlignment="0" applyProtection="0"/>
    <xf numFmtId="173" fontId="34" fillId="59" borderId="44" applyNumberFormat="0" applyFont="0" applyBorder="0" applyAlignment="0" applyProtection="0">
      <alignment horizontal="right" vertical="center"/>
    </xf>
    <xf numFmtId="49" fontId="34" fillId="0" borderId="44" applyNumberFormat="0" applyFont="0" applyFill="0" applyBorder="0" applyProtection="0">
      <alignment horizontal="left" vertical="center" indent="2"/>
    </xf>
    <xf numFmtId="0" fontId="58" fillId="42" borderId="49" applyNumberFormat="0" applyAlignment="0" applyProtection="0"/>
    <xf numFmtId="4" fontId="34" fillId="32" borderId="44"/>
    <xf numFmtId="0" fontId="34" fillId="31" borderId="45">
      <alignment horizontal="left" vertical="center"/>
    </xf>
    <xf numFmtId="0" fontId="49" fillId="42" borderId="49" applyNumberFormat="0" applyAlignment="0" applyProtection="0"/>
    <xf numFmtId="0" fontId="26" fillId="23" borderId="0" applyNumberFormat="0" applyBorder="0" applyAlignment="0" applyProtection="0"/>
    <xf numFmtId="0" fontId="32" fillId="31" borderId="44">
      <alignment horizontal="right" vertical="center"/>
    </xf>
    <xf numFmtId="0" fontId="65" fillId="0" borderId="50" applyNumberFormat="0" applyFill="0" applyAlignment="0" applyProtection="0"/>
    <xf numFmtId="4" fontId="32" fillId="33" borderId="44">
      <alignment horizontal="right" vertical="center"/>
    </xf>
    <xf numFmtId="0" fontId="58" fillId="42" borderId="49" applyNumberFormat="0" applyAlignment="0" applyProtection="0"/>
    <xf numFmtId="0" fontId="34" fillId="33" borderId="47">
      <alignment horizontal="left" vertical="center" wrapText="1" indent="2"/>
    </xf>
    <xf numFmtId="0" fontId="34" fillId="33" borderId="47">
      <alignment horizontal="left" vertical="center" wrapText="1" indent="2"/>
    </xf>
    <xf numFmtId="0" fontId="62" fillId="55" borderId="48" applyNumberFormat="0" applyAlignment="0" applyProtection="0"/>
    <xf numFmtId="49" fontId="34" fillId="0" borderId="45" applyNumberFormat="0" applyFont="0" applyFill="0" applyBorder="0" applyProtection="0">
      <alignment horizontal="left" vertical="center" indent="5"/>
    </xf>
    <xf numFmtId="0" fontId="34" fillId="32" borderId="44"/>
    <xf numFmtId="4" fontId="34" fillId="32" borderId="44"/>
    <xf numFmtId="0" fontId="65" fillId="0" borderId="50" applyNumberFormat="0" applyFill="0" applyAlignment="0" applyProtection="0"/>
    <xf numFmtId="0" fontId="5" fillId="58" borderId="43" applyNumberFormat="0" applyFont="0" applyAlignment="0" applyProtection="0"/>
    <xf numFmtId="0" fontId="40" fillId="58" borderId="43" applyNumberFormat="0" applyFont="0" applyAlignment="0" applyProtection="0"/>
    <xf numFmtId="0" fontId="34" fillId="0" borderId="44" applyNumberFormat="0" applyFill="0" applyAlignment="0" applyProtection="0"/>
    <xf numFmtId="0" fontId="50" fillId="0" borderId="50" applyNumberFormat="0" applyFill="0" applyAlignment="0" applyProtection="0"/>
    <xf numFmtId="0" fontId="65" fillId="0" borderId="50" applyNumberFormat="0" applyFill="0" applyAlignment="0" applyProtection="0"/>
    <xf numFmtId="0" fontId="49" fillId="42" borderId="49" applyNumberFormat="0" applyAlignment="0" applyProtection="0"/>
    <xf numFmtId="0" fontId="46" fillId="55" borderId="49" applyNumberFormat="0" applyAlignment="0" applyProtection="0"/>
    <xf numFmtId="4" fontId="36" fillId="31" borderId="44">
      <alignment horizontal="right" vertical="center"/>
    </xf>
    <xf numFmtId="0" fontId="32" fillId="31" borderId="44">
      <alignment horizontal="right" vertical="center"/>
    </xf>
    <xf numFmtId="173" fontId="34" fillId="59" borderId="44" applyNumberFormat="0" applyFont="0" applyBorder="0" applyAlignment="0" applyProtection="0">
      <alignment horizontal="right" vertical="center"/>
    </xf>
    <xf numFmtId="0" fontId="50" fillId="0" borderId="50" applyNumberFormat="0" applyFill="0" applyAlignment="0" applyProtection="0"/>
    <xf numFmtId="49" fontId="34" fillId="0" borderId="44" applyNumberFormat="0" applyFont="0" applyFill="0" applyBorder="0" applyProtection="0">
      <alignment horizontal="left" vertical="center" indent="2"/>
    </xf>
    <xf numFmtId="49" fontId="34" fillId="0" borderId="45" applyNumberFormat="0" applyFont="0" applyFill="0" applyBorder="0" applyProtection="0">
      <alignment horizontal="left" vertical="center" indent="5"/>
    </xf>
    <xf numFmtId="49" fontId="34" fillId="0" borderId="44" applyNumberFormat="0" applyFont="0" applyFill="0" applyBorder="0" applyProtection="0">
      <alignment horizontal="left" vertical="center" indent="2"/>
    </xf>
    <xf numFmtId="4" fontId="34" fillId="0" borderId="44" applyFill="0" applyBorder="0" applyProtection="0">
      <alignment horizontal="right" vertical="center"/>
    </xf>
    <xf numFmtId="49" fontId="33" fillId="0" borderId="44" applyNumberFormat="0" applyFill="0" applyBorder="0" applyProtection="0">
      <alignment horizontal="left" vertical="center"/>
    </xf>
    <xf numFmtId="0" fontId="34" fillId="0" borderId="47">
      <alignment horizontal="left" vertical="center" wrapText="1" indent="2"/>
    </xf>
    <xf numFmtId="0" fontId="62" fillId="55" borderId="48" applyNumberFormat="0" applyAlignment="0" applyProtection="0"/>
    <xf numFmtId="0" fontId="32" fillId="33" borderId="46">
      <alignment horizontal="right" vertical="center"/>
    </xf>
    <xf numFmtId="0" fontId="49" fillId="42" borderId="49" applyNumberFormat="0" applyAlignment="0" applyProtection="0"/>
    <xf numFmtId="0" fontId="32" fillId="33" borderId="46">
      <alignment horizontal="right" vertical="center"/>
    </xf>
    <xf numFmtId="4" fontId="32" fillId="33" borderId="44">
      <alignment horizontal="right" vertical="center"/>
    </xf>
    <xf numFmtId="0" fontId="32" fillId="33" borderId="44">
      <alignment horizontal="right" vertical="center"/>
    </xf>
    <xf numFmtId="0" fontId="43" fillId="55" borderId="48" applyNumberFormat="0" applyAlignment="0" applyProtection="0"/>
    <xf numFmtId="0" fontId="45" fillId="55" borderId="49" applyNumberFormat="0" applyAlignment="0" applyProtection="0"/>
    <xf numFmtId="0" fontId="50" fillId="0" borderId="50" applyNumberFormat="0" applyFill="0" applyAlignment="0" applyProtection="0"/>
    <xf numFmtId="0" fontId="34" fillId="32" borderId="44"/>
    <xf numFmtId="4" fontId="34" fillId="32" borderId="44"/>
    <xf numFmtId="4" fontId="32" fillId="33" borderId="44">
      <alignment horizontal="right" vertical="center"/>
    </xf>
    <xf numFmtId="0" fontId="36" fillId="31" borderId="44">
      <alignment horizontal="right" vertical="center"/>
    </xf>
    <xf numFmtId="0" fontId="49" fillId="42" borderId="49" applyNumberFormat="0" applyAlignment="0" applyProtection="0"/>
    <xf numFmtId="0" fontId="46" fillId="55" borderId="49" applyNumberFormat="0" applyAlignment="0" applyProtection="0"/>
    <xf numFmtId="4" fontId="34" fillId="0" borderId="44">
      <alignment horizontal="right" vertical="center"/>
    </xf>
    <xf numFmtId="0" fontId="34" fillId="33" borderId="47">
      <alignment horizontal="left" vertical="center" wrapText="1" indent="2"/>
    </xf>
    <xf numFmtId="0" fontId="34" fillId="0" borderId="47">
      <alignment horizontal="left" vertical="center" wrapText="1" indent="2"/>
    </xf>
    <xf numFmtId="0" fontId="62" fillId="55" borderId="48" applyNumberFormat="0" applyAlignment="0" applyProtection="0"/>
    <xf numFmtId="0" fontId="58" fillId="42" borderId="49" applyNumberFormat="0" applyAlignment="0" applyProtection="0"/>
    <xf numFmtId="0" fontId="45" fillId="55" borderId="49" applyNumberFormat="0" applyAlignment="0" applyProtection="0"/>
    <xf numFmtId="0" fontId="43" fillId="55" borderId="48" applyNumberFormat="0" applyAlignment="0" applyProtection="0"/>
    <xf numFmtId="0" fontId="32" fillId="33" borderId="46">
      <alignment horizontal="right" vertical="center"/>
    </xf>
    <xf numFmtId="0" fontId="36" fillId="31" borderId="44">
      <alignment horizontal="right" vertical="center"/>
    </xf>
    <xf numFmtId="4" fontId="32" fillId="31" borderId="44">
      <alignment horizontal="right" vertical="center"/>
    </xf>
    <xf numFmtId="4" fontId="32" fillId="33" borderId="44">
      <alignment horizontal="right" vertical="center"/>
    </xf>
    <xf numFmtId="49" fontId="34" fillId="0" borderId="45" applyNumberFormat="0" applyFont="0" applyFill="0" applyBorder="0" applyProtection="0">
      <alignment horizontal="left" vertical="center" indent="5"/>
    </xf>
    <xf numFmtId="4" fontId="34" fillId="0" borderId="44" applyFill="0" applyBorder="0" applyProtection="0">
      <alignment horizontal="right" vertical="center"/>
    </xf>
    <xf numFmtId="4" fontId="32" fillId="31" borderId="44">
      <alignment horizontal="right" vertical="center"/>
    </xf>
    <xf numFmtId="0" fontId="58" fillId="42" borderId="49" applyNumberFormat="0" applyAlignment="0" applyProtection="0"/>
    <xf numFmtId="0" fontId="49" fillId="42" borderId="49" applyNumberFormat="0" applyAlignment="0" applyProtection="0"/>
    <xf numFmtId="0" fontId="45" fillId="55" borderId="49" applyNumberFormat="0" applyAlignment="0" applyProtection="0"/>
    <xf numFmtId="0" fontId="34" fillId="33" borderId="47">
      <alignment horizontal="left" vertical="center" wrapText="1" indent="2"/>
    </xf>
    <xf numFmtId="0" fontId="34" fillId="0" borderId="47">
      <alignment horizontal="left" vertical="center" wrapText="1" indent="2"/>
    </xf>
    <xf numFmtId="0" fontId="34" fillId="33" borderId="47">
      <alignment horizontal="left" vertical="center" wrapText="1" indent="2"/>
    </xf>
    <xf numFmtId="0" fontId="80" fillId="0" borderId="0" applyNumberFormat="0" applyFill="0" applyBorder="0" applyAlignment="0" applyProtection="0"/>
    <xf numFmtId="0" fontId="34" fillId="31" borderId="64">
      <alignment horizontal="left" vertical="center"/>
    </xf>
    <xf numFmtId="0" fontId="32" fillId="33" borderId="63">
      <alignment horizontal="right" vertical="center"/>
    </xf>
    <xf numFmtId="0" fontId="58" fillId="42" borderId="60" applyNumberFormat="0" applyAlignment="0" applyProtection="0"/>
    <xf numFmtId="0" fontId="32" fillId="33" borderId="65">
      <alignment horizontal="right" vertical="center"/>
    </xf>
    <xf numFmtId="0" fontId="34" fillId="32" borderId="108"/>
    <xf numFmtId="0" fontId="12" fillId="15" borderId="0" applyNumberFormat="0" applyBorder="0" applyAlignment="0" applyProtection="0"/>
    <xf numFmtId="0" fontId="1" fillId="0" borderId="0" applyNumberFormat="0" applyFill="0" applyBorder="0" applyAlignment="0" applyProtection="0"/>
    <xf numFmtId="0" fontId="32" fillId="33" borderId="63">
      <alignment horizontal="right" vertical="center"/>
    </xf>
    <xf numFmtId="0" fontId="45" fillId="55" borderId="60" applyNumberFormat="0" applyAlignment="0" applyProtection="0"/>
    <xf numFmtId="4" fontId="32" fillId="31" borderId="68">
      <alignment horizontal="right" vertical="center"/>
    </xf>
    <xf numFmtId="0" fontId="26" fillId="20" borderId="0" applyNumberFormat="0" applyBorder="0" applyAlignment="0" applyProtection="0"/>
    <xf numFmtId="0" fontId="34" fillId="33" borderId="98">
      <alignment horizontal="left" vertical="center" wrapText="1" indent="2"/>
    </xf>
    <xf numFmtId="0" fontId="34" fillId="0" borderId="66">
      <alignment horizontal="left" vertical="center" wrapText="1" indent="2"/>
    </xf>
    <xf numFmtId="0" fontId="32" fillId="31" borderId="118">
      <alignment horizontal="right" vertical="center"/>
    </xf>
    <xf numFmtId="0" fontId="32" fillId="33" borderId="65">
      <alignment horizontal="right" vertical="center"/>
    </xf>
    <xf numFmtId="0" fontId="50" fillId="0" borderId="114" applyNumberFormat="0" applyFill="0" applyAlignment="0" applyProtection="0"/>
    <xf numFmtId="0" fontId="49" fillId="42" borderId="73" applyNumberFormat="0" applyAlignment="0" applyProtection="0"/>
    <xf numFmtId="4" fontId="34" fillId="32" borderId="63"/>
    <xf numFmtId="0" fontId="50" fillId="0" borderId="61" applyNumberFormat="0" applyFill="0" applyAlignment="0" applyProtection="0"/>
    <xf numFmtId="0" fontId="65" fillId="0" borderId="93" applyNumberFormat="0" applyFill="0" applyAlignment="0" applyProtection="0"/>
    <xf numFmtId="4" fontId="32" fillId="33" borderId="65">
      <alignment horizontal="right" vertical="center"/>
    </xf>
    <xf numFmtId="0" fontId="58" fillId="42" borderId="60" applyNumberFormat="0" applyAlignment="0" applyProtection="0"/>
    <xf numFmtId="0" fontId="29" fillId="12" borderId="10" applyNumberFormat="0" applyAlignment="0" applyProtection="0"/>
    <xf numFmtId="4" fontId="34" fillId="0" borderId="63">
      <alignment horizontal="right" vertical="center"/>
    </xf>
    <xf numFmtId="4" fontId="32" fillId="33" borderId="69">
      <alignment horizontal="right" vertical="center"/>
    </xf>
    <xf numFmtId="0" fontId="49" fillId="42" borderId="60" applyNumberFormat="0" applyAlignment="0" applyProtection="0"/>
    <xf numFmtId="4" fontId="32" fillId="31" borderId="68">
      <alignment horizontal="right" vertical="center"/>
    </xf>
    <xf numFmtId="4" fontId="32" fillId="31" borderId="63">
      <alignment horizontal="right" vertical="center"/>
    </xf>
    <xf numFmtId="0" fontId="32" fillId="33" borderId="64">
      <alignment horizontal="right" vertical="center"/>
    </xf>
    <xf numFmtId="0" fontId="26" fillId="14" borderId="0" applyNumberFormat="0" applyBorder="0" applyAlignment="0" applyProtection="0"/>
    <xf numFmtId="0" fontId="32" fillId="33" borderId="108">
      <alignment horizontal="right" vertical="center"/>
    </xf>
    <xf numFmtId="0" fontId="34" fillId="0" borderId="63">
      <alignment horizontal="right" vertical="center"/>
    </xf>
    <xf numFmtId="0" fontId="32" fillId="33" borderId="63">
      <alignment horizontal="right" vertical="center"/>
    </xf>
    <xf numFmtId="0" fontId="12" fillId="15" borderId="0" applyNumberFormat="0" applyBorder="0" applyAlignment="0" applyProtection="0"/>
    <xf numFmtId="0" fontId="26" fillId="26" borderId="0" applyNumberFormat="0" applyBorder="0" applyAlignment="0" applyProtection="0"/>
    <xf numFmtId="4" fontId="32" fillId="33" borderId="63">
      <alignment horizontal="right" vertical="center"/>
    </xf>
    <xf numFmtId="0" fontId="26" fillId="17" borderId="0" applyNumberFormat="0" applyBorder="0" applyAlignment="0" applyProtection="0"/>
    <xf numFmtId="0" fontId="50" fillId="0" borderId="61" applyNumberFormat="0" applyFill="0" applyAlignment="0" applyProtection="0"/>
    <xf numFmtId="0" fontId="46" fillId="55" borderId="60" applyNumberFormat="0" applyAlignment="0" applyProtection="0"/>
    <xf numFmtId="0" fontId="34" fillId="32" borderId="63"/>
    <xf numFmtId="4" fontId="32" fillId="33" borderId="63">
      <alignment horizontal="right" vertical="center"/>
    </xf>
    <xf numFmtId="0" fontId="36" fillId="31" borderId="95">
      <alignment horizontal="right" vertical="center"/>
    </xf>
    <xf numFmtId="4" fontId="32" fillId="33" borderId="65">
      <alignment horizontal="right" vertical="center"/>
    </xf>
    <xf numFmtId="4" fontId="32" fillId="33" borderId="103">
      <alignment horizontal="right" vertical="center"/>
    </xf>
    <xf numFmtId="0" fontId="65" fillId="0" borderId="61" applyNumberFormat="0" applyFill="0" applyAlignment="0" applyProtection="0"/>
    <xf numFmtId="0" fontId="32" fillId="33" borderId="103">
      <alignment horizontal="right" vertical="center"/>
    </xf>
    <xf numFmtId="0" fontId="40" fillId="58" borderId="94" applyNumberFormat="0" applyFont="0" applyAlignment="0" applyProtection="0"/>
    <xf numFmtId="4" fontId="36" fillId="31" borderId="68">
      <alignment horizontal="right" vertical="center"/>
    </xf>
    <xf numFmtId="0" fontId="30" fillId="0" borderId="0" applyNumberFormat="0" applyFill="0" applyBorder="0" applyAlignment="0" applyProtection="0"/>
    <xf numFmtId="0" fontId="34" fillId="0" borderId="68">
      <alignment horizontal="right" vertical="center"/>
    </xf>
    <xf numFmtId="0" fontId="28" fillId="12" borderId="11" applyNumberFormat="0" applyAlignment="0" applyProtection="0"/>
    <xf numFmtId="0" fontId="29" fillId="12" borderId="10" applyNumberFormat="0" applyAlignment="0" applyProtection="0"/>
    <xf numFmtId="4" fontId="32" fillId="33" borderId="110">
      <alignment horizontal="right" vertical="center"/>
    </xf>
    <xf numFmtId="0" fontId="28" fillId="12" borderId="11" applyNumberFormat="0" applyAlignment="0" applyProtection="0"/>
    <xf numFmtId="0" fontId="1" fillId="0" borderId="0" applyNumberFormat="0" applyFill="0" applyBorder="0" applyAlignment="0" applyProtection="0"/>
    <xf numFmtId="4" fontId="34" fillId="0" borderId="63" applyFill="0" applyBorder="0" applyProtection="0">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62" fillId="55" borderId="112" applyNumberFormat="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34" fillId="33" borderId="71">
      <alignment horizontal="left" vertical="center" wrapText="1" indent="2"/>
    </xf>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5" fillId="58" borderId="62" applyNumberFormat="0" applyFont="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32" fillId="33" borderId="63">
      <alignment horizontal="right" vertical="center"/>
    </xf>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173" fontId="34" fillId="59" borderId="63" applyNumberFormat="0" applyFont="0" applyBorder="0" applyAlignment="0" applyProtection="0">
      <alignment horizontal="right" vertical="center"/>
    </xf>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58" fillId="42" borderId="60" applyNumberFormat="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44" applyNumberFormat="0" applyFill="0" applyAlignment="0" applyProtection="0"/>
    <xf numFmtId="0" fontId="32" fillId="33" borderId="44">
      <alignment horizontal="right" vertical="center"/>
    </xf>
    <xf numFmtId="0" fontId="32" fillId="33" borderId="44">
      <alignment horizontal="right" vertical="center"/>
    </xf>
    <xf numFmtId="0" fontId="32" fillId="31" borderId="63">
      <alignment horizontal="right" vertical="center"/>
    </xf>
    <xf numFmtId="0" fontId="34" fillId="0" borderId="44">
      <alignment horizontal="right" vertical="center"/>
    </xf>
    <xf numFmtId="0" fontId="36" fillId="31" borderId="44">
      <alignment horizontal="right" vertical="center"/>
    </xf>
    <xf numFmtId="0" fontId="34" fillId="32" borderId="44"/>
    <xf numFmtId="0" fontId="32" fillId="31" borderId="44">
      <alignment horizontal="right" vertical="center"/>
    </xf>
    <xf numFmtId="0" fontId="65" fillId="0" borderId="61" applyNumberFormat="0" applyFill="0" applyAlignment="0" applyProtection="0"/>
    <xf numFmtId="0" fontId="5" fillId="58" borderId="62" applyNumberFormat="0" applyFont="0" applyAlignment="0" applyProtection="0"/>
    <xf numFmtId="4" fontId="32" fillId="33" borderId="63">
      <alignment horizontal="right" vertical="center"/>
    </xf>
    <xf numFmtId="0" fontId="12" fillId="21" borderId="0" applyNumberFormat="0" applyBorder="0" applyAlignment="0" applyProtection="0"/>
    <xf numFmtId="0" fontId="34" fillId="0" borderId="63">
      <alignment horizontal="right" vertical="center"/>
    </xf>
    <xf numFmtId="0" fontId="32" fillId="33" borderId="68">
      <alignment horizontal="right" vertical="center"/>
    </xf>
    <xf numFmtId="0" fontId="58" fillId="42" borderId="60" applyNumberFormat="0" applyAlignment="0" applyProtection="0"/>
    <xf numFmtId="0" fontId="49" fillId="42" borderId="60" applyNumberFormat="0" applyAlignment="0" applyProtection="0"/>
    <xf numFmtId="4" fontId="32" fillId="33" borderId="64">
      <alignment horizontal="right" vertical="center"/>
    </xf>
    <xf numFmtId="49" fontId="33" fillId="0" borderId="63" applyNumberFormat="0" applyFill="0" applyBorder="0" applyProtection="0">
      <alignment horizontal="left" vertical="center"/>
    </xf>
    <xf numFmtId="0" fontId="32" fillId="33" borderId="65">
      <alignment horizontal="right" vertical="center"/>
    </xf>
    <xf numFmtId="0" fontId="32" fillId="33" borderId="63">
      <alignment horizontal="right" vertical="center"/>
    </xf>
    <xf numFmtId="0" fontId="32" fillId="33" borderId="64">
      <alignment horizontal="right" vertical="center"/>
    </xf>
    <xf numFmtId="0" fontId="26" fillId="23" borderId="0" applyNumberFormat="0" applyBorder="0" applyAlignment="0" applyProtection="0"/>
    <xf numFmtId="4" fontId="36" fillId="31" borderId="63">
      <alignment horizontal="right" vertical="center"/>
    </xf>
    <xf numFmtId="0" fontId="46" fillId="55" borderId="73" applyNumberFormat="0" applyAlignment="0" applyProtection="0"/>
    <xf numFmtId="0" fontId="34" fillId="33" borderId="98">
      <alignment horizontal="left" vertical="center" wrapText="1" indent="2"/>
    </xf>
    <xf numFmtId="0" fontId="26" fillId="14" borderId="0" applyNumberFormat="0" applyBorder="0" applyAlignment="0" applyProtection="0"/>
    <xf numFmtId="0" fontId="40" fillId="58" borderId="62" applyNumberFormat="0" applyFont="0" applyAlignment="0" applyProtection="0"/>
    <xf numFmtId="0" fontId="65" fillId="0" borderId="74" applyNumberFormat="0" applyFill="0" applyAlignment="0" applyProtection="0"/>
    <xf numFmtId="0" fontId="26" fillId="13" borderId="0" applyNumberFormat="0" applyBorder="0" applyAlignment="0" applyProtection="0"/>
    <xf numFmtId="0" fontId="65" fillId="0" borderId="61" applyNumberFormat="0" applyFill="0" applyAlignment="0" applyProtection="0"/>
    <xf numFmtId="0" fontId="32" fillId="33" borderId="63">
      <alignment horizontal="right" vertical="center"/>
    </xf>
    <xf numFmtId="0" fontId="43" fillId="55" borderId="59" applyNumberFormat="0" applyAlignment="0" applyProtection="0"/>
    <xf numFmtId="0" fontId="12" fillId="27" borderId="0" applyNumberFormat="0" applyBorder="0" applyAlignment="0" applyProtection="0"/>
    <xf numFmtId="4" fontId="32" fillId="33" borderId="63">
      <alignment horizontal="right" vertical="center"/>
    </xf>
    <xf numFmtId="0" fontId="62" fillId="55" borderId="75" applyNumberFormat="0" applyAlignment="0" applyProtection="0"/>
    <xf numFmtId="0" fontId="5" fillId="58" borderId="67" applyNumberFormat="0" applyFont="0" applyAlignment="0" applyProtection="0"/>
    <xf numFmtId="0" fontId="58" fillId="42" borderId="92" applyNumberFormat="0" applyAlignment="0" applyProtection="0"/>
    <xf numFmtId="0" fontId="1" fillId="0" borderId="0" applyNumberFormat="0" applyFill="0" applyBorder="0" applyAlignment="0" applyProtection="0"/>
    <xf numFmtId="0" fontId="49" fillId="42" borderId="60" applyNumberFormat="0" applyAlignment="0" applyProtection="0"/>
    <xf numFmtId="4" fontId="32" fillId="33" borderId="65">
      <alignment horizontal="right" vertical="center"/>
    </xf>
    <xf numFmtId="4" fontId="34" fillId="32" borderId="63"/>
    <xf numFmtId="0" fontId="32" fillId="33" borderId="63">
      <alignment horizontal="right" vertical="center"/>
    </xf>
    <xf numFmtId="4" fontId="32" fillId="31" borderId="68">
      <alignment horizontal="right" vertical="center"/>
    </xf>
    <xf numFmtId="4" fontId="32" fillId="33" borderId="64">
      <alignment horizontal="right" vertical="center"/>
    </xf>
    <xf numFmtId="0" fontId="50" fillId="0" borderId="77" applyNumberFormat="0" applyFill="0" applyAlignment="0" applyProtection="0"/>
    <xf numFmtId="4" fontId="32" fillId="33" borderId="68">
      <alignment horizontal="right" vertical="center"/>
    </xf>
    <xf numFmtId="0" fontId="26" fillId="22" borderId="0" applyNumberFormat="0" applyBorder="0" applyAlignment="0" applyProtection="0"/>
    <xf numFmtId="4" fontId="34" fillId="0" borderId="95">
      <alignment horizontal="right" vertical="center"/>
    </xf>
    <xf numFmtId="0" fontId="1" fillId="0" borderId="0" applyNumberFormat="0" applyFill="0" applyBorder="0" applyAlignment="0" applyProtection="0"/>
    <xf numFmtId="0" fontId="65" fillId="0" borderId="74" applyNumberFormat="0" applyFill="0" applyAlignment="0" applyProtection="0"/>
    <xf numFmtId="0" fontId="34" fillId="33" borderId="66">
      <alignment horizontal="left" vertical="center" wrapText="1" indent="2"/>
    </xf>
    <xf numFmtId="0" fontId="62" fillId="55" borderId="59" applyNumberFormat="0" applyAlignment="0" applyProtection="0"/>
    <xf numFmtId="4" fontId="32" fillId="33" borderId="63">
      <alignment horizontal="right" vertical="center"/>
    </xf>
    <xf numFmtId="4" fontId="32" fillId="33" borderId="96">
      <alignment horizontal="right" vertical="center"/>
    </xf>
    <xf numFmtId="0" fontId="34" fillId="0" borderId="66">
      <alignment horizontal="left" vertical="center" wrapText="1" indent="2"/>
    </xf>
    <xf numFmtId="0" fontId="46" fillId="55" borderId="60" applyNumberFormat="0" applyAlignment="0" applyProtection="0"/>
    <xf numFmtId="0" fontId="49" fillId="42" borderId="60" applyNumberFormat="0" applyAlignment="0" applyProtection="0"/>
    <xf numFmtId="4" fontId="34" fillId="0" borderId="63">
      <alignment horizontal="right" vertical="center"/>
    </xf>
    <xf numFmtId="0" fontId="46" fillId="55" borderId="52" applyNumberFormat="0" applyAlignment="0" applyProtection="0"/>
    <xf numFmtId="49" fontId="33" fillId="0" borderId="68" applyNumberFormat="0" applyFill="0" applyBorder="0" applyProtection="0">
      <alignment horizontal="left" vertical="center"/>
    </xf>
    <xf numFmtId="43" fontId="37" fillId="0" borderId="0" applyFont="0" applyFill="0" applyBorder="0" applyAlignment="0" applyProtection="0"/>
    <xf numFmtId="172" fontId="84" fillId="0" borderId="0" applyFont="0" applyFill="0" applyBorder="0" applyAlignment="0" applyProtection="0"/>
    <xf numFmtId="43" fontId="37" fillId="0" borderId="0" applyFont="0" applyFill="0" applyBorder="0" applyAlignment="0" applyProtection="0"/>
    <xf numFmtId="0" fontId="34" fillId="33" borderId="90">
      <alignment horizontal="left" vertical="center" wrapText="1" indent="2"/>
    </xf>
    <xf numFmtId="4" fontId="36" fillId="31" borderId="63">
      <alignment horizontal="right" vertical="center"/>
    </xf>
    <xf numFmtId="0" fontId="34" fillId="33" borderId="111">
      <alignment horizontal="left" vertical="center" wrapText="1" indent="2"/>
    </xf>
    <xf numFmtId="0" fontId="26" fillId="23" borderId="0" applyNumberFormat="0" applyBorder="0" applyAlignment="0" applyProtection="0"/>
    <xf numFmtId="0" fontId="58" fillId="42" borderId="60" applyNumberFormat="0" applyAlignment="0" applyProtection="0"/>
    <xf numFmtId="0" fontId="46" fillId="55" borderId="60" applyNumberFormat="0" applyAlignment="0" applyProtection="0"/>
    <xf numFmtId="0" fontId="34" fillId="0" borderId="79">
      <alignment horizontal="right" vertical="center"/>
    </xf>
    <xf numFmtId="0" fontId="12" fillId="18" borderId="0" applyNumberFormat="0" applyBorder="0" applyAlignment="0" applyProtection="0"/>
    <xf numFmtId="0" fontId="62" fillId="55" borderId="59" applyNumberFormat="0" applyAlignment="0" applyProtection="0"/>
    <xf numFmtId="0" fontId="58" fillId="42" borderId="52" applyNumberFormat="0" applyAlignment="0" applyProtection="0"/>
    <xf numFmtId="0" fontId="12" fillId="18" borderId="0" applyNumberFormat="0" applyBorder="0" applyAlignment="0" applyProtection="0"/>
    <xf numFmtId="0" fontId="62" fillId="55" borderId="72" applyNumberFormat="0" applyAlignment="0" applyProtection="0"/>
    <xf numFmtId="0" fontId="43" fillId="55" borderId="59" applyNumberFormat="0" applyAlignment="0" applyProtection="0"/>
    <xf numFmtId="0" fontId="34" fillId="0" borderId="111">
      <alignment horizontal="left" vertical="center" wrapText="1" indent="2"/>
    </xf>
    <xf numFmtId="0" fontId="12" fillId="30" borderId="0" applyNumberFormat="0" applyBorder="0" applyAlignment="0" applyProtection="0"/>
    <xf numFmtId="0" fontId="34" fillId="0" borderId="71">
      <alignment horizontal="left" vertical="center" wrapText="1" indent="2"/>
    </xf>
    <xf numFmtId="0" fontId="58" fillId="42" borderId="100" applyNumberFormat="0" applyAlignment="0" applyProtection="0"/>
    <xf numFmtId="0" fontId="45" fillId="55" borderId="60" applyNumberFormat="0" applyAlignment="0" applyProtection="0"/>
    <xf numFmtId="0" fontId="26" fillId="13" borderId="0" applyNumberFormat="0" applyBorder="0" applyAlignment="0" applyProtection="0"/>
    <xf numFmtId="0" fontId="12" fillId="15" borderId="0" applyNumberFormat="0" applyBorder="0" applyAlignment="0" applyProtection="0"/>
    <xf numFmtId="0" fontId="84" fillId="0" borderId="0"/>
    <xf numFmtId="0" fontId="49" fillId="42" borderId="60" applyNumberFormat="0" applyAlignment="0" applyProtection="0"/>
    <xf numFmtId="0" fontId="34" fillId="0" borderId="63" applyNumberFormat="0" applyFill="0" applyAlignment="0" applyProtection="0"/>
    <xf numFmtId="0" fontId="46" fillId="55" borderId="60" applyNumberFormat="0" applyAlignment="0" applyProtection="0"/>
    <xf numFmtId="49" fontId="34" fillId="0" borderId="63" applyNumberFormat="0" applyFont="0" applyFill="0" applyBorder="0" applyProtection="0">
      <alignment horizontal="left" vertical="center" indent="2"/>
    </xf>
    <xf numFmtId="0" fontId="34" fillId="32" borderId="68"/>
    <xf numFmtId="4" fontId="36" fillId="31" borderId="63">
      <alignment horizontal="right" vertical="center"/>
    </xf>
    <xf numFmtId="0" fontId="30" fillId="0" borderId="0" applyNumberFormat="0" applyFill="0" applyBorder="0" applyAlignment="0" applyProtection="0"/>
    <xf numFmtId="0" fontId="58" fillId="42" borderId="73" applyNumberFormat="0" applyAlignment="0" applyProtection="0"/>
    <xf numFmtId="4" fontId="34" fillId="0" borderId="44" applyFill="0" applyBorder="0" applyProtection="0">
      <alignment horizontal="right" vertical="center"/>
    </xf>
    <xf numFmtId="0" fontId="32" fillId="33" borderId="63">
      <alignment horizontal="right" vertical="center"/>
    </xf>
    <xf numFmtId="4" fontId="32" fillId="33" borderId="65">
      <alignment horizontal="right" vertical="center"/>
    </xf>
    <xf numFmtId="0" fontId="58" fillId="42" borderId="73" applyNumberFormat="0" applyAlignment="0" applyProtection="0"/>
    <xf numFmtId="0" fontId="34" fillId="33" borderId="66">
      <alignment horizontal="left" vertical="center" wrapText="1" indent="2"/>
    </xf>
    <xf numFmtId="0" fontId="40" fillId="58" borderId="62" applyNumberFormat="0" applyFont="0" applyAlignment="0" applyProtection="0"/>
    <xf numFmtId="0" fontId="49" fillId="42" borderId="60" applyNumberFormat="0" applyAlignment="0" applyProtection="0"/>
    <xf numFmtId="0" fontId="36" fillId="31" borderId="63">
      <alignment horizontal="right" vertical="center"/>
    </xf>
    <xf numFmtId="0" fontId="84" fillId="34" borderId="0" applyNumberFormat="0" applyFont="0" applyBorder="0" applyAlignment="0" applyProtection="0"/>
    <xf numFmtId="0" fontId="40" fillId="58" borderId="54" applyNumberFormat="0" applyFont="0" applyAlignment="0" applyProtection="0"/>
    <xf numFmtId="0" fontId="5" fillId="58" borderId="54" applyNumberFormat="0" applyFont="0" applyAlignment="0" applyProtection="0"/>
    <xf numFmtId="0" fontId="62" fillId="55" borderId="51" applyNumberFormat="0" applyAlignment="0" applyProtection="0"/>
    <xf numFmtId="0" fontId="50" fillId="0" borderId="61" applyNumberFormat="0" applyFill="0" applyAlignment="0" applyProtection="0"/>
    <xf numFmtId="9" fontId="84" fillId="0" borderId="0" applyFont="0" applyFill="0" applyBorder="0" applyAlignment="0" applyProtection="0"/>
    <xf numFmtId="4" fontId="32" fillId="33" borderId="64">
      <alignment horizontal="right" vertical="center"/>
    </xf>
    <xf numFmtId="0" fontId="32" fillId="33" borderId="80">
      <alignment horizontal="right" vertical="center"/>
    </xf>
    <xf numFmtId="0" fontId="12" fillId="24" borderId="0" applyNumberFormat="0" applyBorder="0" applyAlignment="0" applyProtection="0"/>
    <xf numFmtId="0" fontId="65" fillId="0" borderId="53" applyNumberFormat="0" applyFill="0" applyAlignment="0" applyProtection="0"/>
    <xf numFmtId="0" fontId="45" fillId="55" borderId="73" applyNumberFormat="0" applyAlignment="0" applyProtection="0"/>
    <xf numFmtId="0" fontId="34" fillId="0" borderId="63">
      <alignment horizontal="right" vertical="center"/>
    </xf>
    <xf numFmtId="49" fontId="33" fillId="0" borderId="63" applyNumberFormat="0" applyFill="0" applyBorder="0" applyProtection="0">
      <alignment horizontal="left" vertical="center"/>
    </xf>
    <xf numFmtId="0" fontId="45" fillId="55" borderId="60" applyNumberFormat="0" applyAlignment="0" applyProtection="0"/>
    <xf numFmtId="0" fontId="46" fillId="55" borderId="60" applyNumberFormat="0" applyAlignment="0" applyProtection="0"/>
    <xf numFmtId="0" fontId="26" fillId="14" borderId="0" applyNumberFormat="0" applyBorder="0" applyAlignment="0" applyProtection="0"/>
    <xf numFmtId="4" fontId="32" fillId="33" borderId="68">
      <alignment horizontal="right" vertical="center"/>
    </xf>
    <xf numFmtId="4" fontId="36" fillId="31" borderId="68">
      <alignment horizontal="right" vertical="center"/>
    </xf>
    <xf numFmtId="0" fontId="65" fillId="0" borderId="61" applyNumberFormat="0" applyFill="0" applyAlignment="0" applyProtection="0"/>
    <xf numFmtId="0" fontId="50" fillId="0" borderId="93" applyNumberFormat="0" applyFill="0" applyAlignment="0" applyProtection="0"/>
    <xf numFmtId="4" fontId="32" fillId="33" borderId="118">
      <alignment horizontal="right" vertical="center"/>
    </xf>
    <xf numFmtId="0" fontId="32" fillId="33" borderId="65">
      <alignment horizontal="right" vertical="center"/>
    </xf>
    <xf numFmtId="0" fontId="65" fillId="0" borderId="74" applyNumberFormat="0" applyFill="0" applyAlignment="0" applyProtection="0"/>
    <xf numFmtId="0" fontId="34" fillId="0" borderId="63" applyNumberFormat="0" applyFill="0" applyAlignment="0" applyProtection="0"/>
    <xf numFmtId="0" fontId="40" fillId="58" borderId="62" applyNumberFormat="0" applyFont="0" applyAlignment="0" applyProtection="0"/>
    <xf numFmtId="0" fontId="34" fillId="0" borderId="66">
      <alignment horizontal="left" vertical="center" wrapText="1" indent="2"/>
    </xf>
    <xf numFmtId="0" fontId="32" fillId="33" borderId="70">
      <alignment horizontal="right" vertical="center"/>
    </xf>
    <xf numFmtId="0" fontId="34" fillId="31" borderId="64">
      <alignment horizontal="left" vertical="center"/>
    </xf>
    <xf numFmtId="49" fontId="34" fillId="0" borderId="63" applyNumberFormat="0" applyFont="0" applyFill="0" applyBorder="0" applyProtection="0">
      <alignment horizontal="left" vertical="center" indent="2"/>
    </xf>
    <xf numFmtId="0" fontId="26" fillId="25" borderId="0" applyNumberFormat="0" applyBorder="0" applyAlignment="0" applyProtection="0"/>
    <xf numFmtId="0" fontId="65" fillId="0" borderId="61" applyNumberFormat="0" applyFill="0" applyAlignment="0" applyProtection="0"/>
    <xf numFmtId="0" fontId="50" fillId="0" borderId="93" applyNumberFormat="0" applyFill="0" applyAlignment="0" applyProtection="0"/>
    <xf numFmtId="0" fontId="34" fillId="32" borderId="63"/>
    <xf numFmtId="4" fontId="34" fillId="32" borderId="118"/>
    <xf numFmtId="0" fontId="46" fillId="55" borderId="60" applyNumberFormat="0" applyAlignment="0" applyProtection="0"/>
    <xf numFmtId="0" fontId="40" fillId="58" borderId="62" applyNumberFormat="0" applyFont="0" applyAlignment="0" applyProtection="0"/>
    <xf numFmtId="49" fontId="34" fillId="0" borderId="63" applyNumberFormat="0" applyFont="0" applyFill="0" applyBorder="0" applyProtection="0">
      <alignment horizontal="left" vertical="center" indent="2"/>
    </xf>
    <xf numFmtId="0" fontId="26" fillId="17" borderId="0" applyNumberFormat="0" applyBorder="0" applyAlignment="0" applyProtection="0"/>
    <xf numFmtId="0" fontId="32" fillId="33" borderId="63">
      <alignment horizontal="right" vertical="center"/>
    </xf>
    <xf numFmtId="4" fontId="34" fillId="32" borderId="63"/>
    <xf numFmtId="4" fontId="32" fillId="33" borderId="70">
      <alignment horizontal="right" vertical="center"/>
    </xf>
    <xf numFmtId="4" fontId="34" fillId="0" borderId="63">
      <alignment horizontal="right" vertical="center"/>
    </xf>
    <xf numFmtId="0" fontId="34" fillId="0" borderId="66">
      <alignment horizontal="left" vertical="center" wrapText="1" indent="2"/>
    </xf>
    <xf numFmtId="0" fontId="12" fillId="15" borderId="0" applyNumberFormat="0" applyBorder="0" applyAlignment="0" applyProtection="0"/>
    <xf numFmtId="0" fontId="34" fillId="0" borderId="63">
      <alignment horizontal="right" vertical="center"/>
    </xf>
    <xf numFmtId="0" fontId="34" fillId="33" borderId="66">
      <alignment horizontal="left" vertical="center" wrapText="1" indent="2"/>
    </xf>
    <xf numFmtId="0" fontId="26" fillId="22" borderId="0" applyNumberFormat="0" applyBorder="0" applyAlignment="0" applyProtection="0"/>
    <xf numFmtId="0" fontId="34" fillId="31" borderId="64">
      <alignment horizontal="left" vertical="center"/>
    </xf>
    <xf numFmtId="0" fontId="26" fillId="25" borderId="0" applyNumberFormat="0" applyBorder="0" applyAlignment="0" applyProtection="0"/>
    <xf numFmtId="0" fontId="32" fillId="33" borderId="63">
      <alignment horizontal="right" vertical="center"/>
    </xf>
    <xf numFmtId="0" fontId="46" fillId="55" borderId="113" applyNumberFormat="0" applyAlignment="0" applyProtection="0"/>
    <xf numFmtId="0" fontId="34" fillId="0" borderId="66">
      <alignment horizontal="left" vertical="center" wrapText="1" indent="2"/>
    </xf>
    <xf numFmtId="0" fontId="46" fillId="55" borderId="52" applyNumberFormat="0" applyAlignment="0" applyProtection="0"/>
    <xf numFmtId="0" fontId="43" fillId="55" borderId="72" applyNumberFormat="0" applyAlignment="0" applyProtection="0"/>
    <xf numFmtId="0" fontId="65" fillId="0" borderId="61" applyNumberFormat="0" applyFill="0" applyAlignment="0" applyProtection="0"/>
    <xf numFmtId="0" fontId="34" fillId="33" borderId="66">
      <alignment horizontal="left" vertical="center" wrapText="1" indent="2"/>
    </xf>
    <xf numFmtId="0" fontId="50" fillId="0" borderId="61" applyNumberFormat="0" applyFill="0" applyAlignment="0" applyProtection="0"/>
    <xf numFmtId="0" fontId="34" fillId="32" borderId="68"/>
    <xf numFmtId="49" fontId="34" fillId="0" borderId="108" applyNumberFormat="0" applyFont="0" applyFill="0" applyBorder="0" applyProtection="0">
      <alignment horizontal="left" vertical="center" indent="2"/>
    </xf>
    <xf numFmtId="49" fontId="34" fillId="0" borderId="63" applyNumberFormat="0" applyFont="0" applyFill="0" applyBorder="0" applyProtection="0">
      <alignment horizontal="left" vertical="center" indent="2"/>
    </xf>
    <xf numFmtId="0" fontId="58" fillId="42" borderId="52" applyNumberFormat="0" applyAlignment="0" applyProtection="0"/>
    <xf numFmtId="0" fontId="46" fillId="55" borderId="76" applyNumberFormat="0" applyAlignment="0" applyProtection="0"/>
    <xf numFmtId="0" fontId="43" fillId="55" borderId="59" applyNumberFormat="0" applyAlignment="0" applyProtection="0"/>
    <xf numFmtId="0" fontId="40" fillId="58" borderId="62" applyNumberFormat="0" applyFont="0" applyAlignment="0" applyProtection="0"/>
    <xf numFmtId="0" fontId="40" fillId="58" borderId="54" applyNumberFormat="0" applyFont="0" applyAlignment="0" applyProtection="0"/>
    <xf numFmtId="0" fontId="62" fillId="55" borderId="51" applyNumberFormat="0" applyAlignment="0" applyProtection="0"/>
    <xf numFmtId="0" fontId="32" fillId="33" borderId="68">
      <alignment horizontal="right" vertical="center"/>
    </xf>
    <xf numFmtId="0" fontId="65" fillId="0" borderId="53" applyNumberFormat="0" applyFill="0" applyAlignment="0" applyProtection="0"/>
    <xf numFmtId="0" fontId="43" fillId="55" borderId="59" applyNumberFormat="0" applyAlignment="0" applyProtection="0"/>
    <xf numFmtId="0" fontId="32" fillId="33" borderId="63">
      <alignment horizontal="right" vertical="center"/>
    </xf>
    <xf numFmtId="0" fontId="49" fillId="42" borderId="60" applyNumberFormat="0" applyAlignment="0" applyProtection="0"/>
    <xf numFmtId="0" fontId="65" fillId="0" borderId="116" applyNumberFormat="0" applyFill="0" applyAlignment="0" applyProtection="0"/>
    <xf numFmtId="0" fontId="34" fillId="33" borderId="71">
      <alignment horizontal="left" vertical="center" wrapText="1" indent="2"/>
    </xf>
    <xf numFmtId="0" fontId="32" fillId="31" borderId="63">
      <alignment horizontal="right" vertical="center"/>
    </xf>
    <xf numFmtId="0" fontId="58" fillId="42" borderId="73" applyNumberFormat="0" applyAlignment="0" applyProtection="0"/>
    <xf numFmtId="4" fontId="32" fillId="31" borderId="63">
      <alignment horizontal="right" vertical="center"/>
    </xf>
    <xf numFmtId="4" fontId="32" fillId="31" borderId="63">
      <alignment horizontal="right" vertical="center"/>
    </xf>
    <xf numFmtId="4" fontId="36" fillId="31" borderId="68">
      <alignment horizontal="right" vertical="center"/>
    </xf>
    <xf numFmtId="0" fontId="65" fillId="0" borderId="61" applyNumberFormat="0" applyFill="0" applyAlignment="0" applyProtection="0"/>
    <xf numFmtId="0" fontId="49" fillId="42" borderId="60" applyNumberFormat="0" applyAlignment="0" applyProtection="0"/>
    <xf numFmtId="0" fontId="32" fillId="33" borderId="65">
      <alignment horizontal="right" vertical="center"/>
    </xf>
    <xf numFmtId="0" fontId="34" fillId="0" borderId="55" applyNumberFormat="0" applyFill="0" applyAlignment="0" applyProtection="0"/>
    <xf numFmtId="0" fontId="26" fillId="19" borderId="0" applyNumberFormat="0" applyBorder="0" applyAlignment="0" applyProtection="0"/>
    <xf numFmtId="0" fontId="34" fillId="33" borderId="71">
      <alignment horizontal="left" vertical="center" wrapText="1" indent="2"/>
    </xf>
    <xf numFmtId="0" fontId="12" fillId="15" borderId="0" applyNumberFormat="0" applyBorder="0" applyAlignment="0" applyProtection="0"/>
    <xf numFmtId="0" fontId="34" fillId="0" borderId="90">
      <alignment horizontal="left" vertical="center" wrapText="1" indent="2"/>
    </xf>
    <xf numFmtId="0" fontId="40" fillId="58" borderId="62" applyNumberFormat="0" applyFont="0" applyAlignment="0" applyProtection="0"/>
    <xf numFmtId="0" fontId="32" fillId="31" borderId="55">
      <alignment horizontal="right" vertical="center"/>
    </xf>
    <xf numFmtId="4" fontId="32" fillId="31" borderId="55">
      <alignment horizontal="right" vertical="center"/>
    </xf>
    <xf numFmtId="0" fontId="36" fillId="31" borderId="55">
      <alignment horizontal="right" vertical="center"/>
    </xf>
    <xf numFmtId="4" fontId="36" fillId="31" borderId="55">
      <alignment horizontal="right" vertical="center"/>
    </xf>
    <xf numFmtId="0" fontId="32" fillId="33" borderId="55">
      <alignment horizontal="right" vertical="center"/>
    </xf>
    <xf numFmtId="4" fontId="32" fillId="33" borderId="55">
      <alignment horizontal="right" vertical="center"/>
    </xf>
    <xf numFmtId="0" fontId="32" fillId="33" borderId="55">
      <alignment horizontal="right" vertical="center"/>
    </xf>
    <xf numFmtId="4" fontId="32" fillId="33" borderId="55">
      <alignment horizontal="right" vertical="center"/>
    </xf>
    <xf numFmtId="0" fontId="32" fillId="33" borderId="56">
      <alignment horizontal="right" vertical="center"/>
    </xf>
    <xf numFmtId="4" fontId="32" fillId="33" borderId="56">
      <alignment horizontal="right" vertical="center"/>
    </xf>
    <xf numFmtId="0" fontId="32" fillId="33" borderId="57">
      <alignment horizontal="right" vertical="center"/>
    </xf>
    <xf numFmtId="4" fontId="32" fillId="33" borderId="57">
      <alignment horizontal="right" vertical="center"/>
    </xf>
    <xf numFmtId="0" fontId="46" fillId="55" borderId="52" applyNumberFormat="0" applyAlignment="0" applyProtection="0"/>
    <xf numFmtId="0" fontId="34" fillId="33" borderId="58">
      <alignment horizontal="left" vertical="center" wrapText="1" indent="2"/>
    </xf>
    <xf numFmtId="0" fontId="34" fillId="0" borderId="58">
      <alignment horizontal="left" vertical="center" wrapText="1" indent="2"/>
    </xf>
    <xf numFmtId="0" fontId="34" fillId="31" borderId="56">
      <alignment horizontal="left" vertical="center"/>
    </xf>
    <xf numFmtId="0" fontId="5" fillId="58" borderId="67" applyNumberFormat="0" applyFont="0" applyAlignment="0" applyProtection="0"/>
    <xf numFmtId="0" fontId="58" fillId="42" borderId="52" applyNumberFormat="0" applyAlignment="0" applyProtection="0"/>
    <xf numFmtId="0" fontId="34" fillId="0" borderId="55">
      <alignment horizontal="right" vertical="center"/>
    </xf>
    <xf numFmtId="4" fontId="34" fillId="0" borderId="55">
      <alignment horizontal="right" vertical="center"/>
    </xf>
    <xf numFmtId="0" fontId="40" fillId="58" borderId="67" applyNumberFormat="0" applyFont="0" applyAlignment="0" applyProtection="0"/>
    <xf numFmtId="0" fontId="34" fillId="0" borderId="55" applyNumberFormat="0" applyFill="0" applyAlignment="0" applyProtection="0"/>
    <xf numFmtId="0" fontId="62" fillId="55" borderId="51" applyNumberFormat="0" applyAlignment="0" applyProtection="0"/>
    <xf numFmtId="173" fontId="34" fillId="59" borderId="55" applyNumberFormat="0" applyFont="0" applyBorder="0" applyAlignment="0" applyProtection="0">
      <alignment horizontal="right" vertical="center"/>
    </xf>
    <xf numFmtId="0" fontId="34" fillId="32" borderId="55"/>
    <xf numFmtId="4" fontId="34" fillId="32" borderId="55"/>
    <xf numFmtId="0" fontId="65" fillId="0" borderId="53" applyNumberFormat="0" applyFill="0" applyAlignment="0" applyProtection="0"/>
    <xf numFmtId="0" fontId="34" fillId="31" borderId="88">
      <alignment horizontal="left" vertical="center"/>
    </xf>
    <xf numFmtId="0" fontId="2" fillId="0" borderId="12" applyNumberFormat="0" applyFill="0" applyAlignment="0" applyProtection="0"/>
    <xf numFmtId="0" fontId="65" fillId="0" borderId="74" applyNumberFormat="0" applyFill="0" applyAlignment="0" applyProtection="0"/>
    <xf numFmtId="0" fontId="45" fillId="55" borderId="60" applyNumberFormat="0" applyAlignment="0" applyProtection="0"/>
    <xf numFmtId="0" fontId="34" fillId="0" borderId="79" applyNumberFormat="0" applyFill="0" applyAlignment="0" applyProtection="0"/>
    <xf numFmtId="0" fontId="43" fillId="55" borderId="91" applyNumberFormat="0" applyAlignment="0" applyProtection="0"/>
    <xf numFmtId="4" fontId="34" fillId="0" borderId="63">
      <alignment horizontal="right" vertical="center"/>
    </xf>
    <xf numFmtId="0" fontId="32" fillId="33" borderId="63">
      <alignment horizontal="right" vertical="center"/>
    </xf>
    <xf numFmtId="0" fontId="26" fillId="17" borderId="0" applyNumberFormat="0" applyBorder="0" applyAlignment="0" applyProtection="0"/>
    <xf numFmtId="0" fontId="46" fillId="55" borderId="123" applyNumberFormat="0" applyAlignment="0" applyProtection="0"/>
    <xf numFmtId="0" fontId="36" fillId="31" borderId="108">
      <alignment horizontal="right" vertical="center"/>
    </xf>
    <xf numFmtId="0" fontId="12" fillId="30" borderId="0" applyNumberFormat="0" applyBorder="0" applyAlignment="0" applyProtection="0"/>
    <xf numFmtId="0" fontId="58" fillId="42" borderId="60" applyNumberFormat="0" applyAlignment="0" applyProtection="0"/>
    <xf numFmtId="4" fontId="32" fillId="33" borderId="64">
      <alignment horizontal="right" vertical="center"/>
    </xf>
    <xf numFmtId="0" fontId="46" fillId="55" borderId="73" applyNumberFormat="0" applyAlignment="0" applyProtection="0"/>
    <xf numFmtId="0" fontId="26" fillId="13" borderId="0" applyNumberFormat="0" applyBorder="0" applyAlignment="0" applyProtection="0"/>
    <xf numFmtId="0" fontId="26" fillId="22" borderId="0" applyNumberFormat="0" applyBorder="0" applyAlignment="0" applyProtection="0"/>
    <xf numFmtId="49" fontId="33" fillId="0" borderId="63" applyNumberFormat="0" applyFill="0" applyBorder="0" applyProtection="0">
      <alignment horizontal="left" vertical="center"/>
    </xf>
    <xf numFmtId="0" fontId="2" fillId="0" borderId="12" applyNumberFormat="0" applyFill="0" applyAlignment="0" applyProtection="0"/>
    <xf numFmtId="0" fontId="58" fillId="42" borderId="113" applyNumberFormat="0" applyAlignment="0" applyProtection="0"/>
    <xf numFmtId="0" fontId="32" fillId="33" borderId="63">
      <alignment horizontal="right" vertical="center"/>
    </xf>
    <xf numFmtId="0" fontId="28" fillId="12" borderId="11" applyNumberFormat="0" applyAlignment="0" applyProtection="0"/>
    <xf numFmtId="0" fontId="62" fillId="55" borderId="59" applyNumberFormat="0" applyAlignment="0" applyProtection="0"/>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26" fillId="16" borderId="0" applyNumberFormat="0" applyBorder="0" applyAlignment="0" applyProtection="0"/>
    <xf numFmtId="0" fontId="58" fillId="42" borderId="113" applyNumberFormat="0" applyAlignment="0" applyProtection="0"/>
    <xf numFmtId="0" fontId="34" fillId="0" borderId="71">
      <alignment horizontal="left" vertical="center" wrapText="1" indent="2"/>
    </xf>
    <xf numFmtId="4" fontId="32" fillId="33" borderId="118">
      <alignment horizontal="right" vertical="center"/>
    </xf>
    <xf numFmtId="0" fontId="50" fillId="0" borderId="61" applyNumberFormat="0" applyFill="0" applyAlignment="0" applyProtection="0"/>
    <xf numFmtId="4" fontId="34" fillId="0" borderId="95" applyFill="0" applyBorder="0" applyProtection="0">
      <alignment horizontal="right" vertical="center"/>
    </xf>
    <xf numFmtId="0" fontId="34" fillId="33" borderId="66">
      <alignment horizontal="left" vertical="center" wrapText="1" indent="2"/>
    </xf>
    <xf numFmtId="0" fontId="34" fillId="32" borderId="63"/>
    <xf numFmtId="4" fontId="34" fillId="0" borderId="95" applyFill="0" applyBorder="0" applyProtection="0">
      <alignment horizontal="right" vertical="center"/>
    </xf>
    <xf numFmtId="0" fontId="32" fillId="33" borderId="95">
      <alignment horizontal="right" vertical="center"/>
    </xf>
    <xf numFmtId="0" fontId="65" fillId="0" borderId="61" applyNumberFormat="0" applyFill="0" applyAlignment="0" applyProtection="0"/>
    <xf numFmtId="0" fontId="65" fillId="0" borderId="61" applyNumberFormat="0" applyFill="0" applyAlignment="0" applyProtection="0"/>
    <xf numFmtId="0" fontId="34" fillId="31" borderId="64">
      <alignment horizontal="left" vertical="center"/>
    </xf>
    <xf numFmtId="0" fontId="32" fillId="33" borderId="68">
      <alignment horizontal="right" vertical="center"/>
    </xf>
    <xf numFmtId="0" fontId="32" fillId="31" borderId="68">
      <alignment horizontal="right" vertical="center"/>
    </xf>
    <xf numFmtId="0" fontId="49" fillId="42" borderId="60" applyNumberFormat="0" applyAlignment="0" applyProtection="0"/>
    <xf numFmtId="4" fontId="32" fillId="33" borderId="110">
      <alignment horizontal="right" vertical="center"/>
    </xf>
    <xf numFmtId="4" fontId="32" fillId="33" borderId="126">
      <alignment horizontal="right" vertical="center"/>
    </xf>
    <xf numFmtId="0" fontId="40" fillId="58" borderId="62" applyNumberFormat="0" applyFont="0" applyAlignment="0" applyProtection="0"/>
    <xf numFmtId="49" fontId="34" fillId="0" borderId="96" applyNumberFormat="0" applyFont="0" applyFill="0" applyBorder="0" applyProtection="0">
      <alignment horizontal="left" vertical="center" indent="5"/>
    </xf>
    <xf numFmtId="0" fontId="34" fillId="0" borderId="68">
      <alignment horizontal="right" vertical="center"/>
    </xf>
    <xf numFmtId="0" fontId="26" fillId="19" borderId="0" applyNumberFormat="0" applyBorder="0" applyAlignment="0" applyProtection="0"/>
    <xf numFmtId="0" fontId="12" fillId="21" borderId="0" applyNumberFormat="0" applyBorder="0" applyAlignment="0" applyProtection="0"/>
    <xf numFmtId="0" fontId="26" fillId="26" borderId="0" applyNumberFormat="0" applyBorder="0" applyAlignment="0" applyProtection="0"/>
    <xf numFmtId="0" fontId="26" fillId="28" borderId="0" applyNumberFormat="0" applyBorder="0" applyAlignment="0" applyProtection="0"/>
    <xf numFmtId="0" fontId="26" fillId="23" borderId="0" applyNumberFormat="0" applyBorder="0" applyAlignment="0" applyProtection="0"/>
    <xf numFmtId="0" fontId="26" fillId="13" borderId="0" applyNumberFormat="0" applyBorder="0" applyAlignment="0" applyProtection="0"/>
    <xf numFmtId="4" fontId="34" fillId="0" borderId="68">
      <alignment horizontal="right" vertical="center"/>
    </xf>
    <xf numFmtId="4" fontId="34" fillId="32" borderId="63"/>
    <xf numFmtId="0" fontId="26" fillId="17" borderId="0" applyNumberFormat="0" applyBorder="0" applyAlignment="0" applyProtection="0"/>
    <xf numFmtId="0" fontId="62" fillId="55" borderId="91" applyNumberFormat="0" applyAlignment="0" applyProtection="0"/>
    <xf numFmtId="0" fontId="30" fillId="0" borderId="0" applyNumberFormat="0" applyFill="0" applyBorder="0" applyAlignment="0" applyProtection="0"/>
    <xf numFmtId="0" fontId="34" fillId="0" borderId="63">
      <alignment horizontal="right" vertical="center"/>
    </xf>
    <xf numFmtId="0" fontId="28" fillId="12" borderId="11" applyNumberFormat="0" applyAlignment="0" applyProtection="0"/>
    <xf numFmtId="49" fontId="34" fillId="0" borderId="55" applyNumberFormat="0" applyFont="0" applyFill="0" applyBorder="0" applyProtection="0">
      <alignment horizontal="left" vertical="center" indent="2"/>
    </xf>
    <xf numFmtId="49" fontId="34" fillId="0" borderId="56" applyNumberFormat="0" applyFont="0" applyFill="0" applyBorder="0" applyProtection="0">
      <alignment horizontal="left" vertical="center" indent="5"/>
    </xf>
    <xf numFmtId="4" fontId="32" fillId="31" borderId="63">
      <alignment horizontal="right" vertical="center"/>
    </xf>
    <xf numFmtId="0" fontId="32" fillId="33" borderId="65">
      <alignment horizontal="right" vertical="center"/>
    </xf>
    <xf numFmtId="4" fontId="34" fillId="32" borderId="68"/>
    <xf numFmtId="0" fontId="26" fillId="13" borderId="0" applyNumberFormat="0" applyBorder="0" applyAlignment="0" applyProtection="0"/>
    <xf numFmtId="0" fontId="46" fillId="55" borderId="92" applyNumberFormat="0" applyAlignment="0" applyProtection="0"/>
    <xf numFmtId="0" fontId="65" fillId="0" borderId="61" applyNumberFormat="0" applyFill="0" applyAlignment="0" applyProtection="0"/>
    <xf numFmtId="0" fontId="40" fillId="58" borderId="67" applyNumberFormat="0" applyFont="0" applyAlignment="0" applyProtection="0"/>
    <xf numFmtId="0" fontId="58" fillId="42" borderId="60" applyNumberFormat="0" applyAlignment="0" applyProtection="0"/>
    <xf numFmtId="4" fontId="32" fillId="33" borderId="95">
      <alignment horizontal="right" vertical="center"/>
    </xf>
    <xf numFmtId="0" fontId="36" fillId="31" borderId="63">
      <alignment horizontal="right" vertical="center"/>
    </xf>
    <xf numFmtId="4" fontId="34" fillId="0" borderId="55" applyFill="0" applyBorder="0" applyProtection="0">
      <alignment horizontal="right" vertical="center"/>
    </xf>
    <xf numFmtId="49" fontId="33" fillId="0" borderId="55" applyNumberFormat="0" applyFill="0" applyBorder="0" applyProtection="0">
      <alignment horizontal="left" vertical="center"/>
    </xf>
    <xf numFmtId="4" fontId="34" fillId="0" borderId="63" applyFill="0" applyBorder="0" applyProtection="0">
      <alignment horizontal="right" vertical="center"/>
    </xf>
    <xf numFmtId="4" fontId="34" fillId="0" borderId="63">
      <alignment horizontal="right" vertical="center"/>
    </xf>
    <xf numFmtId="0" fontId="12" fillId="15" borderId="0" applyNumberFormat="0" applyBorder="0" applyAlignment="0" applyProtection="0"/>
    <xf numFmtId="0" fontId="46" fillId="55" borderId="92" applyNumberFormat="0" applyAlignment="0" applyProtection="0"/>
    <xf numFmtId="0" fontId="26" fillId="29" borderId="0" applyNumberFormat="0" applyBorder="0" applyAlignment="0" applyProtection="0"/>
    <xf numFmtId="0" fontId="40" fillId="58" borderId="62" applyNumberFormat="0" applyFont="0" applyAlignment="0" applyProtection="0"/>
    <xf numFmtId="4" fontId="32" fillId="33" borderId="68">
      <alignment horizontal="right" vertical="center"/>
    </xf>
    <xf numFmtId="0" fontId="46" fillId="55" borderId="92" applyNumberFormat="0" applyAlignment="0" applyProtection="0"/>
    <xf numFmtId="0" fontId="46" fillId="55" borderId="60" applyNumberFormat="0" applyAlignment="0" applyProtection="0"/>
    <xf numFmtId="0" fontId="50" fillId="0" borderId="61" applyNumberFormat="0" applyFill="0" applyAlignment="0" applyProtection="0"/>
    <xf numFmtId="0" fontId="46" fillId="55" borderId="60" applyNumberFormat="0" applyAlignment="0" applyProtection="0"/>
    <xf numFmtId="0" fontId="62" fillId="55" borderId="59" applyNumberFormat="0" applyAlignment="0" applyProtection="0"/>
    <xf numFmtId="4" fontId="34" fillId="0" borderId="63" applyFill="0" applyBorder="0" applyProtection="0">
      <alignment horizontal="right" vertical="center"/>
    </xf>
    <xf numFmtId="0" fontId="26" fillId="25" borderId="0" applyNumberFormat="0" applyBorder="0" applyAlignment="0" applyProtection="0"/>
    <xf numFmtId="173" fontId="34" fillId="59" borderId="68" applyNumberFormat="0" applyFont="0" applyBorder="0" applyAlignment="0" applyProtection="0">
      <alignment horizontal="right" vertical="center"/>
    </xf>
    <xf numFmtId="0" fontId="12" fillId="24" borderId="0" applyNumberFormat="0" applyBorder="0" applyAlignment="0" applyProtection="0"/>
    <xf numFmtId="49" fontId="33" fillId="0" borderId="63" applyNumberFormat="0" applyFill="0" applyBorder="0" applyProtection="0">
      <alignment horizontal="left" vertical="center"/>
    </xf>
    <xf numFmtId="4" fontId="32" fillId="33" borderId="68">
      <alignment horizontal="right" vertical="center"/>
    </xf>
    <xf numFmtId="0" fontId="46" fillId="55" borderId="60" applyNumberFormat="0" applyAlignment="0" applyProtection="0"/>
    <xf numFmtId="0" fontId="46" fillId="55" borderId="60" applyNumberFormat="0" applyAlignment="0" applyProtection="0"/>
    <xf numFmtId="4" fontId="34" fillId="0" borderId="63" applyFill="0" applyBorder="0" applyProtection="0">
      <alignment horizontal="right" vertical="center"/>
    </xf>
    <xf numFmtId="0" fontId="32" fillId="31" borderId="63">
      <alignment horizontal="right" vertical="center"/>
    </xf>
    <xf numFmtId="0" fontId="43" fillId="55" borderId="72" applyNumberFormat="0" applyAlignment="0" applyProtection="0"/>
    <xf numFmtId="0" fontId="12" fillId="21" borderId="0" applyNumberFormat="0" applyBorder="0" applyAlignment="0" applyProtection="0"/>
    <xf numFmtId="0" fontId="65" fillId="0" borderId="61" applyNumberFormat="0" applyFill="0" applyAlignment="0" applyProtection="0"/>
    <xf numFmtId="0" fontId="32" fillId="33" borderId="95">
      <alignment horizontal="right" vertical="center"/>
    </xf>
    <xf numFmtId="0" fontId="62" fillId="55" borderId="83" applyNumberFormat="0" applyAlignment="0" applyProtection="0"/>
    <xf numFmtId="0" fontId="12" fillId="15" borderId="0" applyNumberFormat="0" applyBorder="0" applyAlignment="0" applyProtection="0"/>
    <xf numFmtId="0" fontId="32" fillId="33" borderId="96">
      <alignment horizontal="right" vertical="center"/>
    </xf>
    <xf numFmtId="0" fontId="43" fillId="55" borderId="51" applyNumberFormat="0" applyAlignment="0" applyProtection="0"/>
    <xf numFmtId="0" fontId="45" fillId="55" borderId="52" applyNumberFormat="0" applyAlignment="0" applyProtection="0"/>
    <xf numFmtId="0" fontId="50" fillId="0" borderId="53" applyNumberFormat="0" applyFill="0" applyAlignment="0" applyProtection="0"/>
    <xf numFmtId="0" fontId="5" fillId="58" borderId="67" applyNumberFormat="0" applyFont="0" applyAlignment="0" applyProtection="0"/>
    <xf numFmtId="0" fontId="34" fillId="32" borderId="118"/>
    <xf numFmtId="0" fontId="62" fillId="55" borderId="59" applyNumberFormat="0" applyAlignment="0" applyProtection="0"/>
    <xf numFmtId="0" fontId="65" fillId="0" borderId="93" applyNumberFormat="0" applyFill="0" applyAlignment="0" applyProtection="0"/>
    <xf numFmtId="4" fontId="34" fillId="0" borderId="68">
      <alignment horizontal="right" vertical="center"/>
    </xf>
    <xf numFmtId="0" fontId="62" fillId="55" borderId="59" applyNumberFormat="0" applyAlignment="0" applyProtection="0"/>
    <xf numFmtId="4" fontId="34" fillId="32" borderId="63"/>
    <xf numFmtId="4" fontId="32" fillId="33" borderId="63">
      <alignment horizontal="right" vertical="center"/>
    </xf>
    <xf numFmtId="0" fontId="36" fillId="31" borderId="68">
      <alignment horizontal="right" vertical="center"/>
    </xf>
    <xf numFmtId="0" fontId="1" fillId="0" borderId="0" applyNumberFormat="0" applyFill="0" applyBorder="0" applyAlignment="0" applyProtection="0"/>
    <xf numFmtId="173" fontId="34" fillId="59" borderId="63" applyNumberFormat="0" applyFont="0" applyBorder="0" applyAlignment="0" applyProtection="0">
      <alignment horizontal="right" vertical="center"/>
    </xf>
    <xf numFmtId="0" fontId="50" fillId="0" borderId="61" applyNumberFormat="0" applyFill="0" applyAlignment="0" applyProtection="0"/>
    <xf numFmtId="0" fontId="26" fillId="25" borderId="0" applyNumberFormat="0" applyBorder="0" applyAlignment="0" applyProtection="0"/>
    <xf numFmtId="0" fontId="58" fillId="42" borderId="92" applyNumberFormat="0" applyAlignment="0" applyProtection="0"/>
    <xf numFmtId="0" fontId="32" fillId="33" borderId="69">
      <alignment horizontal="right" vertical="center"/>
    </xf>
    <xf numFmtId="0" fontId="1" fillId="0" borderId="0" applyNumberFormat="0" applyFill="0" applyBorder="0" applyAlignment="0" applyProtection="0"/>
    <xf numFmtId="0" fontId="28" fillId="12" borderId="11" applyNumberFormat="0" applyAlignment="0" applyProtection="0"/>
    <xf numFmtId="0" fontId="50" fillId="0" borderId="74" applyNumberFormat="0" applyFill="0" applyAlignment="0" applyProtection="0"/>
    <xf numFmtId="49" fontId="33" fillId="0" borderId="95" applyNumberFormat="0" applyFill="0" applyBorder="0" applyProtection="0">
      <alignment horizontal="left" vertical="center"/>
    </xf>
    <xf numFmtId="172" fontId="48" fillId="0" borderId="0" applyFont="0" applyFill="0" applyBorder="0" applyAlignment="0" applyProtection="0"/>
    <xf numFmtId="0" fontId="28" fillId="12" borderId="11" applyNumberFormat="0" applyAlignment="0" applyProtection="0"/>
    <xf numFmtId="0" fontId="26" fillId="28" borderId="0" applyNumberFormat="0" applyBorder="0" applyAlignment="0" applyProtection="0"/>
    <xf numFmtId="0" fontId="45" fillId="55" borderId="113" applyNumberFormat="0" applyAlignment="0" applyProtection="0"/>
    <xf numFmtId="0" fontId="49" fillId="42" borderId="52" applyNumberFormat="0" applyAlignment="0" applyProtection="0"/>
    <xf numFmtId="0" fontId="58" fillId="42" borderId="60" applyNumberFormat="0" applyAlignment="0" applyProtection="0"/>
    <xf numFmtId="0" fontId="46" fillId="55" borderId="60" applyNumberFormat="0" applyAlignment="0" applyProtection="0"/>
    <xf numFmtId="0" fontId="48" fillId="0" borderId="0"/>
    <xf numFmtId="4" fontId="32" fillId="33" borderId="65">
      <alignment horizontal="right" vertical="center"/>
    </xf>
    <xf numFmtId="0" fontId="34" fillId="0" borderId="82">
      <alignment horizontal="left" vertical="center" wrapText="1" indent="2"/>
    </xf>
    <xf numFmtId="0" fontId="34" fillId="0" borderId="98">
      <alignment horizontal="left" vertical="center" wrapText="1" indent="2"/>
    </xf>
    <xf numFmtId="0" fontId="32" fillId="33" borderId="79">
      <alignment horizontal="right" vertical="center"/>
    </xf>
    <xf numFmtId="0" fontId="58" fillId="42" borderId="60" applyNumberFormat="0" applyAlignment="0" applyProtection="0"/>
    <xf numFmtId="0" fontId="26" fillId="19" borderId="0" applyNumberFormat="0" applyBorder="0" applyAlignment="0" applyProtection="0"/>
    <xf numFmtId="0" fontId="65" fillId="0" borderId="61" applyNumberFormat="0" applyFill="0" applyAlignment="0" applyProtection="0"/>
    <xf numFmtId="0" fontId="50" fillId="0" borderId="74" applyNumberFormat="0" applyFill="0" applyAlignment="0" applyProtection="0"/>
    <xf numFmtId="0" fontId="45" fillId="55" borderId="60" applyNumberFormat="0" applyAlignment="0" applyProtection="0"/>
    <xf numFmtId="0" fontId="40" fillId="58" borderId="62" applyNumberFormat="0" applyFont="0" applyAlignment="0" applyProtection="0"/>
    <xf numFmtId="0" fontId="26" fillId="17" borderId="0" applyNumberFormat="0" applyBorder="0" applyAlignment="0" applyProtection="0"/>
    <xf numFmtId="0" fontId="48" fillId="34" borderId="0" applyNumberFormat="0" applyFont="0" applyBorder="0" applyAlignment="0" applyProtection="0"/>
    <xf numFmtId="0" fontId="49" fillId="42" borderId="60" applyNumberFormat="0" applyAlignment="0" applyProtection="0"/>
    <xf numFmtId="9" fontId="48" fillId="0" borderId="0" applyFont="0" applyFill="0" applyBorder="0" applyAlignment="0" applyProtection="0"/>
    <xf numFmtId="0" fontId="34" fillId="0" borderId="68" applyNumberFormat="0" applyFill="0" applyAlignment="0" applyProtection="0"/>
    <xf numFmtId="4" fontId="36" fillId="31" borderId="63">
      <alignment horizontal="right" vertical="center"/>
    </xf>
    <xf numFmtId="0" fontId="34" fillId="33" borderId="58">
      <alignment horizontal="left" vertical="center" wrapText="1" indent="2"/>
    </xf>
    <xf numFmtId="0" fontId="34" fillId="0" borderId="58">
      <alignment horizontal="left" vertical="center" wrapText="1" indent="2"/>
    </xf>
    <xf numFmtId="0" fontId="26" fillId="16" borderId="0" applyNumberFormat="0" applyBorder="0" applyAlignment="0" applyProtection="0"/>
    <xf numFmtId="49" fontId="34" fillId="0" borderId="68" applyNumberFormat="0" applyFont="0" applyFill="0" applyBorder="0" applyProtection="0">
      <alignment horizontal="left" vertical="center" indent="2"/>
    </xf>
    <xf numFmtId="0" fontId="34" fillId="0" borderId="68">
      <alignment horizontal="right" vertical="center"/>
    </xf>
    <xf numFmtId="0" fontId="46" fillId="55" borderId="60" applyNumberFormat="0" applyAlignment="0" applyProtection="0"/>
    <xf numFmtId="0" fontId="34" fillId="0" borderId="63" applyNumberFormat="0" applyFill="0" applyAlignment="0" applyProtection="0"/>
    <xf numFmtId="0" fontId="43" fillId="55" borderId="72" applyNumberFormat="0" applyAlignment="0" applyProtection="0"/>
    <xf numFmtId="0" fontId="46" fillId="55" borderId="73" applyNumberFormat="0" applyAlignment="0" applyProtection="0"/>
    <xf numFmtId="0" fontId="34" fillId="33" borderId="111">
      <alignment horizontal="left" vertical="center" wrapText="1" indent="2"/>
    </xf>
    <xf numFmtId="0" fontId="34" fillId="32" borderId="63"/>
    <xf numFmtId="0" fontId="46" fillId="55" borderId="60" applyNumberFormat="0" applyAlignment="0" applyProtection="0"/>
    <xf numFmtId="4" fontId="32" fillId="33" borderId="63">
      <alignment horizontal="right" vertical="center"/>
    </xf>
    <xf numFmtId="0" fontId="34" fillId="33" borderId="71">
      <alignment horizontal="left" vertical="center" wrapText="1" indent="2"/>
    </xf>
    <xf numFmtId="0" fontId="65" fillId="0" borderId="61" applyNumberFormat="0" applyFill="0" applyAlignment="0" applyProtection="0"/>
    <xf numFmtId="0" fontId="32" fillId="33" borderId="64">
      <alignment horizontal="right" vertical="center"/>
    </xf>
    <xf numFmtId="0" fontId="34" fillId="0" borderId="66">
      <alignment horizontal="left" vertical="center" wrapText="1" indent="2"/>
    </xf>
    <xf numFmtId="0" fontId="45" fillId="55" borderId="60" applyNumberFormat="0" applyAlignment="0" applyProtection="0"/>
    <xf numFmtId="0" fontId="34" fillId="0" borderId="95" applyNumberFormat="0" applyFill="0" applyAlignment="0" applyProtection="0"/>
    <xf numFmtId="0" fontId="26" fillId="17" borderId="0" applyNumberFormat="0" applyBorder="0" applyAlignment="0" applyProtection="0"/>
    <xf numFmtId="0" fontId="34" fillId="33" borderId="71">
      <alignment horizontal="left" vertical="center" wrapText="1" indent="2"/>
    </xf>
    <xf numFmtId="0" fontId="32" fillId="33" borderId="63">
      <alignment horizontal="right" vertical="center"/>
    </xf>
    <xf numFmtId="0" fontId="43" fillId="55" borderId="59" applyNumberFormat="0" applyAlignment="0" applyProtection="0"/>
    <xf numFmtId="0" fontId="32" fillId="31" borderId="68">
      <alignment horizontal="right" vertical="center"/>
    </xf>
    <xf numFmtId="173" fontId="34" fillId="59" borderId="63" applyNumberFormat="0" applyFont="0" applyBorder="0" applyAlignment="0" applyProtection="0">
      <alignment horizontal="right" vertical="center"/>
    </xf>
    <xf numFmtId="0" fontId="32" fillId="33" borderId="118">
      <alignment horizontal="right" vertical="center"/>
    </xf>
    <xf numFmtId="4" fontId="34" fillId="32" borderId="63"/>
    <xf numFmtId="4" fontId="32" fillId="33" borderId="63">
      <alignment horizontal="right" vertical="center"/>
    </xf>
    <xf numFmtId="4" fontId="34" fillId="32" borderId="63"/>
    <xf numFmtId="0" fontId="32" fillId="33" borderId="63">
      <alignment horizontal="right" vertical="center"/>
    </xf>
    <xf numFmtId="0" fontId="34" fillId="31" borderId="64">
      <alignment horizontal="left" vertical="center"/>
    </xf>
    <xf numFmtId="0" fontId="1" fillId="0" borderId="0" applyNumberFormat="0" applyFill="0" applyBorder="0" applyAlignment="0" applyProtection="0"/>
    <xf numFmtId="173" fontId="34" fillId="59" borderId="63" applyNumberFormat="0" applyFont="0" applyBorder="0" applyAlignment="0" applyProtection="0">
      <alignment horizontal="right" vertical="center"/>
    </xf>
    <xf numFmtId="4" fontId="34" fillId="0" borderId="55" applyFill="0" applyBorder="0" applyProtection="0">
      <alignment horizontal="right" vertical="center"/>
    </xf>
    <xf numFmtId="0" fontId="46" fillId="55" borderId="60" applyNumberFormat="0" applyAlignment="0" applyProtection="0"/>
    <xf numFmtId="0" fontId="32" fillId="33" borderId="104">
      <alignment horizontal="right" vertical="center"/>
    </xf>
    <xf numFmtId="0" fontId="46" fillId="55" borderId="73" applyNumberFormat="0" applyAlignment="0" applyProtection="0"/>
    <xf numFmtId="0" fontId="26" fillId="26" borderId="0" applyNumberFormat="0" applyBorder="0" applyAlignment="0" applyProtection="0"/>
    <xf numFmtId="0" fontId="32" fillId="33" borderId="68">
      <alignment horizontal="right" vertical="center"/>
    </xf>
    <xf numFmtId="0" fontId="1" fillId="0" borderId="0" applyNumberFormat="0" applyFill="0" applyBorder="0" applyAlignment="0" applyProtection="0"/>
    <xf numFmtId="0" fontId="50" fillId="0" borderId="74" applyNumberFormat="0" applyFill="0" applyAlignment="0" applyProtection="0"/>
    <xf numFmtId="4" fontId="32" fillId="33" borderId="89">
      <alignment horizontal="right" vertical="center"/>
    </xf>
    <xf numFmtId="49" fontId="33" fillId="0" borderId="87" applyNumberFormat="0" applyFill="0" applyBorder="0" applyProtection="0">
      <alignment horizontal="left" vertical="center"/>
    </xf>
    <xf numFmtId="0" fontId="32" fillId="31" borderId="63">
      <alignment horizontal="right" vertical="center"/>
    </xf>
    <xf numFmtId="0" fontId="43" fillId="55" borderId="99" applyNumberFormat="0" applyAlignment="0" applyProtection="0"/>
    <xf numFmtId="4" fontId="36" fillId="31" borderId="68">
      <alignment horizontal="right" vertical="center"/>
    </xf>
    <xf numFmtId="0" fontId="34" fillId="32" borderId="63"/>
    <xf numFmtId="0" fontId="5" fillId="58" borderId="94" applyNumberFormat="0" applyFont="0" applyAlignment="0" applyProtection="0"/>
    <xf numFmtId="0" fontId="1" fillId="0" borderId="0" applyNumberFormat="0" applyFill="0" applyBorder="0" applyAlignment="0" applyProtection="0"/>
    <xf numFmtId="0" fontId="26" fillId="22" borderId="0" applyNumberFormat="0" applyBorder="0" applyAlignment="0" applyProtection="0"/>
    <xf numFmtId="0" fontId="58" fillId="42" borderId="60" applyNumberFormat="0" applyAlignment="0" applyProtection="0"/>
    <xf numFmtId="0" fontId="12" fillId="18" borderId="0" applyNumberFormat="0" applyBorder="0" applyAlignment="0" applyProtection="0"/>
    <xf numFmtId="4" fontId="32" fillId="33" borderId="63">
      <alignment horizontal="right" vertical="center"/>
    </xf>
    <xf numFmtId="0" fontId="12" fillId="27" borderId="0" applyNumberFormat="0" applyBorder="0" applyAlignment="0" applyProtection="0"/>
    <xf numFmtId="0" fontId="49" fillId="42" borderId="73" applyNumberFormat="0" applyAlignment="0" applyProtection="0"/>
    <xf numFmtId="0" fontId="26" fillId="25" borderId="0" applyNumberFormat="0" applyBorder="0" applyAlignment="0" applyProtection="0"/>
    <xf numFmtId="0" fontId="34" fillId="0" borderId="68">
      <alignment horizontal="right" vertical="center"/>
    </xf>
    <xf numFmtId="0" fontId="26" fillId="22" borderId="0" applyNumberFormat="0" applyBorder="0" applyAlignment="0" applyProtection="0"/>
    <xf numFmtId="0" fontId="26" fillId="20" borderId="0" applyNumberFormat="0" applyBorder="0" applyAlignment="0" applyProtection="0"/>
    <xf numFmtId="0" fontId="34" fillId="0" borderId="71">
      <alignment horizontal="left" vertical="center" wrapText="1" indent="2"/>
    </xf>
    <xf numFmtId="0" fontId="2" fillId="0" borderId="12" applyNumberFormat="0" applyFill="0" applyAlignment="0" applyProtection="0"/>
    <xf numFmtId="0" fontId="26" fillId="14" borderId="0" applyNumberFormat="0" applyBorder="0" applyAlignment="0" applyProtection="0"/>
    <xf numFmtId="0" fontId="12" fillId="15" borderId="0" applyNumberFormat="0" applyBorder="0" applyAlignment="0" applyProtection="0"/>
    <xf numFmtId="0" fontId="32" fillId="33" borderId="87">
      <alignment horizontal="right" vertical="center"/>
    </xf>
    <xf numFmtId="0" fontId="26" fillId="19" borderId="0" applyNumberFormat="0" applyBorder="0" applyAlignment="0" applyProtection="0"/>
    <xf numFmtId="0" fontId="1" fillId="0" borderId="0" applyNumberFormat="0" applyFill="0" applyBorder="0" applyAlignment="0" applyProtection="0"/>
    <xf numFmtId="0" fontId="29" fillId="12" borderId="10" applyNumberFormat="0" applyAlignment="0" applyProtection="0"/>
    <xf numFmtId="0" fontId="26" fillId="23" borderId="0" applyNumberFormat="0" applyBorder="0" applyAlignment="0" applyProtection="0"/>
    <xf numFmtId="0" fontId="40" fillId="58" borderId="62" applyNumberFormat="0" applyFont="0" applyAlignment="0" applyProtection="0"/>
    <xf numFmtId="49" fontId="33" fillId="0" borderId="63" applyNumberFormat="0" applyFill="0" applyBorder="0" applyProtection="0">
      <alignment horizontal="left" vertical="center"/>
    </xf>
    <xf numFmtId="0" fontId="5" fillId="58" borderId="94" applyNumberFormat="0" applyFont="0" applyAlignment="0" applyProtection="0"/>
    <xf numFmtId="0" fontId="45" fillId="55" borderId="73" applyNumberFormat="0" applyAlignment="0" applyProtection="0"/>
    <xf numFmtId="0" fontId="58" fillId="42" borderId="60" applyNumberFormat="0" applyAlignment="0" applyProtection="0"/>
    <xf numFmtId="4" fontId="32" fillId="33" borderId="55">
      <alignment horizontal="right" vertical="center"/>
    </xf>
    <xf numFmtId="0" fontId="34" fillId="32" borderId="55"/>
    <xf numFmtId="0" fontId="45" fillId="55" borderId="52" applyNumberFormat="0" applyAlignment="0" applyProtection="0"/>
    <xf numFmtId="0" fontId="32" fillId="31" borderId="55">
      <alignment horizontal="right" vertical="center"/>
    </xf>
    <xf numFmtId="0" fontId="34" fillId="0" borderId="55">
      <alignment horizontal="right" vertical="center"/>
    </xf>
    <xf numFmtId="0" fontId="65" fillId="0" borderId="53" applyNumberFormat="0" applyFill="0" applyAlignment="0" applyProtection="0"/>
    <xf numFmtId="0" fontId="34" fillId="31" borderId="56">
      <alignment horizontal="left" vertical="center"/>
    </xf>
    <xf numFmtId="0" fontId="58" fillId="42" borderId="52" applyNumberFormat="0" applyAlignment="0" applyProtection="0"/>
    <xf numFmtId="173" fontId="34" fillId="59" borderId="55" applyNumberFormat="0" applyFont="0" applyBorder="0" applyAlignment="0" applyProtection="0">
      <alignment horizontal="right" vertical="center"/>
    </xf>
    <xf numFmtId="0" fontId="40" fillId="58" borderId="54" applyNumberFormat="0" applyFont="0" applyAlignment="0" applyProtection="0"/>
    <xf numFmtId="0" fontId="34" fillId="0" borderId="58">
      <alignment horizontal="left" vertical="center" wrapText="1" indent="2"/>
    </xf>
    <xf numFmtId="4" fontId="34" fillId="32" borderId="55"/>
    <xf numFmtId="49" fontId="33" fillId="0" borderId="55" applyNumberFormat="0" applyFill="0" applyBorder="0" applyProtection="0">
      <alignment horizontal="left" vertical="center"/>
    </xf>
    <xf numFmtId="0" fontId="34" fillId="0" borderId="55">
      <alignment horizontal="right" vertical="center"/>
    </xf>
    <xf numFmtId="4" fontId="32" fillId="33" borderId="57">
      <alignment horizontal="right" vertical="center"/>
    </xf>
    <xf numFmtId="4" fontId="32" fillId="33" borderId="55">
      <alignment horizontal="right" vertical="center"/>
    </xf>
    <xf numFmtId="4" fontId="32" fillId="33" borderId="55">
      <alignment horizontal="right" vertical="center"/>
    </xf>
    <xf numFmtId="0" fontId="36" fillId="31" borderId="55">
      <alignment horizontal="right" vertical="center"/>
    </xf>
    <xf numFmtId="0" fontId="32" fillId="31" borderId="55">
      <alignment horizontal="right" vertical="center"/>
    </xf>
    <xf numFmtId="49" fontId="34" fillId="0" borderId="55" applyNumberFormat="0" applyFont="0" applyFill="0" applyBorder="0" applyProtection="0">
      <alignment horizontal="left" vertical="center" indent="2"/>
    </xf>
    <xf numFmtId="0" fontId="58" fillId="42" borderId="52" applyNumberFormat="0" applyAlignment="0" applyProtection="0"/>
    <xf numFmtId="0" fontId="43" fillId="55" borderId="51" applyNumberFormat="0" applyAlignment="0" applyProtection="0"/>
    <xf numFmtId="49" fontId="34" fillId="0" borderId="55" applyNumberFormat="0" applyFont="0" applyFill="0" applyBorder="0" applyProtection="0">
      <alignment horizontal="left" vertical="center" indent="2"/>
    </xf>
    <xf numFmtId="0" fontId="49" fillId="42" borderId="52" applyNumberFormat="0" applyAlignment="0" applyProtection="0"/>
    <xf numFmtId="4" fontId="34" fillId="0" borderId="55" applyFill="0" applyBorder="0" applyProtection="0">
      <alignment horizontal="right" vertical="center"/>
    </xf>
    <xf numFmtId="0" fontId="46" fillId="55" borderId="52" applyNumberFormat="0" applyAlignment="0" applyProtection="0"/>
    <xf numFmtId="0" fontId="65" fillId="0" borderId="53" applyNumberFormat="0" applyFill="0" applyAlignment="0" applyProtection="0"/>
    <xf numFmtId="0" fontId="62" fillId="55" borderId="51" applyNumberFormat="0" applyAlignment="0" applyProtection="0"/>
    <xf numFmtId="0" fontId="34" fillId="0" borderId="55" applyNumberFormat="0" applyFill="0" applyAlignment="0" applyProtection="0"/>
    <xf numFmtId="4" fontId="34" fillId="0" borderId="55">
      <alignment horizontal="right" vertical="center"/>
    </xf>
    <xf numFmtId="0" fontId="34" fillId="0" borderId="55">
      <alignment horizontal="right" vertical="center"/>
    </xf>
    <xf numFmtId="0" fontId="58" fillId="42" borderId="52" applyNumberFormat="0" applyAlignment="0" applyProtection="0"/>
    <xf numFmtId="0" fontId="43" fillId="55" borderId="51" applyNumberFormat="0" applyAlignment="0" applyProtection="0"/>
    <xf numFmtId="0" fontId="45" fillId="55" borderId="52" applyNumberFormat="0" applyAlignment="0" applyProtection="0"/>
    <xf numFmtId="0" fontId="34" fillId="33" borderId="58">
      <alignment horizontal="left" vertical="center" wrapText="1" indent="2"/>
    </xf>
    <xf numFmtId="0" fontId="46" fillId="55" borderId="52" applyNumberFormat="0" applyAlignment="0" applyProtection="0"/>
    <xf numFmtId="0" fontId="46" fillId="55" borderId="52" applyNumberFormat="0" applyAlignment="0" applyProtection="0"/>
    <xf numFmtId="4" fontId="32" fillId="33" borderId="56">
      <alignment horizontal="right" vertical="center"/>
    </xf>
    <xf numFmtId="0" fontId="32" fillId="33" borderId="56">
      <alignment horizontal="right" vertical="center"/>
    </xf>
    <xf numFmtId="0" fontId="32" fillId="33" borderId="55">
      <alignment horizontal="right" vertical="center"/>
    </xf>
    <xf numFmtId="4" fontId="36" fillId="31" borderId="55">
      <alignment horizontal="right" vertical="center"/>
    </xf>
    <xf numFmtId="0" fontId="49" fillId="42" borderId="52" applyNumberFormat="0" applyAlignment="0" applyProtection="0"/>
    <xf numFmtId="0" fontId="50" fillId="0" borderId="53" applyNumberFormat="0" applyFill="0" applyAlignment="0" applyProtection="0"/>
    <xf numFmtId="0" fontId="65" fillId="0" borderId="53" applyNumberFormat="0" applyFill="0" applyAlignment="0" applyProtection="0"/>
    <xf numFmtId="0" fontId="40" fillId="58" borderId="54" applyNumberFormat="0" applyFont="0" applyAlignment="0" applyProtection="0"/>
    <xf numFmtId="0" fontId="58" fillId="42" borderId="52" applyNumberFormat="0" applyAlignment="0" applyProtection="0"/>
    <xf numFmtId="49" fontId="33" fillId="0" borderId="55" applyNumberFormat="0" applyFill="0" applyBorder="0" applyProtection="0">
      <alignment horizontal="left" vertical="center"/>
    </xf>
    <xf numFmtId="0" fontId="34" fillId="33" borderId="58">
      <alignment horizontal="left" vertical="center" wrapText="1" indent="2"/>
    </xf>
    <xf numFmtId="0" fontId="46" fillId="55" borderId="52" applyNumberFormat="0" applyAlignment="0" applyProtection="0"/>
    <xf numFmtId="0" fontId="34" fillId="0" borderId="58">
      <alignment horizontal="left" vertical="center" wrapText="1" indent="2"/>
    </xf>
    <xf numFmtId="0" fontId="40" fillId="58" borderId="54" applyNumberFormat="0" applyFont="0" applyAlignment="0" applyProtection="0"/>
    <xf numFmtId="0" fontId="5" fillId="58" borderId="54" applyNumberFormat="0" applyFont="0" applyAlignment="0" applyProtection="0"/>
    <xf numFmtId="0" fontId="62" fillId="55" borderId="51" applyNumberFormat="0" applyAlignment="0" applyProtection="0"/>
    <xf numFmtId="0" fontId="65" fillId="0" borderId="53" applyNumberFormat="0" applyFill="0" applyAlignment="0" applyProtection="0"/>
    <xf numFmtId="4" fontId="34" fillId="32" borderId="55"/>
    <xf numFmtId="0" fontId="32" fillId="33" borderId="55">
      <alignment horizontal="right" vertical="center"/>
    </xf>
    <xf numFmtId="0" fontId="65" fillId="0" borderId="53" applyNumberFormat="0" applyFill="0" applyAlignment="0" applyProtection="0"/>
    <xf numFmtId="4" fontId="32" fillId="33" borderId="57">
      <alignment horizontal="right" vertical="center"/>
    </xf>
    <xf numFmtId="0" fontId="45" fillId="55" borderId="52" applyNumberFormat="0" applyAlignment="0" applyProtection="0"/>
    <xf numFmtId="0" fontId="32" fillId="33" borderId="56">
      <alignment horizontal="right" vertical="center"/>
    </xf>
    <xf numFmtId="0" fontId="46" fillId="55" borderId="52" applyNumberFormat="0" applyAlignment="0" applyProtection="0"/>
    <xf numFmtId="0" fontId="50" fillId="0" borderId="53" applyNumberFormat="0" applyFill="0" applyAlignment="0" applyProtection="0"/>
    <xf numFmtId="0" fontId="40" fillId="58" borderId="54" applyNumberFormat="0" applyFont="0" applyAlignment="0" applyProtection="0"/>
    <xf numFmtId="4" fontId="32" fillId="33" borderId="56">
      <alignment horizontal="right" vertical="center"/>
    </xf>
    <xf numFmtId="0" fontId="34" fillId="33" borderId="58">
      <alignment horizontal="left" vertical="center" wrapText="1" indent="2"/>
    </xf>
    <xf numFmtId="0" fontId="34" fillId="32" borderId="55"/>
    <xf numFmtId="173" fontId="34" fillId="59" borderId="55" applyNumberFormat="0" applyFont="0" applyBorder="0" applyAlignment="0" applyProtection="0">
      <alignment horizontal="right" vertical="center"/>
    </xf>
    <xf numFmtId="0" fontId="34" fillId="0" borderId="55" applyNumberFormat="0" applyFill="0" applyAlignment="0" applyProtection="0"/>
    <xf numFmtId="4" fontId="34" fillId="0" borderId="55" applyFill="0" applyBorder="0" applyProtection="0">
      <alignment horizontal="right" vertical="center"/>
    </xf>
    <xf numFmtId="4" fontId="32" fillId="31" borderId="55">
      <alignment horizontal="right" vertical="center"/>
    </xf>
    <xf numFmtId="0" fontId="50" fillId="0" borderId="53" applyNumberFormat="0" applyFill="0" applyAlignment="0" applyProtection="0"/>
    <xf numFmtId="49" fontId="33" fillId="0" borderId="55" applyNumberFormat="0" applyFill="0" applyBorder="0" applyProtection="0">
      <alignment horizontal="left" vertical="center"/>
    </xf>
    <xf numFmtId="49" fontId="34" fillId="0" borderId="56" applyNumberFormat="0" applyFont="0" applyFill="0" applyBorder="0" applyProtection="0">
      <alignment horizontal="left" vertical="center" indent="5"/>
    </xf>
    <xf numFmtId="0" fontId="34" fillId="31" borderId="56">
      <alignment horizontal="left" vertical="center"/>
    </xf>
    <xf numFmtId="0" fontId="46" fillId="55" borderId="52" applyNumberFormat="0" applyAlignment="0" applyProtection="0"/>
    <xf numFmtId="4" fontId="32" fillId="33" borderId="57">
      <alignment horizontal="right" vertical="center"/>
    </xf>
    <xf numFmtId="0" fontId="58" fillId="42" borderId="52" applyNumberFormat="0" applyAlignment="0" applyProtection="0"/>
    <xf numFmtId="0" fontId="58" fillId="42" borderId="52" applyNumberFormat="0" applyAlignment="0" applyProtection="0"/>
    <xf numFmtId="0" fontId="40" fillId="58" borderId="54" applyNumberFormat="0" applyFont="0" applyAlignment="0" applyProtection="0"/>
    <xf numFmtId="0" fontId="62" fillId="55" borderId="51" applyNumberFormat="0" applyAlignment="0" applyProtection="0"/>
    <xf numFmtId="0" fontId="65" fillId="0" borderId="53" applyNumberFormat="0" applyFill="0" applyAlignment="0" applyProtection="0"/>
    <xf numFmtId="0" fontId="32" fillId="33" borderId="55">
      <alignment horizontal="right" vertical="center"/>
    </xf>
    <xf numFmtId="0" fontId="5" fillId="58" borderId="54" applyNumberFormat="0" applyFont="0" applyAlignment="0" applyProtection="0"/>
    <xf numFmtId="4" fontId="34" fillId="0" borderId="55">
      <alignment horizontal="right" vertical="center"/>
    </xf>
    <xf numFmtId="0" fontId="65" fillId="0" borderId="53" applyNumberFormat="0" applyFill="0" applyAlignment="0" applyProtection="0"/>
    <xf numFmtId="0" fontId="32" fillId="33" borderId="55">
      <alignment horizontal="right" vertical="center"/>
    </xf>
    <xf numFmtId="0" fontId="32" fillId="33" borderId="55">
      <alignment horizontal="right" vertical="center"/>
    </xf>
    <xf numFmtId="4" fontId="36" fillId="31" borderId="55">
      <alignment horizontal="right" vertical="center"/>
    </xf>
    <xf numFmtId="0" fontId="32" fillId="31" borderId="55">
      <alignment horizontal="right" vertical="center"/>
    </xf>
    <xf numFmtId="4" fontId="32" fillId="31" borderId="55">
      <alignment horizontal="right" vertical="center"/>
    </xf>
    <xf numFmtId="0" fontId="36" fillId="31" borderId="55">
      <alignment horizontal="right" vertical="center"/>
    </xf>
    <xf numFmtId="4" fontId="36" fillId="31" borderId="55">
      <alignment horizontal="right" vertical="center"/>
    </xf>
    <xf numFmtId="0" fontId="32" fillId="33" borderId="55">
      <alignment horizontal="right" vertical="center"/>
    </xf>
    <xf numFmtId="4" fontId="32" fillId="33" borderId="55">
      <alignment horizontal="right" vertical="center"/>
    </xf>
    <xf numFmtId="0" fontId="32" fillId="33" borderId="55">
      <alignment horizontal="right" vertical="center"/>
    </xf>
    <xf numFmtId="4" fontId="32" fillId="33" borderId="55">
      <alignment horizontal="right" vertical="center"/>
    </xf>
    <xf numFmtId="0" fontId="32" fillId="33" borderId="56">
      <alignment horizontal="right" vertical="center"/>
    </xf>
    <xf numFmtId="4" fontId="32" fillId="33" borderId="56">
      <alignment horizontal="right" vertical="center"/>
    </xf>
    <xf numFmtId="0" fontId="32" fillId="33" borderId="57">
      <alignment horizontal="right" vertical="center"/>
    </xf>
    <xf numFmtId="4" fontId="32" fillId="33" borderId="57">
      <alignment horizontal="right" vertical="center"/>
    </xf>
    <xf numFmtId="0" fontId="46" fillId="55" borderId="52" applyNumberFormat="0" applyAlignment="0" applyProtection="0"/>
    <xf numFmtId="0" fontId="34" fillId="33" borderId="58">
      <alignment horizontal="left" vertical="center" wrapText="1" indent="2"/>
    </xf>
    <xf numFmtId="0" fontId="34" fillId="0" borderId="58">
      <alignment horizontal="left" vertical="center" wrapText="1" indent="2"/>
    </xf>
    <xf numFmtId="0" fontId="34" fillId="31" borderId="56">
      <alignment horizontal="left" vertical="center"/>
    </xf>
    <xf numFmtId="0" fontId="58" fillId="42" borderId="52" applyNumberFormat="0" applyAlignment="0" applyProtection="0"/>
    <xf numFmtId="0" fontId="34" fillId="0" borderId="55">
      <alignment horizontal="right" vertical="center"/>
    </xf>
    <xf numFmtId="4" fontId="34" fillId="0" borderId="55">
      <alignment horizontal="right" vertical="center"/>
    </xf>
    <xf numFmtId="0" fontId="34" fillId="0" borderId="55" applyNumberFormat="0" applyFill="0" applyAlignment="0" applyProtection="0"/>
    <xf numFmtId="0" fontId="62" fillId="55" borderId="51" applyNumberFormat="0" applyAlignment="0" applyProtection="0"/>
    <xf numFmtId="173" fontId="34" fillId="59" borderId="55" applyNumberFormat="0" applyFont="0" applyBorder="0" applyAlignment="0" applyProtection="0">
      <alignment horizontal="right" vertical="center"/>
    </xf>
    <xf numFmtId="0" fontId="34" fillId="32" borderId="55"/>
    <xf numFmtId="4" fontId="34" fillId="32" borderId="55"/>
    <xf numFmtId="0" fontId="65" fillId="0" borderId="53" applyNumberFormat="0" applyFill="0" applyAlignment="0" applyProtection="0"/>
    <xf numFmtId="0" fontId="5" fillId="58" borderId="54" applyNumberFormat="0" applyFont="0" applyAlignment="0" applyProtection="0"/>
    <xf numFmtId="0" fontId="40" fillId="58" borderId="54" applyNumberFormat="0" applyFont="0" applyAlignment="0" applyProtection="0"/>
    <xf numFmtId="0" fontId="34" fillId="0" borderId="55" applyNumberFormat="0" applyFill="0" applyAlignment="0" applyProtection="0"/>
    <xf numFmtId="0" fontId="50" fillId="0" borderId="53" applyNumberFormat="0" applyFill="0" applyAlignment="0" applyProtection="0"/>
    <xf numFmtId="0" fontId="65" fillId="0" borderId="53" applyNumberFormat="0" applyFill="0" applyAlignment="0" applyProtection="0"/>
    <xf numFmtId="0" fontId="49" fillId="42" borderId="52" applyNumberFormat="0" applyAlignment="0" applyProtection="0"/>
    <xf numFmtId="0" fontId="46" fillId="55" borderId="52" applyNumberFormat="0" applyAlignment="0" applyProtection="0"/>
    <xf numFmtId="4" fontId="36" fillId="31" borderId="55">
      <alignment horizontal="right" vertical="center"/>
    </xf>
    <xf numFmtId="0" fontId="32" fillId="31" borderId="55">
      <alignment horizontal="right" vertical="center"/>
    </xf>
    <xf numFmtId="173" fontId="34" fillId="59" borderId="55" applyNumberFormat="0" applyFont="0" applyBorder="0" applyAlignment="0" applyProtection="0">
      <alignment horizontal="right" vertical="center"/>
    </xf>
    <xf numFmtId="0" fontId="50" fillId="0" borderId="53" applyNumberFormat="0" applyFill="0" applyAlignment="0" applyProtection="0"/>
    <xf numFmtId="49" fontId="34" fillId="0" borderId="55" applyNumberFormat="0" applyFont="0" applyFill="0" applyBorder="0" applyProtection="0">
      <alignment horizontal="left" vertical="center" indent="2"/>
    </xf>
    <xf numFmtId="49" fontId="34" fillId="0" borderId="56" applyNumberFormat="0" applyFont="0" applyFill="0" applyBorder="0" applyProtection="0">
      <alignment horizontal="left" vertical="center" indent="5"/>
    </xf>
    <xf numFmtId="49" fontId="34" fillId="0" borderId="55" applyNumberFormat="0" applyFont="0" applyFill="0" applyBorder="0" applyProtection="0">
      <alignment horizontal="left" vertical="center" indent="2"/>
    </xf>
    <xf numFmtId="4" fontId="34" fillId="0" borderId="55" applyFill="0" applyBorder="0" applyProtection="0">
      <alignment horizontal="right" vertical="center"/>
    </xf>
    <xf numFmtId="49" fontId="33" fillId="0" borderId="55" applyNumberFormat="0" applyFill="0" applyBorder="0" applyProtection="0">
      <alignment horizontal="left" vertical="center"/>
    </xf>
    <xf numFmtId="0" fontId="34" fillId="0" borderId="58">
      <alignment horizontal="left" vertical="center" wrapText="1" indent="2"/>
    </xf>
    <xf numFmtId="0" fontId="62" fillId="55" borderId="51" applyNumberFormat="0" applyAlignment="0" applyProtection="0"/>
    <xf numFmtId="0" fontId="32" fillId="33" borderId="57">
      <alignment horizontal="right" vertical="center"/>
    </xf>
    <xf numFmtId="0" fontId="49" fillId="42" borderId="52" applyNumberFormat="0" applyAlignment="0" applyProtection="0"/>
    <xf numFmtId="0" fontId="32" fillId="33" borderId="57">
      <alignment horizontal="right" vertical="center"/>
    </xf>
    <xf numFmtId="4" fontId="32" fillId="33" borderId="55">
      <alignment horizontal="right" vertical="center"/>
    </xf>
    <xf numFmtId="0" fontId="32" fillId="33" borderId="55">
      <alignment horizontal="right" vertical="center"/>
    </xf>
    <xf numFmtId="0" fontId="43" fillId="55" borderId="51" applyNumberFormat="0" applyAlignment="0" applyProtection="0"/>
    <xf numFmtId="0" fontId="45" fillId="55" borderId="52" applyNumberFormat="0" applyAlignment="0" applyProtection="0"/>
    <xf numFmtId="0" fontId="50" fillId="0" borderId="53" applyNumberFormat="0" applyFill="0" applyAlignment="0" applyProtection="0"/>
    <xf numFmtId="0" fontId="34" fillId="32" borderId="55"/>
    <xf numFmtId="4" fontId="34" fillId="32" borderId="55"/>
    <xf numFmtId="4" fontId="32" fillId="33" borderId="55">
      <alignment horizontal="right" vertical="center"/>
    </xf>
    <xf numFmtId="0" fontId="36" fillId="31" borderId="55">
      <alignment horizontal="right" vertical="center"/>
    </xf>
    <xf numFmtId="0" fontId="49" fillId="42" borderId="52" applyNumberFormat="0" applyAlignment="0" applyProtection="0"/>
    <xf numFmtId="0" fontId="46" fillId="55" borderId="52" applyNumberFormat="0" applyAlignment="0" applyProtection="0"/>
    <xf numFmtId="4" fontId="34" fillId="0" borderId="55">
      <alignment horizontal="right" vertical="center"/>
    </xf>
    <xf numFmtId="0" fontId="34" fillId="33" borderId="58">
      <alignment horizontal="left" vertical="center" wrapText="1" indent="2"/>
    </xf>
    <xf numFmtId="0" fontId="34" fillId="0" borderId="58">
      <alignment horizontal="left" vertical="center" wrapText="1" indent="2"/>
    </xf>
    <xf numFmtId="0" fontId="62" fillId="55" borderId="51" applyNumberFormat="0" applyAlignment="0" applyProtection="0"/>
    <xf numFmtId="0" fontId="58" fillId="42" borderId="52" applyNumberFormat="0" applyAlignment="0" applyProtection="0"/>
    <xf numFmtId="0" fontId="45" fillId="55" borderId="52" applyNumberFormat="0" applyAlignment="0" applyProtection="0"/>
    <xf numFmtId="0" fontId="43" fillId="55" borderId="51" applyNumberFormat="0" applyAlignment="0" applyProtection="0"/>
    <xf numFmtId="0" fontId="32" fillId="33" borderId="57">
      <alignment horizontal="right" vertical="center"/>
    </xf>
    <xf numFmtId="0" fontId="36" fillId="31" borderId="55">
      <alignment horizontal="right" vertical="center"/>
    </xf>
    <xf numFmtId="4" fontId="32" fillId="31" borderId="55">
      <alignment horizontal="right" vertical="center"/>
    </xf>
    <xf numFmtId="4" fontId="32" fillId="33" borderId="55">
      <alignment horizontal="right" vertical="center"/>
    </xf>
    <xf numFmtId="49" fontId="34" fillId="0" borderId="56" applyNumberFormat="0" applyFont="0" applyFill="0" applyBorder="0" applyProtection="0">
      <alignment horizontal="left" vertical="center" indent="5"/>
    </xf>
    <xf numFmtId="4" fontId="34" fillId="0" borderId="55" applyFill="0" applyBorder="0" applyProtection="0">
      <alignment horizontal="right" vertical="center"/>
    </xf>
    <xf numFmtId="4" fontId="32" fillId="31" borderId="55">
      <alignment horizontal="right" vertical="center"/>
    </xf>
    <xf numFmtId="0" fontId="36" fillId="31" borderId="63">
      <alignment horizontal="right" vertical="center"/>
    </xf>
    <xf numFmtId="0" fontId="58" fillId="42" borderId="52" applyNumberFormat="0" applyAlignment="0" applyProtection="0"/>
    <xf numFmtId="0" fontId="49" fillId="42" borderId="52" applyNumberFormat="0" applyAlignment="0" applyProtection="0"/>
    <xf numFmtId="0" fontId="45" fillId="55" borderId="52" applyNumberFormat="0" applyAlignment="0" applyProtection="0"/>
    <xf numFmtId="0" fontId="34" fillId="33" borderId="58">
      <alignment horizontal="left" vertical="center" wrapText="1" indent="2"/>
    </xf>
    <xf numFmtId="0" fontId="34" fillId="0" borderId="58">
      <alignment horizontal="left" vertical="center" wrapText="1" indent="2"/>
    </xf>
    <xf numFmtId="0" fontId="34" fillId="33" borderId="58">
      <alignment horizontal="left" vertical="center" wrapText="1" indent="2"/>
    </xf>
    <xf numFmtId="0" fontId="34" fillId="0" borderId="58">
      <alignment horizontal="left" vertical="center" wrapText="1" indent="2"/>
    </xf>
    <xf numFmtId="0" fontId="43" fillId="55" borderId="51" applyNumberFormat="0" applyAlignment="0" applyProtection="0"/>
    <xf numFmtId="0" fontId="45" fillId="55" borderId="52" applyNumberFormat="0" applyAlignment="0" applyProtection="0"/>
    <xf numFmtId="0" fontId="46" fillId="55" borderId="52" applyNumberFormat="0" applyAlignment="0" applyProtection="0"/>
    <xf numFmtId="0" fontId="49" fillId="42" borderId="52" applyNumberFormat="0" applyAlignment="0" applyProtection="0"/>
    <xf numFmtId="0" fontId="50" fillId="0" borderId="53" applyNumberFormat="0" applyFill="0" applyAlignment="0" applyProtection="0"/>
    <xf numFmtId="0" fontId="58" fillId="42" borderId="52" applyNumberFormat="0" applyAlignment="0" applyProtection="0"/>
    <xf numFmtId="0" fontId="40" fillId="58" borderId="54" applyNumberFormat="0" applyFont="0" applyAlignment="0" applyProtection="0"/>
    <xf numFmtId="0" fontId="5" fillId="58" borderId="54" applyNumberFormat="0" applyFont="0" applyAlignment="0" applyProtection="0"/>
    <xf numFmtId="0" fontId="62" fillId="55" borderId="51" applyNumberFormat="0" applyAlignment="0" applyProtection="0"/>
    <xf numFmtId="0" fontId="65" fillId="0" borderId="53" applyNumberFormat="0" applyFill="0" applyAlignment="0" applyProtection="0"/>
    <xf numFmtId="0" fontId="46" fillId="55" borderId="52" applyNumberFormat="0" applyAlignment="0" applyProtection="0"/>
    <xf numFmtId="0" fontId="58" fillId="42" borderId="52" applyNumberFormat="0" applyAlignment="0" applyProtection="0"/>
    <xf numFmtId="0" fontId="40" fillId="58" borderId="54" applyNumberFormat="0" applyFont="0" applyAlignment="0" applyProtection="0"/>
    <xf numFmtId="0" fontId="62" fillId="55" borderId="51" applyNumberFormat="0" applyAlignment="0" applyProtection="0"/>
    <xf numFmtId="0" fontId="65" fillId="0" borderId="53" applyNumberFormat="0" applyFill="0" applyAlignment="0" applyProtection="0"/>
    <xf numFmtId="0" fontId="40" fillId="58" borderId="62" applyNumberFormat="0" applyFont="0" applyAlignment="0" applyProtection="0"/>
    <xf numFmtId="0" fontId="34" fillId="0" borderId="63" applyNumberFormat="0" applyFill="0" applyAlignment="0" applyProtection="0"/>
    <xf numFmtId="0" fontId="32" fillId="33" borderId="96">
      <alignment horizontal="right" vertical="center"/>
    </xf>
    <xf numFmtId="4" fontId="34" fillId="0" borderId="63" applyFill="0" applyBorder="0" applyProtection="0">
      <alignment horizontal="right" vertical="center"/>
    </xf>
    <xf numFmtId="0" fontId="46" fillId="55" borderId="52" applyNumberFormat="0" applyAlignment="0" applyProtection="0"/>
    <xf numFmtId="0" fontId="26" fillId="14" borderId="0" applyNumberFormat="0" applyBorder="0" applyAlignment="0" applyProtection="0"/>
    <xf numFmtId="0" fontId="40" fillId="58" borderId="94" applyNumberFormat="0" applyFont="0" applyAlignment="0" applyProtection="0"/>
    <xf numFmtId="0" fontId="32" fillId="33" borderId="65">
      <alignment horizontal="right" vertical="center"/>
    </xf>
    <xf numFmtId="0" fontId="58" fillId="42" borderId="52" applyNumberFormat="0" applyAlignment="0" applyProtection="0"/>
    <xf numFmtId="0" fontId="62" fillId="55" borderId="51" applyNumberFormat="0" applyAlignment="0" applyProtection="0"/>
    <xf numFmtId="0" fontId="65" fillId="0" borderId="53" applyNumberFormat="0" applyFill="0" applyAlignment="0" applyProtection="0"/>
    <xf numFmtId="4" fontId="32" fillId="33" borderId="63">
      <alignment horizontal="right" vertical="center"/>
    </xf>
    <xf numFmtId="0" fontId="43" fillId="55" borderId="51" applyNumberFormat="0" applyAlignment="0" applyProtection="0"/>
    <xf numFmtId="0" fontId="45" fillId="55" borderId="52" applyNumberFormat="0" applyAlignment="0" applyProtection="0"/>
    <xf numFmtId="0" fontId="50" fillId="0" borderId="53" applyNumberFormat="0" applyFill="0" applyAlignment="0" applyProtection="0"/>
    <xf numFmtId="49" fontId="34" fillId="0" borderId="55" applyNumberFormat="0" applyFont="0" applyFill="0" applyBorder="0" applyProtection="0">
      <alignment horizontal="left" vertical="center" indent="2"/>
    </xf>
    <xf numFmtId="0" fontId="32" fillId="31" borderId="55">
      <alignment horizontal="right" vertical="center"/>
    </xf>
    <xf numFmtId="4" fontId="32" fillId="31" borderId="55">
      <alignment horizontal="right" vertical="center"/>
    </xf>
    <xf numFmtId="0" fontId="36" fillId="31" borderId="55">
      <alignment horizontal="right" vertical="center"/>
    </xf>
    <xf numFmtId="4" fontId="36" fillId="31" borderId="55">
      <alignment horizontal="right" vertical="center"/>
    </xf>
    <xf numFmtId="0" fontId="32" fillId="33" borderId="55">
      <alignment horizontal="right" vertical="center"/>
    </xf>
    <xf numFmtId="4" fontId="32" fillId="33" borderId="55">
      <alignment horizontal="right" vertical="center"/>
    </xf>
    <xf numFmtId="0" fontId="32" fillId="33" borderId="55">
      <alignment horizontal="right" vertical="center"/>
    </xf>
    <xf numFmtId="4" fontId="32" fillId="33" borderId="55">
      <alignment horizontal="right" vertical="center"/>
    </xf>
    <xf numFmtId="0" fontId="49" fillId="42" borderId="52" applyNumberFormat="0" applyAlignment="0" applyProtection="0"/>
    <xf numFmtId="0" fontId="34" fillId="0" borderId="55">
      <alignment horizontal="right" vertical="center"/>
    </xf>
    <xf numFmtId="4" fontId="34" fillId="0" borderId="55">
      <alignment horizontal="right" vertical="center"/>
    </xf>
    <xf numFmtId="4" fontId="34" fillId="0" borderId="55" applyFill="0" applyBorder="0" applyProtection="0">
      <alignment horizontal="right" vertical="center"/>
    </xf>
    <xf numFmtId="49" fontId="33" fillId="0" borderId="55" applyNumberFormat="0" applyFill="0" applyBorder="0" applyProtection="0">
      <alignment horizontal="left" vertical="center"/>
    </xf>
    <xf numFmtId="0" fontId="34" fillId="0" borderId="55" applyNumberFormat="0" applyFill="0" applyAlignment="0" applyProtection="0"/>
    <xf numFmtId="173" fontId="34" fillId="59" borderId="55" applyNumberFormat="0" applyFont="0" applyBorder="0" applyAlignment="0" applyProtection="0">
      <alignment horizontal="right" vertical="center"/>
    </xf>
    <xf numFmtId="0" fontId="34" fillId="32" borderId="55"/>
    <xf numFmtId="4" fontId="34" fillId="32" borderId="55"/>
    <xf numFmtId="4" fontId="32" fillId="33" borderId="55">
      <alignment horizontal="right" vertical="center"/>
    </xf>
    <xf numFmtId="0" fontId="34" fillId="32" borderId="55"/>
    <xf numFmtId="0" fontId="45" fillId="55" borderId="52" applyNumberFormat="0" applyAlignment="0" applyProtection="0"/>
    <xf numFmtId="0" fontId="32" fillId="31" borderId="55">
      <alignment horizontal="right" vertical="center"/>
    </xf>
    <xf numFmtId="0" fontId="34" fillId="0" borderId="55">
      <alignment horizontal="right" vertical="center"/>
    </xf>
    <xf numFmtId="0" fontId="65" fillId="0" borderId="53" applyNumberFormat="0" applyFill="0" applyAlignment="0" applyProtection="0"/>
    <xf numFmtId="0" fontId="34" fillId="31" borderId="56">
      <alignment horizontal="left" vertical="center"/>
    </xf>
    <xf numFmtId="0" fontId="58" fillId="42" borderId="52" applyNumberFormat="0" applyAlignment="0" applyProtection="0"/>
    <xf numFmtId="173" fontId="34" fillId="59" borderId="55" applyNumberFormat="0" applyFont="0" applyBorder="0" applyAlignment="0" applyProtection="0">
      <alignment horizontal="right" vertical="center"/>
    </xf>
    <xf numFmtId="0" fontId="40" fillId="58" borderId="54" applyNumberFormat="0" applyFont="0" applyAlignment="0" applyProtection="0"/>
    <xf numFmtId="0" fontId="34" fillId="0" borderId="58">
      <alignment horizontal="left" vertical="center" wrapText="1" indent="2"/>
    </xf>
    <xf numFmtId="4" fontId="34" fillId="32" borderId="55"/>
    <xf numFmtId="49" fontId="33" fillId="0" borderId="55" applyNumberFormat="0" applyFill="0" applyBorder="0" applyProtection="0">
      <alignment horizontal="left" vertical="center"/>
    </xf>
    <xf numFmtId="0" fontId="34" fillId="0" borderId="55">
      <alignment horizontal="right" vertical="center"/>
    </xf>
    <xf numFmtId="4" fontId="32" fillId="33" borderId="57">
      <alignment horizontal="right" vertical="center"/>
    </xf>
    <xf numFmtId="4" fontId="32" fillId="33" borderId="55">
      <alignment horizontal="right" vertical="center"/>
    </xf>
    <xf numFmtId="4" fontId="32" fillId="33" borderId="55">
      <alignment horizontal="right" vertical="center"/>
    </xf>
    <xf numFmtId="0" fontId="36" fillId="31" borderId="55">
      <alignment horizontal="right" vertical="center"/>
    </xf>
    <xf numFmtId="0" fontId="32" fillId="31" borderId="55">
      <alignment horizontal="right" vertical="center"/>
    </xf>
    <xf numFmtId="49" fontId="34" fillId="0" borderId="55" applyNumberFormat="0" applyFont="0" applyFill="0" applyBorder="0" applyProtection="0">
      <alignment horizontal="left" vertical="center" indent="2"/>
    </xf>
    <xf numFmtId="0" fontId="58" fillId="42" borderId="52" applyNumberFormat="0" applyAlignment="0" applyProtection="0"/>
    <xf numFmtId="0" fontId="43" fillId="55" borderId="51" applyNumberFormat="0" applyAlignment="0" applyProtection="0"/>
    <xf numFmtId="49" fontId="34" fillId="0" borderId="55" applyNumberFormat="0" applyFont="0" applyFill="0" applyBorder="0" applyProtection="0">
      <alignment horizontal="left" vertical="center" indent="2"/>
    </xf>
    <xf numFmtId="0" fontId="49" fillId="42" borderId="52" applyNumberFormat="0" applyAlignment="0" applyProtection="0"/>
    <xf numFmtId="4" fontId="34" fillId="0" borderId="55" applyFill="0" applyBorder="0" applyProtection="0">
      <alignment horizontal="right" vertical="center"/>
    </xf>
    <xf numFmtId="0" fontId="46" fillId="55" borderId="52" applyNumberFormat="0" applyAlignment="0" applyProtection="0"/>
    <xf numFmtId="0" fontId="65" fillId="0" borderId="53" applyNumberFormat="0" applyFill="0" applyAlignment="0" applyProtection="0"/>
    <xf numFmtId="0" fontId="62" fillId="55" borderId="51" applyNumberFormat="0" applyAlignment="0" applyProtection="0"/>
    <xf numFmtId="0" fontId="34" fillId="0" borderId="55" applyNumberFormat="0" applyFill="0" applyAlignment="0" applyProtection="0"/>
    <xf numFmtId="4" fontId="34" fillId="0" borderId="55">
      <alignment horizontal="right" vertical="center"/>
    </xf>
    <xf numFmtId="0" fontId="34" fillId="0" borderId="55">
      <alignment horizontal="right" vertical="center"/>
    </xf>
    <xf numFmtId="0" fontId="58" fillId="42" borderId="52" applyNumberFormat="0" applyAlignment="0" applyProtection="0"/>
    <xf numFmtId="0" fontId="43" fillId="55" borderId="51" applyNumberFormat="0" applyAlignment="0" applyProtection="0"/>
    <xf numFmtId="0" fontId="45" fillId="55" borderId="52" applyNumberFormat="0" applyAlignment="0" applyProtection="0"/>
    <xf numFmtId="0" fontId="34" fillId="33" borderId="58">
      <alignment horizontal="left" vertical="center" wrapText="1" indent="2"/>
    </xf>
    <xf numFmtId="0" fontId="46" fillId="55" borderId="52" applyNumberFormat="0" applyAlignment="0" applyProtection="0"/>
    <xf numFmtId="0" fontId="46" fillId="55" borderId="52" applyNumberFormat="0" applyAlignment="0" applyProtection="0"/>
    <xf numFmtId="4" fontId="32" fillId="33" borderId="56">
      <alignment horizontal="right" vertical="center"/>
    </xf>
    <xf numFmtId="0" fontId="32" fillId="33" borderId="56">
      <alignment horizontal="right" vertical="center"/>
    </xf>
    <xf numFmtId="0" fontId="32" fillId="33" borderId="55">
      <alignment horizontal="right" vertical="center"/>
    </xf>
    <xf numFmtId="4" fontId="36" fillId="31" borderId="55">
      <alignment horizontal="right" vertical="center"/>
    </xf>
    <xf numFmtId="0" fontId="49" fillId="42" borderId="52" applyNumberFormat="0" applyAlignment="0" applyProtection="0"/>
    <xf numFmtId="0" fontId="50" fillId="0" borderId="53" applyNumberFormat="0" applyFill="0" applyAlignment="0" applyProtection="0"/>
    <xf numFmtId="0" fontId="65" fillId="0" borderId="53" applyNumberFormat="0" applyFill="0" applyAlignment="0" applyProtection="0"/>
    <xf numFmtId="0" fontId="40" fillId="58" borderId="54" applyNumberFormat="0" applyFont="0" applyAlignment="0" applyProtection="0"/>
    <xf numFmtId="0" fontId="58" fillId="42" borderId="52" applyNumberFormat="0" applyAlignment="0" applyProtection="0"/>
    <xf numFmtId="49" fontId="33" fillId="0" borderId="55" applyNumberFormat="0" applyFill="0" applyBorder="0" applyProtection="0">
      <alignment horizontal="left" vertical="center"/>
    </xf>
    <xf numFmtId="0" fontId="34" fillId="33" borderId="58">
      <alignment horizontal="left" vertical="center" wrapText="1" indent="2"/>
    </xf>
    <xf numFmtId="0" fontId="46" fillId="55" borderId="52" applyNumberFormat="0" applyAlignment="0" applyProtection="0"/>
    <xf numFmtId="0" fontId="34" fillId="0" borderId="58">
      <alignment horizontal="left" vertical="center" wrapText="1" indent="2"/>
    </xf>
    <xf numFmtId="0" fontId="40" fillId="58" borderId="54" applyNumberFormat="0" applyFont="0" applyAlignment="0" applyProtection="0"/>
    <xf numFmtId="0" fontId="5" fillId="58" borderId="54" applyNumberFormat="0" applyFont="0" applyAlignment="0" applyProtection="0"/>
    <xf numFmtId="0" fontId="62" fillId="55" borderId="51" applyNumberFormat="0" applyAlignment="0" applyProtection="0"/>
    <xf numFmtId="0" fontId="65" fillId="0" borderId="53" applyNumberFormat="0" applyFill="0" applyAlignment="0" applyProtection="0"/>
    <xf numFmtId="4" fontId="34" fillId="32" borderId="55"/>
    <xf numFmtId="0" fontId="32" fillId="33" borderId="55">
      <alignment horizontal="right" vertical="center"/>
    </xf>
    <xf numFmtId="0" fontId="65" fillId="0" borderId="53" applyNumberFormat="0" applyFill="0" applyAlignment="0" applyProtection="0"/>
    <xf numFmtId="4" fontId="32" fillId="33" borderId="57">
      <alignment horizontal="right" vertical="center"/>
    </xf>
    <xf numFmtId="0" fontId="45" fillId="55" borderId="52" applyNumberFormat="0" applyAlignment="0" applyProtection="0"/>
    <xf numFmtId="0" fontId="32" fillId="33" borderId="56">
      <alignment horizontal="right" vertical="center"/>
    </xf>
    <xf numFmtId="0" fontId="46" fillId="55" borderId="52" applyNumberFormat="0" applyAlignment="0" applyProtection="0"/>
    <xf numFmtId="0" fontId="50" fillId="0" borderId="53" applyNumberFormat="0" applyFill="0" applyAlignment="0" applyProtection="0"/>
    <xf numFmtId="0" fontId="40" fillId="58" borderId="54" applyNumberFormat="0" applyFont="0" applyAlignment="0" applyProtection="0"/>
    <xf numFmtId="4" fontId="32" fillId="33" borderId="56">
      <alignment horizontal="right" vertical="center"/>
    </xf>
    <xf numFmtId="0" fontId="34" fillId="33" borderId="58">
      <alignment horizontal="left" vertical="center" wrapText="1" indent="2"/>
    </xf>
    <xf numFmtId="0" fontId="34" fillId="32" borderId="55"/>
    <xf numFmtId="173" fontId="34" fillId="59" borderId="55" applyNumberFormat="0" applyFont="0" applyBorder="0" applyAlignment="0" applyProtection="0">
      <alignment horizontal="right" vertical="center"/>
    </xf>
    <xf numFmtId="0" fontId="34" fillId="0" borderId="55" applyNumberFormat="0" applyFill="0" applyAlignment="0" applyProtection="0"/>
    <xf numFmtId="4" fontId="34" fillId="0" borderId="55" applyFill="0" applyBorder="0" applyProtection="0">
      <alignment horizontal="right" vertical="center"/>
    </xf>
    <xf numFmtId="4" fontId="32" fillId="31" borderId="55">
      <alignment horizontal="right" vertical="center"/>
    </xf>
    <xf numFmtId="0" fontId="50" fillId="0" borderId="53" applyNumberFormat="0" applyFill="0" applyAlignment="0" applyProtection="0"/>
    <xf numFmtId="49" fontId="33" fillId="0" borderId="55" applyNumberFormat="0" applyFill="0" applyBorder="0" applyProtection="0">
      <alignment horizontal="left" vertical="center"/>
    </xf>
    <xf numFmtId="49" fontId="34" fillId="0" borderId="56" applyNumberFormat="0" applyFont="0" applyFill="0" applyBorder="0" applyProtection="0">
      <alignment horizontal="left" vertical="center" indent="5"/>
    </xf>
    <xf numFmtId="0" fontId="34" fillId="31" borderId="56">
      <alignment horizontal="left" vertical="center"/>
    </xf>
    <xf numFmtId="0" fontId="46" fillId="55" borderId="52" applyNumberFormat="0" applyAlignment="0" applyProtection="0"/>
    <xf numFmtId="4" fontId="32" fillId="33" borderId="57">
      <alignment horizontal="right" vertical="center"/>
    </xf>
    <xf numFmtId="0" fontId="58" fillId="42" borderId="52" applyNumberFormat="0" applyAlignment="0" applyProtection="0"/>
    <xf numFmtId="0" fontId="58" fillId="42" borderId="52" applyNumberFormat="0" applyAlignment="0" applyProtection="0"/>
    <xf numFmtId="0" fontId="40" fillId="58" borderId="54" applyNumberFormat="0" applyFont="0" applyAlignment="0" applyProtection="0"/>
    <xf numFmtId="0" fontId="62" fillId="55" borderId="51" applyNumberFormat="0" applyAlignment="0" applyProtection="0"/>
    <xf numFmtId="0" fontId="65" fillId="0" borderId="53" applyNumberFormat="0" applyFill="0" applyAlignment="0" applyProtection="0"/>
    <xf numFmtId="0" fontId="32" fillId="33" borderId="55">
      <alignment horizontal="right" vertical="center"/>
    </xf>
    <xf numFmtId="0" fontId="5" fillId="58" borderId="54" applyNumberFormat="0" applyFont="0" applyAlignment="0" applyProtection="0"/>
    <xf numFmtId="4" fontId="34" fillId="0" borderId="55">
      <alignment horizontal="right" vertical="center"/>
    </xf>
    <xf numFmtId="0" fontId="65" fillId="0" borderId="53" applyNumberFormat="0" applyFill="0" applyAlignment="0" applyProtection="0"/>
    <xf numFmtId="0" fontId="32" fillId="33" borderId="55">
      <alignment horizontal="right" vertical="center"/>
    </xf>
    <xf numFmtId="0" fontId="32" fillId="33" borderId="55">
      <alignment horizontal="right" vertical="center"/>
    </xf>
    <xf numFmtId="4" fontId="36" fillId="31" borderId="55">
      <alignment horizontal="right" vertical="center"/>
    </xf>
    <xf numFmtId="0" fontId="32" fillId="31" borderId="55">
      <alignment horizontal="right" vertical="center"/>
    </xf>
    <xf numFmtId="4" fontId="32" fillId="31" borderId="55">
      <alignment horizontal="right" vertical="center"/>
    </xf>
    <xf numFmtId="0" fontId="36" fillId="31" borderId="55">
      <alignment horizontal="right" vertical="center"/>
    </xf>
    <xf numFmtId="4" fontId="36" fillId="31" borderId="55">
      <alignment horizontal="right" vertical="center"/>
    </xf>
    <xf numFmtId="0" fontId="32" fillId="33" borderId="55">
      <alignment horizontal="right" vertical="center"/>
    </xf>
    <xf numFmtId="4" fontId="32" fillId="33" borderId="55">
      <alignment horizontal="right" vertical="center"/>
    </xf>
    <xf numFmtId="0" fontId="32" fillId="33" borderId="55">
      <alignment horizontal="right" vertical="center"/>
    </xf>
    <xf numFmtId="4" fontId="32" fillId="33" borderId="55">
      <alignment horizontal="right" vertical="center"/>
    </xf>
    <xf numFmtId="0" fontId="32" fillId="33" borderId="56">
      <alignment horizontal="right" vertical="center"/>
    </xf>
    <xf numFmtId="4" fontId="32" fillId="33" borderId="56">
      <alignment horizontal="right" vertical="center"/>
    </xf>
    <xf numFmtId="0" fontId="32" fillId="33" borderId="57">
      <alignment horizontal="right" vertical="center"/>
    </xf>
    <xf numFmtId="4" fontId="32" fillId="33" borderId="57">
      <alignment horizontal="right" vertical="center"/>
    </xf>
    <xf numFmtId="0" fontId="46" fillId="55" borderId="52" applyNumberFormat="0" applyAlignment="0" applyProtection="0"/>
    <xf numFmtId="0" fontId="34" fillId="33" borderId="58">
      <alignment horizontal="left" vertical="center" wrapText="1" indent="2"/>
    </xf>
    <xf numFmtId="0" fontId="34" fillId="0" borderId="58">
      <alignment horizontal="left" vertical="center" wrapText="1" indent="2"/>
    </xf>
    <xf numFmtId="0" fontId="34" fillId="31" borderId="56">
      <alignment horizontal="left" vertical="center"/>
    </xf>
    <xf numFmtId="0" fontId="58" fillId="42" borderId="52" applyNumberFormat="0" applyAlignment="0" applyProtection="0"/>
    <xf numFmtId="0" fontId="34" fillId="0" borderId="55">
      <alignment horizontal="right" vertical="center"/>
    </xf>
    <xf numFmtId="4" fontId="34" fillId="0" borderId="55">
      <alignment horizontal="right" vertical="center"/>
    </xf>
    <xf numFmtId="0" fontId="34" fillId="0" borderId="55" applyNumberFormat="0" applyFill="0" applyAlignment="0" applyProtection="0"/>
    <xf numFmtId="0" fontId="62" fillId="55" borderId="51" applyNumberFormat="0" applyAlignment="0" applyProtection="0"/>
    <xf numFmtId="173" fontId="34" fillId="59" borderId="55" applyNumberFormat="0" applyFont="0" applyBorder="0" applyAlignment="0" applyProtection="0">
      <alignment horizontal="right" vertical="center"/>
    </xf>
    <xf numFmtId="0" fontId="34" fillId="32" borderId="55"/>
    <xf numFmtId="4" fontId="34" fillId="32" borderId="55"/>
    <xf numFmtId="0" fontId="65" fillId="0" borderId="53" applyNumberFormat="0" applyFill="0" applyAlignment="0" applyProtection="0"/>
    <xf numFmtId="0" fontId="5" fillId="58" borderId="54" applyNumberFormat="0" applyFont="0" applyAlignment="0" applyProtection="0"/>
    <xf numFmtId="0" fontId="40" fillId="58" borderId="54" applyNumberFormat="0" applyFont="0" applyAlignment="0" applyProtection="0"/>
    <xf numFmtId="0" fontId="34" fillId="0" borderId="55" applyNumberFormat="0" applyFill="0" applyAlignment="0" applyProtection="0"/>
    <xf numFmtId="0" fontId="50" fillId="0" borderId="53" applyNumberFormat="0" applyFill="0" applyAlignment="0" applyProtection="0"/>
    <xf numFmtId="0" fontId="65" fillId="0" borderId="53" applyNumberFormat="0" applyFill="0" applyAlignment="0" applyProtection="0"/>
    <xf numFmtId="0" fontId="49" fillId="42" borderId="52" applyNumberFormat="0" applyAlignment="0" applyProtection="0"/>
    <xf numFmtId="0" fontId="46" fillId="55" borderId="52" applyNumberFormat="0" applyAlignment="0" applyProtection="0"/>
    <xf numFmtId="4" fontId="36" fillId="31" borderId="55">
      <alignment horizontal="right" vertical="center"/>
    </xf>
    <xf numFmtId="0" fontId="32" fillId="31" borderId="55">
      <alignment horizontal="right" vertical="center"/>
    </xf>
    <xf numFmtId="173" fontId="34" fillId="59" borderId="55" applyNumberFormat="0" applyFont="0" applyBorder="0" applyAlignment="0" applyProtection="0">
      <alignment horizontal="right" vertical="center"/>
    </xf>
    <xf numFmtId="0" fontId="50" fillId="0" borderId="53" applyNumberFormat="0" applyFill="0" applyAlignment="0" applyProtection="0"/>
    <xf numFmtId="49" fontId="34" fillId="0" borderId="55" applyNumberFormat="0" applyFont="0" applyFill="0" applyBorder="0" applyProtection="0">
      <alignment horizontal="left" vertical="center" indent="2"/>
    </xf>
    <xf numFmtId="49" fontId="34" fillId="0" borderId="56" applyNumberFormat="0" applyFont="0" applyFill="0" applyBorder="0" applyProtection="0">
      <alignment horizontal="left" vertical="center" indent="5"/>
    </xf>
    <xf numFmtId="49" fontId="34" fillId="0" borderId="55" applyNumberFormat="0" applyFont="0" applyFill="0" applyBorder="0" applyProtection="0">
      <alignment horizontal="left" vertical="center" indent="2"/>
    </xf>
    <xf numFmtId="4" fontId="34" fillId="0" borderId="55" applyFill="0" applyBorder="0" applyProtection="0">
      <alignment horizontal="right" vertical="center"/>
    </xf>
    <xf numFmtId="49" fontId="33" fillId="0" borderId="55" applyNumberFormat="0" applyFill="0" applyBorder="0" applyProtection="0">
      <alignment horizontal="left" vertical="center"/>
    </xf>
    <xf numFmtId="0" fontId="34" fillId="0" borderId="58">
      <alignment horizontal="left" vertical="center" wrapText="1" indent="2"/>
    </xf>
    <xf numFmtId="0" fontId="62" fillId="55" borderId="51" applyNumberFormat="0" applyAlignment="0" applyProtection="0"/>
    <xf numFmtId="0" fontId="32" fillId="33" borderId="57">
      <alignment horizontal="right" vertical="center"/>
    </xf>
    <xf numFmtId="0" fontId="49" fillId="42" borderId="52" applyNumberFormat="0" applyAlignment="0" applyProtection="0"/>
    <xf numFmtId="0" fontId="32" fillId="33" borderId="57">
      <alignment horizontal="right" vertical="center"/>
    </xf>
    <xf numFmtId="4" fontId="32" fillId="33" borderId="55">
      <alignment horizontal="right" vertical="center"/>
    </xf>
    <xf numFmtId="0" fontId="32" fillId="33" borderId="55">
      <alignment horizontal="right" vertical="center"/>
    </xf>
    <xf numFmtId="0" fontId="43" fillId="55" borderId="51" applyNumberFormat="0" applyAlignment="0" applyProtection="0"/>
    <xf numFmtId="0" fontId="45" fillId="55" borderId="52" applyNumberFormat="0" applyAlignment="0" applyProtection="0"/>
    <xf numFmtId="0" fontId="50" fillId="0" borderId="53" applyNumberFormat="0" applyFill="0" applyAlignment="0" applyProtection="0"/>
    <xf numFmtId="0" fontId="34" fillId="32" borderId="55"/>
    <xf numFmtId="4" fontId="34" fillId="32" borderId="55"/>
    <xf numFmtId="4" fontId="32" fillId="33" borderId="55">
      <alignment horizontal="right" vertical="center"/>
    </xf>
    <xf numFmtId="0" fontId="36" fillId="31" borderId="55">
      <alignment horizontal="right" vertical="center"/>
    </xf>
    <xf numFmtId="0" fontId="49" fillId="42" borderId="52" applyNumberFormat="0" applyAlignment="0" applyProtection="0"/>
    <xf numFmtId="0" fontId="46" fillId="55" borderId="52" applyNumberFormat="0" applyAlignment="0" applyProtection="0"/>
    <xf numFmtId="4" fontId="34" fillId="0" borderId="55">
      <alignment horizontal="right" vertical="center"/>
    </xf>
    <xf numFmtId="0" fontId="34" fillId="33" borderId="58">
      <alignment horizontal="left" vertical="center" wrapText="1" indent="2"/>
    </xf>
    <xf numFmtId="0" fontId="34" fillId="0" borderId="58">
      <alignment horizontal="left" vertical="center" wrapText="1" indent="2"/>
    </xf>
    <xf numFmtId="0" fontId="62" fillId="55" borderId="51" applyNumberFormat="0" applyAlignment="0" applyProtection="0"/>
    <xf numFmtId="0" fontId="58" fillId="42" borderId="52" applyNumberFormat="0" applyAlignment="0" applyProtection="0"/>
    <xf numFmtId="0" fontId="45" fillId="55" borderId="52" applyNumberFormat="0" applyAlignment="0" applyProtection="0"/>
    <xf numFmtId="0" fontId="43" fillId="55" borderId="51" applyNumberFormat="0" applyAlignment="0" applyProtection="0"/>
    <xf numFmtId="0" fontId="32" fillId="33" borderId="57">
      <alignment horizontal="right" vertical="center"/>
    </xf>
    <xf numFmtId="0" fontId="36" fillId="31" borderId="55">
      <alignment horizontal="right" vertical="center"/>
    </xf>
    <xf numFmtId="4" fontId="32" fillId="31" borderId="55">
      <alignment horizontal="right" vertical="center"/>
    </xf>
    <xf numFmtId="4" fontId="32" fillId="33" borderId="55">
      <alignment horizontal="right" vertical="center"/>
    </xf>
    <xf numFmtId="49" fontId="34" fillId="0" borderId="56" applyNumberFormat="0" applyFont="0" applyFill="0" applyBorder="0" applyProtection="0">
      <alignment horizontal="left" vertical="center" indent="5"/>
    </xf>
    <xf numFmtId="4" fontId="34" fillId="0" borderId="55" applyFill="0" applyBorder="0" applyProtection="0">
      <alignment horizontal="right" vertical="center"/>
    </xf>
    <xf numFmtId="4" fontId="32" fillId="31" borderId="55">
      <alignment horizontal="right" vertical="center"/>
    </xf>
    <xf numFmtId="0" fontId="58" fillId="42" borderId="52" applyNumberFormat="0" applyAlignment="0" applyProtection="0"/>
    <xf numFmtId="0" fontId="49" fillId="42" borderId="52" applyNumberFormat="0" applyAlignment="0" applyProtection="0"/>
    <xf numFmtId="0" fontId="45" fillId="55" borderId="52" applyNumberFormat="0" applyAlignment="0" applyProtection="0"/>
    <xf numFmtId="0" fontId="34" fillId="33" borderId="58">
      <alignment horizontal="left" vertical="center" wrapText="1" indent="2"/>
    </xf>
    <xf numFmtId="0" fontId="34" fillId="0" borderId="58">
      <alignment horizontal="left" vertical="center" wrapText="1" indent="2"/>
    </xf>
    <xf numFmtId="0" fontId="34" fillId="33" borderId="58">
      <alignment horizontal="left" vertical="center" wrapText="1" indent="2"/>
    </xf>
    <xf numFmtId="0" fontId="32" fillId="33" borderId="63">
      <alignment horizontal="right" vertical="center"/>
    </xf>
    <xf numFmtId="0" fontId="34" fillId="0" borderId="63" applyNumberFormat="0" applyFill="0" applyAlignment="0" applyProtection="0"/>
    <xf numFmtId="0" fontId="34" fillId="0" borderId="68">
      <alignment horizontal="right" vertical="center"/>
    </xf>
    <xf numFmtId="4" fontId="32" fillId="33" borderId="63">
      <alignment horizontal="right" vertical="center"/>
    </xf>
    <xf numFmtId="4" fontId="32" fillId="33" borderId="69">
      <alignment horizontal="right" vertical="center"/>
    </xf>
    <xf numFmtId="0" fontId="40" fillId="58" borderId="62" applyNumberFormat="0" applyFont="0" applyAlignment="0" applyProtection="0"/>
    <xf numFmtId="0" fontId="36" fillId="31" borderId="63">
      <alignment horizontal="right" vertical="center"/>
    </xf>
    <xf numFmtId="4" fontId="34" fillId="32" borderId="63"/>
    <xf numFmtId="0" fontId="62" fillId="55" borderId="59" applyNumberFormat="0" applyAlignment="0" applyProtection="0"/>
    <xf numFmtId="0" fontId="32" fillId="33" borderId="64">
      <alignment horizontal="right" vertical="center"/>
    </xf>
    <xf numFmtId="4" fontId="32" fillId="33" borderId="97">
      <alignment horizontal="right" vertical="center"/>
    </xf>
    <xf numFmtId="0" fontId="32" fillId="33" borderId="68">
      <alignment horizontal="right" vertical="center"/>
    </xf>
    <xf numFmtId="0" fontId="34" fillId="32" borderId="68"/>
    <xf numFmtId="0" fontId="26" fillId="22" borderId="0" applyNumberFormat="0" applyBorder="0" applyAlignment="0" applyProtection="0"/>
    <xf numFmtId="4" fontId="32" fillId="33" borderId="64">
      <alignment horizontal="right" vertical="center"/>
    </xf>
    <xf numFmtId="0" fontId="26" fillId="16" borderId="0" applyNumberFormat="0" applyBorder="0" applyAlignment="0" applyProtection="0"/>
    <xf numFmtId="4" fontId="34" fillId="0" borderId="108">
      <alignment horizontal="right" vertical="center"/>
    </xf>
    <xf numFmtId="4" fontId="36" fillId="31" borderId="87">
      <alignment horizontal="right" vertical="center"/>
    </xf>
    <xf numFmtId="0" fontId="34" fillId="32" borderId="68"/>
    <xf numFmtId="0" fontId="29" fillId="12" borderId="10" applyNumberFormat="0" applyAlignment="0" applyProtection="0"/>
    <xf numFmtId="4" fontId="36" fillId="31" borderId="63">
      <alignment horizontal="right" vertical="center"/>
    </xf>
    <xf numFmtId="0" fontId="34" fillId="33" borderId="66">
      <alignment horizontal="left" vertical="center" wrapText="1" indent="2"/>
    </xf>
    <xf numFmtId="0" fontId="26" fillId="25" borderId="0" applyNumberFormat="0" applyBorder="0" applyAlignment="0" applyProtection="0"/>
    <xf numFmtId="0" fontId="26" fillId="16" borderId="0" applyNumberFormat="0" applyBorder="0" applyAlignment="0" applyProtection="0"/>
    <xf numFmtId="4" fontId="32" fillId="33" borderId="68">
      <alignment horizontal="right" vertical="center"/>
    </xf>
    <xf numFmtId="4" fontId="36" fillId="31" borderId="118">
      <alignment horizontal="right" vertical="center"/>
    </xf>
    <xf numFmtId="0" fontId="65" fillId="0" borderId="61" applyNumberFormat="0" applyFill="0" applyAlignment="0" applyProtection="0"/>
    <xf numFmtId="0" fontId="40" fillId="58" borderId="107" applyNumberFormat="0" applyFont="0" applyAlignment="0" applyProtection="0"/>
    <xf numFmtId="0" fontId="49" fillId="42" borderId="92" applyNumberFormat="0" applyAlignment="0" applyProtection="0"/>
    <xf numFmtId="4" fontId="36" fillId="31" borderId="68">
      <alignment horizontal="right" vertical="center"/>
    </xf>
    <xf numFmtId="4" fontId="32" fillId="33" borderId="65">
      <alignment horizontal="right" vertical="center"/>
    </xf>
    <xf numFmtId="0" fontId="58" fillId="42" borderId="92" applyNumberFormat="0" applyAlignment="0" applyProtection="0"/>
    <xf numFmtId="0" fontId="5" fillId="58" borderId="62" applyNumberFormat="0" applyFont="0" applyAlignment="0" applyProtection="0"/>
    <xf numFmtId="0" fontId="1" fillId="0" borderId="0" applyNumberFormat="0" applyFill="0" applyBorder="0" applyAlignment="0" applyProtection="0"/>
    <xf numFmtId="0" fontId="26" fillId="14" borderId="0" applyNumberFormat="0" applyBorder="0" applyAlignment="0" applyProtection="0"/>
    <xf numFmtId="0" fontId="26" fillId="22" borderId="0" applyNumberFormat="0" applyBorder="0" applyAlignment="0" applyProtection="0"/>
    <xf numFmtId="0" fontId="34" fillId="31" borderId="109">
      <alignment horizontal="left" vertical="center"/>
    </xf>
    <xf numFmtId="0" fontId="62" fillId="55" borderId="83" applyNumberFormat="0" applyAlignment="0" applyProtection="0"/>
    <xf numFmtId="0" fontId="34" fillId="33" borderId="106">
      <alignment horizontal="left" vertical="center" wrapText="1" indent="2"/>
    </xf>
    <xf numFmtId="0" fontId="34" fillId="33" borderId="66">
      <alignment horizontal="left" vertical="center" wrapText="1" indent="2"/>
    </xf>
    <xf numFmtId="4" fontId="32" fillId="33" borderId="65">
      <alignment horizontal="right" vertical="center"/>
    </xf>
    <xf numFmtId="0" fontId="62" fillId="55" borderId="59" applyNumberFormat="0" applyAlignment="0" applyProtection="0"/>
    <xf numFmtId="4" fontId="36" fillId="31" borderId="63">
      <alignment horizontal="right" vertical="center"/>
    </xf>
    <xf numFmtId="4" fontId="32" fillId="33" borderId="63">
      <alignment horizontal="right" vertical="center"/>
    </xf>
    <xf numFmtId="0" fontId="46" fillId="55" borderId="60" applyNumberFormat="0" applyAlignment="0" applyProtection="0"/>
    <xf numFmtId="0" fontId="65" fillId="0" borderId="61" applyNumberFormat="0" applyFill="0" applyAlignment="0" applyProtection="0"/>
    <xf numFmtId="4" fontId="32" fillId="33" borderId="63">
      <alignment horizontal="right" vertical="center"/>
    </xf>
    <xf numFmtId="4" fontId="36" fillId="31" borderId="63">
      <alignment horizontal="right" vertical="center"/>
    </xf>
    <xf numFmtId="0" fontId="30" fillId="0" borderId="0" applyNumberFormat="0" applyFill="0" applyBorder="0" applyAlignment="0" applyProtection="0"/>
    <xf numFmtId="0" fontId="50" fillId="0" borderId="61" applyNumberFormat="0" applyFill="0" applyAlignment="0" applyProtection="0"/>
    <xf numFmtId="0" fontId="49" fillId="42" borderId="60" applyNumberFormat="0" applyAlignment="0" applyProtection="0"/>
    <xf numFmtId="0" fontId="62" fillId="55" borderId="59" applyNumberFormat="0" applyAlignment="0" applyProtection="0"/>
    <xf numFmtId="0" fontId="43" fillId="55" borderId="59" applyNumberFormat="0" applyAlignment="0" applyProtection="0"/>
    <xf numFmtId="0" fontId="26" fillId="14" borderId="0" applyNumberFormat="0" applyBorder="0" applyAlignment="0" applyProtection="0"/>
    <xf numFmtId="4" fontId="34" fillId="0" borderId="95" applyFill="0" applyBorder="0" applyProtection="0">
      <alignment horizontal="right" vertical="center"/>
    </xf>
    <xf numFmtId="0" fontId="40" fillId="58" borderId="94" applyNumberFormat="0" applyFont="0" applyAlignment="0" applyProtection="0"/>
    <xf numFmtId="0" fontId="2" fillId="0" borderId="12" applyNumberFormat="0" applyFill="0" applyAlignment="0" applyProtection="0"/>
    <xf numFmtId="0" fontId="46" fillId="55" borderId="60" applyNumberFormat="0" applyAlignment="0" applyProtection="0"/>
    <xf numFmtId="0" fontId="40" fillId="58" borderId="67" applyNumberFormat="0" applyFont="0" applyAlignment="0" applyProtection="0"/>
    <xf numFmtId="0" fontId="34" fillId="0" borderId="108">
      <alignment horizontal="right" vertical="center"/>
    </xf>
    <xf numFmtId="0" fontId="26" fillId="20" borderId="0" applyNumberFormat="0" applyBorder="0" applyAlignment="0" applyProtection="0"/>
    <xf numFmtId="0" fontId="50" fillId="0" borderId="61" applyNumberFormat="0" applyFill="0" applyAlignment="0" applyProtection="0"/>
    <xf numFmtId="0" fontId="62" fillId="55" borderId="59" applyNumberFormat="0" applyAlignment="0" applyProtection="0"/>
    <xf numFmtId="4" fontId="34" fillId="0" borderId="63" applyFill="0" applyBorder="0" applyProtection="0">
      <alignment horizontal="right" vertical="center"/>
    </xf>
    <xf numFmtId="0" fontId="45" fillId="55" borderId="60" applyNumberFormat="0" applyAlignment="0" applyProtection="0"/>
    <xf numFmtId="0" fontId="62" fillId="55" borderId="59" applyNumberFormat="0" applyAlignment="0" applyProtection="0"/>
    <xf numFmtId="0" fontId="34" fillId="33" borderId="66">
      <alignment horizontal="left" vertical="center" wrapText="1" indent="2"/>
    </xf>
    <xf numFmtId="0" fontId="58" fillId="42" borderId="60" applyNumberFormat="0" applyAlignment="0" applyProtection="0"/>
    <xf numFmtId="0" fontId="5" fillId="58" borderId="62" applyNumberFormat="0" applyFont="0" applyAlignment="0" applyProtection="0"/>
    <xf numFmtId="4" fontId="36" fillId="31" borderId="63">
      <alignment horizontal="right" vertical="center"/>
    </xf>
    <xf numFmtId="0" fontId="32" fillId="33" borderId="63">
      <alignment horizontal="right" vertical="center"/>
    </xf>
    <xf numFmtId="0" fontId="49" fillId="42" borderId="60" applyNumberFormat="0" applyAlignment="0" applyProtection="0"/>
    <xf numFmtId="173" fontId="34" fillId="59" borderId="63" applyNumberFormat="0" applyFont="0" applyBorder="0" applyAlignment="0" applyProtection="0">
      <alignment horizontal="right" vertical="center"/>
    </xf>
    <xf numFmtId="49" fontId="34" fillId="0" borderId="63" applyNumberFormat="0" applyFont="0" applyFill="0" applyBorder="0" applyProtection="0">
      <alignment horizontal="left" vertical="center" indent="2"/>
    </xf>
    <xf numFmtId="0" fontId="49" fillId="42" borderId="73" applyNumberFormat="0" applyAlignment="0" applyProtection="0"/>
    <xf numFmtId="0" fontId="50" fillId="0" borderId="74" applyNumberFormat="0" applyFill="0" applyAlignment="0" applyProtection="0"/>
    <xf numFmtId="4" fontId="32" fillId="33" borderId="97">
      <alignment horizontal="right" vertical="center"/>
    </xf>
    <xf numFmtId="4" fontId="32" fillId="33" borderId="95">
      <alignment horizontal="right" vertical="center"/>
    </xf>
    <xf numFmtId="0" fontId="34" fillId="32" borderId="63"/>
    <xf numFmtId="0" fontId="34" fillId="0" borderId="63">
      <alignment horizontal="right" vertical="center"/>
    </xf>
    <xf numFmtId="0" fontId="46" fillId="55" borderId="84" applyNumberFormat="0" applyAlignment="0" applyProtection="0"/>
    <xf numFmtId="0" fontId="5" fillId="58" borderId="94" applyNumberFormat="0" applyFont="0" applyAlignment="0" applyProtection="0"/>
    <xf numFmtId="0" fontId="46" fillId="55" borderId="84" applyNumberFormat="0" applyAlignment="0" applyProtection="0"/>
    <xf numFmtId="0" fontId="34" fillId="0" borderId="95">
      <alignment horizontal="right" vertical="center"/>
    </xf>
    <xf numFmtId="0" fontId="46" fillId="55" borderId="73" applyNumberFormat="0" applyAlignment="0" applyProtection="0"/>
    <xf numFmtId="0" fontId="46" fillId="55" borderId="92" applyNumberFormat="0" applyAlignment="0" applyProtection="0"/>
    <xf numFmtId="0" fontId="26" fillId="26" borderId="0" applyNumberFormat="0" applyBorder="0" applyAlignment="0" applyProtection="0"/>
    <xf numFmtId="0" fontId="26" fillId="17" borderId="0" applyNumberFormat="0" applyBorder="0" applyAlignment="0" applyProtection="0"/>
    <xf numFmtId="0" fontId="5" fillId="58" borderId="94" applyNumberFormat="0" applyFont="0" applyAlignment="0" applyProtection="0"/>
    <xf numFmtId="0" fontId="12" fillId="18" borderId="0" applyNumberFormat="0" applyBorder="0" applyAlignment="0" applyProtection="0"/>
    <xf numFmtId="0" fontId="32" fillId="33" borderId="69">
      <alignment horizontal="right" vertical="center"/>
    </xf>
    <xf numFmtId="0" fontId="65" fillId="0" borderId="74" applyNumberFormat="0" applyFill="0" applyAlignment="0" applyProtection="0"/>
    <xf numFmtId="0" fontId="26" fillId="29" borderId="0" applyNumberFormat="0" applyBorder="0" applyAlignment="0" applyProtection="0"/>
    <xf numFmtId="4" fontId="32" fillId="33" borderId="63">
      <alignment horizontal="right" vertical="center"/>
    </xf>
    <xf numFmtId="0" fontId="34" fillId="0" borderId="68" applyNumberFormat="0" applyFill="0" applyAlignment="0" applyProtection="0"/>
    <xf numFmtId="0" fontId="46" fillId="55" borderId="73" applyNumberFormat="0" applyAlignment="0" applyProtection="0"/>
    <xf numFmtId="49" fontId="33" fillId="0" borderId="126" applyNumberFormat="0" applyFill="0" applyBorder="0" applyProtection="0">
      <alignment horizontal="left" vertical="center"/>
    </xf>
    <xf numFmtId="0" fontId="40" fillId="58" borderId="78" applyNumberFormat="0" applyFont="0" applyAlignment="0" applyProtection="0"/>
    <xf numFmtId="0" fontId="32" fillId="31" borderId="68">
      <alignment horizontal="right" vertical="center"/>
    </xf>
    <xf numFmtId="0" fontId="46" fillId="55" borderId="73" applyNumberFormat="0" applyAlignment="0" applyProtection="0"/>
    <xf numFmtId="0" fontId="49" fillId="42" borderId="115" applyNumberFormat="0" applyAlignment="0" applyProtection="0"/>
    <xf numFmtId="0" fontId="62" fillId="55" borderId="99" applyNumberFormat="0" applyAlignment="0" applyProtection="0"/>
    <xf numFmtId="0" fontId="50" fillId="0" borderId="61" applyNumberFormat="0" applyFill="0" applyAlignment="0" applyProtection="0"/>
    <xf numFmtId="0" fontId="34" fillId="0" borderId="66">
      <alignment horizontal="left" vertical="center" wrapText="1" indent="2"/>
    </xf>
    <xf numFmtId="4" fontId="34" fillId="32" borderId="68"/>
    <xf numFmtId="0" fontId="26" fillId="20" borderId="0" applyNumberFormat="0" applyBorder="0" applyAlignment="0" applyProtection="0"/>
    <xf numFmtId="0" fontId="65" fillId="0" borderId="61" applyNumberFormat="0" applyFill="0" applyAlignment="0" applyProtection="0"/>
    <xf numFmtId="0" fontId="26" fillId="29" borderId="0" applyNumberFormat="0" applyBorder="0" applyAlignment="0" applyProtection="0"/>
    <xf numFmtId="0" fontId="2" fillId="0" borderId="12" applyNumberFormat="0" applyFill="0" applyAlignment="0" applyProtection="0"/>
    <xf numFmtId="4" fontId="34" fillId="0" borderId="95">
      <alignment horizontal="right" vertical="center"/>
    </xf>
    <xf numFmtId="0" fontId="34" fillId="0" borderId="98">
      <alignment horizontal="left" vertical="center" wrapText="1" indent="2"/>
    </xf>
    <xf numFmtId="0" fontId="62" fillId="55" borderId="59" applyNumberFormat="0" applyAlignment="0" applyProtection="0"/>
    <xf numFmtId="173" fontId="34" fillId="59" borderId="63" applyNumberFormat="0" applyFont="0" applyBorder="0" applyAlignment="0" applyProtection="0">
      <alignment horizontal="right" vertical="center"/>
    </xf>
    <xf numFmtId="0" fontId="34" fillId="0" borderId="71">
      <alignment horizontal="left" vertical="center" wrapText="1" indent="2"/>
    </xf>
    <xf numFmtId="0" fontId="12" fillId="27" borderId="0" applyNumberFormat="0" applyBorder="0" applyAlignment="0" applyProtection="0"/>
    <xf numFmtId="0" fontId="43" fillId="55" borderId="75" applyNumberFormat="0" applyAlignment="0" applyProtection="0"/>
    <xf numFmtId="4" fontId="32" fillId="33" borderId="70">
      <alignment horizontal="right" vertical="center"/>
    </xf>
    <xf numFmtId="0" fontId="26" fillId="17" borderId="0" applyNumberFormat="0" applyBorder="0" applyAlignment="0" applyProtection="0"/>
    <xf numFmtId="0" fontId="34" fillId="0" borderId="68" applyNumberFormat="0" applyFill="0" applyAlignment="0" applyProtection="0"/>
    <xf numFmtId="4" fontId="32" fillId="33" borderId="95">
      <alignment horizontal="right" vertical="center"/>
    </xf>
    <xf numFmtId="0" fontId="26" fillId="28" borderId="0" applyNumberFormat="0" applyBorder="0" applyAlignment="0" applyProtection="0"/>
    <xf numFmtId="0" fontId="50" fillId="0" borderId="74" applyNumberFormat="0" applyFill="0" applyAlignment="0" applyProtection="0"/>
    <xf numFmtId="0" fontId="26" fillId="20" borderId="0" applyNumberFormat="0" applyBorder="0" applyAlignment="0" applyProtection="0"/>
    <xf numFmtId="49" fontId="34" fillId="0" borderId="63" applyNumberFormat="0" applyFont="0" applyFill="0" applyBorder="0" applyProtection="0">
      <alignment horizontal="left" vertical="center" indent="2"/>
    </xf>
    <xf numFmtId="4" fontId="34" fillId="0" borderId="63" applyFill="0" applyBorder="0" applyProtection="0">
      <alignment horizontal="right" vertical="center"/>
    </xf>
    <xf numFmtId="4" fontId="32" fillId="31" borderId="63">
      <alignment horizontal="right" vertical="center"/>
    </xf>
    <xf numFmtId="0" fontId="34" fillId="33" borderId="71">
      <alignment horizontal="left" vertical="center" wrapText="1" indent="2"/>
    </xf>
    <xf numFmtId="0" fontId="26" fillId="25" borderId="0" applyNumberFormat="0" applyBorder="0" applyAlignment="0" applyProtection="0"/>
    <xf numFmtId="0" fontId="43" fillId="55" borderId="112" applyNumberFormat="0" applyAlignment="0" applyProtection="0"/>
    <xf numFmtId="4" fontId="34" fillId="32" borderId="63"/>
    <xf numFmtId="0" fontId="28" fillId="12" borderId="11" applyNumberFormat="0" applyAlignment="0" applyProtection="0"/>
    <xf numFmtId="0" fontId="32" fillId="33" borderId="120">
      <alignment horizontal="right" vertical="center"/>
    </xf>
    <xf numFmtId="0" fontId="26" fillId="20" borderId="0" applyNumberFormat="0" applyBorder="0" applyAlignment="0" applyProtection="0"/>
    <xf numFmtId="0" fontId="32" fillId="33" borderId="65">
      <alignment horizontal="right" vertical="center"/>
    </xf>
    <xf numFmtId="0" fontId="26" fillId="23" borderId="0" applyNumberFormat="0" applyBorder="0" applyAlignment="0" applyProtection="0"/>
    <xf numFmtId="0" fontId="40" fillId="58" borderId="62" applyNumberFormat="0" applyFont="0" applyAlignment="0" applyProtection="0"/>
    <xf numFmtId="0" fontId="12" fillId="24" borderId="0" applyNumberFormat="0" applyBorder="0" applyAlignment="0" applyProtection="0"/>
    <xf numFmtId="0" fontId="34" fillId="0" borderId="63">
      <alignment horizontal="right" vertical="center"/>
    </xf>
    <xf numFmtId="4" fontId="34" fillId="32" borderId="63"/>
    <xf numFmtId="0" fontId="40" fillId="58" borderId="62" applyNumberFormat="0" applyFont="0" applyAlignment="0" applyProtection="0"/>
    <xf numFmtId="4" fontId="32" fillId="33" borderId="63">
      <alignment horizontal="right" vertical="center"/>
    </xf>
    <xf numFmtId="0" fontId="62" fillId="55" borderId="99" applyNumberFormat="0" applyAlignment="0" applyProtection="0"/>
    <xf numFmtId="49" fontId="34" fillId="0" borderId="95" applyNumberFormat="0" applyFont="0" applyFill="0" applyBorder="0" applyProtection="0">
      <alignment horizontal="left" vertical="center" indent="2"/>
    </xf>
    <xf numFmtId="4" fontId="32" fillId="31" borderId="79">
      <alignment horizontal="right" vertical="center"/>
    </xf>
    <xf numFmtId="0" fontId="12" fillId="21" borderId="0" applyNumberFormat="0" applyBorder="0" applyAlignment="0" applyProtection="0"/>
    <xf numFmtId="0" fontId="62" fillId="55" borderId="59" applyNumberFormat="0" applyAlignment="0" applyProtection="0"/>
    <xf numFmtId="49" fontId="34" fillId="0" borderId="64" applyNumberFormat="0" applyFont="0" applyFill="0" applyBorder="0" applyProtection="0">
      <alignment horizontal="left" vertical="center" indent="5"/>
    </xf>
    <xf numFmtId="4" fontId="36" fillId="31" borderId="118">
      <alignment horizontal="right" vertical="center"/>
    </xf>
    <xf numFmtId="49" fontId="34" fillId="0" borderId="64" applyNumberFormat="0" applyFont="0" applyFill="0" applyBorder="0" applyProtection="0">
      <alignment horizontal="left" vertical="center" indent="5"/>
    </xf>
    <xf numFmtId="0" fontId="12" fillId="21" borderId="0" applyNumberFormat="0" applyBorder="0" applyAlignment="0" applyProtection="0"/>
    <xf numFmtId="0" fontId="45" fillId="55" borderId="73" applyNumberFormat="0" applyAlignment="0" applyProtection="0"/>
    <xf numFmtId="0" fontId="32" fillId="31" borderId="63">
      <alignment horizontal="right" vertical="center"/>
    </xf>
    <xf numFmtId="0" fontId="32" fillId="33" borderId="118">
      <alignment horizontal="right" vertical="center"/>
    </xf>
    <xf numFmtId="0" fontId="58" fillId="42" borderId="60" applyNumberFormat="0" applyAlignment="0" applyProtection="0"/>
    <xf numFmtId="0" fontId="46" fillId="55" borderId="60" applyNumberFormat="0" applyAlignment="0" applyProtection="0"/>
    <xf numFmtId="0" fontId="34" fillId="33" borderId="66">
      <alignment horizontal="left" vertical="center" wrapText="1" indent="2"/>
    </xf>
    <xf numFmtId="173" fontId="34" fillId="59" borderId="68" applyNumberFormat="0" applyFont="0" applyBorder="0" applyAlignment="0" applyProtection="0">
      <alignment horizontal="right" vertical="center"/>
    </xf>
    <xf numFmtId="0" fontId="50" fillId="0" borderId="61" applyNumberFormat="0" applyFill="0" applyAlignment="0" applyProtection="0"/>
    <xf numFmtId="0" fontId="40" fillId="58" borderId="86" applyNumberFormat="0" applyFont="0" applyAlignment="0" applyProtection="0"/>
    <xf numFmtId="0" fontId="32" fillId="33" borderId="70">
      <alignment horizontal="right" vertical="center"/>
    </xf>
    <xf numFmtId="0" fontId="34" fillId="32" borderId="68"/>
    <xf numFmtId="0" fontId="29" fillId="12" borderId="10" applyNumberFormat="0" applyAlignment="0" applyProtection="0"/>
    <xf numFmtId="0" fontId="45" fillId="55" borderId="60" applyNumberFormat="0" applyAlignment="0" applyProtection="0"/>
    <xf numFmtId="0" fontId="29" fillId="12" borderId="10" applyNumberFormat="0" applyAlignment="0" applyProtection="0"/>
    <xf numFmtId="0" fontId="36" fillId="31" borderId="63">
      <alignment horizontal="right" vertical="center"/>
    </xf>
    <xf numFmtId="0" fontId="28" fillId="12" borderId="11" applyNumberFormat="0" applyAlignment="0" applyProtection="0"/>
    <xf numFmtId="0" fontId="26" fillId="19" borderId="0" applyNumberFormat="0" applyBorder="0" applyAlignment="0" applyProtection="0"/>
    <xf numFmtId="0" fontId="49" fillId="42" borderId="73" applyNumberFormat="0" applyAlignment="0" applyProtection="0"/>
    <xf numFmtId="0" fontId="32" fillId="33" borderId="64">
      <alignment horizontal="right" vertical="center"/>
    </xf>
    <xf numFmtId="0" fontId="58" fillId="42" borderId="73" applyNumberFormat="0" applyAlignment="0" applyProtection="0"/>
    <xf numFmtId="0" fontId="12" fillId="21" borderId="0" applyNumberFormat="0" applyBorder="0" applyAlignment="0" applyProtection="0"/>
    <xf numFmtId="0" fontId="32" fillId="33" borderId="64">
      <alignment horizontal="right" vertical="center"/>
    </xf>
    <xf numFmtId="0" fontId="34" fillId="0" borderId="98">
      <alignment horizontal="left" vertical="center" wrapText="1" indent="2"/>
    </xf>
    <xf numFmtId="0" fontId="32" fillId="31" borderId="63">
      <alignment horizontal="right" vertical="center"/>
    </xf>
    <xf numFmtId="0" fontId="12" fillId="30" borderId="0" applyNumberFormat="0" applyBorder="0" applyAlignment="0" applyProtection="0"/>
    <xf numFmtId="0" fontId="34" fillId="32" borderId="63"/>
    <xf numFmtId="0" fontId="26" fillId="16" borderId="0" applyNumberFormat="0" applyBorder="0" applyAlignment="0" applyProtection="0"/>
    <xf numFmtId="4" fontId="36" fillId="31" borderId="63">
      <alignment horizontal="right" vertical="center"/>
    </xf>
    <xf numFmtId="0" fontId="34" fillId="31" borderId="64">
      <alignment horizontal="left" vertical="center"/>
    </xf>
    <xf numFmtId="0" fontId="65" fillId="0" borderId="61" applyNumberFormat="0" applyFill="0" applyAlignment="0" applyProtection="0"/>
    <xf numFmtId="0" fontId="49" fillId="42" borderId="73" applyNumberFormat="0" applyAlignment="0" applyProtection="0"/>
    <xf numFmtId="0" fontId="34" fillId="31" borderId="69">
      <alignment horizontal="left" vertical="center"/>
    </xf>
    <xf numFmtId="49" fontId="33" fillId="0" borderId="63" applyNumberFormat="0" applyFill="0" applyBorder="0" applyProtection="0">
      <alignment horizontal="left" vertical="center"/>
    </xf>
    <xf numFmtId="0" fontId="34" fillId="0" borderId="66">
      <alignment horizontal="left" vertical="center" wrapText="1" indent="2"/>
    </xf>
    <xf numFmtId="0" fontId="32" fillId="31" borderId="68">
      <alignment horizontal="right" vertical="center"/>
    </xf>
    <xf numFmtId="0" fontId="50" fillId="0" borderId="116" applyNumberFormat="0" applyFill="0" applyAlignment="0" applyProtection="0"/>
    <xf numFmtId="4" fontId="34" fillId="0" borderId="68">
      <alignment horizontal="right" vertical="center"/>
    </xf>
    <xf numFmtId="0" fontId="65" fillId="0" borderId="61" applyNumberFormat="0" applyFill="0" applyAlignment="0" applyProtection="0"/>
    <xf numFmtId="0" fontId="36" fillId="31" borderId="63">
      <alignment horizontal="right" vertical="center"/>
    </xf>
    <xf numFmtId="0" fontId="34" fillId="0" borderId="66">
      <alignment horizontal="left" vertical="center" wrapText="1" indent="2"/>
    </xf>
    <xf numFmtId="0" fontId="26" fillId="28" borderId="0" applyNumberFormat="0" applyBorder="0" applyAlignment="0" applyProtection="0"/>
    <xf numFmtId="49" fontId="34" fillId="0" borderId="64" applyNumberFormat="0" applyFont="0" applyFill="0" applyBorder="0" applyProtection="0">
      <alignment horizontal="left" vertical="center" indent="5"/>
    </xf>
    <xf numFmtId="0" fontId="1" fillId="0" borderId="0" applyNumberFormat="0" applyFill="0" applyBorder="0" applyAlignment="0" applyProtection="0"/>
    <xf numFmtId="0" fontId="50" fillId="0" borderId="61" applyNumberFormat="0" applyFill="0" applyAlignment="0" applyProtection="0"/>
    <xf numFmtId="4" fontId="36" fillId="31" borderId="68">
      <alignment horizontal="right" vertical="center"/>
    </xf>
    <xf numFmtId="0" fontId="26" fillId="28" borderId="0" applyNumberFormat="0" applyBorder="0" applyAlignment="0" applyProtection="0"/>
    <xf numFmtId="0" fontId="26" fillId="16" borderId="0" applyNumberFormat="0" applyBorder="0" applyAlignment="0" applyProtection="0"/>
    <xf numFmtId="0" fontId="65" fillId="0" borderId="61" applyNumberFormat="0" applyFill="0" applyAlignment="0" applyProtection="0"/>
    <xf numFmtId="0" fontId="32" fillId="33" borderId="63">
      <alignment horizontal="right" vertical="center"/>
    </xf>
    <xf numFmtId="0" fontId="65" fillId="0" borderId="114" applyNumberFormat="0" applyFill="0" applyAlignment="0" applyProtection="0"/>
    <xf numFmtId="0" fontId="65" fillId="0" borderId="74" applyNumberFormat="0" applyFill="0" applyAlignment="0" applyProtection="0"/>
    <xf numFmtId="173" fontId="34" fillId="59" borderId="63" applyNumberFormat="0" applyFont="0" applyBorder="0" applyAlignment="0" applyProtection="0">
      <alignment horizontal="right" vertical="center"/>
    </xf>
    <xf numFmtId="0" fontId="40" fillId="58" borderId="62" applyNumberFormat="0" applyFont="0" applyAlignment="0" applyProtection="0"/>
    <xf numFmtId="4" fontId="32" fillId="33" borderId="97">
      <alignment horizontal="right" vertical="center"/>
    </xf>
    <xf numFmtId="4" fontId="34" fillId="32" borderId="68"/>
    <xf numFmtId="0" fontId="58" fillId="42" borderId="60" applyNumberFormat="0" applyAlignment="0" applyProtection="0"/>
    <xf numFmtId="0" fontId="58" fillId="42" borderId="73" applyNumberFormat="0" applyAlignment="0" applyProtection="0"/>
    <xf numFmtId="0" fontId="46" fillId="55" borderId="60" applyNumberFormat="0" applyAlignment="0" applyProtection="0"/>
    <xf numFmtId="0" fontId="34" fillId="0" borderId="66">
      <alignment horizontal="left" vertical="center" wrapText="1" indent="2"/>
    </xf>
    <xf numFmtId="0" fontId="58" fillId="42" borderId="60" applyNumberFormat="0" applyAlignment="0" applyProtection="0"/>
    <xf numFmtId="0" fontId="43" fillId="55" borderId="59" applyNumberFormat="0" applyAlignment="0" applyProtection="0"/>
    <xf numFmtId="0" fontId="46" fillId="55" borderId="60" applyNumberFormat="0" applyAlignment="0" applyProtection="0"/>
    <xf numFmtId="0" fontId="34" fillId="33" borderId="66">
      <alignment horizontal="left" vertical="center" wrapText="1" indent="2"/>
    </xf>
    <xf numFmtId="0" fontId="5" fillId="58" borderId="67" applyNumberFormat="0" applyFont="0" applyAlignment="0" applyProtection="0"/>
    <xf numFmtId="4" fontId="32" fillId="33" borderId="127">
      <alignment horizontal="right" vertical="center"/>
    </xf>
    <xf numFmtId="0" fontId="34" fillId="33" borderId="66">
      <alignment horizontal="left" vertical="center" wrapText="1" indent="2"/>
    </xf>
    <xf numFmtId="0" fontId="34" fillId="32" borderId="63"/>
    <xf numFmtId="0" fontId="29" fillId="12" borderId="10" applyNumberFormat="0" applyAlignment="0" applyProtection="0"/>
    <xf numFmtId="49" fontId="34" fillId="0" borderId="95" applyNumberFormat="0" applyFont="0" applyFill="0" applyBorder="0" applyProtection="0">
      <alignment horizontal="left" vertical="center" indent="2"/>
    </xf>
    <xf numFmtId="0" fontId="34" fillId="0" borderId="66">
      <alignment horizontal="left" vertical="center" wrapText="1" indent="2"/>
    </xf>
    <xf numFmtId="4" fontId="32" fillId="31" borderId="63">
      <alignment horizontal="right" vertical="center"/>
    </xf>
    <xf numFmtId="0" fontId="34" fillId="0" borderId="95">
      <alignment horizontal="right" vertical="center"/>
    </xf>
    <xf numFmtId="0" fontId="26" fillId="26" borderId="0" applyNumberFormat="0" applyBorder="0" applyAlignment="0" applyProtection="0"/>
    <xf numFmtId="0" fontId="26" fillId="26" borderId="0" applyNumberFormat="0" applyBorder="0" applyAlignment="0" applyProtection="0"/>
    <xf numFmtId="0" fontId="49" fillId="42" borderId="73" applyNumberFormat="0" applyAlignment="0" applyProtection="0"/>
    <xf numFmtId="0" fontId="26" fillId="28" borderId="0" applyNumberFormat="0" applyBorder="0" applyAlignment="0" applyProtection="0"/>
    <xf numFmtId="0" fontId="32" fillId="31" borderId="68">
      <alignment horizontal="right" vertical="center"/>
    </xf>
    <xf numFmtId="0" fontId="12" fillId="27" borderId="0" applyNumberFormat="0" applyBorder="0" applyAlignment="0" applyProtection="0"/>
    <xf numFmtId="0" fontId="5" fillId="58" borderId="62" applyNumberFormat="0" applyFont="0" applyAlignment="0" applyProtection="0"/>
    <xf numFmtId="4" fontId="32" fillId="33" borderId="63">
      <alignment horizontal="right" vertical="center"/>
    </xf>
    <xf numFmtId="49" fontId="34" fillId="0" borderId="63" applyNumberFormat="0" applyFont="0" applyFill="0" applyBorder="0" applyProtection="0">
      <alignment horizontal="left" vertical="center" indent="2"/>
    </xf>
    <xf numFmtId="0" fontId="26" fillId="25" borderId="0" applyNumberFormat="0" applyBorder="0" applyAlignment="0" applyProtection="0"/>
    <xf numFmtId="0" fontId="65" fillId="0" borderId="61" applyNumberFormat="0" applyFill="0" applyAlignment="0" applyProtection="0"/>
    <xf numFmtId="0" fontId="36" fillId="31" borderId="55">
      <alignment horizontal="right" vertical="center"/>
    </xf>
    <xf numFmtId="0" fontId="40" fillId="58" borderId="107" applyNumberFormat="0" applyFont="0" applyAlignment="0" applyProtection="0"/>
    <xf numFmtId="0" fontId="29" fillId="12" borderId="10" applyNumberFormat="0" applyAlignment="0" applyProtection="0"/>
    <xf numFmtId="4" fontId="32" fillId="33" borderId="68">
      <alignment horizontal="right" vertical="center"/>
    </xf>
    <xf numFmtId="0" fontId="34" fillId="0" borderId="68">
      <alignment horizontal="right" vertical="center"/>
    </xf>
    <xf numFmtId="0" fontId="62" fillId="55" borderId="59" applyNumberFormat="0" applyAlignment="0" applyProtection="0"/>
    <xf numFmtId="0" fontId="58" fillId="42" borderId="60" applyNumberFormat="0" applyAlignment="0" applyProtection="0"/>
    <xf numFmtId="4" fontId="34" fillId="0" borderId="68" applyFill="0" applyBorder="0" applyProtection="0">
      <alignment horizontal="right" vertical="center"/>
    </xf>
    <xf numFmtId="49" fontId="33" fillId="0" borderId="68" applyNumberFormat="0" applyFill="0" applyBorder="0" applyProtection="0">
      <alignment horizontal="left" vertical="center"/>
    </xf>
    <xf numFmtId="0" fontId="43" fillId="55" borderId="72" applyNumberFormat="0" applyAlignment="0" applyProtection="0"/>
    <xf numFmtId="173" fontId="34" fillId="59" borderId="68" applyNumberFormat="0" applyFont="0" applyBorder="0" applyAlignment="0" applyProtection="0">
      <alignment horizontal="right" vertical="center"/>
    </xf>
    <xf numFmtId="0" fontId="12" fillId="15" borderId="0" applyNumberFormat="0" applyBorder="0" applyAlignment="0" applyProtection="0"/>
    <xf numFmtId="0" fontId="65" fillId="0" borderId="61" applyNumberFormat="0" applyFill="0" applyAlignment="0" applyProtection="0"/>
    <xf numFmtId="0" fontId="34" fillId="0" borderId="87" applyNumberFormat="0" applyFill="0" applyAlignment="0" applyProtection="0"/>
    <xf numFmtId="0" fontId="26" fillId="28" borderId="0" applyNumberFormat="0" applyBorder="0" applyAlignment="0" applyProtection="0"/>
    <xf numFmtId="0" fontId="5" fillId="58" borderId="67" applyNumberFormat="0" applyFont="0" applyAlignment="0" applyProtection="0"/>
    <xf numFmtId="0" fontId="26" fillId="25" borderId="0" applyNumberFormat="0" applyBorder="0" applyAlignment="0" applyProtection="0"/>
    <xf numFmtId="4" fontId="34" fillId="0" borderId="63">
      <alignment horizontal="right" vertical="center"/>
    </xf>
    <xf numFmtId="4" fontId="32" fillId="33" borderId="68">
      <alignment horizontal="right" vertical="center"/>
    </xf>
    <xf numFmtId="0" fontId="36" fillId="31" borderId="108">
      <alignment horizontal="right" vertical="center"/>
    </xf>
    <xf numFmtId="0" fontId="26" fillId="23" borderId="0" applyNumberFormat="0" applyBorder="0" applyAlignment="0" applyProtection="0"/>
    <xf numFmtId="0" fontId="62" fillId="55" borderId="72" applyNumberFormat="0" applyAlignment="0" applyProtection="0"/>
    <xf numFmtId="0" fontId="40" fillId="58" borderId="117" applyNumberFormat="0" applyFont="0" applyAlignment="0" applyProtection="0"/>
    <xf numFmtId="0" fontId="65" fillId="0" borderId="116" applyNumberFormat="0" applyFill="0" applyAlignment="0" applyProtection="0"/>
    <xf numFmtId="0" fontId="62" fillId="55" borderId="59" applyNumberFormat="0" applyAlignment="0" applyProtection="0"/>
    <xf numFmtId="4" fontId="32" fillId="33" borderId="87">
      <alignment horizontal="right" vertical="center"/>
    </xf>
    <xf numFmtId="0" fontId="65" fillId="0" borderId="74" applyNumberFormat="0" applyFill="0" applyAlignment="0" applyProtection="0"/>
    <xf numFmtId="0" fontId="26" fillId="16" borderId="0" applyNumberFormat="0" applyBorder="0" applyAlignment="0" applyProtection="0"/>
    <xf numFmtId="0" fontId="34" fillId="0" borderId="68">
      <alignment horizontal="right" vertical="center"/>
    </xf>
    <xf numFmtId="4" fontId="32" fillId="31" borderId="63">
      <alignment horizontal="right" vertical="center"/>
    </xf>
    <xf numFmtId="0" fontId="34" fillId="31" borderId="69">
      <alignment horizontal="left" vertical="center"/>
    </xf>
    <xf numFmtId="0" fontId="32" fillId="33" borderId="68">
      <alignment horizontal="right" vertical="center"/>
    </xf>
    <xf numFmtId="0" fontId="34" fillId="0" borderId="71">
      <alignment horizontal="left" vertical="center" wrapText="1" indent="2"/>
    </xf>
    <xf numFmtId="0" fontId="28" fillId="12" borderId="11" applyNumberFormat="0" applyAlignment="0" applyProtection="0"/>
    <xf numFmtId="0" fontId="65" fillId="0" borderId="61" applyNumberFormat="0" applyFill="0" applyAlignment="0" applyProtection="0"/>
    <xf numFmtId="0" fontId="58" fillId="42" borderId="115" applyNumberFormat="0" applyAlignment="0" applyProtection="0"/>
    <xf numFmtId="0" fontId="5" fillId="58" borderId="62" applyNumberFormat="0" applyFont="0" applyAlignment="0" applyProtection="0"/>
    <xf numFmtId="0" fontId="32" fillId="33" borderId="96">
      <alignment horizontal="right" vertical="center"/>
    </xf>
    <xf numFmtId="0" fontId="34" fillId="32" borderId="108"/>
    <xf numFmtId="0" fontId="32" fillId="33" borderId="70">
      <alignment horizontal="right" vertical="center"/>
    </xf>
    <xf numFmtId="0" fontId="32" fillId="31" borderId="63">
      <alignment horizontal="right" vertical="center"/>
    </xf>
    <xf numFmtId="0" fontId="12" fillId="27" borderId="0" applyNumberFormat="0" applyBorder="0" applyAlignment="0" applyProtection="0"/>
    <xf numFmtId="4" fontId="32" fillId="33" borderId="68">
      <alignment horizontal="right" vertical="center"/>
    </xf>
    <xf numFmtId="0" fontId="43" fillId="55" borderId="59" applyNumberFormat="0" applyAlignment="0" applyProtection="0"/>
    <xf numFmtId="0" fontId="65" fillId="0" borderId="74" applyNumberFormat="0" applyFill="0" applyAlignment="0" applyProtection="0"/>
    <xf numFmtId="49" fontId="33" fillId="0" borderId="95" applyNumberFormat="0" applyFill="0" applyBorder="0" applyProtection="0">
      <alignment horizontal="left" vertical="center"/>
    </xf>
    <xf numFmtId="0" fontId="65" fillId="0" borderId="74" applyNumberFormat="0" applyFill="0" applyAlignment="0" applyProtection="0"/>
    <xf numFmtId="0" fontId="58" fillId="42" borderId="60" applyNumberFormat="0" applyAlignment="0" applyProtection="0"/>
    <xf numFmtId="0" fontId="49" fillId="42" borderId="73" applyNumberFormat="0" applyAlignment="0" applyProtection="0"/>
    <xf numFmtId="49" fontId="34" fillId="0" borderId="95" applyNumberFormat="0" applyFont="0" applyFill="0" applyBorder="0" applyProtection="0">
      <alignment horizontal="left" vertical="center" indent="2"/>
    </xf>
    <xf numFmtId="4" fontId="34" fillId="0" borderId="63">
      <alignment horizontal="right" vertical="center"/>
    </xf>
    <xf numFmtId="0" fontId="12" fillId="18" borderId="0" applyNumberFormat="0" applyBorder="0" applyAlignment="0" applyProtection="0"/>
    <xf numFmtId="0" fontId="62" fillId="55" borderId="72" applyNumberFormat="0" applyAlignment="0" applyProtection="0"/>
    <xf numFmtId="0" fontId="65" fillId="0" borderId="61" applyNumberFormat="0" applyFill="0" applyAlignment="0" applyProtection="0"/>
    <xf numFmtId="0" fontId="12" fillId="24" borderId="0" applyNumberFormat="0" applyBorder="0" applyAlignment="0" applyProtection="0"/>
    <xf numFmtId="0" fontId="65" fillId="0" borderId="74" applyNumberFormat="0" applyFill="0" applyAlignment="0" applyProtection="0"/>
    <xf numFmtId="0" fontId="58" fillId="42" borderId="100" applyNumberFormat="0" applyAlignment="0" applyProtection="0"/>
    <xf numFmtId="0" fontId="58" fillId="42" borderId="60" applyNumberFormat="0" applyAlignment="0" applyProtection="0"/>
    <xf numFmtId="0" fontId="34" fillId="32" borderId="95"/>
    <xf numFmtId="0" fontId="49" fillId="42" borderId="60" applyNumberFormat="0" applyAlignment="0" applyProtection="0"/>
    <xf numFmtId="49" fontId="34" fillId="0" borderId="69" applyNumberFormat="0" applyFont="0" applyFill="0" applyBorder="0" applyProtection="0">
      <alignment horizontal="left" vertical="center" indent="5"/>
    </xf>
    <xf numFmtId="0" fontId="62" fillId="55" borderId="91" applyNumberFormat="0" applyAlignment="0" applyProtection="0"/>
    <xf numFmtId="0" fontId="40" fillId="58" borderId="67" applyNumberFormat="0" applyFont="0" applyAlignment="0" applyProtection="0"/>
    <xf numFmtId="0" fontId="58" fillId="42" borderId="60" applyNumberFormat="0" applyAlignment="0" applyProtection="0"/>
    <xf numFmtId="0" fontId="26" fillId="13" borderId="0" applyNumberFormat="0" applyBorder="0" applyAlignment="0" applyProtection="0"/>
    <xf numFmtId="4" fontId="32" fillId="31" borderId="63">
      <alignment horizontal="right" vertical="center"/>
    </xf>
    <xf numFmtId="4" fontId="32" fillId="33" borderId="68">
      <alignment horizontal="right" vertical="center"/>
    </xf>
    <xf numFmtId="0" fontId="50" fillId="0" borderId="74" applyNumberFormat="0" applyFill="0" applyAlignment="0" applyProtection="0"/>
    <xf numFmtId="0" fontId="65" fillId="0" borderId="74" applyNumberFormat="0" applyFill="0" applyAlignment="0" applyProtection="0"/>
    <xf numFmtId="0" fontId="29" fillId="12" borderId="10" applyNumberFormat="0" applyAlignment="0" applyProtection="0"/>
    <xf numFmtId="0" fontId="12" fillId="21" borderId="0" applyNumberFormat="0" applyBorder="0" applyAlignment="0" applyProtection="0"/>
    <xf numFmtId="0" fontId="26" fillId="28" borderId="0" applyNumberFormat="0" applyBorder="0" applyAlignment="0" applyProtection="0"/>
    <xf numFmtId="0" fontId="46" fillId="55" borderId="60" applyNumberFormat="0" applyAlignment="0" applyProtection="0"/>
    <xf numFmtId="0" fontId="26" fillId="23" borderId="0" applyNumberFormat="0" applyBorder="0" applyAlignment="0" applyProtection="0"/>
    <xf numFmtId="0" fontId="34" fillId="0" borderId="71">
      <alignment horizontal="left" vertical="center" wrapText="1" indent="2"/>
    </xf>
    <xf numFmtId="0" fontId="46" fillId="55" borderId="92" applyNumberFormat="0" applyAlignment="0" applyProtection="0"/>
    <xf numFmtId="0" fontId="50" fillId="0" borderId="74" applyNumberFormat="0" applyFill="0" applyAlignment="0" applyProtection="0"/>
    <xf numFmtId="0" fontId="40" fillId="58" borderId="67" applyNumberFormat="0" applyFont="0" applyAlignment="0" applyProtection="0"/>
    <xf numFmtId="0" fontId="43" fillId="55" borderId="59" applyNumberFormat="0" applyAlignment="0" applyProtection="0"/>
    <xf numFmtId="0" fontId="58" fillId="42" borderId="60" applyNumberFormat="0" applyAlignment="0" applyProtection="0"/>
    <xf numFmtId="0" fontId="62" fillId="55" borderId="72" applyNumberFormat="0" applyAlignment="0" applyProtection="0"/>
    <xf numFmtId="0" fontId="36" fillId="31" borderId="63">
      <alignment horizontal="right" vertical="center"/>
    </xf>
    <xf numFmtId="0" fontId="26" fillId="26" borderId="0" applyNumberFormat="0" applyBorder="0" applyAlignment="0" applyProtection="0"/>
    <xf numFmtId="4" fontId="32" fillId="31" borderId="95">
      <alignment horizontal="right" vertical="center"/>
    </xf>
    <xf numFmtId="0" fontId="26" fillId="19" borderId="0" applyNumberFormat="0" applyBorder="0" applyAlignment="0" applyProtection="0"/>
    <xf numFmtId="0" fontId="5" fillId="58" borderId="62" applyNumberFormat="0" applyFont="0" applyAlignment="0" applyProtection="0"/>
    <xf numFmtId="0" fontId="26" fillId="19" borderId="0" applyNumberFormat="0" applyBorder="0" applyAlignment="0" applyProtection="0"/>
    <xf numFmtId="0" fontId="30" fillId="0" borderId="0" applyNumberFormat="0" applyFill="0" applyBorder="0" applyAlignment="0" applyProtection="0"/>
    <xf numFmtId="0" fontId="45" fillId="55" borderId="60" applyNumberFormat="0" applyAlignment="0" applyProtection="0"/>
    <xf numFmtId="0" fontId="58" fillId="42" borderId="73" applyNumberFormat="0" applyAlignment="0" applyProtection="0"/>
    <xf numFmtId="0" fontId="50" fillId="0" borderId="61" applyNumberFormat="0" applyFill="0" applyAlignment="0" applyProtection="0"/>
    <xf numFmtId="0" fontId="58" fillId="42" borderId="84" applyNumberFormat="0" applyAlignment="0" applyProtection="0"/>
    <xf numFmtId="0" fontId="12" fillId="30" borderId="0" applyNumberFormat="0" applyBorder="0" applyAlignment="0" applyProtection="0"/>
    <xf numFmtId="0" fontId="46" fillId="55" borderId="73" applyNumberFormat="0" applyAlignment="0" applyProtection="0"/>
    <xf numFmtId="0" fontId="34" fillId="33" borderId="66">
      <alignment horizontal="left" vertical="center" wrapText="1" indent="2"/>
    </xf>
    <xf numFmtId="0" fontId="62" fillId="55" borderId="72" applyNumberFormat="0" applyAlignment="0" applyProtection="0"/>
    <xf numFmtId="0" fontId="40" fillId="58" borderId="86" applyNumberFormat="0" applyFont="0" applyAlignment="0" applyProtection="0"/>
    <xf numFmtId="0" fontId="65" fillId="0" borderId="74" applyNumberFormat="0" applyFill="0" applyAlignment="0" applyProtection="0"/>
    <xf numFmtId="0" fontId="26" fillId="26" borderId="0" applyNumberFormat="0" applyBorder="0" applyAlignment="0" applyProtection="0"/>
    <xf numFmtId="0" fontId="26" fillId="23" borderId="0" applyNumberFormat="0" applyBorder="0" applyAlignment="0" applyProtection="0"/>
    <xf numFmtId="0" fontId="46" fillId="55" borderId="92" applyNumberFormat="0" applyAlignment="0" applyProtection="0"/>
    <xf numFmtId="0" fontId="45" fillId="55" borderId="73" applyNumberFormat="0" applyAlignment="0" applyProtection="0"/>
    <xf numFmtId="0" fontId="43" fillId="55" borderId="59" applyNumberFormat="0" applyAlignment="0" applyProtection="0"/>
    <xf numFmtId="0" fontId="65" fillId="0" borderId="114" applyNumberFormat="0" applyFill="0" applyAlignment="0" applyProtection="0"/>
    <xf numFmtId="0" fontId="34" fillId="32" borderId="63"/>
    <xf numFmtId="0" fontId="26" fillId="17" borderId="0" applyNumberFormat="0" applyBorder="0" applyAlignment="0" applyProtection="0"/>
    <xf numFmtId="0" fontId="34" fillId="32" borderId="68"/>
    <xf numFmtId="0" fontId="26" fillId="13" borderId="0" applyNumberFormat="0" applyBorder="0" applyAlignment="0" applyProtection="0"/>
    <xf numFmtId="0" fontId="58" fillId="42" borderId="73" applyNumberFormat="0" applyAlignment="0" applyProtection="0"/>
    <xf numFmtId="49" fontId="33" fillId="0" borderId="63" applyNumberFormat="0" applyFill="0" applyBorder="0" applyProtection="0">
      <alignment horizontal="left" vertical="center"/>
    </xf>
    <xf numFmtId="49" fontId="34" fillId="0" borderId="96" applyNumberFormat="0" applyFont="0" applyFill="0" applyBorder="0" applyProtection="0">
      <alignment horizontal="left" vertical="center" indent="5"/>
    </xf>
    <xf numFmtId="0" fontId="2" fillId="0" borderId="12" applyNumberFormat="0" applyFill="0" applyAlignment="0" applyProtection="0"/>
    <xf numFmtId="173" fontId="34" fillId="59" borderId="63" applyNumberFormat="0" applyFont="0" applyBorder="0" applyAlignment="0" applyProtection="0">
      <alignment horizontal="right" vertical="center"/>
    </xf>
    <xf numFmtId="0" fontId="26" fillId="14" borderId="0" applyNumberFormat="0" applyBorder="0" applyAlignment="0" applyProtection="0"/>
    <xf numFmtId="0" fontId="62" fillId="55" borderId="59" applyNumberFormat="0" applyAlignment="0" applyProtection="0"/>
    <xf numFmtId="4" fontId="36" fillId="31" borderId="126">
      <alignment horizontal="right" vertical="center"/>
    </xf>
    <xf numFmtId="173" fontId="34" fillId="59" borderId="63" applyNumberFormat="0" applyFont="0" applyBorder="0" applyAlignment="0" applyProtection="0">
      <alignment horizontal="right" vertical="center"/>
    </xf>
    <xf numFmtId="0" fontId="46" fillId="55" borderId="76" applyNumberFormat="0" applyAlignment="0" applyProtection="0"/>
    <xf numFmtId="4" fontId="34" fillId="0" borderId="63">
      <alignment horizontal="right" vertical="center"/>
    </xf>
    <xf numFmtId="0" fontId="46" fillId="55" borderId="60" applyNumberFormat="0" applyAlignment="0" applyProtection="0"/>
    <xf numFmtId="0" fontId="34" fillId="0" borderId="63" applyNumberFormat="0" applyFill="0" applyAlignment="0" applyProtection="0"/>
    <xf numFmtId="0" fontId="26" fillId="26" borderId="0" applyNumberFormat="0" applyBorder="0" applyAlignment="0" applyProtection="0"/>
    <xf numFmtId="0" fontId="34" fillId="0" borderId="63">
      <alignment horizontal="right" vertical="center"/>
    </xf>
    <xf numFmtId="0" fontId="58" fillId="42" borderId="73" applyNumberFormat="0" applyAlignment="0" applyProtection="0"/>
    <xf numFmtId="4" fontId="32" fillId="33" borderId="96">
      <alignment horizontal="right" vertical="center"/>
    </xf>
    <xf numFmtId="49" fontId="34" fillId="0" borderId="68" applyNumberFormat="0" applyFont="0" applyFill="0" applyBorder="0" applyProtection="0">
      <alignment horizontal="left" vertical="center" indent="2"/>
    </xf>
    <xf numFmtId="4" fontId="32" fillId="33" borderId="65">
      <alignment horizontal="right" vertical="center"/>
    </xf>
    <xf numFmtId="4" fontId="34" fillId="0" borderId="63" applyFill="0" applyBorder="0" applyProtection="0">
      <alignment horizontal="right" vertical="center"/>
    </xf>
    <xf numFmtId="0" fontId="34" fillId="32" borderId="63"/>
    <xf numFmtId="0" fontId="65" fillId="0" borderId="61" applyNumberFormat="0" applyFill="0" applyAlignment="0" applyProtection="0"/>
    <xf numFmtId="4" fontId="34" fillId="32" borderId="95"/>
    <xf numFmtId="0" fontId="46" fillId="55" borderId="73" applyNumberFormat="0" applyAlignment="0" applyProtection="0"/>
    <xf numFmtId="0" fontId="12" fillId="15" borderId="0" applyNumberFormat="0" applyBorder="0" applyAlignment="0" applyProtection="0"/>
    <xf numFmtId="0" fontId="12" fillId="30" borderId="0" applyNumberFormat="0" applyBorder="0" applyAlignment="0" applyProtection="0"/>
    <xf numFmtId="0" fontId="34" fillId="0" borderId="68" applyNumberFormat="0" applyFill="0" applyAlignment="0" applyProtection="0"/>
    <xf numFmtId="0" fontId="45" fillId="55" borderId="60" applyNumberFormat="0" applyAlignment="0" applyProtection="0"/>
    <xf numFmtId="0" fontId="34" fillId="31" borderId="109">
      <alignment horizontal="left" vertical="center"/>
    </xf>
    <xf numFmtId="0" fontId="32" fillId="31" borderId="63">
      <alignment horizontal="right" vertical="center"/>
    </xf>
    <xf numFmtId="0" fontId="46" fillId="55" borderId="60" applyNumberFormat="0" applyAlignment="0" applyProtection="0"/>
    <xf numFmtId="0" fontId="34" fillId="0" borderId="98">
      <alignment horizontal="left" vertical="center" wrapText="1" indent="2"/>
    </xf>
    <xf numFmtId="49" fontId="34" fillId="0" borderId="68" applyNumberFormat="0" applyFont="0" applyFill="0" applyBorder="0" applyProtection="0">
      <alignment horizontal="left" vertical="center" indent="2"/>
    </xf>
    <xf numFmtId="4" fontId="34" fillId="0" borderId="95" applyFill="0" applyBorder="0" applyProtection="0">
      <alignment horizontal="right" vertical="center"/>
    </xf>
    <xf numFmtId="0" fontId="12" fillId="24" borderId="0" applyNumberFormat="0" applyBorder="0" applyAlignment="0" applyProtection="0"/>
    <xf numFmtId="0" fontId="32" fillId="33" borderId="64">
      <alignment horizontal="right" vertical="center"/>
    </xf>
    <xf numFmtId="0" fontId="12" fillId="30" borderId="0" applyNumberFormat="0" applyBorder="0" applyAlignment="0" applyProtection="0"/>
    <xf numFmtId="0" fontId="45" fillId="55" borderId="60" applyNumberFormat="0" applyAlignment="0" applyProtection="0"/>
    <xf numFmtId="0" fontId="12" fillId="24" borderId="0" applyNumberFormat="0" applyBorder="0" applyAlignment="0" applyProtection="0"/>
    <xf numFmtId="0" fontId="26" fillId="13" borderId="0" applyNumberFormat="0" applyBorder="0" applyAlignment="0" applyProtection="0"/>
    <xf numFmtId="0" fontId="45" fillId="55" borderId="60" applyNumberFormat="0" applyAlignment="0" applyProtection="0"/>
    <xf numFmtId="4" fontId="32" fillId="33" borderId="63">
      <alignment horizontal="right" vertical="center"/>
    </xf>
    <xf numFmtId="4" fontId="36" fillId="31" borderId="63">
      <alignment horizontal="right" vertical="center"/>
    </xf>
    <xf numFmtId="0" fontId="58" fillId="42" borderId="60" applyNumberFormat="0" applyAlignment="0" applyProtection="0"/>
    <xf numFmtId="0" fontId="26" fillId="19" borderId="0" applyNumberFormat="0" applyBorder="0" applyAlignment="0" applyProtection="0"/>
    <xf numFmtId="0" fontId="26" fillId="29" borderId="0" applyNumberFormat="0" applyBorder="0" applyAlignment="0" applyProtection="0"/>
    <xf numFmtId="0" fontId="36" fillId="31" borderId="63">
      <alignment horizontal="right" vertical="center"/>
    </xf>
    <xf numFmtId="0" fontId="26" fillId="29" borderId="0" applyNumberFormat="0" applyBorder="0" applyAlignment="0" applyProtection="0"/>
    <xf numFmtId="49" fontId="34" fillId="0" borderId="80" applyNumberFormat="0" applyFont="0" applyFill="0" applyBorder="0" applyProtection="0">
      <alignment horizontal="left" vertical="center" indent="5"/>
    </xf>
    <xf numFmtId="0" fontId="36" fillId="31" borderId="68">
      <alignment horizontal="right" vertical="center"/>
    </xf>
    <xf numFmtId="49" fontId="34" fillId="0" borderId="63" applyNumberFormat="0" applyFont="0" applyFill="0" applyBorder="0" applyProtection="0">
      <alignment horizontal="left" vertical="center" indent="2"/>
    </xf>
    <xf numFmtId="173" fontId="34" fillId="59" borderId="63" applyNumberFormat="0" applyFont="0" applyBorder="0" applyAlignment="0" applyProtection="0">
      <alignment horizontal="right" vertical="center"/>
    </xf>
    <xf numFmtId="0" fontId="65" fillId="0" borderId="74" applyNumberFormat="0" applyFill="0" applyAlignment="0" applyProtection="0"/>
    <xf numFmtId="0" fontId="65" fillId="0" borderId="93" applyNumberFormat="0" applyFill="0" applyAlignment="0" applyProtection="0"/>
    <xf numFmtId="0" fontId="34" fillId="31" borderId="69">
      <alignment horizontal="left" vertical="center"/>
    </xf>
    <xf numFmtId="4" fontId="32" fillId="33" borderId="68">
      <alignment horizontal="right" vertical="center"/>
    </xf>
    <xf numFmtId="0" fontId="36" fillId="31" borderId="63">
      <alignment horizontal="right" vertical="center"/>
    </xf>
    <xf numFmtId="0" fontId="32" fillId="33" borderId="70">
      <alignment horizontal="right" vertical="center"/>
    </xf>
    <xf numFmtId="4" fontId="32" fillId="33" borderId="68">
      <alignment horizontal="right" vertical="center"/>
    </xf>
    <xf numFmtId="49" fontId="34" fillId="0" borderId="63" applyNumberFormat="0" applyFont="0" applyFill="0" applyBorder="0" applyProtection="0">
      <alignment horizontal="left" vertical="center" indent="2"/>
    </xf>
    <xf numFmtId="49" fontId="34" fillId="0" borderId="63" applyNumberFormat="0" applyFont="0" applyFill="0" applyBorder="0" applyProtection="0">
      <alignment horizontal="left" vertical="center" indent="2"/>
    </xf>
    <xf numFmtId="0" fontId="26" fillId="22" borderId="0" applyNumberFormat="0" applyBorder="0" applyAlignment="0" applyProtection="0"/>
    <xf numFmtId="4" fontId="34" fillId="0" borderId="87" applyFill="0" applyBorder="0" applyProtection="0">
      <alignment horizontal="right" vertical="center"/>
    </xf>
    <xf numFmtId="0" fontId="34" fillId="33" borderId="82">
      <alignment horizontal="left" vertical="center" wrapText="1" indent="2"/>
    </xf>
    <xf numFmtId="0" fontId="34" fillId="0" borderId="63" applyNumberFormat="0" applyFill="0" applyAlignment="0" applyProtection="0"/>
    <xf numFmtId="0" fontId="26" fillId="25" borderId="0" applyNumberFormat="0" applyBorder="0" applyAlignment="0" applyProtection="0"/>
    <xf numFmtId="0" fontId="34" fillId="31" borderId="96">
      <alignment horizontal="left" vertical="center"/>
    </xf>
    <xf numFmtId="49" fontId="34" fillId="0" borderId="64" applyNumberFormat="0" applyFont="0" applyFill="0" applyBorder="0" applyProtection="0">
      <alignment horizontal="left" vertical="center" indent="5"/>
    </xf>
    <xf numFmtId="0" fontId="46" fillId="55" borderId="60" applyNumberFormat="0" applyAlignment="0" applyProtection="0"/>
    <xf numFmtId="173" fontId="34" fillId="59" borderId="79" applyNumberFormat="0" applyFont="0" applyBorder="0" applyAlignment="0" applyProtection="0">
      <alignment horizontal="right" vertical="center"/>
    </xf>
    <xf numFmtId="0" fontId="58" fillId="42" borderId="76" applyNumberFormat="0" applyAlignment="0" applyProtection="0"/>
    <xf numFmtId="4" fontId="32" fillId="33" borderId="64">
      <alignment horizontal="right" vertical="center"/>
    </xf>
    <xf numFmtId="0" fontId="26" fillId="16" borderId="0" applyNumberFormat="0" applyBorder="0" applyAlignment="0" applyProtection="0"/>
    <xf numFmtId="0" fontId="12" fillId="15" borderId="0" applyNumberFormat="0" applyBorder="0" applyAlignment="0" applyProtection="0"/>
    <xf numFmtId="49" fontId="33" fillId="0" borderId="63" applyNumberFormat="0" applyFill="0" applyBorder="0" applyProtection="0">
      <alignment horizontal="left" vertical="center"/>
    </xf>
    <xf numFmtId="4" fontId="32" fillId="33" borderId="64">
      <alignment horizontal="right" vertical="center"/>
    </xf>
    <xf numFmtId="0" fontId="32" fillId="33" borderId="120">
      <alignment horizontal="right" vertical="center"/>
    </xf>
    <xf numFmtId="0" fontId="12" fillId="21" borderId="0" applyNumberFormat="0" applyBorder="0" applyAlignment="0" applyProtection="0"/>
    <xf numFmtId="0" fontId="46" fillId="55" borderId="73" applyNumberFormat="0" applyAlignment="0" applyProtection="0"/>
    <xf numFmtId="0" fontId="34" fillId="0" borderId="98">
      <alignment horizontal="left" vertical="center" wrapText="1" indent="2"/>
    </xf>
    <xf numFmtId="0" fontId="32" fillId="33" borderId="63">
      <alignment horizontal="right" vertical="center"/>
    </xf>
    <xf numFmtId="4" fontId="34" fillId="0" borderId="95" applyFill="0" applyBorder="0" applyProtection="0">
      <alignment horizontal="right" vertical="center"/>
    </xf>
    <xf numFmtId="0" fontId="58" fillId="42" borderId="60" applyNumberFormat="0" applyAlignment="0" applyProtection="0"/>
    <xf numFmtId="0" fontId="45" fillId="55" borderId="60" applyNumberFormat="0" applyAlignment="0" applyProtection="0"/>
    <xf numFmtId="0" fontId="5" fillId="58" borderId="62" applyNumberFormat="0" applyFont="0" applyAlignment="0" applyProtection="0"/>
    <xf numFmtId="0" fontId="46" fillId="55" borderId="73" applyNumberFormat="0" applyAlignment="0" applyProtection="0"/>
    <xf numFmtId="0" fontId="40" fillId="58" borderId="62" applyNumberFormat="0" applyFont="0" applyAlignment="0" applyProtection="0"/>
    <xf numFmtId="0" fontId="12" fillId="18" borderId="0" applyNumberFormat="0" applyBorder="0" applyAlignment="0" applyProtection="0"/>
    <xf numFmtId="0" fontId="32" fillId="33" borderId="63">
      <alignment horizontal="right" vertical="center"/>
    </xf>
    <xf numFmtId="4" fontId="32" fillId="33" borderId="63">
      <alignment horizontal="right" vertical="center"/>
    </xf>
    <xf numFmtId="0" fontId="12" fillId="18" borderId="0" applyNumberFormat="0" applyBorder="0" applyAlignment="0" applyProtection="0"/>
    <xf numFmtId="4" fontId="32" fillId="33" borderId="96">
      <alignment horizontal="right" vertical="center"/>
    </xf>
    <xf numFmtId="173" fontId="34" fillId="59" borderId="108" applyNumberFormat="0" applyFont="0" applyBorder="0" applyAlignment="0" applyProtection="0">
      <alignment horizontal="right" vertical="center"/>
    </xf>
    <xf numFmtId="0" fontId="34" fillId="33" borderId="71">
      <alignment horizontal="left" vertical="center" wrapText="1" indent="2"/>
    </xf>
    <xf numFmtId="0" fontId="58" fillId="42" borderId="84" applyNumberFormat="0" applyAlignment="0" applyProtection="0"/>
    <xf numFmtId="0" fontId="2" fillId="0" borderId="12" applyNumberFormat="0" applyFill="0" applyAlignment="0" applyProtection="0"/>
    <xf numFmtId="0" fontId="12" fillId="21" borderId="0" applyNumberFormat="0" applyBorder="0" applyAlignment="0" applyProtection="0"/>
    <xf numFmtId="0" fontId="40" fillId="58" borderId="107" applyNumberFormat="0" applyFont="0" applyAlignment="0" applyProtection="0"/>
    <xf numFmtId="0" fontId="34" fillId="33" borderId="90">
      <alignment horizontal="left" vertical="center" wrapText="1" indent="2"/>
    </xf>
    <xf numFmtId="0" fontId="32" fillId="31" borderId="63">
      <alignment horizontal="right" vertical="center"/>
    </xf>
    <xf numFmtId="0" fontId="26" fillId="13" borderId="0" applyNumberFormat="0" applyBorder="0" applyAlignment="0" applyProtection="0"/>
    <xf numFmtId="0" fontId="34" fillId="0" borderId="63">
      <alignment horizontal="right" vertical="center"/>
    </xf>
    <xf numFmtId="4" fontId="32" fillId="33" borderId="65">
      <alignment horizontal="right" vertical="center"/>
    </xf>
    <xf numFmtId="49" fontId="33" fillId="0" borderId="63" applyNumberFormat="0" applyFill="0" applyBorder="0" applyProtection="0">
      <alignment horizontal="left" vertical="center"/>
    </xf>
    <xf numFmtId="0" fontId="34" fillId="0" borderId="66">
      <alignment horizontal="left" vertical="center" wrapText="1" indent="2"/>
    </xf>
    <xf numFmtId="49" fontId="33" fillId="0" borderId="63" applyNumberFormat="0" applyFill="0" applyBorder="0" applyProtection="0">
      <alignment horizontal="left" vertical="center"/>
    </xf>
    <xf numFmtId="0" fontId="32" fillId="33" borderId="68">
      <alignment horizontal="right" vertical="center"/>
    </xf>
    <xf numFmtId="0" fontId="12" fillId="18" borderId="0" applyNumberFormat="0" applyBorder="0" applyAlignment="0" applyProtection="0"/>
    <xf numFmtId="0" fontId="28" fillId="12" borderId="11" applyNumberFormat="0" applyAlignment="0" applyProtection="0"/>
    <xf numFmtId="0" fontId="58" fillId="42" borderId="92" applyNumberFormat="0" applyAlignment="0" applyProtection="0"/>
    <xf numFmtId="173" fontId="34" fillId="59" borderId="68" applyNumberFormat="0" applyFont="0" applyBorder="0" applyAlignment="0" applyProtection="0">
      <alignment horizontal="right" vertical="center"/>
    </xf>
    <xf numFmtId="0" fontId="34" fillId="33" borderId="66">
      <alignment horizontal="left" vertical="center" wrapText="1" indent="2"/>
    </xf>
    <xf numFmtId="0" fontId="26" fillId="23" borderId="0" applyNumberFormat="0" applyBorder="0" applyAlignment="0" applyProtection="0"/>
    <xf numFmtId="173" fontId="34" fillId="59" borderId="95" applyNumberFormat="0" applyFont="0" applyBorder="0" applyAlignment="0" applyProtection="0">
      <alignment horizontal="right" vertical="center"/>
    </xf>
    <xf numFmtId="0" fontId="34" fillId="31" borderId="96">
      <alignment horizontal="left" vertical="center"/>
    </xf>
    <xf numFmtId="0" fontId="65" fillId="0" borderId="74" applyNumberFormat="0" applyFill="0" applyAlignment="0" applyProtection="0"/>
    <xf numFmtId="4" fontId="34" fillId="0" borderId="63">
      <alignment horizontal="right" vertical="center"/>
    </xf>
    <xf numFmtId="0" fontId="32" fillId="31" borderId="95">
      <alignment horizontal="right" vertical="center"/>
    </xf>
    <xf numFmtId="0" fontId="34" fillId="0" borderId="63">
      <alignment horizontal="right" vertical="center"/>
    </xf>
    <xf numFmtId="4" fontId="34" fillId="32" borderId="68"/>
    <xf numFmtId="0" fontId="34" fillId="0" borderId="71">
      <alignment horizontal="left" vertical="center" wrapText="1" indent="2"/>
    </xf>
    <xf numFmtId="0" fontId="29" fillId="12" borderId="10" applyNumberFormat="0" applyAlignment="0" applyProtection="0"/>
    <xf numFmtId="49" fontId="34" fillId="0" borderId="95" applyNumberFormat="0" applyFont="0" applyFill="0" applyBorder="0" applyProtection="0">
      <alignment horizontal="left" vertical="center" indent="2"/>
    </xf>
    <xf numFmtId="49" fontId="34" fillId="0" borderId="64" applyNumberFormat="0" applyFont="0" applyFill="0" applyBorder="0" applyProtection="0">
      <alignment horizontal="left" vertical="center" indent="5"/>
    </xf>
    <xf numFmtId="0" fontId="40" fillId="58" borderId="117" applyNumberFormat="0" applyFont="0" applyAlignment="0" applyProtection="0"/>
    <xf numFmtId="4" fontId="32" fillId="33" borderId="110">
      <alignment horizontal="right" vertical="center"/>
    </xf>
    <xf numFmtId="0" fontId="26" fillId="22" borderId="0" applyNumberFormat="0" applyBorder="0" applyAlignment="0" applyProtection="0"/>
    <xf numFmtId="49" fontId="34" fillId="0" borderId="88" applyNumberFormat="0" applyFont="0" applyFill="0" applyBorder="0" applyProtection="0">
      <alignment horizontal="left" vertical="center" indent="5"/>
    </xf>
    <xf numFmtId="0" fontId="34" fillId="31" borderId="64">
      <alignment horizontal="left" vertical="center"/>
    </xf>
    <xf numFmtId="0" fontId="34" fillId="0" borderId="66">
      <alignment horizontal="left" vertical="center" wrapText="1" indent="2"/>
    </xf>
    <xf numFmtId="0" fontId="62" fillId="55" borderId="72" applyNumberFormat="0" applyAlignment="0" applyProtection="0"/>
    <xf numFmtId="0" fontId="34" fillId="32" borderId="68"/>
    <xf numFmtId="0" fontId="50" fillId="0" borderId="93" applyNumberFormat="0" applyFill="0" applyAlignment="0" applyProtection="0"/>
    <xf numFmtId="0" fontId="62" fillId="55" borderId="59" applyNumberFormat="0" applyAlignment="0" applyProtection="0"/>
    <xf numFmtId="0" fontId="26" fillId="17" borderId="0" applyNumberFormat="0" applyBorder="0" applyAlignment="0" applyProtection="0"/>
    <xf numFmtId="0" fontId="26" fillId="19" borderId="0" applyNumberFormat="0" applyBorder="0" applyAlignment="0" applyProtection="0"/>
    <xf numFmtId="0" fontId="65" fillId="0" borderId="93" applyNumberFormat="0" applyFill="0" applyAlignment="0" applyProtection="0"/>
    <xf numFmtId="0" fontId="65" fillId="0" borderId="74" applyNumberFormat="0" applyFill="0" applyAlignment="0" applyProtection="0"/>
    <xf numFmtId="0" fontId="26" fillId="20" borderId="0" applyNumberFormat="0" applyBorder="0" applyAlignment="0" applyProtection="0"/>
    <xf numFmtId="4" fontId="32" fillId="33" borderId="69">
      <alignment horizontal="right" vertical="center"/>
    </xf>
    <xf numFmtId="0" fontId="50" fillId="0" borderId="74" applyNumberFormat="0" applyFill="0" applyAlignment="0" applyProtection="0"/>
    <xf numFmtId="0" fontId="32" fillId="31" borderId="63">
      <alignment horizontal="right" vertical="center"/>
    </xf>
    <xf numFmtId="0" fontId="50" fillId="0" borderId="61" applyNumberFormat="0" applyFill="0" applyAlignment="0" applyProtection="0"/>
    <xf numFmtId="0" fontId="34" fillId="0" borderId="63" applyNumberFormat="0" applyFill="0" applyAlignment="0" applyProtection="0"/>
    <xf numFmtId="0" fontId="50" fillId="0" borderId="61" applyNumberFormat="0" applyFill="0" applyAlignment="0" applyProtection="0"/>
    <xf numFmtId="4" fontId="34" fillId="0" borderId="63" applyFill="0" applyBorder="0" applyProtection="0">
      <alignment horizontal="right" vertical="center"/>
    </xf>
    <xf numFmtId="49" fontId="34" fillId="0" borderId="64" applyNumberFormat="0" applyFont="0" applyFill="0" applyBorder="0" applyProtection="0">
      <alignment horizontal="left" vertical="center" indent="5"/>
    </xf>
    <xf numFmtId="0" fontId="34" fillId="0" borderId="63" applyNumberFormat="0" applyFill="0" applyAlignment="0" applyProtection="0"/>
    <xf numFmtId="0" fontId="12" fillId="15" borderId="0" applyNumberFormat="0" applyBorder="0" applyAlignment="0" applyProtection="0"/>
    <xf numFmtId="0" fontId="34" fillId="0" borderId="63" applyNumberFormat="0" applyFill="0" applyAlignment="0" applyProtection="0"/>
    <xf numFmtId="0" fontId="62" fillId="55" borderId="72" applyNumberFormat="0" applyAlignment="0" applyProtection="0"/>
    <xf numFmtId="4" fontId="34" fillId="32" borderId="68"/>
    <xf numFmtId="4" fontId="32" fillId="33" borderId="63">
      <alignment horizontal="right" vertical="center"/>
    </xf>
    <xf numFmtId="173" fontId="34" fillId="59" borderId="95" applyNumberFormat="0" applyFont="0" applyBorder="0" applyAlignment="0" applyProtection="0">
      <alignment horizontal="right" vertical="center"/>
    </xf>
    <xf numFmtId="0" fontId="34" fillId="31" borderId="69">
      <alignment horizontal="left" vertical="center"/>
    </xf>
    <xf numFmtId="0" fontId="12" fillId="18" borderId="0" applyNumberFormat="0" applyBorder="0" applyAlignment="0" applyProtection="0"/>
    <xf numFmtId="0" fontId="26" fillId="20" borderId="0" applyNumberFormat="0" applyBorder="0" applyAlignment="0" applyProtection="0"/>
    <xf numFmtId="0" fontId="49" fillId="42" borderId="60" applyNumberFormat="0" applyAlignment="0" applyProtection="0"/>
    <xf numFmtId="0" fontId="46" fillId="55" borderId="60" applyNumberFormat="0" applyAlignment="0" applyProtection="0"/>
    <xf numFmtId="4" fontId="34" fillId="0" borderId="63">
      <alignment horizontal="right" vertical="center"/>
    </xf>
    <xf numFmtId="0" fontId="34" fillId="33" borderId="66">
      <alignment horizontal="left" vertical="center" wrapText="1" indent="2"/>
    </xf>
    <xf numFmtId="0" fontId="34" fillId="0" borderId="66">
      <alignment horizontal="left" vertical="center" wrapText="1" indent="2"/>
    </xf>
    <xf numFmtId="0" fontId="62" fillId="55" borderId="59" applyNumberFormat="0" applyAlignment="0" applyProtection="0"/>
    <xf numFmtId="0" fontId="58" fillId="42" borderId="60" applyNumberFormat="0" applyAlignment="0" applyProtection="0"/>
    <xf numFmtId="0" fontId="45" fillId="55" borderId="60" applyNumberFormat="0" applyAlignment="0" applyProtection="0"/>
    <xf numFmtId="0" fontId="43" fillId="55" borderId="59" applyNumberFormat="0" applyAlignment="0" applyProtection="0"/>
    <xf numFmtId="0" fontId="32" fillId="33" borderId="65">
      <alignment horizontal="right" vertical="center"/>
    </xf>
    <xf numFmtId="0" fontId="36" fillId="31" borderId="63">
      <alignment horizontal="right" vertical="center"/>
    </xf>
    <xf numFmtId="4" fontId="32" fillId="31" borderId="63">
      <alignment horizontal="right" vertical="center"/>
    </xf>
    <xf numFmtId="4" fontId="32" fillId="33" borderId="63">
      <alignment horizontal="right" vertical="center"/>
    </xf>
    <xf numFmtId="49" fontId="34" fillId="0" borderId="64" applyNumberFormat="0" applyFont="0" applyFill="0" applyBorder="0" applyProtection="0">
      <alignment horizontal="left" vertical="center" indent="5"/>
    </xf>
    <xf numFmtId="4" fontId="34" fillId="0" borderId="63" applyFill="0" applyBorder="0" applyProtection="0">
      <alignment horizontal="right" vertical="center"/>
    </xf>
    <xf numFmtId="4" fontId="32" fillId="31" borderId="63">
      <alignment horizontal="right" vertical="center"/>
    </xf>
    <xf numFmtId="0" fontId="58" fillId="42" borderId="60" applyNumberFormat="0" applyAlignment="0" applyProtection="0"/>
    <xf numFmtId="0" fontId="49" fillId="42" borderId="60" applyNumberFormat="0" applyAlignment="0" applyProtection="0"/>
    <xf numFmtId="0" fontId="45" fillId="55" borderId="60" applyNumberFormat="0" applyAlignment="0" applyProtection="0"/>
    <xf numFmtId="0" fontId="34" fillId="33" borderId="66">
      <alignment horizontal="left" vertical="center" wrapText="1" indent="2"/>
    </xf>
    <xf numFmtId="0" fontId="34" fillId="0" borderId="66">
      <alignment horizontal="left" vertical="center" wrapText="1" indent="2"/>
    </xf>
    <xf numFmtId="0" fontId="34" fillId="33" borderId="66">
      <alignment horizontal="left" vertical="center" wrapText="1" indent="2"/>
    </xf>
    <xf numFmtId="4" fontId="32" fillId="33" borderId="109">
      <alignment horizontal="right" vertical="center"/>
    </xf>
    <xf numFmtId="0" fontId="46" fillId="55" borderId="100" applyNumberFormat="0" applyAlignment="0" applyProtection="0"/>
    <xf numFmtId="0" fontId="34" fillId="31" borderId="119">
      <alignment horizontal="left" vertical="center"/>
    </xf>
    <xf numFmtId="49" fontId="34" fillId="0" borderId="69" applyNumberFormat="0" applyFont="0" applyFill="0" applyBorder="0" applyProtection="0">
      <alignment horizontal="left" vertical="center" indent="5"/>
    </xf>
    <xf numFmtId="0" fontId="62" fillId="55" borderId="72" applyNumberFormat="0" applyAlignment="0" applyProtection="0"/>
    <xf numFmtId="4" fontId="32" fillId="33" borderId="96">
      <alignment horizontal="right" vertical="center"/>
    </xf>
    <xf numFmtId="4" fontId="34" fillId="0" borderId="95">
      <alignment horizontal="right" vertical="center"/>
    </xf>
    <xf numFmtId="0" fontId="34" fillId="31" borderId="69">
      <alignment horizontal="left" vertical="center"/>
    </xf>
    <xf numFmtId="0" fontId="26" fillId="29" borderId="0" applyNumberFormat="0" applyBorder="0" applyAlignment="0" applyProtection="0"/>
    <xf numFmtId="0" fontId="50" fillId="0" borderId="74" applyNumberFormat="0" applyFill="0" applyAlignment="0" applyProtection="0"/>
    <xf numFmtId="4" fontId="36" fillId="31" borderId="68">
      <alignment horizontal="right" vertical="center"/>
    </xf>
    <xf numFmtId="0" fontId="40" fillId="58" borderId="67" applyNumberFormat="0" applyFont="0" applyAlignment="0" applyProtection="0"/>
    <xf numFmtId="0" fontId="65" fillId="0" borderId="85" applyNumberFormat="0" applyFill="0" applyAlignment="0" applyProtection="0"/>
    <xf numFmtId="0" fontId="12" fillId="18" borderId="0" applyNumberFormat="0" applyBorder="0" applyAlignment="0" applyProtection="0"/>
    <xf numFmtId="0" fontId="49" fillId="42" borderId="92" applyNumberFormat="0" applyAlignment="0" applyProtection="0"/>
    <xf numFmtId="0" fontId="65" fillId="0" borderId="93" applyNumberFormat="0" applyFill="0" applyAlignment="0" applyProtection="0"/>
    <xf numFmtId="0" fontId="26" fillId="29" borderId="0" applyNumberFormat="0" applyBorder="0" applyAlignment="0" applyProtection="0"/>
    <xf numFmtId="0" fontId="29" fillId="12" borderId="10" applyNumberFormat="0" applyAlignment="0" applyProtection="0"/>
    <xf numFmtId="0" fontId="32" fillId="33" borderId="69">
      <alignment horizontal="right" vertical="center"/>
    </xf>
    <xf numFmtId="0" fontId="26" fillId="17" borderId="0" applyNumberFormat="0" applyBorder="0" applyAlignment="0" applyProtection="0"/>
    <xf numFmtId="0" fontId="34" fillId="33" borderId="71">
      <alignment horizontal="left" vertical="center" wrapText="1" indent="2"/>
    </xf>
    <xf numFmtId="0" fontId="32" fillId="31" borderId="68">
      <alignment horizontal="right" vertical="center"/>
    </xf>
    <xf numFmtId="0" fontId="49" fillId="42" borderId="73" applyNumberFormat="0" applyAlignment="0" applyProtection="0"/>
    <xf numFmtId="173" fontId="34" fillId="59" borderId="68" applyNumberFormat="0" applyFont="0" applyBorder="0" applyAlignment="0" applyProtection="0">
      <alignment horizontal="right" vertical="center"/>
    </xf>
    <xf numFmtId="0" fontId="46" fillId="55" borderId="73" applyNumberFormat="0" applyAlignment="0" applyProtection="0"/>
    <xf numFmtId="4" fontId="34" fillId="0" borderId="79">
      <alignment horizontal="right" vertical="center"/>
    </xf>
    <xf numFmtId="0" fontId="34" fillId="32" borderId="118"/>
    <xf numFmtId="0" fontId="58" fillId="42" borderId="76" applyNumberFormat="0" applyAlignment="0" applyProtection="0"/>
    <xf numFmtId="0" fontId="45" fillId="55" borderId="73" applyNumberFormat="0" applyAlignment="0" applyProtection="0"/>
    <xf numFmtId="0" fontId="26" fillId="22" borderId="0" applyNumberFormat="0" applyBorder="0" applyAlignment="0" applyProtection="0"/>
    <xf numFmtId="0" fontId="45" fillId="55" borderId="73" applyNumberFormat="0" applyAlignment="0" applyProtection="0"/>
    <xf numFmtId="0" fontId="34" fillId="0" borderId="108">
      <alignment horizontal="right" vertical="center"/>
    </xf>
    <xf numFmtId="0" fontId="26" fillId="16" borderId="0" applyNumberFormat="0" applyBorder="0" applyAlignment="0" applyProtection="0"/>
    <xf numFmtId="0" fontId="32" fillId="33" borderId="96">
      <alignment horizontal="right" vertical="center"/>
    </xf>
    <xf numFmtId="4" fontId="32" fillId="31" borderId="68">
      <alignment horizontal="right" vertical="center"/>
    </xf>
    <xf numFmtId="0" fontId="34" fillId="0" borderId="68" applyNumberFormat="0" applyFill="0" applyAlignment="0" applyProtection="0"/>
    <xf numFmtId="4" fontId="34" fillId="0" borderId="118" applyFill="0" applyBorder="0" applyProtection="0">
      <alignment horizontal="right" vertical="center"/>
    </xf>
    <xf numFmtId="0" fontId="32" fillId="31" borderId="79">
      <alignment horizontal="right" vertical="center"/>
    </xf>
    <xf numFmtId="0" fontId="26" fillId="20" borderId="0" applyNumberFormat="0" applyBorder="0" applyAlignment="0" applyProtection="0"/>
    <xf numFmtId="49" fontId="34" fillId="0" borderId="108" applyNumberFormat="0" applyFont="0" applyFill="0" applyBorder="0" applyProtection="0">
      <alignment horizontal="left" vertical="center" indent="2"/>
    </xf>
    <xf numFmtId="0" fontId="32" fillId="33" borderId="95">
      <alignment horizontal="right" vertical="center"/>
    </xf>
    <xf numFmtId="0" fontId="26" fillId="29" borderId="0" applyNumberFormat="0" applyBorder="0" applyAlignment="0" applyProtection="0"/>
    <xf numFmtId="0" fontId="34" fillId="31" borderId="69">
      <alignment horizontal="left" vertical="center"/>
    </xf>
    <xf numFmtId="0" fontId="45" fillId="55" borderId="113" applyNumberFormat="0" applyAlignment="0" applyProtection="0"/>
    <xf numFmtId="4" fontId="34" fillId="0" borderId="68">
      <alignment horizontal="right" vertical="center"/>
    </xf>
    <xf numFmtId="0" fontId="50" fillId="0" borderId="114" applyNumberFormat="0" applyFill="0" applyAlignment="0" applyProtection="0"/>
    <xf numFmtId="0" fontId="62" fillId="55" borderId="72" applyNumberFormat="0" applyAlignment="0" applyProtection="0"/>
    <xf numFmtId="0" fontId="34" fillId="31" borderId="96">
      <alignment horizontal="left" vertical="center"/>
    </xf>
    <xf numFmtId="0" fontId="26" fillId="13" borderId="0" applyNumberFormat="0" applyBorder="0" applyAlignment="0" applyProtection="0"/>
    <xf numFmtId="0" fontId="34" fillId="0" borderId="95">
      <alignment horizontal="right" vertical="center"/>
    </xf>
    <xf numFmtId="0" fontId="30" fillId="0" borderId="0" applyNumberFormat="0" applyFill="0" applyBorder="0" applyAlignment="0" applyProtection="0"/>
    <xf numFmtId="4" fontId="34" fillId="32" borderId="95"/>
    <xf numFmtId="0" fontId="29" fillId="12" borderId="10" applyNumberFormat="0" applyAlignment="0" applyProtection="0"/>
    <xf numFmtId="4" fontId="32" fillId="33" borderId="70">
      <alignment horizontal="right" vertical="center"/>
    </xf>
    <xf numFmtId="0" fontId="32" fillId="33" borderId="68">
      <alignment horizontal="right" vertical="center"/>
    </xf>
    <xf numFmtId="173" fontId="34" fillId="59" borderId="103" applyNumberFormat="0" applyFont="0" applyBorder="0" applyAlignment="0" applyProtection="0">
      <alignment horizontal="right" vertical="center"/>
    </xf>
    <xf numFmtId="0" fontId="58" fillId="42" borderId="73" applyNumberFormat="0" applyAlignment="0" applyProtection="0"/>
    <xf numFmtId="0" fontId="32" fillId="33" borderId="68">
      <alignment horizontal="right" vertical="center"/>
    </xf>
    <xf numFmtId="0" fontId="34" fillId="0" borderId="71">
      <alignment horizontal="left" vertical="center" wrapText="1" indent="2"/>
    </xf>
    <xf numFmtId="4" fontId="34" fillId="0" borderId="95">
      <alignment horizontal="right" vertical="center"/>
    </xf>
    <xf numFmtId="49" fontId="34" fillId="0" borderId="68" applyNumberFormat="0" applyFont="0" applyFill="0" applyBorder="0" applyProtection="0">
      <alignment horizontal="left" vertical="center" indent="2"/>
    </xf>
    <xf numFmtId="0" fontId="46" fillId="55" borderId="73" applyNumberFormat="0" applyAlignment="0" applyProtection="0"/>
    <xf numFmtId="4" fontId="34" fillId="0" borderId="68" applyFill="0" applyBorder="0" applyProtection="0">
      <alignment horizontal="right" vertical="center"/>
    </xf>
    <xf numFmtId="0" fontId="26" fillId="28" borderId="0" applyNumberFormat="0" applyBorder="0" applyAlignment="0" applyProtection="0"/>
    <xf numFmtId="4" fontId="32" fillId="33" borderId="68">
      <alignment horizontal="right" vertical="center"/>
    </xf>
    <xf numFmtId="0" fontId="45" fillId="55" borderId="73" applyNumberFormat="0" applyAlignment="0" applyProtection="0"/>
    <xf numFmtId="0" fontId="26" fillId="20" borderId="0" applyNumberFormat="0" applyBorder="0" applyAlignment="0" applyProtection="0"/>
    <xf numFmtId="0" fontId="12" fillId="24" borderId="0" applyNumberFormat="0" applyBorder="0" applyAlignment="0" applyProtection="0"/>
    <xf numFmtId="0" fontId="58" fillId="42" borderId="123" applyNumberFormat="0" applyAlignment="0" applyProtection="0"/>
    <xf numFmtId="0" fontId="2" fillId="0" borderId="12" applyNumberFormat="0" applyFill="0" applyAlignment="0" applyProtection="0"/>
    <xf numFmtId="4" fontId="34" fillId="0" borderId="68">
      <alignment horizontal="right" vertical="center"/>
    </xf>
    <xf numFmtId="0" fontId="65" fillId="0" borderId="74" applyNumberFormat="0" applyFill="0" applyAlignment="0" applyProtection="0"/>
    <xf numFmtId="0" fontId="12" fillId="27" borderId="0" applyNumberFormat="0" applyBorder="0" applyAlignment="0" applyProtection="0"/>
    <xf numFmtId="0" fontId="65" fillId="0" borderId="77" applyNumberFormat="0" applyFill="0" applyAlignment="0" applyProtection="0"/>
    <xf numFmtId="0" fontId="46" fillId="55" borderId="76" applyNumberFormat="0" applyAlignment="0" applyProtection="0"/>
    <xf numFmtId="0" fontId="26" fillId="25" borderId="0" applyNumberFormat="0" applyBorder="0" applyAlignment="0" applyProtection="0"/>
    <xf numFmtId="4" fontId="32" fillId="33" borderId="69">
      <alignment horizontal="right" vertical="center"/>
    </xf>
    <xf numFmtId="0" fontId="30" fillId="0" borderId="0" applyNumberFormat="0" applyFill="0" applyBorder="0" applyAlignment="0" applyProtection="0"/>
    <xf numFmtId="4" fontId="32" fillId="33" borderId="95">
      <alignment horizontal="right" vertical="center"/>
    </xf>
    <xf numFmtId="49" fontId="34" fillId="0" borderId="69" applyNumberFormat="0" applyFont="0" applyFill="0" applyBorder="0" applyProtection="0">
      <alignment horizontal="left" vertical="center" indent="5"/>
    </xf>
    <xf numFmtId="0" fontId="46" fillId="55" borderId="73" applyNumberFormat="0" applyAlignment="0" applyProtection="0"/>
    <xf numFmtId="0" fontId="32" fillId="33" borderId="103">
      <alignment horizontal="right" vertical="center"/>
    </xf>
    <xf numFmtId="4" fontId="32" fillId="31" borderId="68">
      <alignment horizontal="right" vertical="center"/>
    </xf>
    <xf numFmtId="4" fontId="32" fillId="33" borderId="97">
      <alignment horizontal="right" vertical="center"/>
    </xf>
    <xf numFmtId="0" fontId="45" fillId="55" borderId="73" applyNumberFormat="0" applyAlignment="0" applyProtection="0"/>
    <xf numFmtId="0" fontId="12" fillId="27" borderId="0" applyNumberFormat="0" applyBorder="0" applyAlignment="0" applyProtection="0"/>
    <xf numFmtId="0" fontId="46" fillId="55" borderId="73" applyNumberFormat="0" applyAlignment="0" applyProtection="0"/>
    <xf numFmtId="0" fontId="30" fillId="0" borderId="0" applyNumberFormat="0" applyFill="0" applyBorder="0" applyAlignment="0" applyProtection="0"/>
    <xf numFmtId="49" fontId="34" fillId="0" borderId="68" applyNumberFormat="0" applyFont="0" applyFill="0" applyBorder="0" applyProtection="0">
      <alignment horizontal="left" vertical="center" indent="2"/>
    </xf>
    <xf numFmtId="0" fontId="12" fillId="24" borderId="0" applyNumberFormat="0" applyBorder="0" applyAlignment="0" applyProtection="0"/>
    <xf numFmtId="0" fontId="65" fillId="0" borderId="74" applyNumberFormat="0" applyFill="0" applyAlignment="0" applyProtection="0"/>
    <xf numFmtId="0" fontId="32" fillId="33" borderId="68">
      <alignment horizontal="right" vertical="center"/>
    </xf>
    <xf numFmtId="0" fontId="32" fillId="31" borderId="95">
      <alignment horizontal="right" vertical="center"/>
    </xf>
    <xf numFmtId="0" fontId="62" fillId="55" borderId="72" applyNumberFormat="0" applyAlignment="0" applyProtection="0"/>
    <xf numFmtId="0" fontId="36" fillId="31" borderId="68">
      <alignment horizontal="right" vertical="center"/>
    </xf>
    <xf numFmtId="0" fontId="32" fillId="31" borderId="95">
      <alignment horizontal="right" vertical="center"/>
    </xf>
    <xf numFmtId="0" fontId="26" fillId="29" borderId="0" applyNumberFormat="0" applyBorder="0" applyAlignment="0" applyProtection="0"/>
    <xf numFmtId="0" fontId="65" fillId="0" borderId="124" applyNumberFormat="0" applyFill="0" applyAlignment="0" applyProtection="0"/>
    <xf numFmtId="0" fontId="32" fillId="31" borderId="108">
      <alignment horizontal="right" vertical="center"/>
    </xf>
    <xf numFmtId="0" fontId="28" fillId="12" borderId="11" applyNumberFormat="0" applyAlignment="0" applyProtection="0"/>
    <xf numFmtId="4" fontId="34" fillId="0" borderId="103" applyFill="0" applyBorder="0" applyProtection="0">
      <alignment horizontal="right" vertical="center"/>
    </xf>
    <xf numFmtId="0" fontId="36" fillId="31" borderId="95">
      <alignment horizontal="right" vertical="center"/>
    </xf>
    <xf numFmtId="0" fontId="49" fillId="42" borderId="73" applyNumberFormat="0" applyAlignment="0" applyProtection="0"/>
    <xf numFmtId="0" fontId="2" fillId="0" borderId="12" applyNumberFormat="0" applyFill="0" applyAlignment="0" applyProtection="0"/>
    <xf numFmtId="173" fontId="34" fillId="59" borderId="68" applyNumberFormat="0" applyFont="0" applyBorder="0" applyAlignment="0" applyProtection="0">
      <alignment horizontal="right" vertical="center"/>
    </xf>
    <xf numFmtId="0" fontId="12" fillId="18" borderId="0" applyNumberFormat="0" applyBorder="0" applyAlignment="0" applyProtection="0"/>
    <xf numFmtId="0" fontId="26" fillId="25" borderId="0" applyNumberFormat="0" applyBorder="0" applyAlignment="0" applyProtection="0"/>
    <xf numFmtId="0" fontId="28" fillId="12" borderId="11" applyNumberFormat="0" applyAlignment="0" applyProtection="0"/>
    <xf numFmtId="0" fontId="34" fillId="32" borderId="95"/>
    <xf numFmtId="0" fontId="34" fillId="31" borderId="69">
      <alignment horizontal="left" vertical="center"/>
    </xf>
    <xf numFmtId="0" fontId="34" fillId="0" borderId="55">
      <alignment horizontal="right" vertical="center"/>
    </xf>
    <xf numFmtId="0" fontId="40" fillId="58" borderId="94" applyNumberFormat="0" applyFont="0" applyAlignment="0" applyProtection="0"/>
    <xf numFmtId="0" fontId="30" fillId="0" borderId="0" applyNumberFormat="0" applyFill="0" applyBorder="0" applyAlignment="0" applyProtection="0"/>
    <xf numFmtId="0" fontId="34" fillId="32" borderId="68"/>
    <xf numFmtId="0" fontId="40" fillId="58" borderId="117" applyNumberFormat="0" applyFont="0" applyAlignment="0" applyProtection="0"/>
    <xf numFmtId="49" fontId="33" fillId="0" borderId="68" applyNumberFormat="0" applyFill="0" applyBorder="0" applyProtection="0">
      <alignment horizontal="left" vertical="center"/>
    </xf>
    <xf numFmtId="4" fontId="32" fillId="33" borderId="70">
      <alignment horizontal="right" vertical="center"/>
    </xf>
    <xf numFmtId="4" fontId="34" fillId="0" borderId="87">
      <alignment horizontal="right" vertical="center"/>
    </xf>
    <xf numFmtId="4" fontId="32" fillId="33" borderId="95">
      <alignment horizontal="right" vertical="center"/>
    </xf>
    <xf numFmtId="0" fontId="32" fillId="33" borderId="68">
      <alignment horizontal="right" vertical="center"/>
    </xf>
    <xf numFmtId="0" fontId="32" fillId="33" borderId="128">
      <alignment horizontal="right" vertical="center"/>
    </xf>
    <xf numFmtId="0" fontId="45" fillId="55" borderId="73" applyNumberFormat="0" applyAlignment="0" applyProtection="0"/>
    <xf numFmtId="0" fontId="40" fillId="58" borderId="94" applyNumberFormat="0" applyFont="0" applyAlignment="0" applyProtection="0"/>
    <xf numFmtId="0" fontId="49" fillId="42" borderId="76" applyNumberFormat="0" applyAlignment="0" applyProtection="0"/>
    <xf numFmtId="0" fontId="50" fillId="0" borderId="74" applyNumberFormat="0" applyFill="0" applyAlignment="0" applyProtection="0"/>
    <xf numFmtId="0" fontId="62" fillId="55" borderId="75" applyNumberFormat="0" applyAlignment="0" applyProtection="0"/>
    <xf numFmtId="0" fontId="40" fillId="58" borderId="67" applyNumberFormat="0" applyFont="0" applyAlignment="0" applyProtection="0"/>
    <xf numFmtId="0" fontId="45" fillId="55" borderId="92" applyNumberFormat="0" applyAlignment="0" applyProtection="0"/>
    <xf numFmtId="49" fontId="34" fillId="0" borderId="68" applyNumberFormat="0" applyFont="0" applyFill="0" applyBorder="0" applyProtection="0">
      <alignment horizontal="left" vertical="center" indent="2"/>
    </xf>
    <xf numFmtId="0" fontId="46" fillId="55" borderId="73" applyNumberFormat="0" applyAlignment="0" applyProtection="0"/>
    <xf numFmtId="49" fontId="34" fillId="0" borderId="95" applyNumberFormat="0" applyFont="0" applyFill="0" applyBorder="0" applyProtection="0">
      <alignment horizontal="left" vertical="center" indent="2"/>
    </xf>
    <xf numFmtId="0" fontId="40" fillId="58" borderId="102" applyNumberFormat="0" applyFont="0" applyAlignment="0" applyProtection="0"/>
    <xf numFmtId="0" fontId="58" fillId="42" borderId="73" applyNumberFormat="0" applyAlignment="0" applyProtection="0"/>
    <xf numFmtId="0" fontId="26" fillId="25" borderId="0" applyNumberFormat="0" applyBorder="0" applyAlignment="0" applyProtection="0"/>
    <xf numFmtId="4" fontId="34" fillId="0" borderId="68" applyFill="0" applyBorder="0" applyProtection="0">
      <alignment horizontal="right" vertical="center"/>
    </xf>
    <xf numFmtId="4" fontId="32" fillId="33" borderId="80">
      <alignment horizontal="right" vertical="center"/>
    </xf>
    <xf numFmtId="0" fontId="12" fillId="30" borderId="0" applyNumberFormat="0" applyBorder="0" applyAlignment="0" applyProtection="0"/>
    <xf numFmtId="0" fontId="65" fillId="0" borderId="101" applyNumberFormat="0" applyFill="0" applyAlignment="0" applyProtection="0"/>
    <xf numFmtId="0" fontId="45" fillId="55" borderId="92" applyNumberFormat="0" applyAlignment="0" applyProtection="0"/>
    <xf numFmtId="0" fontId="32" fillId="33" borderId="95">
      <alignment horizontal="right" vertical="center"/>
    </xf>
    <xf numFmtId="4" fontId="32" fillId="33" borderId="68">
      <alignment horizontal="right" vertical="center"/>
    </xf>
    <xf numFmtId="49" fontId="33" fillId="0" borderId="79" applyNumberFormat="0" applyFill="0" applyBorder="0" applyProtection="0">
      <alignment horizontal="left" vertical="center"/>
    </xf>
    <xf numFmtId="4" fontId="32" fillId="33" borderId="68">
      <alignment horizontal="right" vertical="center"/>
    </xf>
    <xf numFmtId="0" fontId="62" fillId="55" borderId="91" applyNumberFormat="0" applyAlignment="0" applyProtection="0"/>
    <xf numFmtId="4" fontId="32" fillId="33" borderId="69">
      <alignment horizontal="right" vertical="center"/>
    </xf>
    <xf numFmtId="4" fontId="36" fillId="31" borderId="95">
      <alignment horizontal="right" vertical="center"/>
    </xf>
    <xf numFmtId="0" fontId="65" fillId="0" borderId="77" applyNumberFormat="0" applyFill="0" applyAlignment="0" applyProtection="0"/>
    <xf numFmtId="0" fontId="29" fillId="12" borderId="10" applyNumberFormat="0" applyAlignment="0" applyProtection="0"/>
    <xf numFmtId="4" fontId="36" fillId="31" borderId="68">
      <alignment horizontal="right" vertical="center"/>
    </xf>
    <xf numFmtId="0" fontId="50" fillId="0" borderId="74" applyNumberFormat="0" applyFill="0" applyAlignment="0" applyProtection="0"/>
    <xf numFmtId="0" fontId="43" fillId="55" borderId="112" applyNumberFormat="0" applyAlignment="0" applyProtection="0"/>
    <xf numFmtId="0" fontId="50" fillId="0" borderId="101" applyNumberFormat="0" applyFill="0" applyAlignment="0" applyProtection="0"/>
    <xf numFmtId="0" fontId="12" fillId="27" borderId="0" applyNumberFormat="0" applyBorder="0" applyAlignment="0" applyProtection="0"/>
    <xf numFmtId="0" fontId="40" fillId="58" borderId="94" applyNumberFormat="0" applyFont="0" applyAlignment="0" applyProtection="0"/>
    <xf numFmtId="4" fontId="32" fillId="33" borderId="70">
      <alignment horizontal="right" vertical="center"/>
    </xf>
    <xf numFmtId="4" fontId="32" fillId="31" borderId="68">
      <alignment horizontal="right" vertical="center"/>
    </xf>
    <xf numFmtId="49" fontId="34" fillId="0" borderId="68" applyNumberFormat="0" applyFont="0" applyFill="0" applyBorder="0" applyProtection="0">
      <alignment horizontal="left" vertical="center" indent="2"/>
    </xf>
    <xf numFmtId="4" fontId="34" fillId="0" borderId="68" applyFill="0" applyBorder="0" applyProtection="0">
      <alignment horizontal="right" vertical="center"/>
    </xf>
    <xf numFmtId="0" fontId="34" fillId="0" borderId="68" applyNumberFormat="0" applyFill="0" applyAlignment="0" applyProtection="0"/>
    <xf numFmtId="4" fontId="32" fillId="33" borderId="109">
      <alignment horizontal="right" vertical="center"/>
    </xf>
    <xf numFmtId="0" fontId="32" fillId="33" borderId="126">
      <alignment horizontal="right" vertical="center"/>
    </xf>
    <xf numFmtId="0" fontId="40" fillId="58" borderId="67" applyNumberFormat="0" applyFont="0" applyAlignment="0" applyProtection="0"/>
    <xf numFmtId="0" fontId="50" fillId="0" borderId="74" applyNumberFormat="0" applyFill="0" applyAlignment="0" applyProtection="0"/>
    <xf numFmtId="0" fontId="65" fillId="0" borderId="93" applyNumberFormat="0" applyFill="0" applyAlignment="0" applyProtection="0"/>
    <xf numFmtId="0" fontId="26" fillId="20" borderId="0" applyNumberFormat="0" applyBorder="0" applyAlignment="0" applyProtection="0"/>
    <xf numFmtId="4" fontId="32" fillId="33" borderId="109">
      <alignment horizontal="right" vertical="center"/>
    </xf>
    <xf numFmtId="0" fontId="34" fillId="0" borderId="90">
      <alignment horizontal="left" vertical="center" wrapText="1" indent="2"/>
    </xf>
    <xf numFmtId="0" fontId="46" fillId="55" borderId="73" applyNumberFormat="0" applyAlignment="0" applyProtection="0"/>
    <xf numFmtId="0" fontId="65" fillId="0" borderId="85" applyNumberFormat="0" applyFill="0" applyAlignment="0" applyProtection="0"/>
    <xf numFmtId="0" fontId="40" fillId="58" borderId="67" applyNumberFormat="0" applyFont="0" applyAlignment="0" applyProtection="0"/>
    <xf numFmtId="4" fontId="32" fillId="33" borderId="70">
      <alignment horizontal="right" vertical="center"/>
    </xf>
    <xf numFmtId="173" fontId="34" fillId="59" borderId="68" applyNumberFormat="0" applyFont="0" applyBorder="0" applyAlignment="0" applyProtection="0">
      <alignment horizontal="right" vertical="center"/>
    </xf>
    <xf numFmtId="0" fontId="30" fillId="0" borderId="0" applyNumberFormat="0" applyFill="0" applyBorder="0" applyAlignment="0" applyProtection="0"/>
    <xf numFmtId="0" fontId="62" fillId="55" borderId="83" applyNumberFormat="0" applyAlignment="0" applyProtection="0"/>
    <xf numFmtId="0" fontId="50" fillId="0" borderId="74" applyNumberFormat="0" applyFill="0" applyAlignment="0" applyProtection="0"/>
    <xf numFmtId="0" fontId="26" fillId="13" borderId="0" applyNumberFormat="0" applyBorder="0" applyAlignment="0" applyProtection="0"/>
    <xf numFmtId="0" fontId="12" fillId="27" borderId="0" applyNumberFormat="0" applyBorder="0" applyAlignment="0" applyProtection="0"/>
    <xf numFmtId="0" fontId="30" fillId="0" borderId="0" applyNumberFormat="0" applyFill="0" applyBorder="0" applyAlignment="0" applyProtection="0"/>
    <xf numFmtId="4" fontId="32" fillId="33" borderId="96">
      <alignment horizontal="right" vertical="center"/>
    </xf>
    <xf numFmtId="0" fontId="34" fillId="33" borderId="71">
      <alignment horizontal="left" vertical="center" wrapText="1" indent="2"/>
    </xf>
    <xf numFmtId="0" fontId="62" fillId="55" borderId="72" applyNumberFormat="0" applyAlignment="0" applyProtection="0"/>
    <xf numFmtId="0" fontId="58" fillId="42" borderId="92" applyNumberFormat="0" applyAlignment="0" applyProtection="0"/>
    <xf numFmtId="0" fontId="46" fillId="55" borderId="113" applyNumberFormat="0" applyAlignment="0" applyProtection="0"/>
    <xf numFmtId="0" fontId="32" fillId="31" borderId="103">
      <alignment horizontal="right" vertical="center"/>
    </xf>
    <xf numFmtId="0" fontId="2" fillId="0" borderId="12" applyNumberFormat="0" applyFill="0" applyAlignment="0" applyProtection="0"/>
    <xf numFmtId="0" fontId="1" fillId="0" borderId="0" applyNumberFormat="0" applyFill="0" applyBorder="0" applyAlignment="0" applyProtection="0"/>
    <xf numFmtId="4" fontId="32" fillId="31" borderId="126">
      <alignment horizontal="right" vertical="center"/>
    </xf>
    <xf numFmtId="0" fontId="26" fillId="28" borderId="0" applyNumberFormat="0" applyBorder="0" applyAlignment="0" applyProtection="0"/>
    <xf numFmtId="49" fontId="34" fillId="0" borderId="69" applyNumberFormat="0" applyFont="0" applyFill="0" applyBorder="0" applyProtection="0">
      <alignment horizontal="left" vertical="center" indent="5"/>
    </xf>
    <xf numFmtId="0" fontId="43" fillId="55" borderId="72" applyNumberFormat="0" applyAlignment="0" applyProtection="0"/>
    <xf numFmtId="0" fontId="36" fillId="31" borderId="68">
      <alignment horizontal="right" vertical="center"/>
    </xf>
    <xf numFmtId="4" fontId="34" fillId="32" borderId="68"/>
    <xf numFmtId="0" fontId="62" fillId="55" borderId="91" applyNumberFormat="0" applyAlignment="0" applyProtection="0"/>
    <xf numFmtId="0" fontId="62" fillId="55" borderId="72" applyNumberFormat="0" applyAlignment="0" applyProtection="0"/>
    <xf numFmtId="4" fontId="32" fillId="33" borderId="68">
      <alignment horizontal="right" vertical="center"/>
    </xf>
    <xf numFmtId="4" fontId="34" fillId="0" borderId="79" applyFill="0" applyBorder="0" applyProtection="0">
      <alignment horizontal="right" vertical="center"/>
    </xf>
    <xf numFmtId="49" fontId="34" fillId="0" borderId="69" applyNumberFormat="0" applyFont="0" applyFill="0" applyBorder="0" applyProtection="0">
      <alignment horizontal="left" vertical="center" indent="5"/>
    </xf>
    <xf numFmtId="0" fontId="29" fillId="12" borderId="10" applyNumberFormat="0" applyAlignment="0" applyProtection="0"/>
    <xf numFmtId="49" fontId="34" fillId="0" borderId="87" applyNumberFormat="0" applyFont="0" applyFill="0" applyBorder="0" applyProtection="0">
      <alignment horizontal="left" vertical="center" indent="2"/>
    </xf>
    <xf numFmtId="0" fontId="65" fillId="0" borderId="93" applyNumberFormat="0" applyFill="0" applyAlignment="0" applyProtection="0"/>
    <xf numFmtId="4" fontId="36" fillId="31" borderId="95">
      <alignment horizontal="right" vertical="center"/>
    </xf>
    <xf numFmtId="4" fontId="34" fillId="32" borderId="95"/>
    <xf numFmtId="0" fontId="58" fillId="42" borderId="84" applyNumberFormat="0" applyAlignment="0" applyProtection="0"/>
    <xf numFmtId="0" fontId="40" fillId="58" borderId="78" applyNumberFormat="0" applyFont="0" applyAlignment="0" applyProtection="0"/>
    <xf numFmtId="0" fontId="65" fillId="0" borderId="114" applyNumberFormat="0" applyFill="0" applyAlignment="0" applyProtection="0"/>
    <xf numFmtId="0" fontId="40" fillId="58" borderId="94" applyNumberFormat="0" applyFont="0" applyAlignment="0" applyProtection="0"/>
    <xf numFmtId="0" fontId="34" fillId="0" borderId="68">
      <alignment horizontal="right" vertical="center"/>
    </xf>
    <xf numFmtId="0" fontId="40" fillId="58" borderId="102" applyNumberFormat="0" applyFont="0" applyAlignment="0" applyProtection="0"/>
    <xf numFmtId="0" fontId="65" fillId="0" borderId="93" applyNumberFormat="0" applyFill="0" applyAlignment="0" applyProtection="0"/>
    <xf numFmtId="0" fontId="62" fillId="55" borderId="72" applyNumberFormat="0" applyAlignment="0" applyProtection="0"/>
    <xf numFmtId="0" fontId="46" fillId="55" borderId="92" applyNumberFormat="0" applyAlignment="0" applyProtection="0"/>
    <xf numFmtId="0" fontId="34" fillId="0" borderId="87">
      <alignment horizontal="right" vertical="center"/>
    </xf>
    <xf numFmtId="4" fontId="34" fillId="32" borderId="68"/>
    <xf numFmtId="0" fontId="32" fillId="31" borderId="68">
      <alignment horizontal="right" vertical="center"/>
    </xf>
    <xf numFmtId="49" fontId="34" fillId="0" borderId="96" applyNumberFormat="0" applyFont="0" applyFill="0" applyBorder="0" applyProtection="0">
      <alignment horizontal="left" vertical="center" indent="5"/>
    </xf>
    <xf numFmtId="4" fontId="32" fillId="33" borderId="68">
      <alignment horizontal="right" vertical="center"/>
    </xf>
    <xf numFmtId="0" fontId="36" fillId="31" borderId="95">
      <alignment horizontal="right" vertical="center"/>
    </xf>
    <xf numFmtId="0" fontId="26" fillId="26" borderId="0" applyNumberFormat="0" applyBorder="0" applyAlignment="0" applyProtection="0"/>
    <xf numFmtId="0" fontId="65" fillId="0" borderId="114" applyNumberFormat="0" applyFill="0" applyAlignment="0" applyProtection="0"/>
    <xf numFmtId="0" fontId="34" fillId="33" borderId="71">
      <alignment horizontal="left" vertical="center" wrapText="1" indent="2"/>
    </xf>
    <xf numFmtId="0" fontId="58" fillId="42" borderId="73" applyNumberFormat="0" applyAlignment="0" applyProtection="0"/>
    <xf numFmtId="0" fontId="34" fillId="33" borderId="82">
      <alignment horizontal="left" vertical="center" wrapText="1" indent="2"/>
    </xf>
    <xf numFmtId="0" fontId="26" fillId="17" borderId="0" applyNumberFormat="0" applyBorder="0" applyAlignment="0" applyProtection="0"/>
    <xf numFmtId="4" fontId="34" fillId="0" borderId="68" applyFill="0" applyBorder="0" applyProtection="0">
      <alignment horizontal="right" vertical="center"/>
    </xf>
    <xf numFmtId="0" fontId="32" fillId="33" borderId="69">
      <alignment horizontal="right" vertical="center"/>
    </xf>
    <xf numFmtId="4" fontId="36" fillId="31" borderId="103">
      <alignment horizontal="right" vertical="center"/>
    </xf>
    <xf numFmtId="49" fontId="33" fillId="0" borderId="95" applyNumberFormat="0" applyFill="0" applyBorder="0" applyProtection="0">
      <alignment horizontal="left" vertical="center"/>
    </xf>
    <xf numFmtId="0" fontId="46" fillId="55" borderId="123" applyNumberFormat="0" applyAlignment="0" applyProtection="0"/>
    <xf numFmtId="0" fontId="58" fillId="42" borderId="73" applyNumberFormat="0" applyAlignment="0" applyProtection="0"/>
    <xf numFmtId="49" fontId="33" fillId="0" borderId="108" applyNumberFormat="0" applyFill="0" applyBorder="0" applyProtection="0">
      <alignment horizontal="left" vertical="center"/>
    </xf>
    <xf numFmtId="4" fontId="34" fillId="0" borderId="95">
      <alignment horizontal="right" vertical="center"/>
    </xf>
    <xf numFmtId="0" fontId="34" fillId="32" borderId="55"/>
    <xf numFmtId="0" fontId="32" fillId="33" borderId="55">
      <alignment horizontal="right" vertical="center"/>
    </xf>
    <xf numFmtId="0" fontId="34" fillId="0" borderId="68">
      <alignment horizontal="right" vertical="center"/>
    </xf>
    <xf numFmtId="0" fontId="12" fillId="18" borderId="0" applyNumberFormat="0" applyBorder="0" applyAlignment="0" applyProtection="0"/>
    <xf numFmtId="0" fontId="32" fillId="33" borderId="95">
      <alignment horizontal="right" vertical="center"/>
    </xf>
    <xf numFmtId="0" fontId="34" fillId="0" borderId="71">
      <alignment horizontal="left" vertical="center" wrapText="1" indent="2"/>
    </xf>
    <xf numFmtId="0" fontId="12" fillId="27" borderId="0" applyNumberFormat="0" applyBorder="0" applyAlignment="0" applyProtection="0"/>
    <xf numFmtId="0" fontId="12" fillId="27" borderId="0" applyNumberFormat="0" applyBorder="0" applyAlignment="0" applyProtection="0"/>
    <xf numFmtId="0" fontId="43" fillId="55" borderId="112" applyNumberFormat="0" applyAlignment="0" applyProtection="0"/>
    <xf numFmtId="0" fontId="26" fillId="23" borderId="0" applyNumberFormat="0" applyBorder="0" applyAlignment="0" applyProtection="0"/>
    <xf numFmtId="0" fontId="58" fillId="42" borderId="73" applyNumberFormat="0" applyAlignment="0" applyProtection="0"/>
    <xf numFmtId="0" fontId="65" fillId="0" borderId="74" applyNumberFormat="0" applyFill="0" applyAlignment="0" applyProtection="0"/>
    <xf numFmtId="0" fontId="26" fillId="29" borderId="0" applyNumberFormat="0" applyBorder="0" applyAlignment="0" applyProtection="0"/>
    <xf numFmtId="49" fontId="34" fillId="0" borderId="68" applyNumberFormat="0" applyFont="0" applyFill="0" applyBorder="0" applyProtection="0">
      <alignment horizontal="left" vertical="center" indent="2"/>
    </xf>
    <xf numFmtId="4" fontId="34" fillId="32" borderId="68"/>
    <xf numFmtId="0" fontId="58" fillId="42" borderId="92" applyNumberFormat="0" applyAlignment="0" applyProtection="0"/>
    <xf numFmtId="0" fontId="58" fillId="42" borderId="73" applyNumberFormat="0" applyAlignment="0" applyProtection="0"/>
    <xf numFmtId="4" fontId="34" fillId="0" borderId="108">
      <alignment horizontal="right" vertical="center"/>
    </xf>
    <xf numFmtId="0" fontId="26" fillId="22" borderId="0" applyNumberFormat="0" applyBorder="0" applyAlignment="0" applyProtection="0"/>
    <xf numFmtId="0" fontId="32" fillId="33" borderId="68">
      <alignment horizontal="right" vertical="center"/>
    </xf>
    <xf numFmtId="4" fontId="36" fillId="31" borderId="95">
      <alignment horizontal="right" vertical="center"/>
    </xf>
    <xf numFmtId="0" fontId="36" fillId="31" borderId="87">
      <alignment horizontal="right" vertical="center"/>
    </xf>
    <xf numFmtId="0" fontId="29" fillId="12" borderId="10" applyNumberFormat="0" applyAlignment="0" applyProtection="0"/>
    <xf numFmtId="0" fontId="12" fillId="15" borderId="0" applyNumberFormat="0" applyBorder="0" applyAlignment="0" applyProtection="0"/>
    <xf numFmtId="0" fontId="43" fillId="55" borderId="91" applyNumberFormat="0" applyAlignment="0" applyProtection="0"/>
    <xf numFmtId="4" fontId="34" fillId="0" borderId="108">
      <alignment horizontal="right" vertical="center"/>
    </xf>
    <xf numFmtId="0" fontId="40" fillId="58" borderId="67" applyNumberFormat="0" applyFont="0" applyAlignment="0" applyProtection="0"/>
    <xf numFmtId="0" fontId="40" fillId="58" borderId="67" applyNumberFormat="0" applyFont="0" applyAlignment="0" applyProtection="0"/>
    <xf numFmtId="0" fontId="32" fillId="33" borderId="97">
      <alignment horizontal="right" vertical="center"/>
    </xf>
    <xf numFmtId="0" fontId="26" fillId="26" borderId="0" applyNumberFormat="0" applyBorder="0" applyAlignment="0" applyProtection="0"/>
    <xf numFmtId="0" fontId="26" fillId="16" borderId="0" applyNumberFormat="0" applyBorder="0" applyAlignment="0" applyProtection="0"/>
    <xf numFmtId="0" fontId="26" fillId="28" borderId="0" applyNumberFormat="0" applyBorder="0" applyAlignment="0" applyProtection="0"/>
    <xf numFmtId="4" fontId="34" fillId="0" borderId="68">
      <alignment horizontal="right" vertical="center"/>
    </xf>
    <xf numFmtId="0" fontId="26" fillId="20" borderId="0" applyNumberFormat="0" applyBorder="0" applyAlignment="0" applyProtection="0"/>
    <xf numFmtId="49" fontId="34" fillId="0" borderId="68" applyNumberFormat="0" applyFont="0" applyFill="0" applyBorder="0" applyProtection="0">
      <alignment horizontal="left" vertical="center" indent="2"/>
    </xf>
    <xf numFmtId="49" fontId="34" fillId="0" borderId="119" applyNumberFormat="0" applyFont="0" applyFill="0" applyBorder="0" applyProtection="0">
      <alignment horizontal="left" vertical="center" indent="5"/>
    </xf>
    <xf numFmtId="0" fontId="34" fillId="0" borderId="68" applyNumberFormat="0" applyFill="0" applyAlignment="0" applyProtection="0"/>
    <xf numFmtId="0" fontId="26" fillId="23" borderId="0" applyNumberFormat="0" applyBorder="0" applyAlignment="0" applyProtection="0"/>
    <xf numFmtId="0" fontId="34" fillId="32" borderId="95"/>
    <xf numFmtId="0" fontId="29" fillId="12" borderId="10" applyNumberFormat="0" applyAlignment="0" applyProtection="0"/>
    <xf numFmtId="0" fontId="34" fillId="31" borderId="96">
      <alignment horizontal="left" vertical="center"/>
    </xf>
    <xf numFmtId="0" fontId="58" fillId="42" borderId="73" applyNumberFormat="0" applyAlignment="0" applyProtection="0"/>
    <xf numFmtId="0" fontId="34" fillId="32" borderId="95"/>
    <xf numFmtId="0" fontId="32" fillId="33" borderId="70">
      <alignment horizontal="right" vertical="center"/>
    </xf>
    <xf numFmtId="0" fontId="58" fillId="42" borderId="92" applyNumberFormat="0" applyAlignment="0" applyProtection="0"/>
    <xf numFmtId="4" fontId="32" fillId="33" borderId="97">
      <alignment horizontal="right" vertical="center"/>
    </xf>
    <xf numFmtId="0" fontId="26" fillId="19" borderId="0" applyNumberFormat="0" applyBorder="0" applyAlignment="0" applyProtection="0"/>
    <xf numFmtId="4" fontId="32" fillId="33" borderId="109">
      <alignment horizontal="right" vertical="center"/>
    </xf>
    <xf numFmtId="0" fontId="26" fillId="13" borderId="0" applyNumberFormat="0" applyBorder="0" applyAlignment="0" applyProtection="0"/>
    <xf numFmtId="0" fontId="30" fillId="0" borderId="0" applyNumberFormat="0" applyFill="0" applyBorder="0" applyAlignment="0" applyProtection="0"/>
    <xf numFmtId="4" fontId="36" fillId="31" borderId="108">
      <alignment horizontal="right" vertical="center"/>
    </xf>
    <xf numFmtId="0" fontId="29" fillId="12" borderId="10" applyNumberFormat="0" applyAlignment="0" applyProtection="0"/>
    <xf numFmtId="0" fontId="32" fillId="33" borderId="68">
      <alignment horizontal="right" vertical="center"/>
    </xf>
    <xf numFmtId="0" fontId="32" fillId="33" borderId="69">
      <alignment horizontal="right" vertical="center"/>
    </xf>
    <xf numFmtId="4" fontId="32" fillId="33" borderId="79">
      <alignment horizontal="right" vertical="center"/>
    </xf>
    <xf numFmtId="0" fontId="65" fillId="0" borderId="77" applyNumberFormat="0" applyFill="0" applyAlignment="0" applyProtection="0"/>
    <xf numFmtId="4" fontId="32" fillId="33" borderId="70">
      <alignment horizontal="right" vertical="center"/>
    </xf>
    <xf numFmtId="0" fontId="28" fillId="12" borderId="11" applyNumberFormat="0" applyAlignment="0" applyProtection="0"/>
    <xf numFmtId="0" fontId="34" fillId="0" borderId="71">
      <alignment horizontal="left" vertical="center" wrapText="1" indent="2"/>
    </xf>
    <xf numFmtId="0" fontId="43" fillId="55" borderId="91" applyNumberFormat="0" applyAlignment="0" applyProtection="0"/>
    <xf numFmtId="0" fontId="26" fillId="22" borderId="0" applyNumberFormat="0" applyBorder="0" applyAlignment="0" applyProtection="0"/>
    <xf numFmtId="4" fontId="34" fillId="0" borderId="68" applyFill="0" applyBorder="0" applyProtection="0">
      <alignment horizontal="right" vertical="center"/>
    </xf>
    <xf numFmtId="0" fontId="34" fillId="33" borderId="71">
      <alignment horizontal="left" vertical="center" wrapText="1" indent="2"/>
    </xf>
    <xf numFmtId="0" fontId="34" fillId="0" borderId="68" applyNumberFormat="0" applyFill="0" applyAlignment="0" applyProtection="0"/>
    <xf numFmtId="49" fontId="33" fillId="0" borderId="68" applyNumberFormat="0" applyFill="0" applyBorder="0" applyProtection="0">
      <alignment horizontal="left" vertical="center"/>
    </xf>
    <xf numFmtId="0" fontId="46" fillId="55" borderId="73" applyNumberFormat="0" applyAlignment="0" applyProtection="0"/>
    <xf numFmtId="49" fontId="33" fillId="0" borderId="95" applyNumberFormat="0" applyFill="0" applyBorder="0" applyProtection="0">
      <alignment horizontal="left" vertical="center"/>
    </xf>
    <xf numFmtId="0" fontId="62" fillId="55" borderId="72" applyNumberFormat="0" applyAlignment="0" applyProtection="0"/>
    <xf numFmtId="0" fontId="34" fillId="32" borderId="68"/>
    <xf numFmtId="0" fontId="65" fillId="0" borderId="74" applyNumberFormat="0" applyFill="0" applyAlignment="0" applyProtection="0"/>
    <xf numFmtId="0" fontId="34" fillId="0" borderId="71">
      <alignment horizontal="left" vertical="center" wrapText="1" indent="2"/>
    </xf>
    <xf numFmtId="4" fontId="36" fillId="31" borderId="68">
      <alignment horizontal="right" vertical="center"/>
    </xf>
    <xf numFmtId="0" fontId="26" fillId="29" borderId="0" applyNumberFormat="0" applyBorder="0" applyAlignment="0" applyProtection="0"/>
    <xf numFmtId="4" fontId="36" fillId="31" borderId="68">
      <alignment horizontal="right" vertical="center"/>
    </xf>
    <xf numFmtId="173" fontId="34" fillId="59" borderId="95" applyNumberFormat="0" applyFont="0" applyBorder="0" applyAlignment="0" applyProtection="0">
      <alignment horizontal="right" vertical="center"/>
    </xf>
    <xf numFmtId="4" fontId="34" fillId="32" borderId="68"/>
    <xf numFmtId="0" fontId="40" fillId="58" borderId="67" applyNumberFormat="0" applyFont="0" applyAlignment="0" applyProtection="0"/>
    <xf numFmtId="0" fontId="32" fillId="33" borderId="69">
      <alignment horizontal="right" vertical="center"/>
    </xf>
    <xf numFmtId="0" fontId="40" fillId="58" borderId="94" applyNumberFormat="0" applyFont="0" applyAlignment="0" applyProtection="0"/>
    <xf numFmtId="0" fontId="34" fillId="0" borderId="68">
      <alignment horizontal="right" vertical="center"/>
    </xf>
    <xf numFmtId="0" fontId="32" fillId="31" borderId="68">
      <alignment horizontal="right" vertical="center"/>
    </xf>
    <xf numFmtId="0" fontId="43" fillId="55" borderId="72" applyNumberFormat="0" applyAlignment="0" applyProtection="0"/>
    <xf numFmtId="0" fontId="46" fillId="55" borderId="84" applyNumberFormat="0" applyAlignment="0" applyProtection="0"/>
    <xf numFmtId="0" fontId="34" fillId="0" borderId="95">
      <alignment horizontal="right" vertical="center"/>
    </xf>
    <xf numFmtId="0" fontId="32" fillId="33" borderId="96">
      <alignment horizontal="right" vertical="center"/>
    </xf>
    <xf numFmtId="0" fontId="50" fillId="0" borderId="74" applyNumberFormat="0" applyFill="0" applyAlignment="0" applyProtection="0"/>
    <xf numFmtId="0" fontId="32" fillId="33" borderId="68">
      <alignment horizontal="right" vertical="center"/>
    </xf>
    <xf numFmtId="4" fontId="36" fillId="31" borderId="79">
      <alignment horizontal="right" vertical="center"/>
    </xf>
    <xf numFmtId="0" fontId="36" fillId="31" borderId="79">
      <alignment horizontal="right" vertical="center"/>
    </xf>
    <xf numFmtId="0" fontId="34" fillId="0" borderId="95" applyNumberFormat="0" applyFill="0" applyAlignment="0" applyProtection="0"/>
    <xf numFmtId="0" fontId="36" fillId="31" borderId="68">
      <alignment horizontal="right" vertical="center"/>
    </xf>
    <xf numFmtId="0" fontId="58" fillId="42" borderId="73" applyNumberFormat="0" applyAlignment="0" applyProtection="0"/>
    <xf numFmtId="49" fontId="33" fillId="0" borderId="68" applyNumberFormat="0" applyFill="0" applyBorder="0" applyProtection="0">
      <alignment horizontal="left" vertical="center"/>
    </xf>
    <xf numFmtId="0" fontId="26" fillId="28" borderId="0" applyNumberFormat="0" applyBorder="0" applyAlignment="0" applyProtection="0"/>
    <xf numFmtId="0" fontId="2" fillId="0" borderId="12" applyNumberFormat="0" applyFill="0" applyAlignment="0" applyProtection="0"/>
    <xf numFmtId="0" fontId="65" fillId="0" borderId="93" applyNumberFormat="0" applyFill="0" applyAlignment="0" applyProtection="0"/>
    <xf numFmtId="0" fontId="46" fillId="55" borderId="113" applyNumberFormat="0" applyAlignment="0" applyProtection="0"/>
    <xf numFmtId="0" fontId="32" fillId="33" borderId="96">
      <alignment horizontal="right" vertical="center"/>
    </xf>
    <xf numFmtId="0" fontId="5" fillId="58" borderId="67" applyNumberFormat="0" applyFont="0" applyAlignment="0" applyProtection="0"/>
    <xf numFmtId="0" fontId="58" fillId="42" borderId="73" applyNumberFormat="0" applyAlignment="0" applyProtection="0"/>
    <xf numFmtId="0" fontId="5" fillId="58" borderId="86" applyNumberFormat="0" applyFont="0" applyAlignment="0" applyProtection="0"/>
    <xf numFmtId="4" fontId="32" fillId="33" borderId="88">
      <alignment horizontal="right" vertical="center"/>
    </xf>
    <xf numFmtId="0" fontId="12" fillId="24" borderId="0" applyNumberFormat="0" applyBorder="0" applyAlignment="0" applyProtection="0"/>
    <xf numFmtId="49" fontId="33" fillId="0" borderId="95" applyNumberFormat="0" applyFill="0" applyBorder="0" applyProtection="0">
      <alignment horizontal="left" vertical="center"/>
    </xf>
    <xf numFmtId="0" fontId="40" fillId="58" borderId="67" applyNumberFormat="0" applyFont="0" applyAlignment="0" applyProtection="0"/>
    <xf numFmtId="0" fontId="34" fillId="0" borderId="68" applyNumberFormat="0" applyFill="0" applyAlignment="0" applyProtection="0"/>
    <xf numFmtId="0" fontId="32" fillId="33" borderId="118">
      <alignment horizontal="right" vertical="center"/>
    </xf>
    <xf numFmtId="0" fontId="34" fillId="0" borderId="71">
      <alignment horizontal="left" vertical="center" wrapText="1" indent="2"/>
    </xf>
    <xf numFmtId="4" fontId="32" fillId="33" borderId="68">
      <alignment horizontal="right" vertical="center"/>
    </xf>
    <xf numFmtId="173" fontId="34" fillId="59" borderId="87" applyNumberFormat="0" applyFont="0" applyBorder="0" applyAlignment="0" applyProtection="0">
      <alignment horizontal="right" vertical="center"/>
    </xf>
    <xf numFmtId="0" fontId="36" fillId="31" borderId="68">
      <alignment horizontal="right" vertical="center"/>
    </xf>
    <xf numFmtId="0" fontId="43" fillId="55" borderId="72" applyNumberFormat="0" applyAlignment="0" applyProtection="0"/>
    <xf numFmtId="173" fontId="34" fillId="59" borderId="68" applyNumberFormat="0" applyFont="0" applyBorder="0" applyAlignment="0" applyProtection="0">
      <alignment horizontal="right" vertical="center"/>
    </xf>
    <xf numFmtId="0" fontId="65" fillId="0" borderId="93" applyNumberFormat="0" applyFill="0" applyAlignment="0" applyProtection="0"/>
    <xf numFmtId="0" fontId="43" fillId="55" borderId="72" applyNumberFormat="0" applyAlignment="0" applyProtection="0"/>
    <xf numFmtId="0" fontId="26" fillId="29" borderId="0" applyNumberFormat="0" applyBorder="0" applyAlignment="0" applyProtection="0"/>
    <xf numFmtId="0" fontId="40" fillId="58" borderId="67" applyNumberFormat="0" applyFont="0" applyAlignment="0" applyProtection="0"/>
    <xf numFmtId="49" fontId="33" fillId="0" borderId="68" applyNumberFormat="0" applyFill="0" applyBorder="0" applyProtection="0">
      <alignment horizontal="left" vertical="center"/>
    </xf>
    <xf numFmtId="0" fontId="32" fillId="31" borderId="55">
      <alignment horizontal="right" vertical="center"/>
    </xf>
    <xf numFmtId="0" fontId="58" fillId="42" borderId="92" applyNumberFormat="0" applyAlignment="0" applyProtection="0"/>
    <xf numFmtId="0" fontId="34" fillId="33" borderId="71">
      <alignment horizontal="left" vertical="center" wrapText="1" indent="2"/>
    </xf>
    <xf numFmtId="4" fontId="34" fillId="0" borderId="108" applyFill="0" applyBorder="0" applyProtection="0">
      <alignment horizontal="right" vertical="center"/>
    </xf>
    <xf numFmtId="0" fontId="26" fillId="17" borderId="0" applyNumberFormat="0" applyBorder="0" applyAlignment="0" applyProtection="0"/>
    <xf numFmtId="0" fontId="1" fillId="0" borderId="0" applyNumberFormat="0" applyFill="0" applyBorder="0" applyAlignment="0" applyProtection="0"/>
    <xf numFmtId="0" fontId="40" fillId="58" borderId="67" applyNumberFormat="0" applyFont="0" applyAlignment="0" applyProtection="0"/>
    <xf numFmtId="0" fontId="46" fillId="55" borderId="115" applyNumberFormat="0" applyAlignment="0" applyProtection="0"/>
    <xf numFmtId="0" fontId="12" fillId="30" borderId="0" applyNumberFormat="0" applyBorder="0" applyAlignment="0" applyProtection="0"/>
    <xf numFmtId="0" fontId="26" fillId="22" borderId="0" applyNumberFormat="0" applyBorder="0" applyAlignment="0" applyProtection="0"/>
    <xf numFmtId="0" fontId="32" fillId="33" borderId="68">
      <alignment horizontal="right" vertical="center"/>
    </xf>
    <xf numFmtId="0" fontId="32" fillId="33" borderId="95">
      <alignment horizontal="right" vertical="center"/>
    </xf>
    <xf numFmtId="0" fontId="32" fillId="33" borderId="68">
      <alignment horizontal="right" vertical="center"/>
    </xf>
    <xf numFmtId="0" fontId="34" fillId="31" borderId="80">
      <alignment horizontal="left" vertical="center"/>
    </xf>
    <xf numFmtId="0" fontId="32" fillId="31" borderId="68">
      <alignment horizontal="right" vertical="center"/>
    </xf>
    <xf numFmtId="0" fontId="43" fillId="55" borderId="72" applyNumberFormat="0" applyAlignment="0" applyProtection="0"/>
    <xf numFmtId="0" fontId="65" fillId="0" borderId="93" applyNumberFormat="0" applyFill="0" applyAlignment="0" applyProtection="0"/>
    <xf numFmtId="0" fontId="43" fillId="55" borderId="83" applyNumberFormat="0" applyAlignment="0" applyProtection="0"/>
    <xf numFmtId="0" fontId="32" fillId="33" borderId="95">
      <alignment horizontal="right" vertical="center"/>
    </xf>
    <xf numFmtId="0" fontId="58" fillId="42" borderId="73" applyNumberFormat="0" applyAlignment="0" applyProtection="0"/>
    <xf numFmtId="0" fontId="26" fillId="14" borderId="0" applyNumberFormat="0" applyBorder="0" applyAlignment="0" applyProtection="0"/>
    <xf numFmtId="4" fontId="34" fillId="32" borderId="95"/>
    <xf numFmtId="0" fontId="12" fillId="15" borderId="0" applyNumberFormat="0" applyBorder="0" applyAlignment="0" applyProtection="0"/>
    <xf numFmtId="0" fontId="26" fillId="19" borderId="0" applyNumberFormat="0" applyBorder="0" applyAlignment="0" applyProtection="0"/>
    <xf numFmtId="0" fontId="12" fillId="30" borderId="0" applyNumberFormat="0" applyBorder="0" applyAlignment="0" applyProtection="0"/>
    <xf numFmtId="4" fontId="32" fillId="33" borderId="68">
      <alignment horizontal="right" vertical="center"/>
    </xf>
    <xf numFmtId="0" fontId="26" fillId="28" borderId="0" applyNumberFormat="0" applyBorder="0" applyAlignment="0" applyProtection="0"/>
    <xf numFmtId="0" fontId="12" fillId="21" borderId="0" applyNumberFormat="0" applyBorder="0" applyAlignment="0" applyProtection="0"/>
    <xf numFmtId="4" fontId="32" fillId="33" borderId="95">
      <alignment horizontal="right" vertical="center"/>
    </xf>
    <xf numFmtId="0" fontId="30" fillId="0" borderId="0" applyNumberFormat="0" applyFill="0" applyBorder="0" applyAlignment="0" applyProtection="0"/>
    <xf numFmtId="0" fontId="32" fillId="33" borderId="68">
      <alignment horizontal="right" vertical="center"/>
    </xf>
    <xf numFmtId="0" fontId="26" fillId="14" borderId="0" applyNumberFormat="0" applyBorder="0" applyAlignment="0" applyProtection="0"/>
    <xf numFmtId="0" fontId="49" fillId="42" borderId="115" applyNumberFormat="0" applyAlignment="0" applyProtection="0"/>
    <xf numFmtId="0" fontId="26" fillId="23" borderId="0" applyNumberFormat="0" applyBorder="0" applyAlignment="0" applyProtection="0"/>
    <xf numFmtId="49" fontId="34" fillId="0" borderId="69" applyNumberFormat="0" applyFont="0" applyFill="0" applyBorder="0" applyProtection="0">
      <alignment horizontal="left" vertical="center" indent="5"/>
    </xf>
    <xf numFmtId="49" fontId="33" fillId="0" borderId="68" applyNumberFormat="0" applyFill="0" applyBorder="0" applyProtection="0">
      <alignment horizontal="left" vertical="center"/>
    </xf>
    <xf numFmtId="4" fontId="32" fillId="33" borderId="70">
      <alignment horizontal="right" vertical="center"/>
    </xf>
    <xf numFmtId="0" fontId="45" fillId="55" borderId="76" applyNumberFormat="0" applyAlignment="0" applyProtection="0"/>
    <xf numFmtId="0" fontId="32" fillId="33" borderId="68">
      <alignment horizontal="right" vertical="center"/>
    </xf>
    <xf numFmtId="0" fontId="65" fillId="0" borderId="93" applyNumberFormat="0" applyFill="0" applyAlignment="0" applyProtection="0"/>
    <xf numFmtId="0" fontId="12" fillId="18" borderId="0" applyNumberFormat="0" applyBorder="0" applyAlignment="0" applyProtection="0"/>
    <xf numFmtId="0" fontId="32" fillId="33" borderId="88">
      <alignment horizontal="right" vertical="center"/>
    </xf>
    <xf numFmtId="0" fontId="26" fillId="29" borderId="0" applyNumberFormat="0" applyBorder="0" applyAlignment="0" applyProtection="0"/>
    <xf numFmtId="0" fontId="58" fillId="42" borderId="73" applyNumberFormat="0" applyAlignment="0" applyProtection="0"/>
    <xf numFmtId="0" fontId="50" fillId="0" borderId="93" applyNumberFormat="0" applyFill="0" applyAlignment="0" applyProtection="0"/>
    <xf numFmtId="0" fontId="45" fillId="55" borderId="73" applyNumberFormat="0" applyAlignment="0" applyProtection="0"/>
    <xf numFmtId="0" fontId="65" fillId="0" borderId="74" applyNumberFormat="0" applyFill="0" applyAlignment="0" applyProtection="0"/>
    <xf numFmtId="0" fontId="28" fillId="12" borderId="11" applyNumberFormat="0" applyAlignment="0" applyProtection="0"/>
    <xf numFmtId="0" fontId="50" fillId="0" borderId="85" applyNumberFormat="0" applyFill="0" applyAlignment="0" applyProtection="0"/>
    <xf numFmtId="4" fontId="32" fillId="33" borderId="95">
      <alignment horizontal="right" vertical="center"/>
    </xf>
    <xf numFmtId="0" fontId="50" fillId="0" borderId="93" applyNumberFormat="0" applyFill="0" applyAlignment="0" applyProtection="0"/>
    <xf numFmtId="0" fontId="36" fillId="31" borderId="95">
      <alignment horizontal="right" vertical="center"/>
    </xf>
    <xf numFmtId="0" fontId="26" fillId="20" borderId="0" applyNumberFormat="0" applyBorder="0" applyAlignment="0" applyProtection="0"/>
    <xf numFmtId="0" fontId="32" fillId="33" borderId="79">
      <alignment horizontal="right" vertical="center"/>
    </xf>
    <xf numFmtId="0" fontId="1" fillId="0" borderId="0" applyNumberFormat="0" applyFill="0" applyBorder="0" applyAlignment="0" applyProtection="0"/>
    <xf numFmtId="0" fontId="32" fillId="33" borderId="70">
      <alignment horizontal="right" vertical="center"/>
    </xf>
    <xf numFmtId="0" fontId="28" fillId="12" borderId="11" applyNumberFormat="0" applyAlignment="0" applyProtection="0"/>
    <xf numFmtId="0" fontId="26" fillId="25" borderId="0" applyNumberFormat="0" applyBorder="0" applyAlignment="0" applyProtection="0"/>
    <xf numFmtId="0" fontId="32" fillId="33" borderId="70">
      <alignment horizontal="right" vertical="center"/>
    </xf>
    <xf numFmtId="0" fontId="34" fillId="0" borderId="95" applyNumberFormat="0" applyFill="0" applyAlignment="0" applyProtection="0"/>
    <xf numFmtId="0" fontId="5" fillId="58" borderId="67" applyNumberFormat="0" applyFont="0" applyAlignment="0" applyProtection="0"/>
    <xf numFmtId="0" fontId="26" fillId="23" borderId="0" applyNumberFormat="0" applyBorder="0" applyAlignment="0" applyProtection="0"/>
    <xf numFmtId="0" fontId="5" fillId="58" borderId="67" applyNumberFormat="0" applyFont="0" applyAlignment="0" applyProtection="0"/>
    <xf numFmtId="0" fontId="45" fillId="55" borderId="73" applyNumberFormat="0" applyAlignment="0" applyProtection="0"/>
    <xf numFmtId="0" fontId="32" fillId="33" borderId="55">
      <alignment horizontal="right" vertical="center"/>
    </xf>
    <xf numFmtId="0" fontId="43" fillId="55" borderId="91" applyNumberFormat="0" applyAlignment="0" applyProtection="0"/>
    <xf numFmtId="0" fontId="58" fillId="42" borderId="113" applyNumberFormat="0" applyAlignment="0" applyProtection="0"/>
    <xf numFmtId="4" fontId="34" fillId="0" borderId="68" applyFill="0" applyBorder="0" applyProtection="0">
      <alignment horizontal="right" vertical="center"/>
    </xf>
    <xf numFmtId="0" fontId="12" fillId="24" borderId="0" applyNumberFormat="0" applyBorder="0" applyAlignment="0" applyProtection="0"/>
    <xf numFmtId="0" fontId="45" fillId="55" borderId="115" applyNumberFormat="0" applyAlignment="0" applyProtection="0"/>
    <xf numFmtId="0" fontId="46" fillId="55" borderId="73" applyNumberFormat="0" applyAlignment="0" applyProtection="0"/>
    <xf numFmtId="0" fontId="26" fillId="29" borderId="0" applyNumberFormat="0" applyBorder="0" applyAlignment="0" applyProtection="0"/>
    <xf numFmtId="0" fontId="34" fillId="0" borderId="68" applyNumberFormat="0" applyFill="0" applyAlignment="0" applyProtection="0"/>
    <xf numFmtId="0" fontId="32" fillId="33" borderId="68">
      <alignment horizontal="right" vertical="center"/>
    </xf>
    <xf numFmtId="0" fontId="2" fillId="0" borderId="12" applyNumberFormat="0" applyFill="0" applyAlignment="0" applyProtection="0"/>
    <xf numFmtId="0" fontId="49" fillId="42" borderId="92" applyNumberFormat="0" applyAlignment="0" applyProtection="0"/>
    <xf numFmtId="0" fontId="34" fillId="0" borderId="108" applyNumberFormat="0" applyFill="0" applyAlignment="0" applyProtection="0"/>
    <xf numFmtId="0" fontId="46" fillId="55" borderId="92" applyNumberFormat="0" applyAlignment="0" applyProtection="0"/>
    <xf numFmtId="0" fontId="46" fillId="55" borderId="92" applyNumberFormat="0" applyAlignment="0" applyProtection="0"/>
    <xf numFmtId="0" fontId="34" fillId="0" borderId="82">
      <alignment horizontal="left" vertical="center" wrapText="1" indent="2"/>
    </xf>
    <xf numFmtId="49" fontId="34" fillId="0" borderId="108" applyNumberFormat="0" applyFont="0" applyFill="0" applyBorder="0" applyProtection="0">
      <alignment horizontal="left" vertical="center" indent="2"/>
    </xf>
    <xf numFmtId="4" fontId="34" fillId="0" borderId="68" applyFill="0" applyBorder="0" applyProtection="0">
      <alignment horizontal="right" vertical="center"/>
    </xf>
    <xf numFmtId="0" fontId="26" fillId="17" borderId="0" applyNumberFormat="0" applyBorder="0" applyAlignment="0" applyProtection="0"/>
    <xf numFmtId="4" fontId="34" fillId="32" borderId="68"/>
    <xf numFmtId="0" fontId="34" fillId="32" borderId="68"/>
    <xf numFmtId="4" fontId="32" fillId="33" borderId="69">
      <alignment horizontal="right" vertical="center"/>
    </xf>
    <xf numFmtId="0" fontId="2" fillId="0" borderId="12" applyNumberFormat="0" applyFill="0" applyAlignment="0" applyProtection="0"/>
    <xf numFmtId="4" fontId="32" fillId="33" borderId="126">
      <alignment horizontal="right" vertical="center"/>
    </xf>
    <xf numFmtId="0" fontId="32" fillId="33" borderId="95">
      <alignment horizontal="right" vertical="center"/>
    </xf>
    <xf numFmtId="4" fontId="32" fillId="33" borderId="95">
      <alignment horizontal="right" vertical="center"/>
    </xf>
    <xf numFmtId="0" fontId="58" fillId="42" borderId="115" applyNumberFormat="0" applyAlignment="0" applyProtection="0"/>
    <xf numFmtId="49" fontId="33" fillId="0" borderId="95" applyNumberFormat="0" applyFill="0" applyBorder="0" applyProtection="0">
      <alignment horizontal="left" vertical="center"/>
    </xf>
    <xf numFmtId="4" fontId="34" fillId="0" borderId="95" applyFill="0" applyBorder="0" applyProtection="0">
      <alignment horizontal="right" vertical="center"/>
    </xf>
    <xf numFmtId="0" fontId="65" fillId="0" borderId="93" applyNumberFormat="0" applyFill="0" applyAlignment="0" applyProtection="0"/>
    <xf numFmtId="0" fontId="58" fillId="42" borderId="113" applyNumberFormat="0" applyAlignment="0" applyProtection="0"/>
    <xf numFmtId="0" fontId="34" fillId="0" borderId="98">
      <alignment horizontal="left" vertical="center" wrapText="1" indent="2"/>
    </xf>
    <xf numFmtId="0" fontId="65" fillId="0" borderId="74" applyNumberFormat="0" applyFill="0" applyAlignment="0" applyProtection="0"/>
    <xf numFmtId="0" fontId="12" fillId="30" borderId="0" applyNumberFormat="0" applyBorder="0" applyAlignment="0" applyProtection="0"/>
    <xf numFmtId="0" fontId="26" fillId="13" borderId="0" applyNumberFormat="0" applyBorder="0" applyAlignment="0" applyProtection="0"/>
    <xf numFmtId="0" fontId="12" fillId="21" borderId="0" applyNumberFormat="0" applyBorder="0" applyAlignment="0" applyProtection="0"/>
    <xf numFmtId="4" fontId="34" fillId="0" borderId="68">
      <alignment horizontal="right" vertical="center"/>
    </xf>
    <xf numFmtId="0" fontId="32" fillId="33" borderId="70">
      <alignment horizontal="right" vertical="center"/>
    </xf>
    <xf numFmtId="0" fontId="46" fillId="55" borderId="92" applyNumberFormat="0" applyAlignment="0" applyProtection="0"/>
    <xf numFmtId="4" fontId="32" fillId="31" borderId="68">
      <alignment horizontal="right" vertical="center"/>
    </xf>
    <xf numFmtId="0" fontId="26" fillId="23" borderId="0" applyNumberFormat="0" applyBorder="0" applyAlignment="0" applyProtection="0"/>
    <xf numFmtId="0" fontId="34" fillId="32" borderId="87"/>
    <xf numFmtId="0" fontId="32" fillId="33" borderId="68">
      <alignment horizontal="right" vertical="center"/>
    </xf>
    <xf numFmtId="4" fontId="32" fillId="33" borderId="79">
      <alignment horizontal="right" vertical="center"/>
    </xf>
    <xf numFmtId="0" fontId="65" fillId="0" borderId="85" applyNumberFormat="0" applyFill="0" applyAlignment="0" applyProtection="0"/>
    <xf numFmtId="0" fontId="34" fillId="33" borderId="98">
      <alignment horizontal="left" vertical="center" wrapText="1" indent="2"/>
    </xf>
    <xf numFmtId="4" fontId="32" fillId="31" borderId="68">
      <alignment horizontal="right" vertical="center"/>
    </xf>
    <xf numFmtId="0" fontId="62" fillId="55" borderId="75" applyNumberFormat="0" applyAlignment="0" applyProtection="0"/>
    <xf numFmtId="0" fontId="28" fillId="12" borderId="11" applyNumberFormat="0" applyAlignment="0" applyProtection="0"/>
    <xf numFmtId="0" fontId="5" fillId="58" borderId="78" applyNumberFormat="0" applyFont="0" applyAlignment="0" applyProtection="0"/>
    <xf numFmtId="4" fontId="34" fillId="0" borderId="68">
      <alignment horizontal="right" vertical="center"/>
    </xf>
    <xf numFmtId="4" fontId="32" fillId="33" borderId="109">
      <alignment horizontal="right" vertical="center"/>
    </xf>
    <xf numFmtId="0" fontId="58" fillId="42" borderId="92" applyNumberFormat="0" applyAlignment="0" applyProtection="0"/>
    <xf numFmtId="0" fontId="26" fillId="14" borderId="0" applyNumberFormat="0" applyBorder="0" applyAlignment="0" applyProtection="0"/>
    <xf numFmtId="49" fontId="33" fillId="0" borderId="68" applyNumberFormat="0" applyFill="0" applyBorder="0" applyProtection="0">
      <alignment horizontal="left" vertical="center"/>
    </xf>
    <xf numFmtId="173" fontId="34" fillId="59" borderId="95" applyNumberFormat="0" applyFont="0" applyBorder="0" applyAlignment="0" applyProtection="0">
      <alignment horizontal="right" vertical="center"/>
    </xf>
    <xf numFmtId="0" fontId="62" fillId="55" borderId="130" applyNumberFormat="0" applyAlignment="0" applyProtection="0"/>
    <xf numFmtId="0" fontId="36" fillId="31" borderId="68">
      <alignment horizontal="right" vertical="center"/>
    </xf>
    <xf numFmtId="0" fontId="62" fillId="55" borderId="91" applyNumberFormat="0" applyAlignment="0" applyProtection="0"/>
    <xf numFmtId="0" fontId="32" fillId="31" borderId="68">
      <alignment horizontal="right" vertical="center"/>
    </xf>
    <xf numFmtId="4" fontId="32" fillId="33" borderId="70">
      <alignment horizontal="right" vertical="center"/>
    </xf>
    <xf numFmtId="0" fontId="32" fillId="33" borderId="95">
      <alignment horizontal="right" vertical="center"/>
    </xf>
    <xf numFmtId="0" fontId="29" fillId="12" borderId="10" applyNumberFormat="0" applyAlignment="0" applyProtection="0"/>
    <xf numFmtId="4" fontId="34" fillId="0" borderId="68" applyFill="0" applyBorder="0" applyProtection="0">
      <alignment horizontal="right" vertical="center"/>
    </xf>
    <xf numFmtId="0" fontId="45" fillId="55" borderId="73" applyNumberFormat="0" applyAlignment="0" applyProtection="0"/>
    <xf numFmtId="0" fontId="34" fillId="0" borderId="95">
      <alignment horizontal="right" vertical="center"/>
    </xf>
    <xf numFmtId="0" fontId="32" fillId="33" borderId="69">
      <alignment horizontal="right" vertical="center"/>
    </xf>
    <xf numFmtId="4" fontId="32" fillId="33" borderId="69">
      <alignment horizontal="right" vertical="center"/>
    </xf>
    <xf numFmtId="4" fontId="32" fillId="33" borderId="96">
      <alignment horizontal="right" vertical="center"/>
    </xf>
    <xf numFmtId="0" fontId="50" fillId="0" borderId="93" applyNumberFormat="0" applyFill="0" applyAlignment="0" applyProtection="0"/>
    <xf numFmtId="49" fontId="34" fillId="0" borderId="79" applyNumberFormat="0" applyFont="0" applyFill="0" applyBorder="0" applyProtection="0">
      <alignment horizontal="left" vertical="center" indent="2"/>
    </xf>
    <xf numFmtId="4" fontId="32" fillId="31" borderId="108">
      <alignment horizontal="right" vertical="center"/>
    </xf>
    <xf numFmtId="0" fontId="32" fillId="33" borderId="118">
      <alignment horizontal="right" vertical="center"/>
    </xf>
    <xf numFmtId="0" fontId="12" fillId="30" borderId="0" applyNumberFormat="0" applyBorder="0" applyAlignment="0" applyProtection="0"/>
    <xf numFmtId="0" fontId="26" fillId="20" borderId="0" applyNumberFormat="0" applyBorder="0" applyAlignment="0" applyProtection="0"/>
    <xf numFmtId="0" fontId="46" fillId="55" borderId="100" applyNumberFormat="0" applyAlignment="0" applyProtection="0"/>
    <xf numFmtId="0" fontId="26" fillId="14" borderId="0" applyNumberFormat="0" applyBorder="0" applyAlignment="0" applyProtection="0"/>
    <xf numFmtId="0" fontId="34" fillId="0" borderId="118" applyNumberFormat="0" applyFill="0" applyAlignment="0" applyProtection="0"/>
    <xf numFmtId="0" fontId="49" fillId="42" borderId="84" applyNumberFormat="0" applyAlignment="0" applyProtection="0"/>
    <xf numFmtId="0" fontId="46" fillId="55" borderId="73" applyNumberFormat="0" applyAlignment="0" applyProtection="0"/>
    <xf numFmtId="49" fontId="34" fillId="0" borderId="95" applyNumberFormat="0" applyFont="0" applyFill="0" applyBorder="0" applyProtection="0">
      <alignment horizontal="left" vertical="center" indent="2"/>
    </xf>
    <xf numFmtId="0" fontId="49" fillId="42" borderId="73" applyNumberFormat="0" applyAlignment="0" applyProtection="0"/>
    <xf numFmtId="0" fontId="26" fillId="20" borderId="0" applyNumberFormat="0" applyBorder="0" applyAlignment="0" applyProtection="0"/>
    <xf numFmtId="0" fontId="30" fillId="0" borderId="0" applyNumberFormat="0" applyFill="0" applyBorder="0" applyAlignment="0" applyProtection="0"/>
    <xf numFmtId="173" fontId="34" fillId="59" borderId="95" applyNumberFormat="0" applyFont="0" applyBorder="0" applyAlignment="0" applyProtection="0">
      <alignment horizontal="right" vertical="center"/>
    </xf>
    <xf numFmtId="4" fontId="36" fillId="31" borderId="118">
      <alignment horizontal="right" vertical="center"/>
    </xf>
    <xf numFmtId="49" fontId="33" fillId="0" borderId="68" applyNumberFormat="0" applyFill="0" applyBorder="0" applyProtection="0">
      <alignment horizontal="left" vertical="center"/>
    </xf>
    <xf numFmtId="4" fontId="32" fillId="33" borderId="108">
      <alignment horizontal="right" vertical="center"/>
    </xf>
    <xf numFmtId="0" fontId="26" fillId="16" borderId="0" applyNumberFormat="0" applyBorder="0" applyAlignment="0" applyProtection="0"/>
    <xf numFmtId="0" fontId="2" fillId="0" borderId="12" applyNumberFormat="0" applyFill="0" applyAlignment="0" applyProtection="0"/>
    <xf numFmtId="0" fontId="34" fillId="0" borderId="71">
      <alignment horizontal="left" vertical="center" wrapText="1" indent="2"/>
    </xf>
    <xf numFmtId="0" fontId="34" fillId="33" borderId="71">
      <alignment horizontal="left" vertical="center" wrapText="1" indent="2"/>
    </xf>
    <xf numFmtId="0" fontId="26" fillId="29" borderId="0" applyNumberFormat="0" applyBorder="0" applyAlignment="0" applyProtection="0"/>
    <xf numFmtId="4" fontId="34" fillId="32" borderId="79"/>
    <xf numFmtId="4" fontId="34" fillId="0" borderId="95">
      <alignment horizontal="right" vertical="center"/>
    </xf>
    <xf numFmtId="0" fontId="40" fillId="58" borderId="67" applyNumberFormat="0" applyFont="0" applyAlignment="0" applyProtection="0"/>
    <xf numFmtId="0" fontId="34" fillId="32" borderId="95"/>
    <xf numFmtId="4" fontId="32" fillId="33" borderId="81">
      <alignment horizontal="right" vertical="center"/>
    </xf>
    <xf numFmtId="0" fontId="26" fillId="28" borderId="0" applyNumberFormat="0" applyBorder="0" applyAlignment="0" applyProtection="0"/>
    <xf numFmtId="4" fontId="34" fillId="0" borderId="108">
      <alignment horizontal="right" vertical="center"/>
    </xf>
    <xf numFmtId="4" fontId="32" fillId="33" borderId="95">
      <alignment horizontal="right" vertical="center"/>
    </xf>
    <xf numFmtId="0" fontId="62" fillId="55" borderId="122" applyNumberFormat="0" applyAlignment="0" applyProtection="0"/>
    <xf numFmtId="0" fontId="34" fillId="32" borderId="79"/>
    <xf numFmtId="0" fontId="36" fillId="31" borderId="68">
      <alignment horizontal="right" vertical="center"/>
    </xf>
    <xf numFmtId="0" fontId="49" fillId="42" borderId="73" applyNumberFormat="0" applyAlignment="0" applyProtection="0"/>
    <xf numFmtId="173" fontId="34" fillId="59" borderId="68" applyNumberFormat="0" applyFont="0" applyBorder="0" applyAlignment="0" applyProtection="0">
      <alignment horizontal="right" vertical="center"/>
    </xf>
    <xf numFmtId="0" fontId="49" fillId="42" borderId="73" applyNumberFormat="0" applyAlignment="0" applyProtection="0"/>
    <xf numFmtId="4" fontId="34" fillId="0" borderId="68">
      <alignment horizontal="right" vertical="center"/>
    </xf>
    <xf numFmtId="49" fontId="34" fillId="0" borderId="68" applyNumberFormat="0" applyFont="0" applyFill="0" applyBorder="0" applyProtection="0">
      <alignment horizontal="left" vertical="center" indent="2"/>
    </xf>
    <xf numFmtId="173" fontId="34" fillId="59" borderId="68" applyNumberFormat="0" applyFont="0" applyBorder="0" applyAlignment="0" applyProtection="0">
      <alignment horizontal="right" vertical="center"/>
    </xf>
    <xf numFmtId="0" fontId="58" fillId="42" borderId="76" applyNumberFormat="0" applyAlignment="0" applyProtection="0"/>
    <xf numFmtId="49" fontId="33" fillId="0" borderId="68" applyNumberFormat="0" applyFill="0" applyBorder="0" applyProtection="0">
      <alignment horizontal="left" vertical="center"/>
    </xf>
    <xf numFmtId="0" fontId="26" fillId="16" borderId="0" applyNumberFormat="0" applyBorder="0" applyAlignment="0" applyProtection="0"/>
    <xf numFmtId="0" fontId="45" fillId="55" borderId="100" applyNumberFormat="0" applyAlignment="0" applyProtection="0"/>
    <xf numFmtId="4" fontId="32" fillId="33" borderId="68">
      <alignment horizontal="right" vertical="center"/>
    </xf>
    <xf numFmtId="0" fontId="32" fillId="31" borderId="95">
      <alignment horizontal="right" vertical="center"/>
    </xf>
    <xf numFmtId="4" fontId="34" fillId="32" borderId="87"/>
    <xf numFmtId="0" fontId="46" fillId="55" borderId="92" applyNumberFormat="0" applyAlignment="0" applyProtection="0"/>
    <xf numFmtId="0" fontId="32" fillId="33" borderId="89">
      <alignment horizontal="right" vertical="center"/>
    </xf>
    <xf numFmtId="0" fontId="36" fillId="31" borderId="68">
      <alignment horizontal="right" vertical="center"/>
    </xf>
    <xf numFmtId="0" fontId="49" fillId="42" borderId="73" applyNumberFormat="0" applyAlignment="0" applyProtection="0"/>
    <xf numFmtId="0" fontId="46" fillId="55" borderId="73" applyNumberFormat="0" applyAlignment="0" applyProtection="0"/>
    <xf numFmtId="4" fontId="34" fillId="0" borderId="68">
      <alignment horizontal="right" vertical="center"/>
    </xf>
    <xf numFmtId="0" fontId="34" fillId="33" borderId="71">
      <alignment horizontal="left" vertical="center" wrapText="1" indent="2"/>
    </xf>
    <xf numFmtId="0" fontId="34" fillId="0" borderId="71">
      <alignment horizontal="left" vertical="center" wrapText="1" indent="2"/>
    </xf>
    <xf numFmtId="0" fontId="62" fillId="55" borderId="72" applyNumberFormat="0" applyAlignment="0" applyProtection="0"/>
    <xf numFmtId="0" fontId="58" fillId="42" borderId="73" applyNumberFormat="0" applyAlignment="0" applyProtection="0"/>
    <xf numFmtId="0" fontId="45" fillId="55" borderId="73" applyNumberFormat="0" applyAlignment="0" applyProtection="0"/>
    <xf numFmtId="0" fontId="43" fillId="55" borderId="72" applyNumberFormat="0" applyAlignment="0" applyProtection="0"/>
    <xf numFmtId="0" fontId="32" fillId="33" borderId="70">
      <alignment horizontal="right" vertical="center"/>
    </xf>
    <xf numFmtId="0" fontId="36" fillId="31" borderId="68">
      <alignment horizontal="right" vertical="center"/>
    </xf>
    <xf numFmtId="4" fontId="32" fillId="31" borderId="68">
      <alignment horizontal="right" vertical="center"/>
    </xf>
    <xf numFmtId="4" fontId="32" fillId="33" borderId="68">
      <alignment horizontal="right" vertical="center"/>
    </xf>
    <xf numFmtId="49" fontId="34" fillId="0" borderId="69" applyNumberFormat="0" applyFont="0" applyFill="0" applyBorder="0" applyProtection="0">
      <alignment horizontal="left" vertical="center" indent="5"/>
    </xf>
    <xf numFmtId="4" fontId="34" fillId="0" borderId="68" applyFill="0" applyBorder="0" applyProtection="0">
      <alignment horizontal="right" vertical="center"/>
    </xf>
    <xf numFmtId="4" fontId="32" fillId="31" borderId="68">
      <alignment horizontal="right" vertical="center"/>
    </xf>
    <xf numFmtId="0" fontId="58" fillId="42" borderId="73" applyNumberFormat="0" applyAlignment="0" applyProtection="0"/>
    <xf numFmtId="0" fontId="49" fillId="42" borderId="73" applyNumberFormat="0" applyAlignment="0" applyProtection="0"/>
    <xf numFmtId="0" fontId="45" fillId="55" borderId="73" applyNumberFormat="0" applyAlignment="0" applyProtection="0"/>
    <xf numFmtId="0" fontId="34" fillId="33" borderId="71">
      <alignment horizontal="left" vertical="center" wrapText="1" indent="2"/>
    </xf>
    <xf numFmtId="0" fontId="34" fillId="0" borderId="71">
      <alignment horizontal="left" vertical="center" wrapText="1" indent="2"/>
    </xf>
    <xf numFmtId="0" fontId="34" fillId="33" borderId="71">
      <alignment horizontal="left" vertical="center" wrapText="1" indent="2"/>
    </xf>
    <xf numFmtId="0" fontId="32" fillId="33" borderId="81">
      <alignment horizontal="right" vertical="center"/>
    </xf>
    <xf numFmtId="0" fontId="58" fillId="42" borderId="113" applyNumberFormat="0" applyAlignment="0" applyProtection="0"/>
    <xf numFmtId="0" fontId="2" fillId="0" borderId="12" applyNumberFormat="0" applyFill="0" applyAlignment="0" applyProtection="0"/>
    <xf numFmtId="0" fontId="34" fillId="32" borderId="95"/>
    <xf numFmtId="0" fontId="34" fillId="0" borderId="118">
      <alignment horizontal="right" vertical="center"/>
    </xf>
    <xf numFmtId="0" fontId="32" fillId="33" borderId="118">
      <alignment horizontal="right" vertical="center"/>
    </xf>
    <xf numFmtId="4" fontId="32" fillId="33" borderId="118">
      <alignment horizontal="right" vertical="center"/>
    </xf>
    <xf numFmtId="4" fontId="32" fillId="33" borderId="95">
      <alignment horizontal="right" vertical="center"/>
    </xf>
    <xf numFmtId="0" fontId="2" fillId="0" borderId="12" applyNumberFormat="0" applyFill="0" applyAlignment="0" applyProtection="0"/>
    <xf numFmtId="49" fontId="33" fillId="0" borderId="95" applyNumberFormat="0" applyFill="0" applyBorder="0" applyProtection="0">
      <alignment horizontal="left" vertical="center"/>
    </xf>
    <xf numFmtId="0" fontId="32" fillId="31" borderId="95">
      <alignment horizontal="right" vertical="center"/>
    </xf>
    <xf numFmtId="0" fontId="34" fillId="0" borderId="103" applyNumberFormat="0" applyFill="0" applyAlignment="0" applyProtection="0"/>
    <xf numFmtId="4" fontId="32" fillId="31" borderId="126">
      <alignment horizontal="right" vertical="center"/>
    </xf>
    <xf numFmtId="49" fontId="34" fillId="0" borderId="96" applyNumberFormat="0" applyFont="0" applyFill="0" applyBorder="0" applyProtection="0">
      <alignment horizontal="left" vertical="center" indent="5"/>
    </xf>
    <xf numFmtId="0" fontId="62" fillId="55" borderId="130" applyNumberFormat="0" applyAlignment="0" applyProtection="0"/>
    <xf numFmtId="4" fontId="32" fillId="31" borderId="118">
      <alignment horizontal="right" vertical="center"/>
    </xf>
    <xf numFmtId="0" fontId="46" fillId="55" borderId="92" applyNumberFormat="0" applyAlignment="0" applyProtection="0"/>
    <xf numFmtId="0" fontId="58" fillId="42" borderId="92" applyNumberFormat="0" applyAlignment="0" applyProtection="0"/>
    <xf numFmtId="0" fontId="32" fillId="31" borderId="95">
      <alignment horizontal="right" vertical="center"/>
    </xf>
    <xf numFmtId="4" fontId="32" fillId="31" borderId="95">
      <alignment horizontal="right" vertical="center"/>
    </xf>
    <xf numFmtId="0" fontId="12" fillId="18" borderId="0" applyNumberFormat="0" applyBorder="0" applyAlignment="0" applyProtection="0"/>
    <xf numFmtId="0" fontId="12" fillId="30" borderId="0" applyNumberFormat="0" applyBorder="0" applyAlignment="0" applyProtection="0"/>
    <xf numFmtId="0" fontId="65" fillId="0" borderId="114" applyNumberFormat="0" applyFill="0" applyAlignment="0" applyProtection="0"/>
    <xf numFmtId="0" fontId="32" fillId="31" borderId="108">
      <alignment horizontal="right" vertical="center"/>
    </xf>
    <xf numFmtId="0" fontId="34" fillId="32" borderId="108"/>
    <xf numFmtId="0" fontId="34" fillId="31" borderId="96">
      <alignment horizontal="left" vertical="center"/>
    </xf>
    <xf numFmtId="0" fontId="26" fillId="16" borderId="0" applyNumberFormat="0" applyBorder="0" applyAlignment="0" applyProtection="0"/>
    <xf numFmtId="0" fontId="62" fillId="55" borderId="91" applyNumberFormat="0" applyAlignment="0" applyProtection="0"/>
    <xf numFmtId="0" fontId="32" fillId="33" borderId="97">
      <alignment horizontal="right" vertical="center"/>
    </xf>
    <xf numFmtId="0" fontId="12" fillId="24"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12" fillId="21" borderId="0" applyNumberFormat="0" applyBorder="0" applyAlignment="0" applyProtection="0"/>
    <xf numFmtId="0" fontId="40" fillId="58" borderId="125" applyNumberFormat="0" applyFont="0" applyAlignment="0" applyProtection="0"/>
    <xf numFmtId="0" fontId="26" fillId="19" borderId="0" applyNumberFormat="0" applyBorder="0" applyAlignment="0" applyProtection="0"/>
    <xf numFmtId="0" fontId="26" fillId="13" borderId="0" applyNumberFormat="0" applyBorder="0" applyAlignment="0" applyProtection="0"/>
    <xf numFmtId="4" fontId="36" fillId="31" borderId="126">
      <alignment horizontal="right" vertical="center"/>
    </xf>
    <xf numFmtId="4" fontId="36" fillId="31" borderId="95">
      <alignment horizontal="right" vertical="center"/>
    </xf>
    <xf numFmtId="4" fontId="32" fillId="33" borderId="87">
      <alignment horizontal="right" vertical="center"/>
    </xf>
    <xf numFmtId="4" fontId="32" fillId="31" borderId="87">
      <alignment horizontal="right" vertical="center"/>
    </xf>
    <xf numFmtId="49" fontId="34" fillId="0" borderId="118" applyNumberFormat="0" applyFont="0" applyFill="0" applyBorder="0" applyProtection="0">
      <alignment horizontal="left" vertical="center" indent="2"/>
    </xf>
    <xf numFmtId="4" fontId="32" fillId="33" borderId="79">
      <alignment horizontal="right" vertical="center"/>
    </xf>
    <xf numFmtId="0" fontId="34" fillId="32" borderId="79"/>
    <xf numFmtId="0" fontId="45" fillId="55" borderId="76" applyNumberFormat="0" applyAlignment="0" applyProtection="0"/>
    <xf numFmtId="0" fontId="32" fillId="31" borderId="79">
      <alignment horizontal="right" vertical="center"/>
    </xf>
    <xf numFmtId="0" fontId="34" fillId="0" borderId="79">
      <alignment horizontal="right" vertical="center"/>
    </xf>
    <xf numFmtId="0" fontId="65" fillId="0" borderId="77" applyNumberFormat="0" applyFill="0" applyAlignment="0" applyProtection="0"/>
    <xf numFmtId="0" fontId="34" fillId="31" borderId="80">
      <alignment horizontal="left" vertical="center"/>
    </xf>
    <xf numFmtId="0" fontId="58" fillId="42" borderId="76" applyNumberFormat="0" applyAlignment="0" applyProtection="0"/>
    <xf numFmtId="173" fontId="34" fillId="59" borderId="79" applyNumberFormat="0" applyFont="0" applyBorder="0" applyAlignment="0" applyProtection="0">
      <alignment horizontal="right" vertical="center"/>
    </xf>
    <xf numFmtId="0" fontId="40" fillId="58" borderId="78" applyNumberFormat="0" applyFont="0" applyAlignment="0" applyProtection="0"/>
    <xf numFmtId="0" fontId="34" fillId="0" borderId="82">
      <alignment horizontal="left" vertical="center" wrapText="1" indent="2"/>
    </xf>
    <xf numFmtId="4" fontId="34" fillId="32" borderId="79"/>
    <xf numFmtId="49" fontId="33" fillId="0" borderId="79" applyNumberFormat="0" applyFill="0" applyBorder="0" applyProtection="0">
      <alignment horizontal="left" vertical="center"/>
    </xf>
    <xf numFmtId="0" fontId="34" fillId="0" borderId="79">
      <alignment horizontal="right" vertical="center"/>
    </xf>
    <xf numFmtId="4" fontId="32" fillId="33" borderId="81">
      <alignment horizontal="right" vertical="center"/>
    </xf>
    <xf numFmtId="4" fontId="32" fillId="33" borderId="79">
      <alignment horizontal="right" vertical="center"/>
    </xf>
    <xf numFmtId="4" fontId="32" fillId="33" borderId="79">
      <alignment horizontal="right" vertical="center"/>
    </xf>
    <xf numFmtId="0" fontId="36" fillId="31" borderId="79">
      <alignment horizontal="right" vertical="center"/>
    </xf>
    <xf numFmtId="0" fontId="32" fillId="31" borderId="79">
      <alignment horizontal="right" vertical="center"/>
    </xf>
    <xf numFmtId="49" fontId="34" fillId="0" borderId="79" applyNumberFormat="0" applyFont="0" applyFill="0" applyBorder="0" applyProtection="0">
      <alignment horizontal="left" vertical="center" indent="2"/>
    </xf>
    <xf numFmtId="0" fontId="58" fillId="42" borderId="76" applyNumberFormat="0" applyAlignment="0" applyProtection="0"/>
    <xf numFmtId="0" fontId="43" fillId="55" borderId="75" applyNumberFormat="0" applyAlignment="0" applyProtection="0"/>
    <xf numFmtId="49" fontId="34" fillId="0" borderId="79" applyNumberFormat="0" applyFont="0" applyFill="0" applyBorder="0" applyProtection="0">
      <alignment horizontal="left" vertical="center" indent="2"/>
    </xf>
    <xf numFmtId="0" fontId="49" fillId="42" borderId="76" applyNumberFormat="0" applyAlignment="0" applyProtection="0"/>
    <xf numFmtId="4" fontId="34" fillId="0" borderId="79" applyFill="0" applyBorder="0" applyProtection="0">
      <alignment horizontal="right" vertical="center"/>
    </xf>
    <xf numFmtId="0" fontId="46" fillId="55" borderId="76" applyNumberFormat="0" applyAlignment="0" applyProtection="0"/>
    <xf numFmtId="0" fontId="65" fillId="0" borderId="77" applyNumberFormat="0" applyFill="0" applyAlignment="0" applyProtection="0"/>
    <xf numFmtId="0" fontId="62" fillId="55" borderId="75" applyNumberFormat="0" applyAlignment="0" applyProtection="0"/>
    <xf numFmtId="0" fontId="34" fillId="0" borderId="79" applyNumberFormat="0" applyFill="0" applyAlignment="0" applyProtection="0"/>
    <xf numFmtId="4" fontId="34" fillId="0" borderId="79">
      <alignment horizontal="right" vertical="center"/>
    </xf>
    <xf numFmtId="0" fontId="34" fillId="0" borderId="79">
      <alignment horizontal="right" vertical="center"/>
    </xf>
    <xf numFmtId="0" fontId="58" fillId="42" borderId="76" applyNumberFormat="0" applyAlignment="0" applyProtection="0"/>
    <xf numFmtId="0" fontId="43" fillId="55" borderId="75" applyNumberFormat="0" applyAlignment="0" applyProtection="0"/>
    <xf numFmtId="0" fontId="45" fillId="55" borderId="76" applyNumberFormat="0" applyAlignment="0" applyProtection="0"/>
    <xf numFmtId="0" fontId="34" fillId="33" borderId="82">
      <alignment horizontal="left" vertical="center" wrapText="1" indent="2"/>
    </xf>
    <xf numFmtId="0" fontId="46" fillId="55" borderId="76" applyNumberFormat="0" applyAlignment="0" applyProtection="0"/>
    <xf numFmtId="0" fontId="46" fillId="55" borderId="76" applyNumberFormat="0" applyAlignment="0" applyProtection="0"/>
    <xf numFmtId="4" fontId="32" fillId="33" borderId="80">
      <alignment horizontal="right" vertical="center"/>
    </xf>
    <xf numFmtId="0" fontId="32" fillId="33" borderId="80">
      <alignment horizontal="right" vertical="center"/>
    </xf>
    <xf numFmtId="0" fontId="32" fillId="33" borderId="79">
      <alignment horizontal="right" vertical="center"/>
    </xf>
    <xf numFmtId="4" fontId="36" fillId="31" borderId="79">
      <alignment horizontal="right" vertical="center"/>
    </xf>
    <xf numFmtId="0" fontId="49" fillId="42" borderId="76" applyNumberFormat="0" applyAlignment="0" applyProtection="0"/>
    <xf numFmtId="0" fontId="50" fillId="0" borderId="77" applyNumberFormat="0" applyFill="0" applyAlignment="0" applyProtection="0"/>
    <xf numFmtId="0" fontId="65" fillId="0" borderId="77" applyNumberFormat="0" applyFill="0" applyAlignment="0" applyProtection="0"/>
    <xf numFmtId="0" fontId="40" fillId="58" borderId="78" applyNumberFormat="0" applyFont="0" applyAlignment="0" applyProtection="0"/>
    <xf numFmtId="0" fontId="58" fillId="42" borderId="76" applyNumberFormat="0" applyAlignment="0" applyProtection="0"/>
    <xf numFmtId="49" fontId="33" fillId="0" borderId="79" applyNumberFormat="0" applyFill="0" applyBorder="0" applyProtection="0">
      <alignment horizontal="left" vertical="center"/>
    </xf>
    <xf numFmtId="0" fontId="34" fillId="33" borderId="82">
      <alignment horizontal="left" vertical="center" wrapText="1" indent="2"/>
    </xf>
    <xf numFmtId="0" fontId="46" fillId="55" borderId="76" applyNumberFormat="0" applyAlignment="0" applyProtection="0"/>
    <xf numFmtId="0" fontId="34" fillId="0" borderId="82">
      <alignment horizontal="left" vertical="center" wrapText="1" indent="2"/>
    </xf>
    <xf numFmtId="0" fontId="40" fillId="58" borderId="78" applyNumberFormat="0" applyFont="0" applyAlignment="0" applyProtection="0"/>
    <xf numFmtId="0" fontId="5" fillId="58" borderId="78" applyNumberFormat="0" applyFont="0" applyAlignment="0" applyProtection="0"/>
    <xf numFmtId="0" fontId="62" fillId="55" borderId="75" applyNumberFormat="0" applyAlignment="0" applyProtection="0"/>
    <xf numFmtId="0" fontId="65" fillId="0" borderId="77" applyNumberFormat="0" applyFill="0" applyAlignment="0" applyProtection="0"/>
    <xf numFmtId="4" fontId="34" fillId="32" borderId="79"/>
    <xf numFmtId="0" fontId="32" fillId="33" borderId="79">
      <alignment horizontal="right" vertical="center"/>
    </xf>
    <xf numFmtId="0" fontId="65" fillId="0" borderId="77" applyNumberFormat="0" applyFill="0" applyAlignment="0" applyProtection="0"/>
    <xf numFmtId="4" fontId="32" fillId="33" borderId="81">
      <alignment horizontal="right" vertical="center"/>
    </xf>
    <xf numFmtId="0" fontId="45" fillId="55" borderId="76" applyNumberFormat="0" applyAlignment="0" applyProtection="0"/>
    <xf numFmtId="0" fontId="32" fillId="33" borderId="80">
      <alignment horizontal="right" vertical="center"/>
    </xf>
    <xf numFmtId="0" fontId="46" fillId="55" borderId="76" applyNumberFormat="0" applyAlignment="0" applyProtection="0"/>
    <xf numFmtId="0" fontId="50" fillId="0" borderId="77" applyNumberFormat="0" applyFill="0" applyAlignment="0" applyProtection="0"/>
    <xf numFmtId="0" fontId="40" fillId="58" borderId="78" applyNumberFormat="0" applyFont="0" applyAlignment="0" applyProtection="0"/>
    <xf numFmtId="4" fontId="32" fillId="33" borderId="80">
      <alignment horizontal="right" vertical="center"/>
    </xf>
    <xf numFmtId="0" fontId="34" fillId="33" borderId="82">
      <alignment horizontal="left" vertical="center" wrapText="1" indent="2"/>
    </xf>
    <xf numFmtId="0" fontId="34" fillId="32" borderId="79"/>
    <xf numFmtId="173" fontId="34" fillId="59" borderId="79" applyNumberFormat="0" applyFont="0" applyBorder="0" applyAlignment="0" applyProtection="0">
      <alignment horizontal="right" vertical="center"/>
    </xf>
    <xf numFmtId="0" fontId="34" fillId="0" borderId="79" applyNumberFormat="0" applyFill="0" applyAlignment="0" applyProtection="0"/>
    <xf numFmtId="4" fontId="34" fillId="0" borderId="79" applyFill="0" applyBorder="0" applyProtection="0">
      <alignment horizontal="right" vertical="center"/>
    </xf>
    <xf numFmtId="4" fontId="32" fillId="31" borderId="79">
      <alignment horizontal="right" vertical="center"/>
    </xf>
    <xf numFmtId="0" fontId="50" fillId="0" borderId="77" applyNumberFormat="0" applyFill="0" applyAlignment="0" applyProtection="0"/>
    <xf numFmtId="49" fontId="33" fillId="0" borderId="79" applyNumberFormat="0" applyFill="0" applyBorder="0" applyProtection="0">
      <alignment horizontal="left" vertical="center"/>
    </xf>
    <xf numFmtId="49" fontId="34" fillId="0" borderId="80" applyNumberFormat="0" applyFont="0" applyFill="0" applyBorder="0" applyProtection="0">
      <alignment horizontal="left" vertical="center" indent="5"/>
    </xf>
    <xf numFmtId="0" fontId="34" fillId="31" borderId="80">
      <alignment horizontal="left" vertical="center"/>
    </xf>
    <xf numFmtId="0" fontId="46" fillId="55" borderId="76" applyNumberFormat="0" applyAlignment="0" applyProtection="0"/>
    <xf numFmtId="4" fontId="32" fillId="33" borderId="81">
      <alignment horizontal="right" vertical="center"/>
    </xf>
    <xf numFmtId="0" fontId="58" fillId="42" borderId="76" applyNumberFormat="0" applyAlignment="0" applyProtection="0"/>
    <xf numFmtId="0" fontId="58" fillId="42" borderId="76" applyNumberFormat="0" applyAlignment="0" applyProtection="0"/>
    <xf numFmtId="0" fontId="40" fillId="58" borderId="78" applyNumberFormat="0" applyFont="0" applyAlignment="0" applyProtection="0"/>
    <xf numFmtId="0" fontId="62" fillId="55" borderId="75" applyNumberFormat="0" applyAlignment="0" applyProtection="0"/>
    <xf numFmtId="0" fontId="65" fillId="0" borderId="77" applyNumberFormat="0" applyFill="0" applyAlignment="0" applyProtection="0"/>
    <xf numFmtId="0" fontId="32" fillId="33" borderId="79">
      <alignment horizontal="right" vertical="center"/>
    </xf>
    <xf numFmtId="0" fontId="5" fillId="58" borderId="78" applyNumberFormat="0" applyFont="0" applyAlignment="0" applyProtection="0"/>
    <xf numFmtId="4" fontId="34" fillId="0" borderId="79">
      <alignment horizontal="right" vertical="center"/>
    </xf>
    <xf numFmtId="0" fontId="65" fillId="0" borderId="77" applyNumberFormat="0" applyFill="0" applyAlignment="0" applyProtection="0"/>
    <xf numFmtId="0" fontId="32" fillId="33" borderId="79">
      <alignment horizontal="right" vertical="center"/>
    </xf>
    <xf numFmtId="0" fontId="32" fillId="33" borderId="79">
      <alignment horizontal="right" vertical="center"/>
    </xf>
    <xf numFmtId="4" fontId="36" fillId="31" borderId="79">
      <alignment horizontal="right" vertical="center"/>
    </xf>
    <xf numFmtId="0" fontId="32" fillId="31" borderId="79">
      <alignment horizontal="right" vertical="center"/>
    </xf>
    <xf numFmtId="4" fontId="32" fillId="31" borderId="79">
      <alignment horizontal="right" vertical="center"/>
    </xf>
    <xf numFmtId="0" fontId="36" fillId="31" borderId="79">
      <alignment horizontal="right" vertical="center"/>
    </xf>
    <xf numFmtId="4" fontId="36" fillId="31" borderId="79">
      <alignment horizontal="right" vertical="center"/>
    </xf>
    <xf numFmtId="0" fontId="32" fillId="33" borderId="79">
      <alignment horizontal="right" vertical="center"/>
    </xf>
    <xf numFmtId="4" fontId="32" fillId="33" borderId="79">
      <alignment horizontal="right" vertical="center"/>
    </xf>
    <xf numFmtId="0" fontId="32" fillId="33" borderId="79">
      <alignment horizontal="right" vertical="center"/>
    </xf>
    <xf numFmtId="4" fontId="32" fillId="33" borderId="79">
      <alignment horizontal="right" vertical="center"/>
    </xf>
    <xf numFmtId="0" fontId="32" fillId="33" borderId="80">
      <alignment horizontal="right" vertical="center"/>
    </xf>
    <xf numFmtId="4" fontId="32" fillId="33" borderId="80">
      <alignment horizontal="right" vertical="center"/>
    </xf>
    <xf numFmtId="0" fontId="32" fillId="33" borderId="81">
      <alignment horizontal="right" vertical="center"/>
    </xf>
    <xf numFmtId="4" fontId="32" fillId="33" borderId="81">
      <alignment horizontal="right" vertical="center"/>
    </xf>
    <xf numFmtId="0" fontId="46" fillId="55" borderId="76" applyNumberFormat="0" applyAlignment="0" applyProtection="0"/>
    <xf numFmtId="0" fontId="34" fillId="33" borderId="82">
      <alignment horizontal="left" vertical="center" wrapText="1" indent="2"/>
    </xf>
    <xf numFmtId="0" fontId="34" fillId="0" borderId="82">
      <alignment horizontal="left" vertical="center" wrapText="1" indent="2"/>
    </xf>
    <xf numFmtId="0" fontId="34" fillId="31" borderId="80">
      <alignment horizontal="left" vertical="center"/>
    </xf>
    <xf numFmtId="0" fontId="58" fillId="42" borderId="76" applyNumberFormat="0" applyAlignment="0" applyProtection="0"/>
    <xf numFmtId="0" fontId="34" fillId="0" borderId="79">
      <alignment horizontal="right" vertical="center"/>
    </xf>
    <xf numFmtId="4" fontId="34" fillId="0" borderId="79">
      <alignment horizontal="right" vertical="center"/>
    </xf>
    <xf numFmtId="0" fontId="34" fillId="0" borderId="79" applyNumberFormat="0" applyFill="0" applyAlignment="0" applyProtection="0"/>
    <xf numFmtId="0" fontId="62" fillId="55" borderId="75" applyNumberFormat="0" applyAlignment="0" applyProtection="0"/>
    <xf numFmtId="173" fontId="34" fillId="59" borderId="79" applyNumberFormat="0" applyFont="0" applyBorder="0" applyAlignment="0" applyProtection="0">
      <alignment horizontal="right" vertical="center"/>
    </xf>
    <xf numFmtId="0" fontId="34" fillId="32" borderId="79"/>
    <xf numFmtId="4" fontId="34" fillId="32" borderId="79"/>
    <xf numFmtId="0" fontId="65" fillId="0" borderId="77" applyNumberFormat="0" applyFill="0" applyAlignment="0" applyProtection="0"/>
    <xf numFmtId="0" fontId="5" fillId="58" borderId="78" applyNumberFormat="0" applyFont="0" applyAlignment="0" applyProtection="0"/>
    <xf numFmtId="0" fontId="40" fillId="58" borderId="78" applyNumberFormat="0" applyFont="0" applyAlignment="0" applyProtection="0"/>
    <xf numFmtId="0" fontId="34" fillId="0" borderId="79" applyNumberFormat="0" applyFill="0" applyAlignment="0" applyProtection="0"/>
    <xf numFmtId="0" fontId="50" fillId="0" borderId="77" applyNumberFormat="0" applyFill="0" applyAlignment="0" applyProtection="0"/>
    <xf numFmtId="0" fontId="65" fillId="0" borderId="77" applyNumberFormat="0" applyFill="0" applyAlignment="0" applyProtection="0"/>
    <xf numFmtId="0" fontId="49" fillId="42" borderId="76" applyNumberFormat="0" applyAlignment="0" applyProtection="0"/>
    <xf numFmtId="0" fontId="46" fillId="55" borderId="76" applyNumberFormat="0" applyAlignment="0" applyProtection="0"/>
    <xf numFmtId="4" fontId="36" fillId="31" borderId="79">
      <alignment horizontal="right" vertical="center"/>
    </xf>
    <xf numFmtId="0" fontId="32" fillId="31" borderId="79">
      <alignment horizontal="right" vertical="center"/>
    </xf>
    <xf numFmtId="173" fontId="34" fillId="59" borderId="79" applyNumberFormat="0" applyFont="0" applyBorder="0" applyAlignment="0" applyProtection="0">
      <alignment horizontal="right" vertical="center"/>
    </xf>
    <xf numFmtId="0" fontId="50" fillId="0" borderId="77" applyNumberFormat="0" applyFill="0" applyAlignment="0" applyProtection="0"/>
    <xf numFmtId="49" fontId="34" fillId="0" borderId="79" applyNumberFormat="0" applyFont="0" applyFill="0" applyBorder="0" applyProtection="0">
      <alignment horizontal="left" vertical="center" indent="2"/>
    </xf>
    <xf numFmtId="49" fontId="34" fillId="0" borderId="80" applyNumberFormat="0" applyFont="0" applyFill="0" applyBorder="0" applyProtection="0">
      <alignment horizontal="left" vertical="center" indent="5"/>
    </xf>
    <xf numFmtId="49" fontId="34" fillId="0" borderId="79" applyNumberFormat="0" applyFont="0" applyFill="0" applyBorder="0" applyProtection="0">
      <alignment horizontal="left" vertical="center" indent="2"/>
    </xf>
    <xf numFmtId="4" fontId="34" fillId="0" borderId="79" applyFill="0" applyBorder="0" applyProtection="0">
      <alignment horizontal="right" vertical="center"/>
    </xf>
    <xf numFmtId="49" fontId="33" fillId="0" borderId="79" applyNumberFormat="0" applyFill="0" applyBorder="0" applyProtection="0">
      <alignment horizontal="left" vertical="center"/>
    </xf>
    <xf numFmtId="0" fontId="34" fillId="0" borderId="82">
      <alignment horizontal="left" vertical="center" wrapText="1" indent="2"/>
    </xf>
    <xf numFmtId="0" fontId="62" fillId="55" borderId="75" applyNumberFormat="0" applyAlignment="0" applyProtection="0"/>
    <xf numFmtId="0" fontId="32" fillId="33" borderId="81">
      <alignment horizontal="right" vertical="center"/>
    </xf>
    <xf numFmtId="0" fontId="49" fillId="42" borderId="76" applyNumberFormat="0" applyAlignment="0" applyProtection="0"/>
    <xf numFmtId="0" fontId="32" fillId="33" borderId="81">
      <alignment horizontal="right" vertical="center"/>
    </xf>
    <xf numFmtId="4" fontId="32" fillId="33" borderId="79">
      <alignment horizontal="right" vertical="center"/>
    </xf>
    <xf numFmtId="0" fontId="32" fillId="33" borderId="79">
      <alignment horizontal="right" vertical="center"/>
    </xf>
    <xf numFmtId="0" fontId="43" fillId="55" borderId="75" applyNumberFormat="0" applyAlignment="0" applyProtection="0"/>
    <xf numFmtId="0" fontId="45" fillId="55" borderId="76" applyNumberFormat="0" applyAlignment="0" applyProtection="0"/>
    <xf numFmtId="0" fontId="50" fillId="0" borderId="77" applyNumberFormat="0" applyFill="0" applyAlignment="0" applyProtection="0"/>
    <xf numFmtId="0" fontId="34" fillId="32" borderId="79"/>
    <xf numFmtId="4" fontId="34" fillId="32" borderId="79"/>
    <xf numFmtId="4" fontId="32" fillId="33" borderId="79">
      <alignment horizontal="right" vertical="center"/>
    </xf>
    <xf numFmtId="0" fontId="36" fillId="31" borderId="79">
      <alignment horizontal="right" vertical="center"/>
    </xf>
    <xf numFmtId="0" fontId="49" fillId="42" borderId="76" applyNumberFormat="0" applyAlignment="0" applyProtection="0"/>
    <xf numFmtId="0" fontId="46" fillId="55" borderId="76" applyNumberFormat="0" applyAlignment="0" applyProtection="0"/>
    <xf numFmtId="4" fontId="34" fillId="0" borderId="79">
      <alignment horizontal="right" vertical="center"/>
    </xf>
    <xf numFmtId="0" fontId="34" fillId="33" borderId="82">
      <alignment horizontal="left" vertical="center" wrapText="1" indent="2"/>
    </xf>
    <xf numFmtId="0" fontId="34" fillId="0" borderId="82">
      <alignment horizontal="left" vertical="center" wrapText="1" indent="2"/>
    </xf>
    <xf numFmtId="0" fontId="62" fillId="55" borderId="75" applyNumberFormat="0" applyAlignment="0" applyProtection="0"/>
    <xf numFmtId="0" fontId="58" fillId="42" borderId="76" applyNumberFormat="0" applyAlignment="0" applyProtection="0"/>
    <xf numFmtId="0" fontId="45" fillId="55" borderId="76" applyNumberFormat="0" applyAlignment="0" applyProtection="0"/>
    <xf numFmtId="0" fontId="43" fillId="55" borderId="75" applyNumberFormat="0" applyAlignment="0" applyProtection="0"/>
    <xf numFmtId="0" fontId="32" fillId="33" borderId="81">
      <alignment horizontal="right" vertical="center"/>
    </xf>
    <xf numFmtId="0" fontId="36" fillId="31" borderId="79">
      <alignment horizontal="right" vertical="center"/>
    </xf>
    <xf numFmtId="4" fontId="32" fillId="31" borderId="79">
      <alignment horizontal="right" vertical="center"/>
    </xf>
    <xf numFmtId="4" fontId="32" fillId="33" borderId="79">
      <alignment horizontal="right" vertical="center"/>
    </xf>
    <xf numFmtId="49" fontId="34" fillId="0" borderId="80" applyNumberFormat="0" applyFont="0" applyFill="0" applyBorder="0" applyProtection="0">
      <alignment horizontal="left" vertical="center" indent="5"/>
    </xf>
    <xf numFmtId="4" fontId="34" fillId="0" borderId="79" applyFill="0" applyBorder="0" applyProtection="0">
      <alignment horizontal="right" vertical="center"/>
    </xf>
    <xf numFmtId="4" fontId="32" fillId="31" borderId="79">
      <alignment horizontal="right" vertical="center"/>
    </xf>
    <xf numFmtId="4" fontId="32" fillId="33" borderId="110">
      <alignment horizontal="right" vertical="center"/>
    </xf>
    <xf numFmtId="0" fontId="58" fillId="42" borderId="76" applyNumberFormat="0" applyAlignment="0" applyProtection="0"/>
    <xf numFmtId="0" fontId="49" fillId="42" borderId="76" applyNumberFormat="0" applyAlignment="0" applyProtection="0"/>
    <xf numFmtId="0" fontId="45" fillId="55" borderId="76" applyNumberFormat="0" applyAlignment="0" applyProtection="0"/>
    <xf numFmtId="0" fontId="34" fillId="33" borderId="82">
      <alignment horizontal="left" vertical="center" wrapText="1" indent="2"/>
    </xf>
    <xf numFmtId="0" fontId="34" fillId="0" borderId="82">
      <alignment horizontal="left" vertical="center" wrapText="1" indent="2"/>
    </xf>
    <xf numFmtId="0" fontId="34" fillId="33" borderId="82">
      <alignment horizontal="left" vertical="center" wrapText="1" indent="2"/>
    </xf>
    <xf numFmtId="0" fontId="34" fillId="0" borderId="82">
      <alignment horizontal="left" vertical="center" wrapText="1" indent="2"/>
    </xf>
    <xf numFmtId="0" fontId="43" fillId="55" borderId="75" applyNumberFormat="0" applyAlignment="0" applyProtection="0"/>
    <xf numFmtId="0" fontId="45" fillId="55" borderId="76" applyNumberFormat="0" applyAlignment="0" applyProtection="0"/>
    <xf numFmtId="0" fontId="46" fillId="55" borderId="76" applyNumberFormat="0" applyAlignment="0" applyProtection="0"/>
    <xf numFmtId="0" fontId="49" fillId="42" borderId="76" applyNumberFormat="0" applyAlignment="0" applyProtection="0"/>
    <xf numFmtId="0" fontId="50" fillId="0" borderId="77" applyNumberFormat="0" applyFill="0" applyAlignment="0" applyProtection="0"/>
    <xf numFmtId="0" fontId="58" fillId="42" borderId="76" applyNumberFormat="0" applyAlignment="0" applyProtection="0"/>
    <xf numFmtId="0" fontId="40" fillId="58" borderId="78" applyNumberFormat="0" applyFont="0" applyAlignment="0" applyProtection="0"/>
    <xf numFmtId="0" fontId="5" fillId="58" borderId="78" applyNumberFormat="0" applyFont="0" applyAlignment="0" applyProtection="0"/>
    <xf numFmtId="0" fontId="62" fillId="55" borderId="75" applyNumberFormat="0" applyAlignment="0" applyProtection="0"/>
    <xf numFmtId="0" fontId="65" fillId="0" borderId="77" applyNumberFormat="0" applyFill="0" applyAlignment="0" applyProtection="0"/>
    <xf numFmtId="0" fontId="46" fillId="55" borderId="76" applyNumberFormat="0" applyAlignment="0" applyProtection="0"/>
    <xf numFmtId="0" fontId="58" fillId="42" borderId="76" applyNumberFormat="0" applyAlignment="0" applyProtection="0"/>
    <xf numFmtId="0" fontId="40" fillId="58" borderId="78" applyNumberFormat="0" applyFont="0" applyAlignment="0" applyProtection="0"/>
    <xf numFmtId="0" fontId="62" fillId="55" borderId="75" applyNumberFormat="0" applyAlignment="0" applyProtection="0"/>
    <xf numFmtId="0" fontId="65" fillId="0" borderId="77" applyNumberFormat="0" applyFill="0" applyAlignment="0" applyProtection="0"/>
    <xf numFmtId="0" fontId="40" fillId="58" borderId="117" applyNumberFormat="0" applyFont="0" applyAlignment="0" applyProtection="0"/>
    <xf numFmtId="0" fontId="34" fillId="0" borderId="98">
      <alignment horizontal="left" vertical="center" wrapText="1" indent="2"/>
    </xf>
    <xf numFmtId="4" fontId="36" fillId="31" borderId="108">
      <alignment horizontal="right" vertical="center"/>
    </xf>
    <xf numFmtId="0" fontId="46" fillId="55" borderId="92" applyNumberFormat="0" applyAlignment="0" applyProtection="0"/>
    <xf numFmtId="0" fontId="46" fillId="55" borderId="76" applyNumberFormat="0" applyAlignment="0" applyProtection="0"/>
    <xf numFmtId="0" fontId="32" fillId="33" borderId="87">
      <alignment horizontal="right" vertical="center"/>
    </xf>
    <xf numFmtId="0" fontId="32" fillId="31" borderId="95">
      <alignment horizontal="right" vertical="center"/>
    </xf>
    <xf numFmtId="49" fontId="33" fillId="0" borderId="95" applyNumberFormat="0" applyFill="0" applyBorder="0" applyProtection="0">
      <alignment horizontal="left" vertical="center"/>
    </xf>
    <xf numFmtId="0" fontId="58" fillId="42" borderId="76" applyNumberFormat="0" applyAlignment="0" applyProtection="0"/>
    <xf numFmtId="0" fontId="62" fillId="55" borderId="75" applyNumberFormat="0" applyAlignment="0" applyProtection="0"/>
    <xf numFmtId="0" fontId="65" fillId="0" borderId="77" applyNumberFormat="0" applyFill="0" applyAlignment="0" applyProtection="0"/>
    <xf numFmtId="0" fontId="45" fillId="55" borderId="84" applyNumberFormat="0" applyAlignment="0" applyProtection="0"/>
    <xf numFmtId="0" fontId="43" fillId="55" borderId="75" applyNumberFormat="0" applyAlignment="0" applyProtection="0"/>
    <xf numFmtId="0" fontId="45" fillId="55" borderId="76" applyNumberFormat="0" applyAlignment="0" applyProtection="0"/>
    <xf numFmtId="0" fontId="50" fillId="0" borderId="77" applyNumberFormat="0" applyFill="0" applyAlignment="0" applyProtection="0"/>
    <xf numFmtId="49" fontId="34" fillId="0" borderId="79" applyNumberFormat="0" applyFont="0" applyFill="0" applyBorder="0" applyProtection="0">
      <alignment horizontal="left" vertical="center" indent="2"/>
    </xf>
    <xf numFmtId="0" fontId="32" fillId="31" borderId="79">
      <alignment horizontal="right" vertical="center"/>
    </xf>
    <xf numFmtId="4" fontId="32" fillId="31" borderId="79">
      <alignment horizontal="right" vertical="center"/>
    </xf>
    <xf numFmtId="0" fontId="36" fillId="31" borderId="79">
      <alignment horizontal="right" vertical="center"/>
    </xf>
    <xf numFmtId="4" fontId="36" fillId="31" borderId="79">
      <alignment horizontal="right" vertical="center"/>
    </xf>
    <xf numFmtId="0" fontId="32" fillId="33" borderId="79">
      <alignment horizontal="right" vertical="center"/>
    </xf>
    <xf numFmtId="4" fontId="32" fillId="33" borderId="79">
      <alignment horizontal="right" vertical="center"/>
    </xf>
    <xf numFmtId="0" fontId="32" fillId="33" borderId="79">
      <alignment horizontal="right" vertical="center"/>
    </xf>
    <xf numFmtId="4" fontId="32" fillId="33" borderId="79">
      <alignment horizontal="right" vertical="center"/>
    </xf>
    <xf numFmtId="0" fontId="49" fillId="42" borderId="76" applyNumberFormat="0" applyAlignment="0" applyProtection="0"/>
    <xf numFmtId="0" fontId="34" fillId="0" borderId="79">
      <alignment horizontal="right" vertical="center"/>
    </xf>
    <xf numFmtId="4" fontId="34" fillId="0" borderId="79">
      <alignment horizontal="right" vertical="center"/>
    </xf>
    <xf numFmtId="4" fontId="34" fillId="0" borderId="79" applyFill="0" applyBorder="0" applyProtection="0">
      <alignment horizontal="right" vertical="center"/>
    </xf>
    <xf numFmtId="49" fontId="33" fillId="0" borderId="79" applyNumberFormat="0" applyFill="0" applyBorder="0" applyProtection="0">
      <alignment horizontal="left" vertical="center"/>
    </xf>
    <xf numFmtId="0" fontId="34" fillId="0" borderId="79" applyNumberFormat="0" applyFill="0" applyAlignment="0" applyProtection="0"/>
    <xf numFmtId="173" fontId="34" fillId="59" borderId="79" applyNumberFormat="0" applyFont="0" applyBorder="0" applyAlignment="0" applyProtection="0">
      <alignment horizontal="right" vertical="center"/>
    </xf>
    <xf numFmtId="0" fontId="34" fillId="32" borderId="79"/>
    <xf numFmtId="4" fontId="34" fillId="32" borderId="79"/>
    <xf numFmtId="4" fontId="32" fillId="33" borderId="79">
      <alignment horizontal="right" vertical="center"/>
    </xf>
    <xf numFmtId="0" fontId="34" fillId="32" borderId="79"/>
    <xf numFmtId="0" fontId="45" fillId="55" borderId="76" applyNumberFormat="0" applyAlignment="0" applyProtection="0"/>
    <xf numFmtId="0" fontId="32" fillId="31" borderId="79">
      <alignment horizontal="right" vertical="center"/>
    </xf>
    <xf numFmtId="0" fontId="34" fillId="0" borderId="79">
      <alignment horizontal="right" vertical="center"/>
    </xf>
    <xf numFmtId="0" fontId="65" fillId="0" borderId="77" applyNumberFormat="0" applyFill="0" applyAlignment="0" applyProtection="0"/>
    <xf numFmtId="0" fontId="34" fillId="31" borderId="80">
      <alignment horizontal="left" vertical="center"/>
    </xf>
    <xf numFmtId="0" fontId="58" fillId="42" borderId="76" applyNumberFormat="0" applyAlignment="0" applyProtection="0"/>
    <xf numFmtId="173" fontId="34" fillId="59" borderId="79" applyNumberFormat="0" applyFont="0" applyBorder="0" applyAlignment="0" applyProtection="0">
      <alignment horizontal="right" vertical="center"/>
    </xf>
    <xf numFmtId="0" fontId="40" fillId="58" borderId="78" applyNumberFormat="0" applyFont="0" applyAlignment="0" applyProtection="0"/>
    <xf numFmtId="0" fontId="34" fillId="0" borderId="82">
      <alignment horizontal="left" vertical="center" wrapText="1" indent="2"/>
    </xf>
    <xf numFmtId="4" fontId="34" fillId="32" borderId="79"/>
    <xf numFmtId="49" fontId="33" fillId="0" borderId="79" applyNumberFormat="0" applyFill="0" applyBorder="0" applyProtection="0">
      <alignment horizontal="left" vertical="center"/>
    </xf>
    <xf numFmtId="0" fontId="34" fillId="0" borderId="79">
      <alignment horizontal="right" vertical="center"/>
    </xf>
    <xf numFmtId="4" fontId="32" fillId="33" borderId="81">
      <alignment horizontal="right" vertical="center"/>
    </xf>
    <xf numFmtId="4" fontId="32" fillId="33" borderId="79">
      <alignment horizontal="right" vertical="center"/>
    </xf>
    <xf numFmtId="4" fontId="32" fillId="33" borderId="79">
      <alignment horizontal="right" vertical="center"/>
    </xf>
    <xf numFmtId="0" fontId="36" fillId="31" borderId="79">
      <alignment horizontal="right" vertical="center"/>
    </xf>
    <xf numFmtId="0" fontId="32" fillId="31" borderId="79">
      <alignment horizontal="right" vertical="center"/>
    </xf>
    <xf numFmtId="49" fontId="34" fillId="0" borderId="79" applyNumberFormat="0" applyFont="0" applyFill="0" applyBorder="0" applyProtection="0">
      <alignment horizontal="left" vertical="center" indent="2"/>
    </xf>
    <xf numFmtId="0" fontId="58" fillId="42" borderId="76" applyNumberFormat="0" applyAlignment="0" applyProtection="0"/>
    <xf numFmtId="0" fontId="43" fillId="55" borderId="75" applyNumberFormat="0" applyAlignment="0" applyProtection="0"/>
    <xf numFmtId="49" fontId="34" fillId="0" borderId="79" applyNumberFormat="0" applyFont="0" applyFill="0" applyBorder="0" applyProtection="0">
      <alignment horizontal="left" vertical="center" indent="2"/>
    </xf>
    <xf numFmtId="0" fontId="49" fillId="42" borderId="76" applyNumberFormat="0" applyAlignment="0" applyProtection="0"/>
    <xf numFmtId="4" fontId="34" fillId="0" borderId="79" applyFill="0" applyBorder="0" applyProtection="0">
      <alignment horizontal="right" vertical="center"/>
    </xf>
    <xf numFmtId="0" fontId="46" fillId="55" borderId="76" applyNumberFormat="0" applyAlignment="0" applyProtection="0"/>
    <xf numFmtId="0" fontId="65" fillId="0" borderId="77" applyNumberFormat="0" applyFill="0" applyAlignment="0" applyProtection="0"/>
    <xf numFmtId="0" fontId="62" fillId="55" borderId="75" applyNumberFormat="0" applyAlignment="0" applyProtection="0"/>
    <xf numFmtId="0" fontId="34" fillId="0" borderId="79" applyNumberFormat="0" applyFill="0" applyAlignment="0" applyProtection="0"/>
    <xf numFmtId="4" fontId="34" fillId="0" borderId="79">
      <alignment horizontal="right" vertical="center"/>
    </xf>
    <xf numFmtId="0" fontId="34" fillId="0" borderId="79">
      <alignment horizontal="right" vertical="center"/>
    </xf>
    <xf numFmtId="0" fontId="58" fillId="42" borderId="76" applyNumberFormat="0" applyAlignment="0" applyProtection="0"/>
    <xf numFmtId="0" fontId="43" fillId="55" borderId="75" applyNumberFormat="0" applyAlignment="0" applyProtection="0"/>
    <xf numFmtId="0" fontId="45" fillId="55" borderId="76" applyNumberFormat="0" applyAlignment="0" applyProtection="0"/>
    <xf numFmtId="0" fontId="34" fillId="33" borderId="82">
      <alignment horizontal="left" vertical="center" wrapText="1" indent="2"/>
    </xf>
    <xf numFmtId="0" fontId="46" fillId="55" borderId="76" applyNumberFormat="0" applyAlignment="0" applyProtection="0"/>
    <xf numFmtId="0" fontId="46" fillId="55" borderId="76" applyNumberFormat="0" applyAlignment="0" applyProtection="0"/>
    <xf numFmtId="4" fontId="32" fillId="33" borderId="80">
      <alignment horizontal="right" vertical="center"/>
    </xf>
    <xf numFmtId="0" fontId="32" fillId="33" borderId="80">
      <alignment horizontal="right" vertical="center"/>
    </xf>
    <xf numFmtId="0" fontId="32" fillId="33" borderId="79">
      <alignment horizontal="right" vertical="center"/>
    </xf>
    <xf numFmtId="4" fontId="36" fillId="31" borderId="79">
      <alignment horizontal="right" vertical="center"/>
    </xf>
    <xf numFmtId="0" fontId="49" fillId="42" borderId="76" applyNumberFormat="0" applyAlignment="0" applyProtection="0"/>
    <xf numFmtId="0" fontId="50" fillId="0" borderId="77" applyNumberFormat="0" applyFill="0" applyAlignment="0" applyProtection="0"/>
    <xf numFmtId="0" fontId="65" fillId="0" borderId="77" applyNumberFormat="0" applyFill="0" applyAlignment="0" applyProtection="0"/>
    <xf numFmtId="0" fontId="40" fillId="58" borderId="78" applyNumberFormat="0" applyFont="0" applyAlignment="0" applyProtection="0"/>
    <xf numFmtId="0" fontId="58" fillId="42" borderId="76" applyNumberFormat="0" applyAlignment="0" applyProtection="0"/>
    <xf numFmtId="49" fontId="33" fillId="0" borderId="79" applyNumberFormat="0" applyFill="0" applyBorder="0" applyProtection="0">
      <alignment horizontal="left" vertical="center"/>
    </xf>
    <xf numFmtId="0" fontId="34" fillId="33" borderId="82">
      <alignment horizontal="left" vertical="center" wrapText="1" indent="2"/>
    </xf>
    <xf numFmtId="0" fontId="46" fillId="55" borderId="76" applyNumberFormat="0" applyAlignment="0" applyProtection="0"/>
    <xf numFmtId="0" fontId="34" fillId="0" borderId="82">
      <alignment horizontal="left" vertical="center" wrapText="1" indent="2"/>
    </xf>
    <xf numFmtId="0" fontId="40" fillId="58" borderId="78" applyNumberFormat="0" applyFont="0" applyAlignment="0" applyProtection="0"/>
    <xf numFmtId="0" fontId="5" fillId="58" borderId="78" applyNumberFormat="0" applyFont="0" applyAlignment="0" applyProtection="0"/>
    <xf numFmtId="0" fontId="62" fillId="55" borderId="75" applyNumberFormat="0" applyAlignment="0" applyProtection="0"/>
    <xf numFmtId="0" fontId="65" fillId="0" borderId="77" applyNumberFormat="0" applyFill="0" applyAlignment="0" applyProtection="0"/>
    <xf numFmtId="4" fontId="34" fillId="32" borderId="79"/>
    <xf numFmtId="0" fontId="32" fillId="33" borderId="79">
      <alignment horizontal="right" vertical="center"/>
    </xf>
    <xf numFmtId="0" fontId="65" fillId="0" borderId="77" applyNumberFormat="0" applyFill="0" applyAlignment="0" applyProtection="0"/>
    <xf numFmtId="4" fontId="32" fillId="33" borderId="81">
      <alignment horizontal="right" vertical="center"/>
    </xf>
    <xf numFmtId="0" fontId="45" fillId="55" borderId="76" applyNumberFormat="0" applyAlignment="0" applyProtection="0"/>
    <xf numFmtId="0" fontId="32" fillId="33" borderId="80">
      <alignment horizontal="right" vertical="center"/>
    </xf>
    <xf numFmtId="0" fontId="46" fillId="55" borderId="76" applyNumberFormat="0" applyAlignment="0" applyProtection="0"/>
    <xf numFmtId="0" fontId="50" fillId="0" borderId="77" applyNumberFormat="0" applyFill="0" applyAlignment="0" applyProtection="0"/>
    <xf numFmtId="0" fontId="40" fillId="58" borderId="78" applyNumberFormat="0" applyFont="0" applyAlignment="0" applyProtection="0"/>
    <xf numFmtId="4" fontId="32" fillId="33" borderId="80">
      <alignment horizontal="right" vertical="center"/>
    </xf>
    <xf numFmtId="0" fontId="34" fillId="33" borderId="82">
      <alignment horizontal="left" vertical="center" wrapText="1" indent="2"/>
    </xf>
    <xf numFmtId="0" fontId="34" fillId="32" borderId="79"/>
    <xf numFmtId="173" fontId="34" fillId="59" borderId="79" applyNumberFormat="0" applyFont="0" applyBorder="0" applyAlignment="0" applyProtection="0">
      <alignment horizontal="right" vertical="center"/>
    </xf>
    <xf numFmtId="0" fontId="34" fillId="0" borderId="79" applyNumberFormat="0" applyFill="0" applyAlignment="0" applyProtection="0"/>
    <xf numFmtId="4" fontId="34" fillId="0" borderId="79" applyFill="0" applyBorder="0" applyProtection="0">
      <alignment horizontal="right" vertical="center"/>
    </xf>
    <xf numFmtId="4" fontId="32" fillId="31" borderId="79">
      <alignment horizontal="right" vertical="center"/>
    </xf>
    <xf numFmtId="0" fontId="50" fillId="0" borderId="77" applyNumberFormat="0" applyFill="0" applyAlignment="0" applyProtection="0"/>
    <xf numFmtId="49" fontId="33" fillId="0" borderId="79" applyNumberFormat="0" applyFill="0" applyBorder="0" applyProtection="0">
      <alignment horizontal="left" vertical="center"/>
    </xf>
    <xf numFmtId="49" fontId="34" fillId="0" borderId="80" applyNumberFormat="0" applyFont="0" applyFill="0" applyBorder="0" applyProtection="0">
      <alignment horizontal="left" vertical="center" indent="5"/>
    </xf>
    <xf numFmtId="0" fontId="34" fillId="31" borderId="80">
      <alignment horizontal="left" vertical="center"/>
    </xf>
    <xf numFmtId="0" fontId="46" fillId="55" borderId="76" applyNumberFormat="0" applyAlignment="0" applyProtection="0"/>
    <xf numFmtId="4" fontId="32" fillId="33" borderId="81">
      <alignment horizontal="right" vertical="center"/>
    </xf>
    <xf numFmtId="0" fontId="58" fillId="42" borderId="76" applyNumberFormat="0" applyAlignment="0" applyProtection="0"/>
    <xf numFmtId="0" fontId="58" fillId="42" borderId="76" applyNumberFormat="0" applyAlignment="0" applyProtection="0"/>
    <xf numFmtId="0" fontId="40" fillId="58" borderId="78" applyNumberFormat="0" applyFont="0" applyAlignment="0" applyProtection="0"/>
    <xf numFmtId="0" fontId="62" fillId="55" borderId="75" applyNumberFormat="0" applyAlignment="0" applyProtection="0"/>
    <xf numFmtId="0" fontId="65" fillId="0" borderId="77" applyNumberFormat="0" applyFill="0" applyAlignment="0" applyProtection="0"/>
    <xf numFmtId="0" fontId="32" fillId="33" borderId="79">
      <alignment horizontal="right" vertical="center"/>
    </xf>
    <xf numFmtId="0" fontId="5" fillId="58" borderId="78" applyNumberFormat="0" applyFont="0" applyAlignment="0" applyProtection="0"/>
    <xf numFmtId="4" fontId="34" fillId="0" borderId="79">
      <alignment horizontal="right" vertical="center"/>
    </xf>
    <xf numFmtId="0" fontId="65" fillId="0" borderId="77" applyNumberFormat="0" applyFill="0" applyAlignment="0" applyProtection="0"/>
    <xf numFmtId="0" fontId="32" fillId="33" borderId="79">
      <alignment horizontal="right" vertical="center"/>
    </xf>
    <xf numFmtId="0" fontId="32" fillId="33" borderId="79">
      <alignment horizontal="right" vertical="center"/>
    </xf>
    <xf numFmtId="4" fontId="36" fillId="31" borderId="79">
      <alignment horizontal="right" vertical="center"/>
    </xf>
    <xf numFmtId="0" fontId="32" fillId="31" borderId="79">
      <alignment horizontal="right" vertical="center"/>
    </xf>
    <xf numFmtId="4" fontId="32" fillId="31" borderId="79">
      <alignment horizontal="right" vertical="center"/>
    </xf>
    <xf numFmtId="0" fontId="36" fillId="31" borderId="79">
      <alignment horizontal="right" vertical="center"/>
    </xf>
    <xf numFmtId="4" fontId="36" fillId="31" borderId="79">
      <alignment horizontal="right" vertical="center"/>
    </xf>
    <xf numFmtId="0" fontId="32" fillId="33" borderId="79">
      <alignment horizontal="right" vertical="center"/>
    </xf>
    <xf numFmtId="4" fontId="32" fillId="33" borderId="79">
      <alignment horizontal="right" vertical="center"/>
    </xf>
    <xf numFmtId="0" fontId="32" fillId="33" borderId="79">
      <alignment horizontal="right" vertical="center"/>
    </xf>
    <xf numFmtId="4" fontId="32" fillId="33" borderId="79">
      <alignment horizontal="right" vertical="center"/>
    </xf>
    <xf numFmtId="0" fontId="32" fillId="33" borderId="80">
      <alignment horizontal="right" vertical="center"/>
    </xf>
    <xf numFmtId="4" fontId="32" fillId="33" borderId="80">
      <alignment horizontal="right" vertical="center"/>
    </xf>
    <xf numFmtId="0" fontId="32" fillId="33" borderId="81">
      <alignment horizontal="right" vertical="center"/>
    </xf>
    <xf numFmtId="4" fontId="32" fillId="33" borderId="81">
      <alignment horizontal="right" vertical="center"/>
    </xf>
    <xf numFmtId="0" fontId="46" fillId="55" borderId="76" applyNumberFormat="0" applyAlignment="0" applyProtection="0"/>
    <xf numFmtId="0" fontId="34" fillId="33" borderId="82">
      <alignment horizontal="left" vertical="center" wrapText="1" indent="2"/>
    </xf>
    <xf numFmtId="0" fontId="34" fillId="0" borderId="82">
      <alignment horizontal="left" vertical="center" wrapText="1" indent="2"/>
    </xf>
    <xf numFmtId="0" fontId="34" fillId="31" borderId="80">
      <alignment horizontal="left" vertical="center"/>
    </xf>
    <xf numFmtId="0" fontId="58" fillId="42" borderId="76" applyNumberFormat="0" applyAlignment="0" applyProtection="0"/>
    <xf numFmtId="0" fontId="34" fillId="0" borderId="79">
      <alignment horizontal="right" vertical="center"/>
    </xf>
    <xf numFmtId="4" fontId="34" fillId="0" borderId="79">
      <alignment horizontal="right" vertical="center"/>
    </xf>
    <xf numFmtId="0" fontId="34" fillId="0" borderId="79" applyNumberFormat="0" applyFill="0" applyAlignment="0" applyProtection="0"/>
    <xf numFmtId="0" fontId="62" fillId="55" borderId="75" applyNumberFormat="0" applyAlignment="0" applyProtection="0"/>
    <xf numFmtId="173" fontId="34" fillId="59" borderId="79" applyNumberFormat="0" applyFont="0" applyBorder="0" applyAlignment="0" applyProtection="0">
      <alignment horizontal="right" vertical="center"/>
    </xf>
    <xf numFmtId="0" fontId="34" fillId="32" borderId="79"/>
    <xf numFmtId="4" fontId="34" fillId="32" borderId="79"/>
    <xf numFmtId="0" fontId="65" fillId="0" borderId="77" applyNumberFormat="0" applyFill="0" applyAlignment="0" applyProtection="0"/>
    <xf numFmtId="0" fontId="5" fillId="58" borderId="78" applyNumberFormat="0" applyFont="0" applyAlignment="0" applyProtection="0"/>
    <xf numFmtId="0" fontId="40" fillId="58" borderId="78" applyNumberFormat="0" applyFont="0" applyAlignment="0" applyProtection="0"/>
    <xf numFmtId="0" fontId="34" fillId="0" borderId="79" applyNumberFormat="0" applyFill="0" applyAlignment="0" applyProtection="0"/>
    <xf numFmtId="0" fontId="50" fillId="0" borderId="77" applyNumberFormat="0" applyFill="0" applyAlignment="0" applyProtection="0"/>
    <xf numFmtId="0" fontId="65" fillId="0" borderId="77" applyNumberFormat="0" applyFill="0" applyAlignment="0" applyProtection="0"/>
    <xf numFmtId="0" fontId="49" fillId="42" borderId="76" applyNumberFormat="0" applyAlignment="0" applyProtection="0"/>
    <xf numFmtId="0" fontId="46" fillId="55" borderId="76" applyNumberFormat="0" applyAlignment="0" applyProtection="0"/>
    <xf numFmtId="4" fontId="36" fillId="31" borderId="79">
      <alignment horizontal="right" vertical="center"/>
    </xf>
    <xf numFmtId="0" fontId="32" fillId="31" borderId="79">
      <alignment horizontal="right" vertical="center"/>
    </xf>
    <xf numFmtId="173" fontId="34" fillId="59" borderId="79" applyNumberFormat="0" applyFont="0" applyBorder="0" applyAlignment="0" applyProtection="0">
      <alignment horizontal="right" vertical="center"/>
    </xf>
    <xf numFmtId="0" fontId="50" fillId="0" borderId="77" applyNumberFormat="0" applyFill="0" applyAlignment="0" applyProtection="0"/>
    <xf numFmtId="49" fontId="34" fillId="0" borderId="79" applyNumberFormat="0" applyFont="0" applyFill="0" applyBorder="0" applyProtection="0">
      <alignment horizontal="left" vertical="center" indent="2"/>
    </xf>
    <xf numFmtId="49" fontId="34" fillId="0" borderId="80" applyNumberFormat="0" applyFont="0" applyFill="0" applyBorder="0" applyProtection="0">
      <alignment horizontal="left" vertical="center" indent="5"/>
    </xf>
    <xf numFmtId="49" fontId="34" fillId="0" borderId="79" applyNumberFormat="0" applyFont="0" applyFill="0" applyBorder="0" applyProtection="0">
      <alignment horizontal="left" vertical="center" indent="2"/>
    </xf>
    <xf numFmtId="4" fontId="34" fillId="0" borderId="79" applyFill="0" applyBorder="0" applyProtection="0">
      <alignment horizontal="right" vertical="center"/>
    </xf>
    <xf numFmtId="49" fontId="33" fillId="0" borderId="79" applyNumberFormat="0" applyFill="0" applyBorder="0" applyProtection="0">
      <alignment horizontal="left" vertical="center"/>
    </xf>
    <xf numFmtId="0" fontId="34" fillId="0" borderId="82">
      <alignment horizontal="left" vertical="center" wrapText="1" indent="2"/>
    </xf>
    <xf numFmtId="0" fontId="62" fillId="55" borderId="75" applyNumberFormat="0" applyAlignment="0" applyProtection="0"/>
    <xf numFmtId="0" fontId="32" fillId="33" borderId="81">
      <alignment horizontal="right" vertical="center"/>
    </xf>
    <xf numFmtId="0" fontId="49" fillId="42" borderId="76" applyNumberFormat="0" applyAlignment="0" applyProtection="0"/>
    <xf numFmtId="0" fontId="32" fillId="33" borderId="81">
      <alignment horizontal="right" vertical="center"/>
    </xf>
    <xf numFmtId="4" fontId="32" fillId="33" borderId="79">
      <alignment horizontal="right" vertical="center"/>
    </xf>
    <xf numFmtId="0" fontId="32" fillId="33" borderId="79">
      <alignment horizontal="right" vertical="center"/>
    </xf>
    <xf numFmtId="0" fontId="43" fillId="55" borderId="75" applyNumberFormat="0" applyAlignment="0" applyProtection="0"/>
    <xf numFmtId="0" fontId="45" fillId="55" borderId="76" applyNumberFormat="0" applyAlignment="0" applyProtection="0"/>
    <xf numFmtId="0" fontId="50" fillId="0" borderId="77" applyNumberFormat="0" applyFill="0" applyAlignment="0" applyProtection="0"/>
    <xf numFmtId="0" fontId="34" fillId="32" borderId="79"/>
    <xf numFmtId="4" fontId="34" fillId="32" borderId="79"/>
    <xf numFmtId="4" fontId="32" fillId="33" borderId="79">
      <alignment horizontal="right" vertical="center"/>
    </xf>
    <xf numFmtId="0" fontId="36" fillId="31" borderId="79">
      <alignment horizontal="right" vertical="center"/>
    </xf>
    <xf numFmtId="0" fontId="49" fillId="42" borderId="76" applyNumberFormat="0" applyAlignment="0" applyProtection="0"/>
    <xf numFmtId="0" fontId="46" fillId="55" borderId="76" applyNumberFormat="0" applyAlignment="0" applyProtection="0"/>
    <xf numFmtId="4" fontId="34" fillId="0" borderId="79">
      <alignment horizontal="right" vertical="center"/>
    </xf>
    <xf numFmtId="0" fontId="34" fillId="33" borderId="82">
      <alignment horizontal="left" vertical="center" wrapText="1" indent="2"/>
    </xf>
    <xf numFmtId="0" fontId="34" fillId="0" borderId="82">
      <alignment horizontal="left" vertical="center" wrapText="1" indent="2"/>
    </xf>
    <xf numFmtId="0" fontId="62" fillId="55" borderId="75" applyNumberFormat="0" applyAlignment="0" applyProtection="0"/>
    <xf numFmtId="0" fontId="58" fillId="42" borderId="76" applyNumberFormat="0" applyAlignment="0" applyProtection="0"/>
    <xf numFmtId="0" fontId="45" fillId="55" borderId="76" applyNumberFormat="0" applyAlignment="0" applyProtection="0"/>
    <xf numFmtId="0" fontId="43" fillId="55" borderId="75" applyNumberFormat="0" applyAlignment="0" applyProtection="0"/>
    <xf numFmtId="0" fontId="32" fillId="33" borderId="81">
      <alignment horizontal="right" vertical="center"/>
    </xf>
    <xf numFmtId="0" fontId="36" fillId="31" borderId="79">
      <alignment horizontal="right" vertical="center"/>
    </xf>
    <xf numFmtId="4" fontId="32" fillId="31" borderId="79">
      <alignment horizontal="right" vertical="center"/>
    </xf>
    <xf numFmtId="4" fontId="32" fillId="33" borderId="79">
      <alignment horizontal="right" vertical="center"/>
    </xf>
    <xf numFmtId="49" fontId="34" fillId="0" borderId="80" applyNumberFormat="0" applyFont="0" applyFill="0" applyBorder="0" applyProtection="0">
      <alignment horizontal="left" vertical="center" indent="5"/>
    </xf>
    <xf numFmtId="4" fontId="34" fillId="0" borderId="79" applyFill="0" applyBorder="0" applyProtection="0">
      <alignment horizontal="right" vertical="center"/>
    </xf>
    <xf numFmtId="4" fontId="32" fillId="31" borderId="79">
      <alignment horizontal="right" vertical="center"/>
    </xf>
    <xf numFmtId="0" fontId="58" fillId="42" borderId="76" applyNumberFormat="0" applyAlignment="0" applyProtection="0"/>
    <xf numFmtId="0" fontId="49" fillId="42" borderId="76" applyNumberFormat="0" applyAlignment="0" applyProtection="0"/>
    <xf numFmtId="0" fontId="45" fillId="55" borderId="76" applyNumberFormat="0" applyAlignment="0" applyProtection="0"/>
    <xf numFmtId="0" fontId="34" fillId="33" borderId="82">
      <alignment horizontal="left" vertical="center" wrapText="1" indent="2"/>
    </xf>
    <xf numFmtId="0" fontId="34" fillId="0" borderId="82">
      <alignment horizontal="left" vertical="center" wrapText="1" indent="2"/>
    </xf>
    <xf numFmtId="0" fontId="34" fillId="33" borderId="82">
      <alignment horizontal="left" vertical="center" wrapText="1" indent="2"/>
    </xf>
    <xf numFmtId="0" fontId="32" fillId="31" borderId="87">
      <alignment horizontal="right" vertical="center"/>
    </xf>
    <xf numFmtId="0" fontId="32" fillId="33" borderId="95">
      <alignment horizontal="right" vertical="center"/>
    </xf>
    <xf numFmtId="0" fontId="62" fillId="55" borderId="91" applyNumberFormat="0" applyAlignment="0" applyProtection="0"/>
    <xf numFmtId="0" fontId="34" fillId="0" borderId="95" applyNumberFormat="0" applyFill="0" applyAlignment="0" applyProtection="0"/>
    <xf numFmtId="0" fontId="62" fillId="55" borderId="112" applyNumberFormat="0" applyAlignment="0" applyProtection="0"/>
    <xf numFmtId="0" fontId="26" fillId="28" borderId="0" applyNumberFormat="0" applyBorder="0" applyAlignment="0" applyProtection="0"/>
    <xf numFmtId="4" fontId="34" fillId="0" borderId="95" applyFill="0" applyBorder="0" applyProtection="0">
      <alignment horizontal="right" vertical="center"/>
    </xf>
    <xf numFmtId="0" fontId="34" fillId="32" borderId="108"/>
    <xf numFmtId="0" fontId="12" fillId="24" borderId="0" applyNumberFormat="0" applyBorder="0" applyAlignment="0" applyProtection="0"/>
    <xf numFmtId="0" fontId="34" fillId="33" borderId="98">
      <alignment horizontal="left" vertical="center" wrapText="1" indent="2"/>
    </xf>
    <xf numFmtId="0" fontId="26" fillId="26" borderId="0" applyNumberFormat="0" applyBorder="0" applyAlignment="0" applyProtection="0"/>
    <xf numFmtId="0" fontId="26" fillId="17" borderId="0" applyNumberFormat="0" applyBorder="0" applyAlignment="0" applyProtection="0"/>
    <xf numFmtId="0" fontId="32" fillId="31" borderId="118">
      <alignment horizontal="right" vertical="center"/>
    </xf>
    <xf numFmtId="0" fontId="29" fillId="12" borderId="10" applyNumberFormat="0" applyAlignment="0" applyProtection="0"/>
    <xf numFmtId="4" fontId="32" fillId="33" borderId="95">
      <alignment horizontal="right" vertical="center"/>
    </xf>
    <xf numFmtId="0" fontId="32" fillId="33" borderId="118">
      <alignment horizontal="right" vertical="center"/>
    </xf>
    <xf numFmtId="0" fontId="40" fillId="58" borderId="94" applyNumberFormat="0" applyFont="0" applyAlignment="0" applyProtection="0"/>
    <xf numFmtId="49" fontId="33" fillId="0" borderId="95" applyNumberFormat="0" applyFill="0" applyBorder="0" applyProtection="0">
      <alignment horizontal="left" vertical="center"/>
    </xf>
    <xf numFmtId="0" fontId="36" fillId="31" borderId="95">
      <alignment horizontal="right" vertical="center"/>
    </xf>
    <xf numFmtId="0" fontId="34" fillId="0" borderId="95" applyNumberFormat="0" applyFill="0" applyAlignment="0" applyProtection="0"/>
    <xf numFmtId="4" fontId="32" fillId="31" borderId="95">
      <alignment horizontal="right" vertical="center"/>
    </xf>
    <xf numFmtId="173" fontId="34" fillId="59" borderId="95" applyNumberFormat="0" applyFont="0" applyBorder="0" applyAlignment="0" applyProtection="0">
      <alignment horizontal="right" vertical="center"/>
    </xf>
    <xf numFmtId="0" fontId="49" fillId="42" borderId="92" applyNumberFormat="0" applyAlignment="0" applyProtection="0"/>
    <xf numFmtId="173" fontId="34" fillId="59" borderId="95" applyNumberFormat="0" applyFont="0" applyBorder="0" applyAlignment="0" applyProtection="0">
      <alignment horizontal="right" vertical="center"/>
    </xf>
    <xf numFmtId="0" fontId="58" fillId="42" borderId="92" applyNumberFormat="0" applyAlignment="0" applyProtection="0"/>
    <xf numFmtId="4" fontId="32" fillId="33" borderId="97">
      <alignment horizontal="right" vertical="center"/>
    </xf>
    <xf numFmtId="0" fontId="46" fillId="55" borderId="92" applyNumberFormat="0" applyAlignment="0" applyProtection="0"/>
    <xf numFmtId="0" fontId="34" fillId="0" borderId="95">
      <alignment horizontal="right" vertical="center"/>
    </xf>
    <xf numFmtId="0" fontId="34" fillId="0" borderId="95" applyNumberFormat="0" applyFill="0" applyAlignment="0" applyProtection="0"/>
    <xf numFmtId="0" fontId="34" fillId="33" borderId="98">
      <alignment horizontal="left" vertical="center" wrapText="1" indent="2"/>
    </xf>
    <xf numFmtId="4" fontId="32" fillId="33" borderId="96">
      <alignment horizontal="right" vertical="center"/>
    </xf>
    <xf numFmtId="0" fontId="40" fillId="58" borderId="94" applyNumberFormat="0" applyFont="0" applyAlignment="0" applyProtection="0"/>
    <xf numFmtId="4" fontId="34" fillId="0" borderId="95" applyFill="0" applyBorder="0" applyProtection="0">
      <alignment horizontal="right" vertical="center"/>
    </xf>
    <xf numFmtId="49" fontId="34" fillId="0" borderId="96" applyNumberFormat="0" applyFont="0" applyFill="0" applyBorder="0" applyProtection="0">
      <alignment horizontal="left" vertical="center" indent="5"/>
    </xf>
    <xf numFmtId="0" fontId="58" fillId="42" borderId="92" applyNumberFormat="0" applyAlignment="0" applyProtection="0"/>
    <xf numFmtId="0" fontId="34" fillId="33" borderId="98">
      <alignment horizontal="left" vertical="center" wrapText="1" indent="2"/>
    </xf>
    <xf numFmtId="0" fontId="12" fillId="18" borderId="0" applyNumberFormat="0" applyBorder="0" applyAlignment="0" applyProtection="0"/>
    <xf numFmtId="0" fontId="12" fillId="30" borderId="0" applyNumberFormat="0" applyBorder="0" applyAlignment="0" applyProtection="0"/>
    <xf numFmtId="4" fontId="34" fillId="32" borderId="103"/>
    <xf numFmtId="0" fontId="34" fillId="0" borderId="95" applyNumberFormat="0" applyFill="0" applyAlignment="0" applyProtection="0"/>
    <xf numFmtId="0" fontId="5" fillId="58" borderId="94" applyNumberFormat="0" applyFont="0" applyAlignment="0" applyProtection="0"/>
    <xf numFmtId="0" fontId="58" fillId="42" borderId="92" applyNumberFormat="0" applyAlignment="0" applyProtection="0"/>
    <xf numFmtId="0" fontId="5" fillId="58" borderId="94" applyNumberFormat="0" applyFont="0" applyAlignment="0" applyProtection="0"/>
    <xf numFmtId="0" fontId="34" fillId="0" borderId="108" applyNumberFormat="0" applyFill="0" applyAlignment="0" applyProtection="0"/>
    <xf numFmtId="0" fontId="32" fillId="33" borderId="97">
      <alignment horizontal="right" vertical="center"/>
    </xf>
    <xf numFmtId="0" fontId="12" fillId="24"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65" fillId="0" borderId="101" applyNumberFormat="0" applyFill="0" applyAlignment="0" applyProtection="0"/>
    <xf numFmtId="0" fontId="12" fillId="21" borderId="0" applyNumberFormat="0" applyBorder="0" applyAlignment="0" applyProtection="0"/>
    <xf numFmtId="0" fontId="34" fillId="0" borderId="108">
      <alignment horizontal="right" vertical="center"/>
    </xf>
    <xf numFmtId="0" fontId="26" fillId="19" borderId="0" applyNumberFormat="0" applyBorder="0" applyAlignment="0" applyProtection="0"/>
    <xf numFmtId="0" fontId="26" fillId="13" borderId="0" applyNumberFormat="0" applyBorder="0" applyAlignment="0" applyProtection="0"/>
    <xf numFmtId="0" fontId="32" fillId="33" borderId="97">
      <alignment horizontal="right" vertical="center"/>
    </xf>
    <xf numFmtId="0" fontId="62" fillId="55" borderId="91" applyNumberFormat="0" applyAlignment="0" applyProtection="0"/>
    <xf numFmtId="0" fontId="58" fillId="42" borderId="92" applyNumberFormat="0" applyAlignment="0" applyProtection="0"/>
    <xf numFmtId="4" fontId="36" fillId="31" borderId="95">
      <alignment horizontal="right" vertical="center"/>
    </xf>
    <xf numFmtId="0" fontId="34" fillId="33" borderId="129">
      <alignment horizontal="left" vertical="center" wrapText="1" indent="2"/>
    </xf>
    <xf numFmtId="4" fontId="32" fillId="33" borderId="87">
      <alignment horizontal="right" vertical="center"/>
    </xf>
    <xf numFmtId="0" fontId="34" fillId="32" borderId="87"/>
    <xf numFmtId="0" fontId="45" fillId="55" borderId="84" applyNumberFormat="0" applyAlignment="0" applyProtection="0"/>
    <xf numFmtId="0" fontId="32" fillId="31" borderId="87">
      <alignment horizontal="right" vertical="center"/>
    </xf>
    <xf numFmtId="0" fontId="34" fillId="0" borderId="87">
      <alignment horizontal="right" vertical="center"/>
    </xf>
    <xf numFmtId="0" fontId="65" fillId="0" borderId="85" applyNumberFormat="0" applyFill="0" applyAlignment="0" applyProtection="0"/>
    <xf numFmtId="0" fontId="34" fillId="31" borderId="88">
      <alignment horizontal="left" vertical="center"/>
    </xf>
    <xf numFmtId="0" fontId="58" fillId="42" borderId="84" applyNumberFormat="0" applyAlignment="0" applyProtection="0"/>
    <xf numFmtId="173" fontId="34" fillId="59" borderId="87" applyNumberFormat="0" applyFont="0" applyBorder="0" applyAlignment="0" applyProtection="0">
      <alignment horizontal="right" vertical="center"/>
    </xf>
    <xf numFmtId="0" fontId="40" fillId="58" borderId="86" applyNumberFormat="0" applyFont="0" applyAlignment="0" applyProtection="0"/>
    <xf numFmtId="0" fontId="34" fillId="0" borderId="90">
      <alignment horizontal="left" vertical="center" wrapText="1" indent="2"/>
    </xf>
    <xf numFmtId="4" fontId="34" fillId="32" borderId="87"/>
    <xf numFmtId="49" fontId="33" fillId="0" borderId="87" applyNumberFormat="0" applyFill="0" applyBorder="0" applyProtection="0">
      <alignment horizontal="left" vertical="center"/>
    </xf>
    <xf numFmtId="0" fontId="34" fillId="0" borderId="87">
      <alignment horizontal="right" vertical="center"/>
    </xf>
    <xf numFmtId="4" fontId="32" fillId="33" borderId="89">
      <alignment horizontal="right" vertical="center"/>
    </xf>
    <xf numFmtId="4" fontId="32" fillId="33" borderId="87">
      <alignment horizontal="right" vertical="center"/>
    </xf>
    <xf numFmtId="4" fontId="32" fillId="33" borderId="87">
      <alignment horizontal="right" vertical="center"/>
    </xf>
    <xf numFmtId="0" fontId="36" fillId="31" borderId="87">
      <alignment horizontal="right" vertical="center"/>
    </xf>
    <xf numFmtId="0" fontId="32" fillId="31" borderId="87">
      <alignment horizontal="right" vertical="center"/>
    </xf>
    <xf numFmtId="49" fontId="34" fillId="0" borderId="87" applyNumberFormat="0" applyFont="0" applyFill="0" applyBorder="0" applyProtection="0">
      <alignment horizontal="left" vertical="center" indent="2"/>
    </xf>
    <xf numFmtId="0" fontId="58" fillId="42" borderId="84" applyNumberFormat="0" applyAlignment="0" applyProtection="0"/>
    <xf numFmtId="0" fontId="43" fillId="55" borderId="83" applyNumberFormat="0" applyAlignment="0" applyProtection="0"/>
    <xf numFmtId="49" fontId="34" fillId="0" borderId="87" applyNumberFormat="0" applyFont="0" applyFill="0" applyBorder="0" applyProtection="0">
      <alignment horizontal="left" vertical="center" indent="2"/>
    </xf>
    <xf numFmtId="0" fontId="49" fillId="42" borderId="84" applyNumberFormat="0" applyAlignment="0" applyProtection="0"/>
    <xf numFmtId="4" fontId="34" fillId="0" borderId="87" applyFill="0" applyBorder="0" applyProtection="0">
      <alignment horizontal="right" vertical="center"/>
    </xf>
    <xf numFmtId="0" fontId="46" fillId="55" borderId="84" applyNumberFormat="0" applyAlignment="0" applyProtection="0"/>
    <xf numFmtId="0" fontId="65" fillId="0" borderId="85" applyNumberFormat="0" applyFill="0" applyAlignment="0" applyProtection="0"/>
    <xf numFmtId="0" fontId="62" fillId="55" borderId="83" applyNumberFormat="0" applyAlignment="0" applyProtection="0"/>
    <xf numFmtId="0" fontId="34" fillId="0" borderId="87" applyNumberFormat="0" applyFill="0" applyAlignment="0" applyProtection="0"/>
    <xf numFmtId="4" fontId="34" fillId="0" borderId="87">
      <alignment horizontal="right" vertical="center"/>
    </xf>
    <xf numFmtId="0" fontId="34" fillId="0" borderId="87">
      <alignment horizontal="right" vertical="center"/>
    </xf>
    <xf numFmtId="0" fontId="58" fillId="42" borderId="84" applyNumberFormat="0" applyAlignment="0" applyProtection="0"/>
    <xf numFmtId="0" fontId="43" fillId="55" borderId="83" applyNumberFormat="0" applyAlignment="0" applyProtection="0"/>
    <xf numFmtId="0" fontId="45" fillId="55" borderId="84" applyNumberFormat="0" applyAlignment="0" applyProtection="0"/>
    <xf numFmtId="0" fontId="34" fillId="33" borderId="90">
      <alignment horizontal="left" vertical="center" wrapText="1" indent="2"/>
    </xf>
    <xf numFmtId="0" fontId="46" fillId="55" borderId="84" applyNumberFormat="0" applyAlignment="0" applyProtection="0"/>
    <xf numFmtId="0" fontId="46" fillId="55" borderId="84" applyNumberFormat="0" applyAlignment="0" applyProtection="0"/>
    <xf numFmtId="4" fontId="32" fillId="33" borderId="88">
      <alignment horizontal="right" vertical="center"/>
    </xf>
    <xf numFmtId="0" fontId="32" fillId="33" borderId="88">
      <alignment horizontal="right" vertical="center"/>
    </xf>
    <xf numFmtId="0" fontId="32" fillId="33" borderId="87">
      <alignment horizontal="right" vertical="center"/>
    </xf>
    <xf numFmtId="4" fontId="36" fillId="31" borderId="87">
      <alignment horizontal="right" vertical="center"/>
    </xf>
    <xf numFmtId="0" fontId="49" fillId="42" borderId="84" applyNumberFormat="0" applyAlignment="0" applyProtection="0"/>
    <xf numFmtId="0" fontId="50" fillId="0" borderId="85" applyNumberFormat="0" applyFill="0" applyAlignment="0" applyProtection="0"/>
    <xf numFmtId="0" fontId="65" fillId="0" borderId="85" applyNumberFormat="0" applyFill="0" applyAlignment="0" applyProtection="0"/>
    <xf numFmtId="0" fontId="40" fillId="58" borderId="86" applyNumberFormat="0" applyFont="0" applyAlignment="0" applyProtection="0"/>
    <xf numFmtId="0" fontId="58" fillId="42" borderId="84" applyNumberFormat="0" applyAlignment="0" applyProtection="0"/>
    <xf numFmtId="49" fontId="33" fillId="0" borderId="87" applyNumberFormat="0" applyFill="0" applyBorder="0" applyProtection="0">
      <alignment horizontal="left" vertical="center"/>
    </xf>
    <xf numFmtId="0" fontId="34" fillId="33" borderId="90">
      <alignment horizontal="left" vertical="center" wrapText="1" indent="2"/>
    </xf>
    <xf numFmtId="0" fontId="46" fillId="55" borderId="84" applyNumberFormat="0" applyAlignment="0" applyProtection="0"/>
    <xf numFmtId="0" fontId="34" fillId="0" borderId="90">
      <alignment horizontal="left" vertical="center" wrapText="1" indent="2"/>
    </xf>
    <xf numFmtId="0" fontId="40" fillId="58" borderId="86" applyNumberFormat="0" applyFont="0" applyAlignment="0" applyProtection="0"/>
    <xf numFmtId="0" fontId="5" fillId="58" borderId="86" applyNumberFormat="0" applyFont="0" applyAlignment="0" applyProtection="0"/>
    <xf numFmtId="0" fontId="62" fillId="55" borderId="83" applyNumberFormat="0" applyAlignment="0" applyProtection="0"/>
    <xf numFmtId="0" fontId="65" fillId="0" borderId="85" applyNumberFormat="0" applyFill="0" applyAlignment="0" applyProtection="0"/>
    <xf numFmtId="4" fontId="34" fillId="32" borderId="87"/>
    <xf numFmtId="0" fontId="32" fillId="33" borderId="87">
      <alignment horizontal="right" vertical="center"/>
    </xf>
    <xf numFmtId="0" fontId="65" fillId="0" borderId="85" applyNumberFormat="0" applyFill="0" applyAlignment="0" applyProtection="0"/>
    <xf numFmtId="4" fontId="32" fillId="33" borderId="89">
      <alignment horizontal="right" vertical="center"/>
    </xf>
    <xf numFmtId="0" fontId="45" fillId="55" borderId="84" applyNumberFormat="0" applyAlignment="0" applyProtection="0"/>
    <xf numFmtId="0" fontId="32" fillId="33" borderId="88">
      <alignment horizontal="right" vertical="center"/>
    </xf>
    <xf numFmtId="0" fontId="46" fillId="55" borderId="84" applyNumberFormat="0" applyAlignment="0" applyProtection="0"/>
    <xf numFmtId="0" fontId="50" fillId="0" borderId="85" applyNumberFormat="0" applyFill="0" applyAlignment="0" applyProtection="0"/>
    <xf numFmtId="0" fontId="40" fillId="58" borderId="86" applyNumberFormat="0" applyFont="0" applyAlignment="0" applyProtection="0"/>
    <xf numFmtId="4" fontId="32" fillId="33" borderId="88">
      <alignment horizontal="right" vertical="center"/>
    </xf>
    <xf numFmtId="0" fontId="34" fillId="33" borderId="90">
      <alignment horizontal="left" vertical="center" wrapText="1" indent="2"/>
    </xf>
    <xf numFmtId="0" fontId="34" fillId="32" borderId="87"/>
    <xf numFmtId="173" fontId="34" fillId="59" borderId="87" applyNumberFormat="0" applyFont="0" applyBorder="0" applyAlignment="0" applyProtection="0">
      <alignment horizontal="right" vertical="center"/>
    </xf>
    <xf numFmtId="0" fontId="34" fillId="0" borderId="87" applyNumberFormat="0" applyFill="0" applyAlignment="0" applyProtection="0"/>
    <xf numFmtId="4" fontId="34" fillId="0" borderId="87" applyFill="0" applyBorder="0" applyProtection="0">
      <alignment horizontal="right" vertical="center"/>
    </xf>
    <xf numFmtId="4" fontId="32" fillId="31" borderId="87">
      <alignment horizontal="right" vertical="center"/>
    </xf>
    <xf numFmtId="0" fontId="50" fillId="0" borderId="85" applyNumberFormat="0" applyFill="0" applyAlignment="0" applyProtection="0"/>
    <xf numFmtId="49" fontId="33" fillId="0" borderId="87" applyNumberFormat="0" applyFill="0" applyBorder="0" applyProtection="0">
      <alignment horizontal="left" vertical="center"/>
    </xf>
    <xf numFmtId="49" fontId="34" fillId="0" borderId="88" applyNumberFormat="0" applyFont="0" applyFill="0" applyBorder="0" applyProtection="0">
      <alignment horizontal="left" vertical="center" indent="5"/>
    </xf>
    <xf numFmtId="0" fontId="34" fillId="31" borderId="88">
      <alignment horizontal="left" vertical="center"/>
    </xf>
    <xf numFmtId="0" fontId="46" fillId="55" borderId="84" applyNumberFormat="0" applyAlignment="0" applyProtection="0"/>
    <xf numFmtId="4" fontId="32" fillId="33" borderId="89">
      <alignment horizontal="right" vertical="center"/>
    </xf>
    <xf numFmtId="0" fontId="58" fillId="42" borderId="84" applyNumberFormat="0" applyAlignment="0" applyProtection="0"/>
    <xf numFmtId="0" fontId="58" fillId="42" borderId="84" applyNumberFormat="0" applyAlignment="0" applyProtection="0"/>
    <xf numFmtId="0" fontId="40" fillId="58" borderId="86" applyNumberFormat="0" applyFont="0" applyAlignment="0" applyProtection="0"/>
    <xf numFmtId="0" fontId="62" fillId="55" borderId="83" applyNumberFormat="0" applyAlignment="0" applyProtection="0"/>
    <xf numFmtId="0" fontId="65" fillId="0" borderId="85" applyNumberFormat="0" applyFill="0" applyAlignment="0" applyProtection="0"/>
    <xf numFmtId="0" fontId="32" fillId="33" borderId="87">
      <alignment horizontal="right" vertical="center"/>
    </xf>
    <xf numFmtId="0" fontId="5" fillId="58" borderId="86" applyNumberFormat="0" applyFont="0" applyAlignment="0" applyProtection="0"/>
    <xf numFmtId="4" fontId="34" fillId="0" borderId="87">
      <alignment horizontal="right" vertical="center"/>
    </xf>
    <xf numFmtId="0" fontId="65" fillId="0" borderId="85" applyNumberFormat="0" applyFill="0" applyAlignment="0" applyProtection="0"/>
    <xf numFmtId="0" fontId="32" fillId="33" borderId="87">
      <alignment horizontal="right" vertical="center"/>
    </xf>
    <xf numFmtId="0" fontId="32" fillId="33" borderId="87">
      <alignment horizontal="right" vertical="center"/>
    </xf>
    <xf numFmtId="4" fontId="36" fillId="31" borderId="87">
      <alignment horizontal="right" vertical="center"/>
    </xf>
    <xf numFmtId="0" fontId="32" fillId="31" borderId="87">
      <alignment horizontal="right" vertical="center"/>
    </xf>
    <xf numFmtId="4" fontId="32" fillId="31" borderId="87">
      <alignment horizontal="right" vertical="center"/>
    </xf>
    <xf numFmtId="0" fontId="36" fillId="31" borderId="87">
      <alignment horizontal="right" vertical="center"/>
    </xf>
    <xf numFmtId="4" fontId="36" fillId="31" borderId="87">
      <alignment horizontal="right" vertical="center"/>
    </xf>
    <xf numFmtId="0" fontId="32" fillId="33" borderId="87">
      <alignment horizontal="right" vertical="center"/>
    </xf>
    <xf numFmtId="4" fontId="32" fillId="33" borderId="87">
      <alignment horizontal="right" vertical="center"/>
    </xf>
    <xf numFmtId="0" fontId="32" fillId="33" borderId="87">
      <alignment horizontal="right" vertical="center"/>
    </xf>
    <xf numFmtId="4" fontId="32" fillId="33" borderId="87">
      <alignment horizontal="right" vertical="center"/>
    </xf>
    <xf numFmtId="0" fontId="32" fillId="33" borderId="88">
      <alignment horizontal="right" vertical="center"/>
    </xf>
    <xf numFmtId="4" fontId="32" fillId="33" borderId="88">
      <alignment horizontal="right" vertical="center"/>
    </xf>
    <xf numFmtId="0" fontId="32" fillId="33" borderId="89">
      <alignment horizontal="right" vertical="center"/>
    </xf>
    <xf numFmtId="4" fontId="32" fillId="33" borderId="89">
      <alignment horizontal="right" vertical="center"/>
    </xf>
    <xf numFmtId="0" fontId="46" fillId="55" borderId="84" applyNumberFormat="0" applyAlignment="0" applyProtection="0"/>
    <xf numFmtId="0" fontId="34" fillId="33" borderId="90">
      <alignment horizontal="left" vertical="center" wrapText="1" indent="2"/>
    </xf>
    <xf numFmtId="0" fontId="34" fillId="0" borderId="90">
      <alignment horizontal="left" vertical="center" wrapText="1" indent="2"/>
    </xf>
    <xf numFmtId="0" fontId="34" fillId="31" borderId="88">
      <alignment horizontal="left" vertical="center"/>
    </xf>
    <xf numFmtId="0" fontId="58" fillId="42" borderId="84" applyNumberFormat="0" applyAlignment="0" applyProtection="0"/>
    <xf numFmtId="0" fontId="34" fillId="0" borderId="87">
      <alignment horizontal="right" vertical="center"/>
    </xf>
    <xf numFmtId="4" fontId="34" fillId="0" borderId="87">
      <alignment horizontal="right" vertical="center"/>
    </xf>
    <xf numFmtId="0" fontId="34" fillId="0" borderId="87" applyNumberFormat="0" applyFill="0" applyAlignment="0" applyProtection="0"/>
    <xf numFmtId="0" fontId="62" fillId="55" borderId="83" applyNumberFormat="0" applyAlignment="0" applyProtection="0"/>
    <xf numFmtId="173" fontId="34" fillId="59" borderId="87" applyNumberFormat="0" applyFont="0" applyBorder="0" applyAlignment="0" applyProtection="0">
      <alignment horizontal="right" vertical="center"/>
    </xf>
    <xf numFmtId="0" fontId="34" fillId="32" borderId="87"/>
    <xf numFmtId="4" fontId="34" fillId="32" borderId="87"/>
    <xf numFmtId="0" fontId="65" fillId="0" borderId="85" applyNumberFormat="0" applyFill="0" applyAlignment="0" applyProtection="0"/>
    <xf numFmtId="0" fontId="5" fillId="58" borderId="86" applyNumberFormat="0" applyFont="0" applyAlignment="0" applyProtection="0"/>
    <xf numFmtId="0" fontId="40" fillId="58" borderId="86" applyNumberFormat="0" applyFont="0" applyAlignment="0" applyProtection="0"/>
    <xf numFmtId="0" fontId="34" fillId="0" borderId="87" applyNumberFormat="0" applyFill="0" applyAlignment="0" applyProtection="0"/>
    <xf numFmtId="0" fontId="50" fillId="0" borderId="85" applyNumberFormat="0" applyFill="0" applyAlignment="0" applyProtection="0"/>
    <xf numFmtId="0" fontId="65" fillId="0" borderId="85" applyNumberFormat="0" applyFill="0" applyAlignment="0" applyProtection="0"/>
    <xf numFmtId="0" fontId="49" fillId="42" borderId="84" applyNumberFormat="0" applyAlignment="0" applyProtection="0"/>
    <xf numFmtId="0" fontId="46" fillId="55" borderId="84" applyNumberFormat="0" applyAlignment="0" applyProtection="0"/>
    <xf numFmtId="4" fontId="36" fillId="31" borderId="87">
      <alignment horizontal="right" vertical="center"/>
    </xf>
    <xf numFmtId="0" fontId="32" fillId="31" borderId="87">
      <alignment horizontal="right" vertical="center"/>
    </xf>
    <xf numFmtId="173" fontId="34" fillId="59" borderId="87" applyNumberFormat="0" applyFont="0" applyBorder="0" applyAlignment="0" applyProtection="0">
      <alignment horizontal="right" vertical="center"/>
    </xf>
    <xf numFmtId="0" fontId="50" fillId="0" borderId="85" applyNumberFormat="0" applyFill="0" applyAlignment="0" applyProtection="0"/>
    <xf numFmtId="49" fontId="34" fillId="0" borderId="87" applyNumberFormat="0" applyFont="0" applyFill="0" applyBorder="0" applyProtection="0">
      <alignment horizontal="left" vertical="center" indent="2"/>
    </xf>
    <xf numFmtId="49" fontId="34" fillId="0" borderId="88" applyNumberFormat="0" applyFont="0" applyFill="0" applyBorder="0" applyProtection="0">
      <alignment horizontal="left" vertical="center" indent="5"/>
    </xf>
    <xf numFmtId="49" fontId="34" fillId="0" borderId="87" applyNumberFormat="0" applyFont="0" applyFill="0" applyBorder="0" applyProtection="0">
      <alignment horizontal="left" vertical="center" indent="2"/>
    </xf>
    <xf numFmtId="4" fontId="34" fillId="0" borderId="87" applyFill="0" applyBorder="0" applyProtection="0">
      <alignment horizontal="right" vertical="center"/>
    </xf>
    <xf numFmtId="49" fontId="33" fillId="0" borderId="87" applyNumberFormat="0" applyFill="0" applyBorder="0" applyProtection="0">
      <alignment horizontal="left" vertical="center"/>
    </xf>
    <xf numFmtId="0" fontId="34" fillId="0" borderId="90">
      <alignment horizontal="left" vertical="center" wrapText="1" indent="2"/>
    </xf>
    <xf numFmtId="0" fontId="62" fillId="55" borderId="83" applyNumberFormat="0" applyAlignment="0" applyProtection="0"/>
    <xf numFmtId="0" fontId="32" fillId="33" borderId="89">
      <alignment horizontal="right" vertical="center"/>
    </xf>
    <xf numFmtId="0" fontId="49" fillId="42" borderId="84" applyNumberFormat="0" applyAlignment="0" applyProtection="0"/>
    <xf numFmtId="0" fontId="32" fillId="33" borderId="89">
      <alignment horizontal="right" vertical="center"/>
    </xf>
    <xf numFmtId="4" fontId="32" fillId="33" borderId="87">
      <alignment horizontal="right" vertical="center"/>
    </xf>
    <xf numFmtId="0" fontId="32" fillId="33" borderId="87">
      <alignment horizontal="right" vertical="center"/>
    </xf>
    <xf numFmtId="0" fontId="43" fillId="55" borderId="83" applyNumberFormat="0" applyAlignment="0" applyProtection="0"/>
    <xf numFmtId="0" fontId="45" fillId="55" borderId="84" applyNumberFormat="0" applyAlignment="0" applyProtection="0"/>
    <xf numFmtId="0" fontId="50" fillId="0" borderId="85" applyNumberFormat="0" applyFill="0" applyAlignment="0" applyProtection="0"/>
    <xf numFmtId="0" fontId="34" fillId="32" borderId="87"/>
    <xf numFmtId="4" fontId="34" fillId="32" borderId="87"/>
    <xf numFmtId="4" fontId="32" fillId="33" borderId="87">
      <alignment horizontal="right" vertical="center"/>
    </xf>
    <xf numFmtId="0" fontId="36" fillId="31" borderId="87">
      <alignment horizontal="right" vertical="center"/>
    </xf>
    <xf numFmtId="0" fontId="49" fillId="42" borderId="84" applyNumberFormat="0" applyAlignment="0" applyProtection="0"/>
    <xf numFmtId="0" fontId="46" fillId="55" borderId="84" applyNumberFormat="0" applyAlignment="0" applyProtection="0"/>
    <xf numFmtId="4" fontId="34" fillId="0" borderId="87">
      <alignment horizontal="right" vertical="center"/>
    </xf>
    <xf numFmtId="0" fontId="34" fillId="33" borderId="90">
      <alignment horizontal="left" vertical="center" wrapText="1" indent="2"/>
    </xf>
    <xf numFmtId="0" fontId="34" fillId="0" borderId="90">
      <alignment horizontal="left" vertical="center" wrapText="1" indent="2"/>
    </xf>
    <xf numFmtId="0" fontId="62" fillId="55" borderId="83" applyNumberFormat="0" applyAlignment="0" applyProtection="0"/>
    <xf numFmtId="0" fontId="58" fillId="42" borderId="84" applyNumberFormat="0" applyAlignment="0" applyProtection="0"/>
    <xf numFmtId="0" fontId="45" fillId="55" borderId="84" applyNumberFormat="0" applyAlignment="0" applyProtection="0"/>
    <xf numFmtId="0" fontId="43" fillId="55" borderId="83" applyNumberFormat="0" applyAlignment="0" applyProtection="0"/>
    <xf numFmtId="0" fontId="32" fillId="33" borderId="89">
      <alignment horizontal="right" vertical="center"/>
    </xf>
    <xf numFmtId="0" fontId="36" fillId="31" borderId="87">
      <alignment horizontal="right" vertical="center"/>
    </xf>
    <xf numFmtId="4" fontId="32" fillId="31" borderId="87">
      <alignment horizontal="right" vertical="center"/>
    </xf>
    <xf numFmtId="4" fontId="32" fillId="33" borderId="87">
      <alignment horizontal="right" vertical="center"/>
    </xf>
    <xf numFmtId="49" fontId="34" fillId="0" borderId="88" applyNumberFormat="0" applyFont="0" applyFill="0" applyBorder="0" applyProtection="0">
      <alignment horizontal="left" vertical="center" indent="5"/>
    </xf>
    <xf numFmtId="4" fontId="34" fillId="0" borderId="87" applyFill="0" applyBorder="0" applyProtection="0">
      <alignment horizontal="right" vertical="center"/>
    </xf>
    <xf numFmtId="4" fontId="32" fillId="31" borderId="87">
      <alignment horizontal="right" vertical="center"/>
    </xf>
    <xf numFmtId="0" fontId="62" fillId="55" borderId="112" applyNumberFormat="0" applyAlignment="0" applyProtection="0"/>
    <xf numFmtId="0" fontId="58" fillId="42" borderId="84" applyNumberFormat="0" applyAlignment="0" applyProtection="0"/>
    <xf numFmtId="0" fontId="49" fillId="42" borderId="84" applyNumberFormat="0" applyAlignment="0" applyProtection="0"/>
    <xf numFmtId="0" fontId="45" fillId="55" borderId="84" applyNumberFormat="0" applyAlignment="0" applyProtection="0"/>
    <xf numFmtId="0" fontId="34" fillId="33" borderId="90">
      <alignment horizontal="left" vertical="center" wrapText="1" indent="2"/>
    </xf>
    <xf numFmtId="0" fontId="34" fillId="0" borderId="90">
      <alignment horizontal="left" vertical="center" wrapText="1" indent="2"/>
    </xf>
    <xf numFmtId="0" fontId="34" fillId="33" borderId="90">
      <alignment horizontal="left" vertical="center" wrapText="1" indent="2"/>
    </xf>
    <xf numFmtId="0" fontId="34" fillId="0" borderId="90">
      <alignment horizontal="left" vertical="center" wrapText="1" indent="2"/>
    </xf>
    <xf numFmtId="0" fontId="43" fillId="55" borderId="83" applyNumberFormat="0" applyAlignment="0" applyProtection="0"/>
    <xf numFmtId="0" fontId="45" fillId="55" borderId="84" applyNumberFormat="0" applyAlignment="0" applyProtection="0"/>
    <xf numFmtId="0" fontId="46" fillId="55" borderId="84" applyNumberFormat="0" applyAlignment="0" applyProtection="0"/>
    <xf numFmtId="0" fontId="49" fillId="42" borderId="84" applyNumberFormat="0" applyAlignment="0" applyProtection="0"/>
    <xf numFmtId="0" fontId="50" fillId="0" borderId="85" applyNumberFormat="0" applyFill="0" applyAlignment="0" applyProtection="0"/>
    <xf numFmtId="0" fontId="58" fillId="42" borderId="84" applyNumberFormat="0" applyAlignment="0" applyProtection="0"/>
    <xf numFmtId="0" fontId="40" fillId="58" borderId="86" applyNumberFormat="0" applyFont="0" applyAlignment="0" applyProtection="0"/>
    <xf numFmtId="0" fontId="5" fillId="58" borderId="86" applyNumberFormat="0" applyFont="0" applyAlignment="0" applyProtection="0"/>
    <xf numFmtId="0" fontId="62" fillId="55" borderId="83" applyNumberFormat="0" applyAlignment="0" applyProtection="0"/>
    <xf numFmtId="0" fontId="65" fillId="0" borderId="85" applyNumberFormat="0" applyFill="0" applyAlignment="0" applyProtection="0"/>
    <xf numFmtId="0" fontId="46" fillId="55" borderId="84" applyNumberFormat="0" applyAlignment="0" applyProtection="0"/>
    <xf numFmtId="0" fontId="58" fillId="42" borderId="84" applyNumberFormat="0" applyAlignment="0" applyProtection="0"/>
    <xf numFmtId="0" fontId="40" fillId="58" borderId="86" applyNumberFormat="0" applyFont="0" applyAlignment="0" applyProtection="0"/>
    <xf numFmtId="0" fontId="62" fillId="55" borderId="83" applyNumberFormat="0" applyAlignment="0" applyProtection="0"/>
    <xf numFmtId="0" fontId="65" fillId="0" borderId="85" applyNumberFormat="0" applyFill="0" applyAlignment="0" applyProtection="0"/>
    <xf numFmtId="0" fontId="40" fillId="58" borderId="94" applyNumberFormat="0" applyFont="0" applyAlignment="0" applyProtection="0"/>
    <xf numFmtId="49" fontId="34" fillId="0" borderId="103" applyNumberFormat="0" applyFont="0" applyFill="0" applyBorder="0" applyProtection="0">
      <alignment horizontal="left" vertical="center" indent="2"/>
    </xf>
    <xf numFmtId="0" fontId="26" fillId="13" borderId="0" applyNumberFormat="0" applyBorder="0" applyAlignment="0" applyProtection="0"/>
    <xf numFmtId="0" fontId="46" fillId="55" borderId="84" applyNumberFormat="0" applyAlignment="0" applyProtection="0"/>
    <xf numFmtId="0" fontId="50" fillId="0" borderId="93" applyNumberFormat="0" applyFill="0" applyAlignment="0" applyProtection="0"/>
    <xf numFmtId="0" fontId="32" fillId="33" borderId="95">
      <alignment horizontal="right" vertical="center"/>
    </xf>
    <xf numFmtId="0" fontId="34" fillId="33" borderId="98">
      <alignment horizontal="left" vertical="center" wrapText="1" indent="2"/>
    </xf>
    <xf numFmtId="0" fontId="58" fillId="42" borderId="84" applyNumberFormat="0" applyAlignment="0" applyProtection="0"/>
    <xf numFmtId="0" fontId="62" fillId="55" borderId="83" applyNumberFormat="0" applyAlignment="0" applyProtection="0"/>
    <xf numFmtId="0" fontId="65" fillId="0" borderId="85" applyNumberFormat="0" applyFill="0" applyAlignment="0" applyProtection="0"/>
    <xf numFmtId="0" fontId="49" fillId="42" borderId="92" applyNumberFormat="0" applyAlignment="0" applyProtection="0"/>
    <xf numFmtId="0" fontId="43" fillId="55" borderId="83" applyNumberFormat="0" applyAlignment="0" applyProtection="0"/>
    <xf numFmtId="0" fontId="45" fillId="55" borderId="84" applyNumberFormat="0" applyAlignment="0" applyProtection="0"/>
    <xf numFmtId="0" fontId="50" fillId="0" borderId="85" applyNumberFormat="0" applyFill="0" applyAlignment="0" applyProtection="0"/>
    <xf numFmtId="49" fontId="34" fillId="0" borderId="87" applyNumberFormat="0" applyFont="0" applyFill="0" applyBorder="0" applyProtection="0">
      <alignment horizontal="left" vertical="center" indent="2"/>
    </xf>
    <xf numFmtId="0" fontId="32" fillId="31" borderId="87">
      <alignment horizontal="right" vertical="center"/>
    </xf>
    <xf numFmtId="4" fontId="32" fillId="31" borderId="87">
      <alignment horizontal="right" vertical="center"/>
    </xf>
    <xf numFmtId="0" fontId="36" fillId="31" borderId="87">
      <alignment horizontal="right" vertical="center"/>
    </xf>
    <xf numFmtId="4" fontId="36" fillId="31" borderId="87">
      <alignment horizontal="right" vertical="center"/>
    </xf>
    <xf numFmtId="0" fontId="32" fillId="33" borderId="87">
      <alignment horizontal="right" vertical="center"/>
    </xf>
    <xf numFmtId="4" fontId="32" fillId="33" borderId="87">
      <alignment horizontal="right" vertical="center"/>
    </xf>
    <xf numFmtId="0" fontId="32" fillId="33" borderId="87">
      <alignment horizontal="right" vertical="center"/>
    </xf>
    <xf numFmtId="4" fontId="32" fillId="33" borderId="87">
      <alignment horizontal="right" vertical="center"/>
    </xf>
    <xf numFmtId="0" fontId="49" fillId="42" borderId="84" applyNumberFormat="0" applyAlignment="0" applyProtection="0"/>
    <xf numFmtId="0" fontId="34" fillId="0" borderId="87">
      <alignment horizontal="right" vertical="center"/>
    </xf>
    <xf numFmtId="4" fontId="34" fillId="0" borderId="87">
      <alignment horizontal="right" vertical="center"/>
    </xf>
    <xf numFmtId="4" fontId="34" fillId="0" borderId="87" applyFill="0" applyBorder="0" applyProtection="0">
      <alignment horizontal="right" vertical="center"/>
    </xf>
    <xf numFmtId="49" fontId="33" fillId="0" borderId="87" applyNumberFormat="0" applyFill="0" applyBorder="0" applyProtection="0">
      <alignment horizontal="left" vertical="center"/>
    </xf>
    <xf numFmtId="0" fontId="34" fillId="0" borderId="87" applyNumberFormat="0" applyFill="0" applyAlignment="0" applyProtection="0"/>
    <xf numFmtId="173" fontId="34" fillId="59" borderId="87" applyNumberFormat="0" applyFont="0" applyBorder="0" applyAlignment="0" applyProtection="0">
      <alignment horizontal="right" vertical="center"/>
    </xf>
    <xf numFmtId="0" fontId="34" fillId="32" borderId="87"/>
    <xf numFmtId="4" fontId="34" fillId="32" borderId="87"/>
    <xf numFmtId="4" fontId="32" fillId="33" borderId="87">
      <alignment horizontal="right" vertical="center"/>
    </xf>
    <xf numFmtId="0" fontId="34" fillId="32" borderId="87"/>
    <xf numFmtId="0" fontId="45" fillId="55" borderId="84" applyNumberFormat="0" applyAlignment="0" applyProtection="0"/>
    <xf numFmtId="0" fontId="32" fillId="31" borderId="87">
      <alignment horizontal="right" vertical="center"/>
    </xf>
    <xf numFmtId="0" fontId="34" fillId="0" borderId="87">
      <alignment horizontal="right" vertical="center"/>
    </xf>
    <xf numFmtId="0" fontId="65" fillId="0" borderId="85" applyNumberFormat="0" applyFill="0" applyAlignment="0" applyProtection="0"/>
    <xf numFmtId="0" fontId="34" fillId="31" borderId="88">
      <alignment horizontal="left" vertical="center"/>
    </xf>
    <xf numFmtId="0" fontId="58" fillId="42" borderId="84" applyNumberFormat="0" applyAlignment="0" applyProtection="0"/>
    <xf numFmtId="173" fontId="34" fillId="59" borderId="87" applyNumberFormat="0" applyFont="0" applyBorder="0" applyAlignment="0" applyProtection="0">
      <alignment horizontal="right" vertical="center"/>
    </xf>
    <xf numFmtId="0" fontId="40" fillId="58" borderId="86" applyNumberFormat="0" applyFont="0" applyAlignment="0" applyProtection="0"/>
    <xf numFmtId="0" fontId="34" fillId="0" borderId="90">
      <alignment horizontal="left" vertical="center" wrapText="1" indent="2"/>
    </xf>
    <xf numFmtId="4" fontId="34" fillId="32" borderId="87"/>
    <xf numFmtId="49" fontId="33" fillId="0" borderId="87" applyNumberFormat="0" applyFill="0" applyBorder="0" applyProtection="0">
      <alignment horizontal="left" vertical="center"/>
    </xf>
    <xf numFmtId="0" fontId="34" fillId="0" borderId="87">
      <alignment horizontal="right" vertical="center"/>
    </xf>
    <xf numFmtId="4" fontId="32" fillId="33" borderId="89">
      <alignment horizontal="right" vertical="center"/>
    </xf>
    <xf numFmtId="4" fontId="32" fillId="33" borderId="87">
      <alignment horizontal="right" vertical="center"/>
    </xf>
    <xf numFmtId="4" fontId="32" fillId="33" borderId="87">
      <alignment horizontal="right" vertical="center"/>
    </xf>
    <xf numFmtId="0" fontId="36" fillId="31" borderId="87">
      <alignment horizontal="right" vertical="center"/>
    </xf>
    <xf numFmtId="0" fontId="32" fillId="31" borderId="87">
      <alignment horizontal="right" vertical="center"/>
    </xf>
    <xf numFmtId="49" fontId="34" fillId="0" borderId="87" applyNumberFormat="0" applyFont="0" applyFill="0" applyBorder="0" applyProtection="0">
      <alignment horizontal="left" vertical="center" indent="2"/>
    </xf>
    <xf numFmtId="0" fontId="58" fillId="42" borderId="84" applyNumberFormat="0" applyAlignment="0" applyProtection="0"/>
    <xf numFmtId="0" fontId="43" fillId="55" borderId="83" applyNumberFormat="0" applyAlignment="0" applyProtection="0"/>
    <xf numFmtId="49" fontId="34" fillId="0" borderId="87" applyNumberFormat="0" applyFont="0" applyFill="0" applyBorder="0" applyProtection="0">
      <alignment horizontal="left" vertical="center" indent="2"/>
    </xf>
    <xf numFmtId="0" fontId="49" fillId="42" borderId="84" applyNumberFormat="0" applyAlignment="0" applyProtection="0"/>
    <xf numFmtId="4" fontId="34" fillId="0" borderId="87" applyFill="0" applyBorder="0" applyProtection="0">
      <alignment horizontal="right" vertical="center"/>
    </xf>
    <xf numFmtId="0" fontId="46" fillId="55" borderId="84" applyNumberFormat="0" applyAlignment="0" applyProtection="0"/>
    <xf numFmtId="0" fontId="65" fillId="0" borderId="85" applyNumberFormat="0" applyFill="0" applyAlignment="0" applyProtection="0"/>
    <xf numFmtId="0" fontId="62" fillId="55" borderId="83" applyNumberFormat="0" applyAlignment="0" applyProtection="0"/>
    <xf numFmtId="0" fontId="34" fillId="0" borderId="87" applyNumberFormat="0" applyFill="0" applyAlignment="0" applyProtection="0"/>
    <xf numFmtId="4" fontId="34" fillId="0" borderId="87">
      <alignment horizontal="right" vertical="center"/>
    </xf>
    <xf numFmtId="0" fontId="34" fillId="0" borderId="87">
      <alignment horizontal="right" vertical="center"/>
    </xf>
    <xf numFmtId="0" fontId="58" fillId="42" borderId="84" applyNumberFormat="0" applyAlignment="0" applyProtection="0"/>
    <xf numFmtId="0" fontId="43" fillId="55" borderId="83" applyNumberFormat="0" applyAlignment="0" applyProtection="0"/>
    <xf numFmtId="0" fontId="45" fillId="55" borderId="84" applyNumberFormat="0" applyAlignment="0" applyProtection="0"/>
    <xf numFmtId="0" fontId="34" fillId="33" borderId="90">
      <alignment horizontal="left" vertical="center" wrapText="1" indent="2"/>
    </xf>
    <xf numFmtId="0" fontId="46" fillId="55" borderId="84" applyNumberFormat="0" applyAlignment="0" applyProtection="0"/>
    <xf numFmtId="0" fontId="46" fillId="55" borderId="84" applyNumberFormat="0" applyAlignment="0" applyProtection="0"/>
    <xf numFmtId="4" fontId="32" fillId="33" borderId="88">
      <alignment horizontal="right" vertical="center"/>
    </xf>
    <xf numFmtId="0" fontId="32" fillId="33" borderId="88">
      <alignment horizontal="right" vertical="center"/>
    </xf>
    <xf numFmtId="0" fontId="32" fillId="33" borderId="87">
      <alignment horizontal="right" vertical="center"/>
    </xf>
    <xf numFmtId="4" fontId="36" fillId="31" borderId="87">
      <alignment horizontal="right" vertical="center"/>
    </xf>
    <xf numFmtId="0" fontId="49" fillId="42" borderId="84" applyNumberFormat="0" applyAlignment="0" applyProtection="0"/>
    <xf numFmtId="0" fontId="50" fillId="0" borderId="85" applyNumberFormat="0" applyFill="0" applyAlignment="0" applyProtection="0"/>
    <xf numFmtId="0" fontId="65" fillId="0" borderId="85" applyNumberFormat="0" applyFill="0" applyAlignment="0" applyProtection="0"/>
    <xf numFmtId="0" fontId="40" fillId="58" borderId="86" applyNumberFormat="0" applyFont="0" applyAlignment="0" applyProtection="0"/>
    <xf numFmtId="0" fontId="58" fillId="42" borderId="84" applyNumberFormat="0" applyAlignment="0" applyProtection="0"/>
    <xf numFmtId="49" fontId="33" fillId="0" borderId="87" applyNumberFormat="0" applyFill="0" applyBorder="0" applyProtection="0">
      <alignment horizontal="left" vertical="center"/>
    </xf>
    <xf numFmtId="0" fontId="34" fillId="33" borderId="90">
      <alignment horizontal="left" vertical="center" wrapText="1" indent="2"/>
    </xf>
    <xf numFmtId="0" fontId="46" fillId="55" borderId="84" applyNumberFormat="0" applyAlignment="0" applyProtection="0"/>
    <xf numFmtId="0" fontId="34" fillId="0" borderId="90">
      <alignment horizontal="left" vertical="center" wrapText="1" indent="2"/>
    </xf>
    <xf numFmtId="0" fontId="40" fillId="58" borderId="86" applyNumberFormat="0" applyFont="0" applyAlignment="0" applyProtection="0"/>
    <xf numFmtId="0" fontId="5" fillId="58" borderId="86" applyNumberFormat="0" applyFont="0" applyAlignment="0" applyProtection="0"/>
    <xf numFmtId="0" fontId="62" fillId="55" borderId="83" applyNumberFormat="0" applyAlignment="0" applyProtection="0"/>
    <xf numFmtId="0" fontId="65" fillId="0" borderId="85" applyNumberFormat="0" applyFill="0" applyAlignment="0" applyProtection="0"/>
    <xf numFmtId="4" fontId="34" fillId="32" borderId="87"/>
    <xf numFmtId="0" fontId="32" fillId="33" borderId="87">
      <alignment horizontal="right" vertical="center"/>
    </xf>
    <xf numFmtId="0" fontId="65" fillId="0" borderId="85" applyNumberFormat="0" applyFill="0" applyAlignment="0" applyProtection="0"/>
    <xf numFmtId="4" fontId="32" fillId="33" borderId="89">
      <alignment horizontal="right" vertical="center"/>
    </xf>
    <xf numFmtId="0" fontId="45" fillId="55" borderId="84" applyNumberFormat="0" applyAlignment="0" applyProtection="0"/>
    <xf numFmtId="0" fontId="32" fillId="33" borderId="88">
      <alignment horizontal="right" vertical="center"/>
    </xf>
    <xf numFmtId="0" fontId="46" fillId="55" borderId="84" applyNumberFormat="0" applyAlignment="0" applyProtection="0"/>
    <xf numFmtId="0" fontId="50" fillId="0" borderId="85" applyNumberFormat="0" applyFill="0" applyAlignment="0" applyProtection="0"/>
    <xf numFmtId="0" fontId="40" fillId="58" borderId="86" applyNumberFormat="0" applyFont="0" applyAlignment="0" applyProtection="0"/>
    <xf numFmtId="4" fontId="32" fillId="33" borderId="88">
      <alignment horizontal="right" vertical="center"/>
    </xf>
    <xf numFmtId="0" fontId="34" fillId="33" borderId="90">
      <alignment horizontal="left" vertical="center" wrapText="1" indent="2"/>
    </xf>
    <xf numFmtId="0" fontId="34" fillId="32" borderId="87"/>
    <xf numFmtId="173" fontId="34" fillId="59" borderId="87" applyNumberFormat="0" applyFont="0" applyBorder="0" applyAlignment="0" applyProtection="0">
      <alignment horizontal="right" vertical="center"/>
    </xf>
    <xf numFmtId="0" fontId="34" fillId="0" borderId="87" applyNumberFormat="0" applyFill="0" applyAlignment="0" applyProtection="0"/>
    <xf numFmtId="4" fontId="34" fillId="0" borderId="87" applyFill="0" applyBorder="0" applyProtection="0">
      <alignment horizontal="right" vertical="center"/>
    </xf>
    <xf numFmtId="4" fontId="32" fillId="31" borderId="87">
      <alignment horizontal="right" vertical="center"/>
    </xf>
    <xf numFmtId="0" fontId="50" fillId="0" borderId="85" applyNumberFormat="0" applyFill="0" applyAlignment="0" applyProtection="0"/>
    <xf numFmtId="49" fontId="33" fillId="0" borderId="87" applyNumberFormat="0" applyFill="0" applyBorder="0" applyProtection="0">
      <alignment horizontal="left" vertical="center"/>
    </xf>
    <xf numFmtId="49" fontId="34" fillId="0" borderId="88" applyNumberFormat="0" applyFont="0" applyFill="0" applyBorder="0" applyProtection="0">
      <alignment horizontal="left" vertical="center" indent="5"/>
    </xf>
    <xf numFmtId="0" fontId="34" fillId="31" borderId="88">
      <alignment horizontal="left" vertical="center"/>
    </xf>
    <xf numFmtId="0" fontId="46" fillId="55" borderId="84" applyNumberFormat="0" applyAlignment="0" applyProtection="0"/>
    <xf numFmtId="4" fontId="32" fillId="33" borderId="89">
      <alignment horizontal="right" vertical="center"/>
    </xf>
    <xf numFmtId="0" fontId="58" fillId="42" borderId="84" applyNumberFormat="0" applyAlignment="0" applyProtection="0"/>
    <xf numFmtId="0" fontId="58" fillId="42" borderId="84" applyNumberFormat="0" applyAlignment="0" applyProtection="0"/>
    <xf numFmtId="0" fontId="40" fillId="58" borderId="86" applyNumberFormat="0" applyFont="0" applyAlignment="0" applyProtection="0"/>
    <xf numFmtId="0" fontId="62" fillId="55" borderId="83" applyNumberFormat="0" applyAlignment="0" applyProtection="0"/>
    <xf numFmtId="0" fontId="65" fillId="0" borderId="85" applyNumberFormat="0" applyFill="0" applyAlignment="0" applyProtection="0"/>
    <xf numFmtId="0" fontId="32" fillId="33" borderId="87">
      <alignment horizontal="right" vertical="center"/>
    </xf>
    <xf numFmtId="0" fontId="5" fillId="58" borderId="86" applyNumberFormat="0" applyFont="0" applyAlignment="0" applyProtection="0"/>
    <xf numFmtId="4" fontId="34" fillId="0" borderId="87">
      <alignment horizontal="right" vertical="center"/>
    </xf>
    <xf numFmtId="0" fontId="65" fillId="0" borderId="85" applyNumberFormat="0" applyFill="0" applyAlignment="0" applyProtection="0"/>
    <xf numFmtId="0" fontId="32" fillId="33" borderId="87">
      <alignment horizontal="right" vertical="center"/>
    </xf>
    <xf numFmtId="0" fontId="32" fillId="33" borderId="87">
      <alignment horizontal="right" vertical="center"/>
    </xf>
    <xf numFmtId="4" fontId="36" fillId="31" borderId="87">
      <alignment horizontal="right" vertical="center"/>
    </xf>
    <xf numFmtId="0" fontId="32" fillId="31" borderId="87">
      <alignment horizontal="right" vertical="center"/>
    </xf>
    <xf numFmtId="4" fontId="32" fillId="31" borderId="87">
      <alignment horizontal="right" vertical="center"/>
    </xf>
    <xf numFmtId="0" fontId="36" fillId="31" borderId="87">
      <alignment horizontal="right" vertical="center"/>
    </xf>
    <xf numFmtId="4" fontId="36" fillId="31" borderId="87">
      <alignment horizontal="right" vertical="center"/>
    </xf>
    <xf numFmtId="0" fontId="32" fillId="33" borderId="87">
      <alignment horizontal="right" vertical="center"/>
    </xf>
    <xf numFmtId="4" fontId="32" fillId="33" borderId="87">
      <alignment horizontal="right" vertical="center"/>
    </xf>
    <xf numFmtId="0" fontId="32" fillId="33" borderId="87">
      <alignment horizontal="right" vertical="center"/>
    </xf>
    <xf numFmtId="4" fontId="32" fillId="33" borderId="87">
      <alignment horizontal="right" vertical="center"/>
    </xf>
    <xf numFmtId="0" fontId="32" fillId="33" borderId="88">
      <alignment horizontal="right" vertical="center"/>
    </xf>
    <xf numFmtId="4" fontId="32" fillId="33" borderId="88">
      <alignment horizontal="right" vertical="center"/>
    </xf>
    <xf numFmtId="0" fontId="32" fillId="33" borderId="89">
      <alignment horizontal="right" vertical="center"/>
    </xf>
    <xf numFmtId="4" fontId="32" fillId="33" borderId="89">
      <alignment horizontal="right" vertical="center"/>
    </xf>
    <xf numFmtId="0" fontId="46" fillId="55" borderId="84" applyNumberFormat="0" applyAlignment="0" applyProtection="0"/>
    <xf numFmtId="0" fontId="34" fillId="33" borderId="90">
      <alignment horizontal="left" vertical="center" wrapText="1" indent="2"/>
    </xf>
    <xf numFmtId="0" fontId="34" fillId="0" borderId="90">
      <alignment horizontal="left" vertical="center" wrapText="1" indent="2"/>
    </xf>
    <xf numFmtId="0" fontId="34" fillId="31" borderId="88">
      <alignment horizontal="left" vertical="center"/>
    </xf>
    <xf numFmtId="0" fontId="58" fillId="42" borderId="84" applyNumberFormat="0" applyAlignment="0" applyProtection="0"/>
    <xf numFmtId="0" fontId="34" fillId="0" borderId="87">
      <alignment horizontal="right" vertical="center"/>
    </xf>
    <xf numFmtId="4" fontId="34" fillId="0" borderId="87">
      <alignment horizontal="right" vertical="center"/>
    </xf>
    <xf numFmtId="0" fontId="34" fillId="0" borderId="87" applyNumberFormat="0" applyFill="0" applyAlignment="0" applyProtection="0"/>
    <xf numFmtId="0" fontId="62" fillId="55" borderId="83" applyNumberFormat="0" applyAlignment="0" applyProtection="0"/>
    <xf numFmtId="173" fontId="34" fillId="59" borderId="87" applyNumberFormat="0" applyFont="0" applyBorder="0" applyAlignment="0" applyProtection="0">
      <alignment horizontal="right" vertical="center"/>
    </xf>
    <xf numFmtId="0" fontId="34" fillId="32" borderId="87"/>
    <xf numFmtId="4" fontId="34" fillId="32" borderId="87"/>
    <xf numFmtId="0" fontId="65" fillId="0" borderId="85" applyNumberFormat="0" applyFill="0" applyAlignment="0" applyProtection="0"/>
    <xf numFmtId="0" fontId="5" fillId="58" borderId="86" applyNumberFormat="0" applyFont="0" applyAlignment="0" applyProtection="0"/>
    <xf numFmtId="0" fontId="40" fillId="58" borderId="86" applyNumberFormat="0" applyFont="0" applyAlignment="0" applyProtection="0"/>
    <xf numFmtId="0" fontId="34" fillId="0" borderId="87" applyNumberFormat="0" applyFill="0" applyAlignment="0" applyProtection="0"/>
    <xf numFmtId="0" fontId="50" fillId="0" borderId="85" applyNumberFormat="0" applyFill="0" applyAlignment="0" applyProtection="0"/>
    <xf numFmtId="0" fontId="65" fillId="0" borderId="85" applyNumberFormat="0" applyFill="0" applyAlignment="0" applyProtection="0"/>
    <xf numFmtId="0" fontId="49" fillId="42" borderId="84" applyNumberFormat="0" applyAlignment="0" applyProtection="0"/>
    <xf numFmtId="0" fontId="46" fillId="55" borderId="84" applyNumberFormat="0" applyAlignment="0" applyProtection="0"/>
    <xf numFmtId="4" fontId="36" fillId="31" borderId="87">
      <alignment horizontal="right" vertical="center"/>
    </xf>
    <xf numFmtId="0" fontId="32" fillId="31" borderId="87">
      <alignment horizontal="right" vertical="center"/>
    </xf>
    <xf numFmtId="173" fontId="34" fillId="59" borderId="87" applyNumberFormat="0" applyFont="0" applyBorder="0" applyAlignment="0" applyProtection="0">
      <alignment horizontal="right" vertical="center"/>
    </xf>
    <xf numFmtId="0" fontId="50" fillId="0" borderId="85" applyNumberFormat="0" applyFill="0" applyAlignment="0" applyProtection="0"/>
    <xf numFmtId="49" fontId="34" fillId="0" borderId="87" applyNumberFormat="0" applyFont="0" applyFill="0" applyBorder="0" applyProtection="0">
      <alignment horizontal="left" vertical="center" indent="2"/>
    </xf>
    <xf numFmtId="49" fontId="34" fillId="0" borderId="88" applyNumberFormat="0" applyFont="0" applyFill="0" applyBorder="0" applyProtection="0">
      <alignment horizontal="left" vertical="center" indent="5"/>
    </xf>
    <xf numFmtId="49" fontId="34" fillId="0" borderId="87" applyNumberFormat="0" applyFont="0" applyFill="0" applyBorder="0" applyProtection="0">
      <alignment horizontal="left" vertical="center" indent="2"/>
    </xf>
    <xf numFmtId="4" fontId="34" fillId="0" borderId="87" applyFill="0" applyBorder="0" applyProtection="0">
      <alignment horizontal="right" vertical="center"/>
    </xf>
    <xf numFmtId="49" fontId="33" fillId="0" borderId="87" applyNumberFormat="0" applyFill="0" applyBorder="0" applyProtection="0">
      <alignment horizontal="left" vertical="center"/>
    </xf>
    <xf numFmtId="0" fontId="34" fillId="0" borderId="90">
      <alignment horizontal="left" vertical="center" wrapText="1" indent="2"/>
    </xf>
    <xf numFmtId="0" fontId="62" fillId="55" borderId="83" applyNumberFormat="0" applyAlignment="0" applyProtection="0"/>
    <xf numFmtId="0" fontId="32" fillId="33" borderId="89">
      <alignment horizontal="right" vertical="center"/>
    </xf>
    <xf numFmtId="0" fontId="49" fillId="42" borderId="84" applyNumberFormat="0" applyAlignment="0" applyProtection="0"/>
    <xf numFmtId="0" fontId="32" fillId="33" borderId="89">
      <alignment horizontal="right" vertical="center"/>
    </xf>
    <xf numFmtId="4" fontId="32" fillId="33" borderId="87">
      <alignment horizontal="right" vertical="center"/>
    </xf>
    <xf numFmtId="0" fontId="32" fillId="33" borderId="87">
      <alignment horizontal="right" vertical="center"/>
    </xf>
    <xf numFmtId="0" fontId="43" fillId="55" borderId="83" applyNumberFormat="0" applyAlignment="0" applyProtection="0"/>
    <xf numFmtId="0" fontId="45" fillId="55" borderId="84" applyNumberFormat="0" applyAlignment="0" applyProtection="0"/>
    <xf numFmtId="0" fontId="50" fillId="0" borderId="85" applyNumberFormat="0" applyFill="0" applyAlignment="0" applyProtection="0"/>
    <xf numFmtId="0" fontId="34" fillId="32" borderId="87"/>
    <xf numFmtId="4" fontId="34" fillId="32" borderId="87"/>
    <xf numFmtId="4" fontId="32" fillId="33" borderId="87">
      <alignment horizontal="right" vertical="center"/>
    </xf>
    <xf numFmtId="0" fontId="36" fillId="31" borderId="87">
      <alignment horizontal="right" vertical="center"/>
    </xf>
    <xf numFmtId="0" fontId="49" fillId="42" borderId="84" applyNumberFormat="0" applyAlignment="0" applyProtection="0"/>
    <xf numFmtId="0" fontId="46" fillId="55" borderId="84" applyNumberFormat="0" applyAlignment="0" applyProtection="0"/>
    <xf numFmtId="4" fontId="34" fillId="0" borderId="87">
      <alignment horizontal="right" vertical="center"/>
    </xf>
    <xf numFmtId="0" fontId="34" fillId="33" borderId="90">
      <alignment horizontal="left" vertical="center" wrapText="1" indent="2"/>
    </xf>
    <xf numFmtId="0" fontId="34" fillId="0" borderId="90">
      <alignment horizontal="left" vertical="center" wrapText="1" indent="2"/>
    </xf>
    <xf numFmtId="0" fontId="62" fillId="55" borderId="83" applyNumberFormat="0" applyAlignment="0" applyProtection="0"/>
    <xf numFmtId="0" fontId="58" fillId="42" borderId="84" applyNumberFormat="0" applyAlignment="0" applyProtection="0"/>
    <xf numFmtId="0" fontId="45" fillId="55" borderId="84" applyNumberFormat="0" applyAlignment="0" applyProtection="0"/>
    <xf numFmtId="0" fontId="43" fillId="55" borderId="83" applyNumberFormat="0" applyAlignment="0" applyProtection="0"/>
    <xf numFmtId="0" fontId="32" fillId="33" borderId="89">
      <alignment horizontal="right" vertical="center"/>
    </xf>
    <xf numFmtId="0" fontId="36" fillId="31" borderId="87">
      <alignment horizontal="right" vertical="center"/>
    </xf>
    <xf numFmtId="4" fontId="32" fillId="31" borderId="87">
      <alignment horizontal="right" vertical="center"/>
    </xf>
    <xf numFmtId="4" fontId="32" fillId="33" borderId="87">
      <alignment horizontal="right" vertical="center"/>
    </xf>
    <xf numFmtId="49" fontId="34" fillId="0" borderId="88" applyNumberFormat="0" applyFont="0" applyFill="0" applyBorder="0" applyProtection="0">
      <alignment horizontal="left" vertical="center" indent="5"/>
    </xf>
    <xf numFmtId="4" fontId="34" fillId="0" borderId="87" applyFill="0" applyBorder="0" applyProtection="0">
      <alignment horizontal="right" vertical="center"/>
    </xf>
    <xf numFmtId="4" fontId="32" fillId="31" borderId="87">
      <alignment horizontal="right" vertical="center"/>
    </xf>
    <xf numFmtId="0" fontId="58" fillId="42" borderId="84" applyNumberFormat="0" applyAlignment="0" applyProtection="0"/>
    <xf numFmtId="0" fontId="49" fillId="42" borderId="84" applyNumberFormat="0" applyAlignment="0" applyProtection="0"/>
    <xf numFmtId="0" fontId="45" fillId="55" borderId="84" applyNumberFormat="0" applyAlignment="0" applyProtection="0"/>
    <xf numFmtId="0" fontId="34" fillId="33" borderId="90">
      <alignment horizontal="left" vertical="center" wrapText="1" indent="2"/>
    </xf>
    <xf numFmtId="0" fontId="34" fillId="0" borderId="90">
      <alignment horizontal="left" vertical="center" wrapText="1" indent="2"/>
    </xf>
    <xf numFmtId="0" fontId="34" fillId="33" borderId="90">
      <alignment horizontal="left" vertical="center" wrapText="1" indent="2"/>
    </xf>
    <xf numFmtId="0" fontId="58" fillId="42" borderId="92" applyNumberFormat="0" applyAlignment="0" applyProtection="0"/>
    <xf numFmtId="0" fontId="34" fillId="0" borderId="118">
      <alignment horizontal="right" vertical="center"/>
    </xf>
    <xf numFmtId="0" fontId="34" fillId="0" borderId="108">
      <alignment horizontal="right" vertical="center"/>
    </xf>
    <xf numFmtId="0" fontId="34" fillId="0" borderId="118">
      <alignment horizontal="right" vertical="center"/>
    </xf>
    <xf numFmtId="0" fontId="65" fillId="0" borderId="116" applyNumberFormat="0" applyFill="0" applyAlignment="0" applyProtection="0"/>
    <xf numFmtId="0" fontId="40" fillId="58" borderId="107" applyNumberFormat="0" applyFont="0" applyAlignment="0" applyProtection="0"/>
    <xf numFmtId="0" fontId="49" fillId="42" borderId="113" applyNumberFormat="0" applyAlignment="0" applyProtection="0"/>
    <xf numFmtId="0" fontId="32" fillId="33" borderId="109">
      <alignment horizontal="right" vertical="center"/>
    </xf>
    <xf numFmtId="0" fontId="40" fillId="58" borderId="117" applyNumberFormat="0" applyFont="0" applyAlignment="0" applyProtection="0"/>
    <xf numFmtId="0" fontId="65" fillId="0" borderId="93" applyNumberFormat="0" applyFill="0" applyAlignment="0" applyProtection="0"/>
    <xf numFmtId="0" fontId="28" fillId="12" borderId="11" applyNumberFormat="0" applyAlignment="0" applyProtection="0"/>
    <xf numFmtId="0" fontId="58" fillId="42" borderId="92" applyNumberFormat="0" applyAlignment="0" applyProtection="0"/>
    <xf numFmtId="49" fontId="34" fillId="0" borderId="108" applyNumberFormat="0" applyFont="0" applyFill="0" applyBorder="0" applyProtection="0">
      <alignment horizontal="left" vertical="center" indent="2"/>
    </xf>
    <xf numFmtId="0" fontId="28" fillId="12" borderId="11" applyNumberFormat="0" applyAlignment="0" applyProtection="0"/>
    <xf numFmtId="4" fontId="32" fillId="31" borderId="103">
      <alignment horizontal="right" vertical="center"/>
    </xf>
    <xf numFmtId="0" fontId="34" fillId="33" borderId="121">
      <alignment horizontal="left" vertical="center" wrapText="1" indent="2"/>
    </xf>
    <xf numFmtId="4" fontId="32" fillId="33" borderId="103">
      <alignment horizontal="right" vertical="center"/>
    </xf>
    <xf numFmtId="0" fontId="12" fillId="18" borderId="0" applyNumberFormat="0" applyBorder="0" applyAlignment="0" applyProtection="0"/>
    <xf numFmtId="0" fontId="32" fillId="33" borderId="108">
      <alignment horizontal="right" vertical="center"/>
    </xf>
    <xf numFmtId="0" fontId="46" fillId="55" borderId="115" applyNumberFormat="0" applyAlignment="0" applyProtection="0"/>
    <xf numFmtId="173" fontId="34" fillId="59" borderId="118" applyNumberFormat="0" applyFont="0" applyBorder="0" applyAlignment="0" applyProtection="0">
      <alignment horizontal="right" vertical="center"/>
    </xf>
    <xf numFmtId="49" fontId="33" fillId="0" borderId="103" applyNumberFormat="0" applyFill="0" applyBorder="0" applyProtection="0">
      <alignment horizontal="left" vertical="center"/>
    </xf>
    <xf numFmtId="0" fontId="58" fillId="42" borderId="113" applyNumberFormat="0" applyAlignment="0" applyProtection="0"/>
    <xf numFmtId="49" fontId="34" fillId="0" borderId="109" applyNumberFormat="0" applyFont="0" applyFill="0" applyBorder="0" applyProtection="0">
      <alignment horizontal="left" vertical="center" indent="5"/>
    </xf>
    <xf numFmtId="4" fontId="34" fillId="0" borderId="108">
      <alignment horizontal="right" vertical="center"/>
    </xf>
    <xf numFmtId="173" fontId="34" fillId="59" borderId="108" applyNumberFormat="0" applyFont="0" applyBorder="0" applyAlignment="0" applyProtection="0">
      <alignment horizontal="right" vertical="center"/>
    </xf>
    <xf numFmtId="0" fontId="49" fillId="42" borderId="113" applyNumberFormat="0" applyAlignment="0" applyProtection="0"/>
    <xf numFmtId="0" fontId="34" fillId="0" borderId="118" applyNumberFormat="0" applyFill="0" applyAlignment="0" applyProtection="0"/>
    <xf numFmtId="4" fontId="36" fillId="31" borderId="108">
      <alignment horizontal="right" vertical="center"/>
    </xf>
    <xf numFmtId="0" fontId="26" fillId="29" borderId="0" applyNumberFormat="0" applyBorder="0" applyAlignment="0" applyProtection="0"/>
    <xf numFmtId="0" fontId="50" fillId="0" borderId="114" applyNumberFormat="0" applyFill="0" applyAlignment="0" applyProtection="0"/>
    <xf numFmtId="0" fontId="29" fillId="12" borderId="10" applyNumberFormat="0" applyAlignment="0" applyProtection="0"/>
    <xf numFmtId="0" fontId="46" fillId="55" borderId="113" applyNumberFormat="0" applyAlignment="0" applyProtection="0"/>
    <xf numFmtId="0" fontId="34" fillId="0" borderId="108">
      <alignment horizontal="right" vertical="center"/>
    </xf>
    <xf numFmtId="0" fontId="58" fillId="42" borderId="113" applyNumberFormat="0" applyAlignment="0" applyProtection="0"/>
    <xf numFmtId="0" fontId="32" fillId="33" borderId="110">
      <alignment horizontal="right" vertical="center"/>
    </xf>
    <xf numFmtId="0" fontId="34" fillId="33" borderId="111">
      <alignment horizontal="left" vertical="center" wrapText="1" indent="2"/>
    </xf>
    <xf numFmtId="0" fontId="34" fillId="31" borderId="119">
      <alignment horizontal="left" vertical="center"/>
    </xf>
    <xf numFmtId="0" fontId="34" fillId="0" borderId="108">
      <alignment horizontal="right" vertical="center"/>
    </xf>
    <xf numFmtId="0" fontId="40" fillId="58" borderId="94" applyNumberFormat="0" applyFont="0" applyAlignment="0" applyProtection="0"/>
    <xf numFmtId="0" fontId="40" fillId="58" borderId="107" applyNumberFormat="0" applyFont="0" applyAlignment="0" applyProtection="0"/>
    <xf numFmtId="0" fontId="62" fillId="55" borderId="112" applyNumberFormat="0" applyAlignment="0" applyProtection="0"/>
    <xf numFmtId="0" fontId="32" fillId="33" borderId="120">
      <alignment horizontal="right" vertical="center"/>
    </xf>
    <xf numFmtId="0" fontId="32" fillId="31" borderId="126">
      <alignment horizontal="right" vertical="center"/>
    </xf>
    <xf numFmtId="49" fontId="34" fillId="0" borderId="109" applyNumberFormat="0" applyFont="0" applyFill="0" applyBorder="0" applyProtection="0">
      <alignment horizontal="left" vertical="center" indent="5"/>
    </xf>
    <xf numFmtId="0" fontId="1" fillId="0" borderId="0" applyNumberFormat="0" applyFill="0" applyBorder="0" applyAlignment="0" applyProtection="0"/>
    <xf numFmtId="0" fontId="12" fillId="21" borderId="0" applyNumberFormat="0" applyBorder="0" applyAlignment="0" applyProtection="0"/>
    <xf numFmtId="4" fontId="32" fillId="33" borderId="119">
      <alignment horizontal="right" vertical="center"/>
    </xf>
    <xf numFmtId="0" fontId="34" fillId="33" borderId="129">
      <alignment horizontal="left" vertical="center" wrapText="1" indent="2"/>
    </xf>
    <xf numFmtId="4" fontId="32" fillId="31" borderId="118">
      <alignment horizontal="right" vertical="center"/>
    </xf>
    <xf numFmtId="0" fontId="65" fillId="0" borderId="114" applyNumberFormat="0" applyFill="0" applyAlignment="0" applyProtection="0"/>
    <xf numFmtId="0" fontId="32" fillId="33" borderId="119">
      <alignment horizontal="right" vertical="center"/>
    </xf>
    <xf numFmtId="0" fontId="34" fillId="33" borderId="98">
      <alignment horizontal="left" vertical="center" wrapText="1" indent="2"/>
    </xf>
    <xf numFmtId="0" fontId="26" fillId="29" borderId="0" applyNumberFormat="0" applyBorder="0" applyAlignment="0" applyProtection="0"/>
    <xf numFmtId="0" fontId="58" fillId="42" borderId="92" applyNumberFormat="0" applyAlignment="0" applyProtection="0"/>
    <xf numFmtId="0" fontId="36" fillId="31" borderId="108">
      <alignment horizontal="right" vertical="center"/>
    </xf>
    <xf numFmtId="0" fontId="5" fillId="58" borderId="107" applyNumberFormat="0" applyFont="0" applyAlignment="0" applyProtection="0"/>
    <xf numFmtId="4" fontId="34" fillId="32" borderId="108"/>
    <xf numFmtId="0" fontId="45" fillId="55" borderId="123" applyNumberFormat="0" applyAlignment="0" applyProtection="0"/>
    <xf numFmtId="0" fontId="49" fillId="42" borderId="92" applyNumberFormat="0" applyAlignment="0" applyProtection="0"/>
    <xf numFmtId="0" fontId="1" fillId="0" borderId="0" applyNumberFormat="0" applyFill="0" applyBorder="0" applyAlignment="0" applyProtection="0"/>
    <xf numFmtId="0" fontId="43" fillId="55" borderId="122" applyNumberFormat="0" applyAlignment="0" applyProtection="0"/>
    <xf numFmtId="0" fontId="28" fillId="12" borderId="11" applyNumberFormat="0" applyAlignment="0" applyProtection="0"/>
    <xf numFmtId="4" fontId="32" fillId="33" borderId="104">
      <alignment horizontal="right" vertical="center"/>
    </xf>
    <xf numFmtId="0" fontId="34" fillId="31" borderId="96">
      <alignment horizontal="left" vertical="center"/>
    </xf>
    <xf numFmtId="0" fontId="46" fillId="55" borderId="92" applyNumberFormat="0" applyAlignment="0" applyProtection="0"/>
    <xf numFmtId="0" fontId="32" fillId="33" borderId="97">
      <alignment horizontal="right" vertical="center"/>
    </xf>
    <xf numFmtId="0" fontId="34" fillId="0" borderId="98">
      <alignment horizontal="left" vertical="center" wrapText="1" indent="2"/>
    </xf>
    <xf numFmtId="0" fontId="34" fillId="33" borderId="121">
      <alignment horizontal="left" vertical="center" wrapText="1" indent="2"/>
    </xf>
    <xf numFmtId="0" fontId="32" fillId="33" borderId="97">
      <alignment horizontal="right" vertical="center"/>
    </xf>
    <xf numFmtId="4" fontId="32" fillId="31" borderId="126">
      <alignment horizontal="right" vertical="center"/>
    </xf>
    <xf numFmtId="4" fontId="36" fillId="31" borderId="95">
      <alignment horizontal="right" vertical="center"/>
    </xf>
    <xf numFmtId="0" fontId="36" fillId="31" borderId="95">
      <alignment horizontal="right" vertical="center"/>
    </xf>
    <xf numFmtId="0" fontId="34" fillId="0" borderId="108" applyNumberFormat="0" applyFill="0" applyAlignment="0" applyProtection="0"/>
    <xf numFmtId="0" fontId="46" fillId="55" borderId="113" applyNumberFormat="0" applyAlignment="0" applyProtection="0"/>
    <xf numFmtId="0" fontId="32" fillId="33" borderId="128">
      <alignment horizontal="right" vertical="center"/>
    </xf>
    <xf numFmtId="4" fontId="32" fillId="33" borderId="120">
      <alignment horizontal="right" vertical="center"/>
    </xf>
    <xf numFmtId="0" fontId="34" fillId="33" borderId="98">
      <alignment horizontal="left" vertical="center" wrapText="1" indent="2"/>
    </xf>
    <xf numFmtId="4" fontId="32" fillId="33" borderId="118">
      <alignment horizontal="right" vertical="center"/>
    </xf>
    <xf numFmtId="0" fontId="34" fillId="33" borderId="111">
      <alignment horizontal="left" vertical="center" wrapText="1" indent="2"/>
    </xf>
    <xf numFmtId="0" fontId="58" fillId="42" borderId="123" applyNumberFormat="0" applyAlignment="0" applyProtection="0"/>
    <xf numFmtId="0" fontId="62" fillId="55" borderId="130" applyNumberFormat="0" applyAlignment="0" applyProtection="0"/>
    <xf numFmtId="0" fontId="58" fillId="42" borderId="92" applyNumberFormat="0" applyAlignment="0" applyProtection="0"/>
    <xf numFmtId="0" fontId="58" fillId="42" borderId="92" applyNumberFormat="0" applyAlignment="0" applyProtection="0"/>
    <xf numFmtId="0" fontId="65" fillId="0" borderId="116" applyNumberFormat="0" applyFill="0" applyAlignment="0" applyProtection="0"/>
    <xf numFmtId="0" fontId="65" fillId="0" borderId="114" applyNumberFormat="0" applyFill="0" applyAlignment="0" applyProtection="0"/>
    <xf numFmtId="49" fontId="33" fillId="0" borderId="95" applyNumberFormat="0" applyFill="0" applyBorder="0" applyProtection="0">
      <alignment horizontal="left" vertical="center"/>
    </xf>
    <xf numFmtId="4" fontId="36" fillId="31" borderId="95">
      <alignment horizontal="right" vertical="center"/>
    </xf>
    <xf numFmtId="0" fontId="5" fillId="58" borderId="94" applyNumberFormat="0" applyFont="0" applyAlignment="0" applyProtection="0"/>
    <xf numFmtId="0" fontId="34" fillId="31" borderId="96">
      <alignment horizontal="left" vertical="center"/>
    </xf>
    <xf numFmtId="0" fontId="50" fillId="0" borderId="93" applyNumberFormat="0" applyFill="0" applyAlignment="0" applyProtection="0"/>
    <xf numFmtId="0" fontId="45" fillId="55" borderId="115" applyNumberFormat="0" applyAlignment="0" applyProtection="0"/>
    <xf numFmtId="0" fontId="12" fillId="15" borderId="0" applyNumberFormat="0" applyBorder="0" applyAlignment="0" applyProtection="0"/>
    <xf numFmtId="0" fontId="40" fillId="58" borderId="117" applyNumberFormat="0" applyFont="0" applyAlignment="0" applyProtection="0"/>
    <xf numFmtId="0" fontId="34" fillId="0" borderId="108" applyNumberFormat="0" applyFill="0" applyAlignment="0" applyProtection="0"/>
    <xf numFmtId="0" fontId="32" fillId="33" borderId="96">
      <alignment horizontal="right" vertical="center"/>
    </xf>
    <xf numFmtId="4" fontId="32" fillId="33" borderId="118">
      <alignment horizontal="right" vertical="center"/>
    </xf>
    <xf numFmtId="4" fontId="34" fillId="0" borderId="118">
      <alignment horizontal="right" vertical="center"/>
    </xf>
    <xf numFmtId="0" fontId="34" fillId="0" borderId="98">
      <alignment horizontal="left" vertical="center" wrapText="1" indent="2"/>
    </xf>
    <xf numFmtId="0" fontId="34" fillId="33" borderId="111">
      <alignment horizontal="left" vertical="center" wrapText="1" indent="2"/>
    </xf>
    <xf numFmtId="0" fontId="65" fillId="0" borderId="114" applyNumberFormat="0" applyFill="0" applyAlignment="0" applyProtection="0"/>
    <xf numFmtId="0" fontId="12" fillId="30" borderId="0" applyNumberFormat="0" applyBorder="0" applyAlignment="0" applyProtection="0"/>
    <xf numFmtId="0" fontId="12" fillId="24" borderId="0" applyNumberFormat="0" applyBorder="0" applyAlignment="0" applyProtection="0"/>
    <xf numFmtId="0" fontId="45" fillId="55" borderId="92" applyNumberFormat="0" applyAlignment="0" applyProtection="0"/>
    <xf numFmtId="0" fontId="32" fillId="33" borderId="97">
      <alignment horizontal="right" vertical="center"/>
    </xf>
    <xf numFmtId="173" fontId="34" fillId="59" borderId="95" applyNumberFormat="0" applyFont="0" applyBorder="0" applyAlignment="0" applyProtection="0">
      <alignment horizontal="right" vertical="center"/>
    </xf>
    <xf numFmtId="0" fontId="32" fillId="31" borderId="95">
      <alignment horizontal="right" vertical="center"/>
    </xf>
    <xf numFmtId="0" fontId="65" fillId="0" borderId="93" applyNumberFormat="0" applyFill="0" applyAlignment="0" applyProtection="0"/>
    <xf numFmtId="4" fontId="32" fillId="31" borderId="108">
      <alignment horizontal="right" vertical="center"/>
    </xf>
    <xf numFmtId="0" fontId="12" fillId="24" borderId="0" applyNumberFormat="0" applyBorder="0" applyAlignment="0" applyProtection="0"/>
    <xf numFmtId="4" fontId="32" fillId="31" borderId="95">
      <alignment horizontal="right" vertical="center"/>
    </xf>
    <xf numFmtId="0" fontId="36" fillId="31" borderId="108">
      <alignment horizontal="right" vertical="center"/>
    </xf>
    <xf numFmtId="0" fontId="58" fillId="42" borderId="113" applyNumberFormat="0" applyAlignment="0" applyProtection="0"/>
    <xf numFmtId="0" fontId="26" fillId="14" borderId="0" applyNumberFormat="0" applyBorder="0" applyAlignment="0" applyProtection="0"/>
    <xf numFmtId="4" fontId="32" fillId="33" borderId="110">
      <alignment horizontal="right" vertical="center"/>
    </xf>
    <xf numFmtId="49" fontId="33" fillId="0" borderId="108" applyNumberFormat="0" applyFill="0" applyBorder="0" applyProtection="0">
      <alignment horizontal="left" vertical="center"/>
    </xf>
    <xf numFmtId="0" fontId="32" fillId="33" borderId="95">
      <alignment horizontal="right" vertical="center"/>
    </xf>
    <xf numFmtId="0" fontId="34" fillId="33" borderId="111">
      <alignment horizontal="left" vertical="center" wrapText="1" indent="2"/>
    </xf>
    <xf numFmtId="0" fontId="65" fillId="0" borderId="93" applyNumberFormat="0" applyFill="0" applyAlignment="0" applyProtection="0"/>
    <xf numFmtId="0" fontId="34" fillId="0" borderId="98">
      <alignment horizontal="left" vertical="center" wrapText="1" indent="2"/>
    </xf>
    <xf numFmtId="0" fontId="26" fillId="14" borderId="0" applyNumberFormat="0" applyBorder="0" applyAlignment="0" applyProtection="0"/>
    <xf numFmtId="4" fontId="34" fillId="0" borderId="95" applyFill="0" applyBorder="0" applyProtection="0">
      <alignment horizontal="right" vertical="center"/>
    </xf>
    <xf numFmtId="49" fontId="34" fillId="0" borderId="96" applyNumberFormat="0" applyFont="0" applyFill="0" applyBorder="0" applyProtection="0">
      <alignment horizontal="left" vertical="center" indent="5"/>
    </xf>
    <xf numFmtId="0" fontId="30" fillId="0" borderId="0" applyNumberFormat="0" applyFill="0" applyBorder="0" applyAlignment="0" applyProtection="0"/>
    <xf numFmtId="0" fontId="26" fillId="13" borderId="0" applyNumberFormat="0" applyBorder="0" applyAlignment="0" applyProtection="0"/>
    <xf numFmtId="0" fontId="26" fillId="19" borderId="0" applyNumberFormat="0" applyBorder="0" applyAlignment="0" applyProtection="0"/>
    <xf numFmtId="4" fontId="32" fillId="33" borderId="108">
      <alignment horizontal="right" vertical="center"/>
    </xf>
    <xf numFmtId="0" fontId="32" fillId="33" borderId="95">
      <alignment horizontal="right" vertical="center"/>
    </xf>
    <xf numFmtId="0" fontId="12" fillId="27" borderId="0" applyNumberFormat="0" applyBorder="0" applyAlignment="0" applyProtection="0"/>
    <xf numFmtId="0" fontId="26" fillId="22" borderId="0" applyNumberFormat="0" applyBorder="0" applyAlignment="0" applyProtection="0"/>
    <xf numFmtId="0" fontId="58" fillId="42" borderId="115" applyNumberFormat="0" applyAlignment="0" applyProtection="0"/>
    <xf numFmtId="0" fontId="34" fillId="33" borderId="98">
      <alignment horizontal="left" vertical="center" wrapText="1" indent="2"/>
    </xf>
    <xf numFmtId="173" fontId="34" fillId="59" borderId="95" applyNumberFormat="0" applyFont="0" applyBorder="0" applyAlignment="0" applyProtection="0">
      <alignment horizontal="right" vertical="center"/>
    </xf>
    <xf numFmtId="0" fontId="46" fillId="55" borderId="92" applyNumberFormat="0" applyAlignment="0" applyProtection="0"/>
    <xf numFmtId="0" fontId="65" fillId="0" borderId="124" applyNumberFormat="0" applyFill="0" applyAlignment="0" applyProtection="0"/>
    <xf numFmtId="0" fontId="36" fillId="31" borderId="95">
      <alignment horizontal="right" vertical="center"/>
    </xf>
    <xf numFmtId="0" fontId="45" fillId="55" borderId="92" applyNumberFormat="0" applyAlignment="0" applyProtection="0"/>
    <xf numFmtId="0" fontId="40" fillId="58" borderId="94" applyNumberFormat="0" applyFont="0" applyAlignment="0" applyProtection="0"/>
    <xf numFmtId="0" fontId="45" fillId="55" borderId="92" applyNumberFormat="0" applyAlignment="0" applyProtection="0"/>
    <xf numFmtId="0" fontId="62" fillId="55" borderId="91" applyNumberFormat="0" applyAlignment="0" applyProtection="0"/>
    <xf numFmtId="0" fontId="34" fillId="0" borderId="95">
      <alignment horizontal="right" vertical="center"/>
    </xf>
    <xf numFmtId="0" fontId="50" fillId="0" borderId="93" applyNumberFormat="0" applyFill="0" applyAlignment="0" applyProtection="0"/>
    <xf numFmtId="0" fontId="65" fillId="0" borderId="93" applyNumberFormat="0" applyFill="0" applyAlignment="0" applyProtection="0"/>
    <xf numFmtId="4" fontId="32" fillId="33" borderId="95">
      <alignment horizontal="right" vertical="center"/>
    </xf>
    <xf numFmtId="0" fontId="45" fillId="55" borderId="92" applyNumberFormat="0" applyAlignment="0" applyProtection="0"/>
    <xf numFmtId="0" fontId="50" fillId="0" borderId="93" applyNumberFormat="0" applyFill="0" applyAlignment="0" applyProtection="0"/>
    <xf numFmtId="4" fontId="32" fillId="33" borderId="97">
      <alignment horizontal="right" vertical="center"/>
    </xf>
    <xf numFmtId="4" fontId="32" fillId="33" borderId="108">
      <alignment horizontal="right" vertical="center"/>
    </xf>
    <xf numFmtId="4" fontId="36" fillId="31" borderId="108">
      <alignment horizontal="right" vertical="center"/>
    </xf>
    <xf numFmtId="0" fontId="65" fillId="0" borderId="114" applyNumberFormat="0" applyFill="0" applyAlignment="0" applyProtection="0"/>
    <xf numFmtId="0" fontId="26" fillId="26" borderId="0" applyNumberFormat="0" applyBorder="0" applyAlignment="0" applyProtection="0"/>
    <xf numFmtId="173" fontId="34" fillId="59" borderId="108" applyNumberFormat="0" applyFont="0" applyBorder="0" applyAlignment="0" applyProtection="0">
      <alignment horizontal="right" vertical="center"/>
    </xf>
    <xf numFmtId="0" fontId="34" fillId="33" borderId="111">
      <alignment horizontal="left" vertical="center" wrapText="1" indent="2"/>
    </xf>
    <xf numFmtId="0" fontId="26" fillId="20" borderId="0" applyNumberFormat="0" applyBorder="0" applyAlignment="0" applyProtection="0"/>
    <xf numFmtId="0" fontId="46" fillId="55" borderId="92" applyNumberFormat="0" applyAlignment="0" applyProtection="0"/>
    <xf numFmtId="0" fontId="30" fillId="0" borderId="0" applyNumberFormat="0" applyFill="0" applyBorder="0" applyAlignment="0" applyProtection="0"/>
    <xf numFmtId="0" fontId="34" fillId="31" borderId="119">
      <alignment horizontal="left" vertical="center"/>
    </xf>
    <xf numFmtId="4" fontId="32" fillId="33" borderId="108">
      <alignment horizontal="right" vertical="center"/>
    </xf>
    <xf numFmtId="0" fontId="26" fillId="28" borderId="0" applyNumberFormat="0" applyBorder="0" applyAlignment="0" applyProtection="0"/>
    <xf numFmtId="49" fontId="33" fillId="0" borderId="108" applyNumberFormat="0" applyFill="0" applyBorder="0" applyProtection="0">
      <alignment horizontal="left" vertical="center"/>
    </xf>
    <xf numFmtId="0" fontId="34" fillId="0" borderId="126">
      <alignment horizontal="right" vertical="center"/>
    </xf>
    <xf numFmtId="0" fontId="50" fillId="0" borderId="114" applyNumberFormat="0" applyFill="0" applyAlignment="0" applyProtection="0"/>
    <xf numFmtId="4" fontId="34" fillId="0" borderId="103">
      <alignment horizontal="right" vertical="center"/>
    </xf>
    <xf numFmtId="173" fontId="34" fillId="59" borderId="108" applyNumberFormat="0" applyFont="0" applyBorder="0" applyAlignment="0" applyProtection="0">
      <alignment horizontal="right" vertical="center"/>
    </xf>
    <xf numFmtId="0" fontId="46" fillId="55" borderId="92" applyNumberFormat="0" applyAlignment="0" applyProtection="0"/>
    <xf numFmtId="0" fontId="34" fillId="0" borderId="103">
      <alignment horizontal="right" vertical="center"/>
    </xf>
    <xf numFmtId="4" fontId="32" fillId="33" borderId="109">
      <alignment horizontal="right" vertical="center"/>
    </xf>
    <xf numFmtId="0" fontId="32" fillId="33" borderId="95">
      <alignment horizontal="right" vertical="center"/>
    </xf>
    <xf numFmtId="0" fontId="45" fillId="55" borderId="92" applyNumberFormat="0" applyAlignment="0" applyProtection="0"/>
    <xf numFmtId="0" fontId="32" fillId="33" borderId="95">
      <alignment horizontal="right" vertical="center"/>
    </xf>
    <xf numFmtId="0" fontId="34" fillId="0" borderId="121">
      <alignment horizontal="left" vertical="center" wrapText="1" indent="2"/>
    </xf>
    <xf numFmtId="4" fontId="36" fillId="31" borderId="108">
      <alignment horizontal="right" vertical="center"/>
    </xf>
    <xf numFmtId="4" fontId="32" fillId="33" borderId="120">
      <alignment horizontal="right" vertical="center"/>
    </xf>
    <xf numFmtId="0" fontId="12" fillId="18" borderId="0" applyNumberFormat="0" applyBorder="0" applyAlignment="0" applyProtection="0"/>
    <xf numFmtId="0" fontId="65" fillId="0" borderId="93" applyNumberFormat="0" applyFill="0" applyAlignment="0" applyProtection="0"/>
    <xf numFmtId="0" fontId="40" fillId="58" borderId="117" applyNumberFormat="0" applyFont="0" applyAlignment="0" applyProtection="0"/>
    <xf numFmtId="0" fontId="50" fillId="0" borderId="93" applyNumberFormat="0" applyFill="0" applyAlignment="0" applyProtection="0"/>
    <xf numFmtId="4" fontId="36" fillId="31" borderId="95">
      <alignment horizontal="right" vertical="center"/>
    </xf>
    <xf numFmtId="4" fontId="32" fillId="33" borderId="95">
      <alignment horizontal="right" vertical="center"/>
    </xf>
    <xf numFmtId="0" fontId="50" fillId="0" borderId="93" applyNumberFormat="0" applyFill="0" applyAlignment="0" applyProtection="0"/>
    <xf numFmtId="49" fontId="34" fillId="0" borderId="95" applyNumberFormat="0" applyFont="0" applyFill="0" applyBorder="0" applyProtection="0">
      <alignment horizontal="left" vertical="center" indent="2"/>
    </xf>
    <xf numFmtId="0" fontId="32" fillId="31" borderId="108">
      <alignment horizontal="right" vertical="center"/>
    </xf>
    <xf numFmtId="0" fontId="40" fillId="58" borderId="125" applyNumberFormat="0" applyFont="0" applyAlignment="0" applyProtection="0"/>
    <xf numFmtId="0" fontId="40" fillId="58" borderId="94" applyNumberFormat="0" applyFont="0" applyAlignment="0" applyProtection="0"/>
    <xf numFmtId="0" fontId="58" fillId="42" borderId="92" applyNumberFormat="0" applyAlignment="0" applyProtection="0"/>
    <xf numFmtId="0" fontId="34" fillId="0" borderId="118" applyNumberFormat="0" applyFill="0" applyAlignment="0" applyProtection="0"/>
    <xf numFmtId="0" fontId="26" fillId="20" borderId="0" applyNumberFormat="0" applyBorder="0" applyAlignment="0" applyProtection="0"/>
    <xf numFmtId="0" fontId="32" fillId="31" borderId="108">
      <alignment horizontal="right" vertical="center"/>
    </xf>
    <xf numFmtId="4" fontId="34" fillId="0" borderId="126">
      <alignment horizontal="right" vertical="center"/>
    </xf>
    <xf numFmtId="4" fontId="32" fillId="33" borderId="119">
      <alignment horizontal="right" vertical="center"/>
    </xf>
    <xf numFmtId="0" fontId="26" fillId="22" borderId="0" applyNumberFormat="0" applyBorder="0" applyAlignment="0" applyProtection="0"/>
    <xf numFmtId="0" fontId="5" fillId="58" borderId="102" applyNumberFormat="0" applyFont="0" applyAlignment="0" applyProtection="0"/>
    <xf numFmtId="0" fontId="65" fillId="0" borderId="93" applyNumberFormat="0" applyFill="0" applyAlignment="0" applyProtection="0"/>
    <xf numFmtId="4" fontId="34" fillId="0" borderId="95">
      <alignment horizontal="right" vertical="center"/>
    </xf>
    <xf numFmtId="4" fontId="34" fillId="32" borderId="95"/>
    <xf numFmtId="4" fontId="32" fillId="31" borderId="95">
      <alignment horizontal="right" vertical="center"/>
    </xf>
    <xf numFmtId="0" fontId="50" fillId="0" borderId="93" applyNumberFormat="0" applyFill="0" applyAlignment="0" applyProtection="0"/>
    <xf numFmtId="0" fontId="65" fillId="0" borderId="93" applyNumberFormat="0" applyFill="0" applyAlignment="0" applyProtection="0"/>
    <xf numFmtId="4" fontId="34" fillId="32" borderId="95"/>
    <xf numFmtId="0" fontId="34" fillId="31" borderId="119">
      <alignment horizontal="left" vertical="center"/>
    </xf>
    <xf numFmtId="0" fontId="32" fillId="31" borderId="95">
      <alignment horizontal="right" vertical="center"/>
    </xf>
    <xf numFmtId="0" fontId="32" fillId="33" borderId="120">
      <alignment horizontal="right" vertical="center"/>
    </xf>
    <xf numFmtId="0" fontId="26" fillId="25" borderId="0" applyNumberFormat="0" applyBorder="0" applyAlignment="0" applyProtection="0"/>
    <xf numFmtId="0" fontId="65" fillId="0" borderId="101" applyNumberFormat="0" applyFill="0" applyAlignment="0" applyProtection="0"/>
    <xf numFmtId="0" fontId="32" fillId="31" borderId="95">
      <alignment horizontal="right" vertical="center"/>
    </xf>
    <xf numFmtId="0" fontId="32" fillId="33" borderId="108">
      <alignment horizontal="right" vertical="center"/>
    </xf>
    <xf numFmtId="0" fontId="32" fillId="33" borderId="110">
      <alignment horizontal="right" vertical="center"/>
    </xf>
    <xf numFmtId="0" fontId="40" fillId="58" borderId="107" applyNumberFormat="0" applyFont="0" applyAlignment="0" applyProtection="0"/>
    <xf numFmtId="0" fontId="65" fillId="0" borderId="114" applyNumberFormat="0" applyFill="0" applyAlignment="0" applyProtection="0"/>
    <xf numFmtId="0" fontId="62" fillId="55" borderId="91" applyNumberFormat="0" applyAlignment="0" applyProtection="0"/>
    <xf numFmtId="0" fontId="34" fillId="32" borderId="95"/>
    <xf numFmtId="0" fontId="30" fillId="0" borderId="0" applyNumberFormat="0" applyFill="0" applyBorder="0" applyAlignment="0" applyProtection="0"/>
    <xf numFmtId="49" fontId="34" fillId="0" borderId="109" applyNumberFormat="0" applyFont="0" applyFill="0" applyBorder="0" applyProtection="0">
      <alignment horizontal="left" vertical="center" indent="5"/>
    </xf>
    <xf numFmtId="0" fontId="2" fillId="0" borderId="12" applyNumberFormat="0" applyFill="0" applyAlignment="0" applyProtection="0"/>
    <xf numFmtId="0" fontId="12" fillId="15" borderId="0" applyNumberFormat="0" applyBorder="0" applyAlignment="0" applyProtection="0"/>
    <xf numFmtId="0" fontId="62" fillId="55" borderId="99" applyNumberFormat="0" applyAlignment="0" applyProtection="0"/>
    <xf numFmtId="0" fontId="26" fillId="25" borderId="0" applyNumberFormat="0" applyBorder="0" applyAlignment="0" applyProtection="0"/>
    <xf numFmtId="0" fontId="12" fillId="21" borderId="0" applyNumberFormat="0" applyBorder="0" applyAlignment="0" applyProtection="0"/>
    <xf numFmtId="4" fontId="34" fillId="32" borderId="108"/>
    <xf numFmtId="0" fontId="12" fillId="24" borderId="0" applyNumberFormat="0" applyBorder="0" applyAlignment="0" applyProtection="0"/>
    <xf numFmtId="0" fontId="50" fillId="0" borderId="116" applyNumberFormat="0" applyFill="0" applyAlignment="0" applyProtection="0"/>
    <xf numFmtId="0" fontId="49" fillId="42" borderId="113" applyNumberFormat="0" applyAlignment="0" applyProtection="0"/>
    <xf numFmtId="0" fontId="26" fillId="16" borderId="0" applyNumberFormat="0" applyBorder="0" applyAlignment="0" applyProtection="0"/>
    <xf numFmtId="0" fontId="43" fillId="55" borderId="112" applyNumberFormat="0" applyAlignment="0" applyProtection="0"/>
    <xf numFmtId="0" fontId="40" fillId="58" borderId="94" applyNumberFormat="0" applyFont="0" applyAlignment="0" applyProtection="0"/>
    <xf numFmtId="4" fontId="36" fillId="31" borderId="95">
      <alignment horizontal="right" vertical="center"/>
    </xf>
    <xf numFmtId="0" fontId="62" fillId="55" borderId="91" applyNumberFormat="0" applyAlignment="0" applyProtection="0"/>
    <xf numFmtId="0" fontId="34" fillId="33" borderId="98">
      <alignment horizontal="left" vertical="center" wrapText="1" indent="2"/>
    </xf>
    <xf numFmtId="173" fontId="34" fillId="59" borderId="95" applyNumberFormat="0" applyFont="0" applyBorder="0" applyAlignment="0" applyProtection="0">
      <alignment horizontal="right" vertical="center"/>
    </xf>
    <xf numFmtId="0" fontId="32" fillId="33" borderId="110">
      <alignment horizontal="right" vertical="center"/>
    </xf>
    <xf numFmtId="0" fontId="5" fillId="58" borderId="117" applyNumberFormat="0" applyFont="0" applyAlignment="0" applyProtection="0"/>
    <xf numFmtId="0" fontId="34" fillId="0" borderId="111">
      <alignment horizontal="left" vertical="center" wrapText="1" indent="2"/>
    </xf>
    <xf numFmtId="0" fontId="46" fillId="55" borderId="115" applyNumberFormat="0" applyAlignment="0" applyProtection="0"/>
    <xf numFmtId="0" fontId="43" fillId="55" borderId="91" applyNumberFormat="0" applyAlignment="0" applyProtection="0"/>
    <xf numFmtId="0" fontId="34" fillId="33" borderId="121">
      <alignment horizontal="left" vertical="center" wrapText="1" indent="2"/>
    </xf>
    <xf numFmtId="0" fontId="62" fillId="55" borderId="91" applyNumberFormat="0" applyAlignment="0" applyProtection="0"/>
    <xf numFmtId="0" fontId="32" fillId="33" borderId="96">
      <alignment horizontal="right" vertical="center"/>
    </xf>
    <xf numFmtId="4" fontId="32" fillId="33" borderId="95">
      <alignment horizontal="right" vertical="center"/>
    </xf>
    <xf numFmtId="0" fontId="34" fillId="0" borderId="95">
      <alignment horizontal="right" vertical="center"/>
    </xf>
    <xf numFmtId="0" fontId="32" fillId="33" borderId="96">
      <alignment horizontal="right" vertical="center"/>
    </xf>
    <xf numFmtId="0" fontId="62" fillId="55" borderId="91" applyNumberFormat="0" applyAlignment="0" applyProtection="0"/>
    <xf numFmtId="0" fontId="32" fillId="33" borderId="95">
      <alignment horizontal="right" vertical="center"/>
    </xf>
    <xf numFmtId="0" fontId="34" fillId="0" borderId="98">
      <alignment horizontal="left" vertical="center" wrapText="1" indent="2"/>
    </xf>
    <xf numFmtId="0" fontId="62" fillId="55" borderId="91" applyNumberFormat="0" applyAlignment="0" applyProtection="0"/>
    <xf numFmtId="0" fontId="34" fillId="32" borderId="95"/>
    <xf numFmtId="0" fontId="45" fillId="55" borderId="92" applyNumberFormat="0" applyAlignment="0" applyProtection="0"/>
    <xf numFmtId="0" fontId="34" fillId="0" borderId="95" applyNumberFormat="0" applyFill="0" applyAlignment="0" applyProtection="0"/>
    <xf numFmtId="0" fontId="49" fillId="42" borderId="92" applyNumberFormat="0" applyAlignment="0" applyProtection="0"/>
    <xf numFmtId="0" fontId="32" fillId="33" borderId="118">
      <alignment horizontal="right" vertical="center"/>
    </xf>
    <xf numFmtId="0" fontId="50" fillId="0" borderId="114" applyNumberFormat="0" applyFill="0" applyAlignment="0" applyProtection="0"/>
    <xf numFmtId="0" fontId="32" fillId="33" borderId="109">
      <alignment horizontal="right" vertical="center"/>
    </xf>
    <xf numFmtId="0" fontId="26" fillId="20" borderId="0" applyNumberFormat="0" applyBorder="0" applyAlignment="0" applyProtection="0"/>
    <xf numFmtId="4" fontId="32" fillId="33" borderId="105">
      <alignment horizontal="right" vertical="center"/>
    </xf>
    <xf numFmtId="0" fontId="34" fillId="31" borderId="119">
      <alignment horizontal="left" vertical="center"/>
    </xf>
    <xf numFmtId="4" fontId="34" fillId="0" borderId="118" applyFill="0" applyBorder="0" applyProtection="0">
      <alignment horizontal="right" vertical="center"/>
    </xf>
    <xf numFmtId="0" fontId="12" fillId="27" borderId="0" applyNumberFormat="0" applyBorder="0" applyAlignment="0" applyProtection="0"/>
    <xf numFmtId="0" fontId="32" fillId="33" borderId="126">
      <alignment horizontal="right" vertical="center"/>
    </xf>
    <xf numFmtId="4" fontId="34" fillId="0" borderId="95">
      <alignment horizontal="right" vertical="center"/>
    </xf>
    <xf numFmtId="4" fontId="32" fillId="33" borderId="108">
      <alignment horizontal="right" vertical="center"/>
    </xf>
    <xf numFmtId="49" fontId="34" fillId="0" borderId="95" applyNumberFormat="0" applyFont="0" applyFill="0" applyBorder="0" applyProtection="0">
      <alignment horizontal="left" vertical="center" indent="2"/>
    </xf>
    <xf numFmtId="0" fontId="46" fillId="55" borderId="92" applyNumberFormat="0" applyAlignment="0" applyProtection="0"/>
    <xf numFmtId="0" fontId="26" fillId="22" borderId="0" applyNumberFormat="0" applyBorder="0" applyAlignment="0" applyProtection="0"/>
    <xf numFmtId="0" fontId="58" fillId="42" borderId="113" applyNumberFormat="0" applyAlignment="0" applyProtection="0"/>
    <xf numFmtId="0" fontId="45" fillId="55" borderId="113" applyNumberFormat="0" applyAlignment="0" applyProtection="0"/>
    <xf numFmtId="4" fontId="34" fillId="0" borderId="108">
      <alignment horizontal="right" vertical="center"/>
    </xf>
    <xf numFmtId="0" fontId="32" fillId="33" borderId="105">
      <alignment horizontal="right" vertical="center"/>
    </xf>
    <xf numFmtId="0" fontId="34" fillId="0" borderId="111">
      <alignment horizontal="left" vertical="center" wrapText="1" indent="2"/>
    </xf>
    <xf numFmtId="49" fontId="34" fillId="0" borderId="96" applyNumberFormat="0" applyFont="0" applyFill="0" applyBorder="0" applyProtection="0">
      <alignment horizontal="left" vertical="center" indent="5"/>
    </xf>
    <xf numFmtId="0" fontId="49" fillId="42" borderId="92" applyNumberFormat="0" applyAlignment="0" applyProtection="0"/>
    <xf numFmtId="0" fontId="43" fillId="55" borderId="91" applyNumberFormat="0" applyAlignment="0" applyProtection="0"/>
    <xf numFmtId="0" fontId="34" fillId="33" borderId="98">
      <alignment horizontal="left" vertical="center" wrapText="1" indent="2"/>
    </xf>
    <xf numFmtId="0" fontId="65" fillId="0" borderId="93" applyNumberFormat="0" applyFill="0" applyAlignment="0" applyProtection="0"/>
    <xf numFmtId="4" fontId="32" fillId="33" borderId="96">
      <alignment horizontal="right" vertical="center"/>
    </xf>
    <xf numFmtId="49" fontId="34" fillId="0" borderId="108" applyNumberFormat="0" applyFont="0" applyFill="0" applyBorder="0" applyProtection="0">
      <alignment horizontal="left" vertical="center" indent="2"/>
    </xf>
    <xf numFmtId="0" fontId="32" fillId="33" borderId="95">
      <alignment horizontal="right" vertical="center"/>
    </xf>
    <xf numFmtId="4" fontId="32" fillId="31" borderId="95">
      <alignment horizontal="right" vertical="center"/>
    </xf>
    <xf numFmtId="0" fontId="46" fillId="55" borderId="100" applyNumberFormat="0" applyAlignment="0" applyProtection="0"/>
    <xf numFmtId="0" fontId="2" fillId="0" borderId="12" applyNumberFormat="0" applyFill="0" applyAlignment="0" applyProtection="0"/>
    <xf numFmtId="0" fontId="50" fillId="0" borderId="114" applyNumberFormat="0" applyFill="0" applyAlignment="0" applyProtection="0"/>
    <xf numFmtId="0" fontId="50" fillId="0" borderId="93" applyNumberFormat="0" applyFill="0" applyAlignment="0" applyProtection="0"/>
    <xf numFmtId="0" fontId="45" fillId="55" borderId="92" applyNumberFormat="0" applyAlignment="0" applyProtection="0"/>
    <xf numFmtId="49" fontId="34" fillId="0" borderId="104" applyNumberFormat="0" applyFont="0" applyFill="0" applyBorder="0" applyProtection="0">
      <alignment horizontal="left" vertical="center" indent="5"/>
    </xf>
    <xf numFmtId="4" fontId="36" fillId="31" borderId="118">
      <alignment horizontal="right" vertical="center"/>
    </xf>
    <xf numFmtId="4" fontId="34" fillId="32" borderId="108"/>
    <xf numFmtId="0" fontId="49" fillId="42" borderId="115" applyNumberFormat="0" applyAlignment="0" applyProtection="0"/>
    <xf numFmtId="0" fontId="34" fillId="0" borderId="95">
      <alignment horizontal="right" vertical="center"/>
    </xf>
    <xf numFmtId="0" fontId="34" fillId="31" borderId="96">
      <alignment horizontal="left" vertical="center"/>
    </xf>
    <xf numFmtId="0" fontId="26" fillId="23" borderId="0" applyNumberFormat="0" applyBorder="0" applyAlignment="0" applyProtection="0"/>
    <xf numFmtId="4" fontId="34" fillId="32" borderId="95"/>
    <xf numFmtId="0" fontId="36" fillId="31" borderId="95">
      <alignment horizontal="right" vertical="center"/>
    </xf>
    <xf numFmtId="0" fontId="32" fillId="33" borderId="95">
      <alignment horizontal="right" vertical="center"/>
    </xf>
    <xf numFmtId="0" fontId="34" fillId="0" borderId="98">
      <alignment horizontal="left" vertical="center" wrapText="1" indent="2"/>
    </xf>
    <xf numFmtId="0" fontId="49" fillId="42" borderId="92" applyNumberFormat="0" applyAlignment="0" applyProtection="0"/>
    <xf numFmtId="4" fontId="32" fillId="33" borderId="108">
      <alignment horizontal="right" vertical="center"/>
    </xf>
    <xf numFmtId="0" fontId="34" fillId="0" borderId="118">
      <alignment horizontal="right" vertical="center"/>
    </xf>
    <xf numFmtId="0" fontId="34" fillId="33" borderId="111">
      <alignment horizontal="left" vertical="center" wrapText="1" indent="2"/>
    </xf>
    <xf numFmtId="0" fontId="34" fillId="0" borderId="106">
      <alignment horizontal="left" vertical="center" wrapText="1" indent="2"/>
    </xf>
    <xf numFmtId="0" fontId="46" fillId="55" borderId="115" applyNumberFormat="0" applyAlignment="0" applyProtection="0"/>
    <xf numFmtId="0" fontId="26" fillId="14" borderId="0" applyNumberFormat="0" applyBorder="0" applyAlignment="0" applyProtection="0"/>
    <xf numFmtId="0" fontId="40" fillId="58" borderId="94" applyNumberFormat="0" applyFont="0" applyAlignment="0" applyProtection="0"/>
    <xf numFmtId="0" fontId="26" fillId="26" borderId="0" applyNumberFormat="0" applyBorder="0" applyAlignment="0" applyProtection="0"/>
    <xf numFmtId="0" fontId="49" fillId="42" borderId="100" applyNumberFormat="0" applyAlignment="0" applyProtection="0"/>
    <xf numFmtId="0" fontId="26" fillId="29" borderId="0" applyNumberFormat="0" applyBorder="0" applyAlignment="0" applyProtection="0"/>
    <xf numFmtId="0" fontId="26" fillId="23" borderId="0" applyNumberFormat="0" applyBorder="0" applyAlignment="0" applyProtection="0"/>
    <xf numFmtId="0" fontId="43" fillId="55" borderId="91" applyNumberFormat="0" applyAlignment="0" applyProtection="0"/>
    <xf numFmtId="0" fontId="49" fillId="42" borderId="92" applyNumberFormat="0" applyAlignment="0" applyProtection="0"/>
    <xf numFmtId="0" fontId="34" fillId="32" borderId="95"/>
    <xf numFmtId="0" fontId="36" fillId="31" borderId="95">
      <alignment horizontal="right" vertical="center"/>
    </xf>
    <xf numFmtId="0" fontId="62" fillId="55" borderId="91" applyNumberFormat="0" applyAlignment="0" applyProtection="0"/>
    <xf numFmtId="0" fontId="26" fillId="13" borderId="0" applyNumberFormat="0" applyBorder="0" applyAlignment="0" applyProtection="0"/>
    <xf numFmtId="0" fontId="12" fillId="27" borderId="0" applyNumberFormat="0" applyBorder="0" applyAlignment="0" applyProtection="0"/>
    <xf numFmtId="0" fontId="34" fillId="0" borderId="111">
      <alignment horizontal="left" vertical="center" wrapText="1" indent="2"/>
    </xf>
    <xf numFmtId="0" fontId="32" fillId="31" borderId="95">
      <alignment horizontal="right" vertical="center"/>
    </xf>
    <xf numFmtId="0" fontId="46" fillId="55" borderId="115" applyNumberFormat="0" applyAlignment="0" applyProtection="0"/>
    <xf numFmtId="0" fontId="26" fillId="13" borderId="0" applyNumberFormat="0" applyBorder="0" applyAlignment="0" applyProtection="0"/>
    <xf numFmtId="4" fontId="34" fillId="32" borderId="108"/>
    <xf numFmtId="49" fontId="33" fillId="0" borderId="108" applyNumberFormat="0" applyFill="0" applyBorder="0" applyProtection="0">
      <alignment horizontal="left" vertical="center"/>
    </xf>
    <xf numFmtId="4" fontId="32" fillId="33" borderId="95">
      <alignment horizontal="right" vertical="center"/>
    </xf>
    <xf numFmtId="0" fontId="34" fillId="33" borderId="111">
      <alignment horizontal="left" vertical="center" wrapText="1" indent="2"/>
    </xf>
    <xf numFmtId="0" fontId="65" fillId="0" borderId="114" applyNumberFormat="0" applyFill="0" applyAlignment="0" applyProtection="0"/>
    <xf numFmtId="0" fontId="32" fillId="33" borderId="95">
      <alignment horizontal="right" vertical="center"/>
    </xf>
    <xf numFmtId="0" fontId="34" fillId="33" borderId="98">
      <alignment horizontal="left" vertical="center" wrapText="1" indent="2"/>
    </xf>
    <xf numFmtId="0" fontId="26" fillId="16" borderId="0" applyNumberFormat="0" applyBorder="0" applyAlignment="0" applyProtection="0"/>
    <xf numFmtId="0" fontId="34" fillId="0" borderId="95" applyNumberFormat="0" applyFill="0" applyAlignment="0" applyProtection="0"/>
    <xf numFmtId="49" fontId="34" fillId="0" borderId="95" applyNumberFormat="0" applyFont="0" applyFill="0" applyBorder="0" applyProtection="0">
      <alignment horizontal="left" vertical="center" indent="2"/>
    </xf>
    <xf numFmtId="0" fontId="46" fillId="55" borderId="115" applyNumberFormat="0" applyAlignment="0" applyProtection="0"/>
    <xf numFmtId="0" fontId="26" fillId="29" borderId="0" applyNumberFormat="0" applyBorder="0" applyAlignment="0" applyProtection="0"/>
    <xf numFmtId="0" fontId="26" fillId="16" borderId="0" applyNumberFormat="0" applyBorder="0" applyAlignment="0" applyProtection="0"/>
    <xf numFmtId="0" fontId="1" fillId="0" borderId="0" applyNumberFormat="0" applyFill="0" applyBorder="0" applyAlignment="0" applyProtection="0"/>
    <xf numFmtId="4" fontId="32" fillId="33" borderId="95">
      <alignment horizontal="right" vertical="center"/>
    </xf>
    <xf numFmtId="0" fontId="26" fillId="26" borderId="0" applyNumberFormat="0" applyBorder="0" applyAlignment="0" applyProtection="0"/>
    <xf numFmtId="0" fontId="1" fillId="0" borderId="0" applyNumberFormat="0" applyFill="0" applyBorder="0" applyAlignment="0" applyProtection="0"/>
    <xf numFmtId="0" fontId="50" fillId="0" borderId="114" applyNumberFormat="0" applyFill="0" applyAlignment="0" applyProtection="0"/>
    <xf numFmtId="0" fontId="46" fillId="55" borderId="92" applyNumberFormat="0" applyAlignment="0" applyProtection="0"/>
    <xf numFmtId="0" fontId="62" fillId="55" borderId="91" applyNumberFormat="0" applyAlignment="0" applyProtection="0"/>
    <xf numFmtId="0" fontId="65" fillId="0" borderId="93" applyNumberFormat="0" applyFill="0" applyAlignment="0" applyProtection="0"/>
    <xf numFmtId="0" fontId="1" fillId="0" borderId="0" applyNumberFormat="0" applyFill="0" applyBorder="0" applyAlignment="0" applyProtection="0"/>
    <xf numFmtId="4" fontId="32" fillId="31" borderId="95">
      <alignment horizontal="right" vertical="center"/>
    </xf>
    <xf numFmtId="0" fontId="49" fillId="42" borderId="92" applyNumberFormat="0" applyAlignment="0" applyProtection="0"/>
    <xf numFmtId="0" fontId="58" fillId="42" borderId="92" applyNumberFormat="0" applyAlignment="0" applyProtection="0"/>
    <xf numFmtId="0" fontId="43" fillId="55" borderId="91" applyNumberFormat="0" applyAlignment="0" applyProtection="0"/>
    <xf numFmtId="0" fontId="34" fillId="0" borderId="98">
      <alignment horizontal="left" vertical="center" wrapText="1" indent="2"/>
    </xf>
    <xf numFmtId="0" fontId="58" fillId="42" borderId="92" applyNumberFormat="0" applyAlignment="0" applyProtection="0"/>
    <xf numFmtId="0" fontId="34" fillId="0" borderId="95" applyNumberFormat="0" applyFill="0" applyAlignment="0" applyProtection="0"/>
    <xf numFmtId="4" fontId="34" fillId="0" borderId="95">
      <alignment horizontal="right" vertical="center"/>
    </xf>
    <xf numFmtId="0" fontId="32" fillId="33" borderId="95">
      <alignment horizontal="right" vertical="center"/>
    </xf>
    <xf numFmtId="4" fontId="32" fillId="33" borderId="97">
      <alignment horizontal="right" vertical="center"/>
    </xf>
    <xf numFmtId="4" fontId="32" fillId="31" borderId="95">
      <alignment horizontal="right" vertical="center"/>
    </xf>
    <xf numFmtId="0" fontId="34" fillId="0" borderId="95">
      <alignment horizontal="right" vertical="center"/>
    </xf>
    <xf numFmtId="0" fontId="34" fillId="32" borderId="118"/>
    <xf numFmtId="4" fontId="34" fillId="32" borderId="118"/>
    <xf numFmtId="0" fontId="49" fillId="42" borderId="113" applyNumberFormat="0" applyAlignment="0" applyProtection="0"/>
    <xf numFmtId="0" fontId="46" fillId="55" borderId="113" applyNumberFormat="0" applyAlignment="0" applyProtection="0"/>
    <xf numFmtId="0" fontId="32" fillId="31" borderId="108">
      <alignment horizontal="right" vertical="center"/>
    </xf>
    <xf numFmtId="0" fontId="65" fillId="0" borderId="114" applyNumberFormat="0" applyFill="0" applyAlignment="0" applyProtection="0"/>
    <xf numFmtId="0" fontId="62" fillId="55" borderId="112" applyNumberFormat="0" applyAlignment="0" applyProtection="0"/>
    <xf numFmtId="0" fontId="46" fillId="55" borderId="92" applyNumberFormat="0" applyAlignment="0" applyProtection="0"/>
    <xf numFmtId="0" fontId="32" fillId="31" borderId="108">
      <alignment horizontal="right" vertical="center"/>
    </xf>
    <xf numFmtId="0" fontId="62" fillId="55" borderId="112" applyNumberFormat="0" applyAlignment="0" applyProtection="0"/>
    <xf numFmtId="0" fontId="34" fillId="32" borderId="95"/>
    <xf numFmtId="0" fontId="26" fillId="29" borderId="0" applyNumberFormat="0" applyBorder="0" applyAlignment="0" applyProtection="0"/>
    <xf numFmtId="4" fontId="32" fillId="33" borderId="119">
      <alignment horizontal="right" vertical="center"/>
    </xf>
    <xf numFmtId="0" fontId="34" fillId="32" borderId="108"/>
    <xf numFmtId="0" fontId="58" fillId="42" borderId="100" applyNumberFormat="0" applyAlignment="0" applyProtection="0"/>
    <xf numFmtId="0" fontId="32" fillId="33" borderId="108">
      <alignment horizontal="right" vertical="center"/>
    </xf>
    <xf numFmtId="0" fontId="45" fillId="55" borderId="92" applyNumberFormat="0" applyAlignment="0" applyProtection="0"/>
    <xf numFmtId="0" fontId="34" fillId="31" borderId="104">
      <alignment horizontal="left" vertical="center"/>
    </xf>
    <xf numFmtId="0" fontId="29" fillId="12" borderId="10" applyNumberFormat="0" applyAlignment="0" applyProtection="0"/>
    <xf numFmtId="0" fontId="26" fillId="13" borderId="0" applyNumberFormat="0" applyBorder="0" applyAlignment="0" applyProtection="0"/>
    <xf numFmtId="4" fontId="32" fillId="33" borderId="95">
      <alignment horizontal="right" vertical="center"/>
    </xf>
    <xf numFmtId="4" fontId="32" fillId="33" borderId="97">
      <alignment horizontal="right" vertical="center"/>
    </xf>
    <xf numFmtId="4" fontId="36" fillId="31" borderId="95">
      <alignment horizontal="right" vertical="center"/>
    </xf>
    <xf numFmtId="0" fontId="65" fillId="0" borderId="114" applyNumberFormat="0" applyFill="0" applyAlignment="0" applyProtection="0"/>
    <xf numFmtId="49" fontId="34" fillId="0" borderId="108" applyNumberFormat="0" applyFont="0" applyFill="0" applyBorder="0" applyProtection="0">
      <alignment horizontal="left" vertical="center" indent="2"/>
    </xf>
    <xf numFmtId="0" fontId="32" fillId="33" borderId="110">
      <alignment horizontal="right" vertical="center"/>
    </xf>
    <xf numFmtId="0" fontId="26" fillId="17" borderId="0" applyNumberFormat="0" applyBorder="0" applyAlignment="0" applyProtection="0"/>
    <xf numFmtId="0" fontId="32" fillId="33" borderId="95">
      <alignment horizontal="right" vertical="center"/>
    </xf>
    <xf numFmtId="0" fontId="12" fillId="21" borderId="0" applyNumberFormat="0" applyBorder="0" applyAlignment="0" applyProtection="0"/>
    <xf numFmtId="0" fontId="46" fillId="55" borderId="92" applyNumberFormat="0" applyAlignment="0" applyProtection="0"/>
    <xf numFmtId="0" fontId="46" fillId="55" borderId="92" applyNumberFormat="0" applyAlignment="0" applyProtection="0"/>
    <xf numFmtId="4" fontId="34" fillId="32" borderId="95"/>
    <xf numFmtId="0" fontId="49" fillId="42" borderId="92" applyNumberFormat="0" applyAlignment="0" applyProtection="0"/>
    <xf numFmtId="0" fontId="43" fillId="55" borderId="91" applyNumberFormat="0" applyAlignment="0" applyProtection="0"/>
    <xf numFmtId="0" fontId="34" fillId="33" borderId="121">
      <alignment horizontal="left" vertical="center" wrapText="1" indent="2"/>
    </xf>
    <xf numFmtId="0" fontId="36" fillId="31" borderId="108">
      <alignment horizontal="right" vertical="center"/>
    </xf>
    <xf numFmtId="0" fontId="5" fillId="58" borderId="94" applyNumberFormat="0" applyFont="0" applyAlignment="0" applyProtection="0"/>
    <xf numFmtId="0" fontId="50" fillId="0" borderId="114" applyNumberFormat="0" applyFill="0" applyAlignment="0" applyProtection="0"/>
    <xf numFmtId="4" fontId="32" fillId="33" borderId="108">
      <alignment horizontal="right" vertical="center"/>
    </xf>
    <xf numFmtId="0" fontId="46" fillId="55" borderId="113" applyNumberFormat="0" applyAlignment="0" applyProtection="0"/>
    <xf numFmtId="4" fontId="32" fillId="33" borderId="118">
      <alignment horizontal="right" vertical="center"/>
    </xf>
    <xf numFmtId="4" fontId="32" fillId="33" borderId="108">
      <alignment horizontal="right" vertical="center"/>
    </xf>
    <xf numFmtId="173" fontId="34" fillId="59" borderId="108" applyNumberFormat="0" applyFont="0" applyBorder="0" applyAlignment="0" applyProtection="0">
      <alignment horizontal="right" vertical="center"/>
    </xf>
    <xf numFmtId="0" fontId="34" fillId="0" borderId="121">
      <alignment horizontal="left" vertical="center" wrapText="1" indent="2"/>
    </xf>
    <xf numFmtId="4" fontId="34" fillId="0" borderId="118" applyFill="0" applyBorder="0" applyProtection="0">
      <alignment horizontal="right" vertical="center"/>
    </xf>
    <xf numFmtId="0" fontId="34" fillId="0" borderId="95">
      <alignment horizontal="right" vertical="center"/>
    </xf>
    <xf numFmtId="0" fontId="34" fillId="0" borderId="95" applyNumberFormat="0" applyFill="0" applyAlignment="0" applyProtection="0"/>
    <xf numFmtId="0" fontId="65" fillId="0" borderId="93" applyNumberFormat="0" applyFill="0" applyAlignment="0" applyProtection="0"/>
    <xf numFmtId="4" fontId="34" fillId="0" borderId="95" applyFill="0" applyBorder="0" applyProtection="0">
      <alignment horizontal="right" vertical="center"/>
    </xf>
    <xf numFmtId="0" fontId="45" fillId="55" borderId="92" applyNumberFormat="0" applyAlignment="0" applyProtection="0"/>
    <xf numFmtId="4" fontId="34" fillId="32" borderId="95"/>
    <xf numFmtId="0" fontId="65" fillId="0" borderId="93" applyNumberFormat="0" applyFill="0" applyAlignment="0" applyProtection="0"/>
    <xf numFmtId="0" fontId="36" fillId="31" borderId="103">
      <alignment horizontal="right" vertical="center"/>
    </xf>
    <xf numFmtId="49" fontId="34" fillId="0" borderId="95" applyNumberFormat="0" applyFont="0" applyFill="0" applyBorder="0" applyProtection="0">
      <alignment horizontal="left" vertical="center" indent="2"/>
    </xf>
    <xf numFmtId="0" fontId="49" fillId="42" borderId="113" applyNumberFormat="0" applyAlignment="0" applyProtection="0"/>
    <xf numFmtId="0" fontId="34" fillId="32" borderId="103"/>
    <xf numFmtId="0" fontId="45" fillId="55" borderId="92" applyNumberFormat="0" applyAlignment="0" applyProtection="0"/>
    <xf numFmtId="0" fontId="40" fillId="58" borderId="107" applyNumberFormat="0" applyFont="0" applyAlignment="0" applyProtection="0"/>
    <xf numFmtId="49" fontId="34" fillId="0" borderId="118" applyNumberFormat="0" applyFont="0" applyFill="0" applyBorder="0" applyProtection="0">
      <alignment horizontal="left" vertical="center" indent="2"/>
    </xf>
    <xf numFmtId="0" fontId="49" fillId="42" borderId="115" applyNumberFormat="0" applyAlignment="0" applyProtection="0"/>
    <xf numFmtId="0" fontId="26" fillId="20" borderId="0" applyNumberFormat="0" applyBorder="0" applyAlignment="0" applyProtection="0"/>
    <xf numFmtId="0" fontId="34" fillId="0" borderId="98">
      <alignment horizontal="left" vertical="center" wrapText="1" indent="2"/>
    </xf>
    <xf numFmtId="0" fontId="62" fillId="55" borderId="91" applyNumberFormat="0" applyAlignment="0" applyProtection="0"/>
    <xf numFmtId="0" fontId="32" fillId="33" borderId="97">
      <alignment horizontal="right" vertical="center"/>
    </xf>
    <xf numFmtId="0" fontId="49" fillId="42" borderId="92" applyNumberFormat="0" applyAlignment="0" applyProtection="0"/>
    <xf numFmtId="0" fontId="32" fillId="33" borderId="97">
      <alignment horizontal="right" vertical="center"/>
    </xf>
    <xf numFmtId="4" fontId="32" fillId="33" borderId="95">
      <alignment horizontal="right" vertical="center"/>
    </xf>
    <xf numFmtId="0" fontId="32" fillId="33" borderId="95">
      <alignment horizontal="right" vertical="center"/>
    </xf>
    <xf numFmtId="0" fontId="43" fillId="55" borderId="91" applyNumberFormat="0" applyAlignment="0" applyProtection="0"/>
    <xf numFmtId="0" fontId="45" fillId="55" borderId="92" applyNumberFormat="0" applyAlignment="0" applyProtection="0"/>
    <xf numFmtId="0" fontId="50" fillId="0" borderId="93" applyNumberFormat="0" applyFill="0" applyAlignment="0" applyProtection="0"/>
    <xf numFmtId="0" fontId="34" fillId="32" borderId="95"/>
    <xf numFmtId="4" fontId="34" fillId="32" borderId="95"/>
    <xf numFmtId="4" fontId="32" fillId="33" borderId="95">
      <alignment horizontal="right" vertical="center"/>
    </xf>
    <xf numFmtId="0" fontId="36" fillId="31" borderId="95">
      <alignment horizontal="right" vertical="center"/>
    </xf>
    <xf numFmtId="0" fontId="49" fillId="42" borderId="92" applyNumberFormat="0" applyAlignment="0" applyProtection="0"/>
    <xf numFmtId="0" fontId="46" fillId="55" borderId="92" applyNumberFormat="0" applyAlignment="0" applyProtection="0"/>
    <xf numFmtId="4" fontId="34" fillId="0" borderId="95">
      <alignment horizontal="right" vertical="center"/>
    </xf>
    <xf numFmtId="0" fontId="34" fillId="33" borderId="98">
      <alignment horizontal="left" vertical="center" wrapText="1" indent="2"/>
    </xf>
    <xf numFmtId="0" fontId="34" fillId="0" borderId="98">
      <alignment horizontal="left" vertical="center" wrapText="1" indent="2"/>
    </xf>
    <xf numFmtId="0" fontId="62" fillId="55" borderId="91" applyNumberFormat="0" applyAlignment="0" applyProtection="0"/>
    <xf numFmtId="0" fontId="58" fillId="42" borderId="92" applyNumberFormat="0" applyAlignment="0" applyProtection="0"/>
    <xf numFmtId="0" fontId="45" fillId="55" borderId="92" applyNumberFormat="0" applyAlignment="0" applyProtection="0"/>
    <xf numFmtId="0" fontId="43" fillId="55" borderId="91" applyNumberFormat="0" applyAlignment="0" applyProtection="0"/>
    <xf numFmtId="0" fontId="32" fillId="33" borderId="97">
      <alignment horizontal="right" vertical="center"/>
    </xf>
    <xf numFmtId="0" fontId="36" fillId="31" borderId="95">
      <alignment horizontal="right" vertical="center"/>
    </xf>
    <xf numFmtId="4" fontId="32" fillId="31" borderId="95">
      <alignment horizontal="right" vertical="center"/>
    </xf>
    <xf numFmtId="4" fontId="32" fillId="33" borderId="95">
      <alignment horizontal="right" vertical="center"/>
    </xf>
    <xf numFmtId="49" fontId="34" fillId="0" borderId="96" applyNumberFormat="0" applyFont="0" applyFill="0" applyBorder="0" applyProtection="0">
      <alignment horizontal="left" vertical="center" indent="5"/>
    </xf>
    <xf numFmtId="4" fontId="34" fillId="0" borderId="95" applyFill="0" applyBorder="0" applyProtection="0">
      <alignment horizontal="right" vertical="center"/>
    </xf>
    <xf numFmtId="4" fontId="32" fillId="31" borderId="95">
      <alignment horizontal="right" vertical="center"/>
    </xf>
    <xf numFmtId="0" fontId="58" fillId="42" borderId="92" applyNumberFormat="0" applyAlignment="0" applyProtection="0"/>
    <xf numFmtId="0" fontId="49" fillId="42" borderId="92" applyNumberFormat="0" applyAlignment="0" applyProtection="0"/>
    <xf numFmtId="0" fontId="45" fillId="55" borderId="92" applyNumberFormat="0" applyAlignment="0" applyProtection="0"/>
    <xf numFmtId="0" fontId="34" fillId="33" borderId="98">
      <alignment horizontal="left" vertical="center" wrapText="1" indent="2"/>
    </xf>
    <xf numFmtId="0" fontId="34" fillId="0" borderId="98">
      <alignment horizontal="left" vertical="center" wrapText="1" indent="2"/>
    </xf>
    <xf numFmtId="0" fontId="34" fillId="33" borderId="98">
      <alignment horizontal="left" vertical="center" wrapText="1" indent="2"/>
    </xf>
    <xf numFmtId="0" fontId="34" fillId="33" borderId="106">
      <alignment horizontal="left" vertical="center" wrapText="1" indent="2"/>
    </xf>
    <xf numFmtId="0" fontId="34" fillId="0" borderId="106">
      <alignment horizontal="left" vertical="center" wrapText="1" indent="2"/>
    </xf>
    <xf numFmtId="0" fontId="36" fillId="31" borderId="108">
      <alignment horizontal="right" vertical="center"/>
    </xf>
    <xf numFmtId="49" fontId="34" fillId="0" borderId="108" applyNumberFormat="0" applyFont="0" applyFill="0" applyBorder="0" applyProtection="0">
      <alignment horizontal="left" vertical="center" indent="2"/>
    </xf>
    <xf numFmtId="0" fontId="32" fillId="33" borderId="118">
      <alignment horizontal="right" vertical="center"/>
    </xf>
    <xf numFmtId="0" fontId="26" fillId="13" borderId="0" applyNumberFormat="0" applyBorder="0" applyAlignment="0" applyProtection="0"/>
    <xf numFmtId="0" fontId="26" fillId="13" borderId="0" applyNumberFormat="0" applyBorder="0" applyAlignment="0" applyProtection="0"/>
    <xf numFmtId="0" fontId="34" fillId="0" borderId="111">
      <alignment horizontal="left" vertical="center" wrapText="1" indent="2"/>
    </xf>
    <xf numFmtId="0" fontId="32" fillId="33" borderId="109">
      <alignment horizontal="right" vertical="center"/>
    </xf>
    <xf numFmtId="0" fontId="26" fillId="25" borderId="0" applyNumberFormat="0" applyBorder="0" applyAlignment="0" applyProtection="0"/>
    <xf numFmtId="0" fontId="34" fillId="0" borderId="111">
      <alignment horizontal="left" vertical="center" wrapText="1" indent="2"/>
    </xf>
    <xf numFmtId="0" fontId="65" fillId="0" borderId="116" applyNumberFormat="0" applyFill="0" applyAlignment="0" applyProtection="0"/>
    <xf numFmtId="173" fontId="34" fillId="59" borderId="118" applyNumberFormat="0" applyFont="0" applyBorder="0" applyAlignment="0" applyProtection="0">
      <alignment horizontal="right" vertical="center"/>
    </xf>
    <xf numFmtId="0" fontId="65" fillId="0" borderId="114" applyNumberFormat="0" applyFill="0" applyAlignment="0" applyProtection="0"/>
    <xf numFmtId="0" fontId="34" fillId="33" borderId="111">
      <alignment horizontal="left" vertical="center" wrapText="1" indent="2"/>
    </xf>
    <xf numFmtId="0" fontId="46" fillId="55" borderId="115" applyNumberFormat="0" applyAlignment="0" applyProtection="0"/>
    <xf numFmtId="4" fontId="34" fillId="0" borderId="118">
      <alignment horizontal="right" vertical="center"/>
    </xf>
    <xf numFmtId="0" fontId="34" fillId="33" borderId="129">
      <alignment horizontal="left" vertical="center" wrapText="1" indent="2"/>
    </xf>
    <xf numFmtId="0" fontId="34" fillId="31" borderId="109">
      <alignment horizontal="left" vertical="center"/>
    </xf>
    <xf numFmtId="0" fontId="32" fillId="33" borderId="128">
      <alignment horizontal="right" vertical="center"/>
    </xf>
    <xf numFmtId="0" fontId="50" fillId="0" borderId="124" applyNumberFormat="0" applyFill="0" applyAlignment="0" applyProtection="0"/>
    <xf numFmtId="0" fontId="28" fillId="12" borderId="11" applyNumberFormat="0" applyAlignment="0" applyProtection="0"/>
    <xf numFmtId="4" fontId="34" fillId="0" borderId="118">
      <alignment horizontal="right" vertical="center"/>
    </xf>
    <xf numFmtId="4" fontId="32" fillId="31" borderId="108">
      <alignment horizontal="right" vertical="center"/>
    </xf>
    <xf numFmtId="0" fontId="32" fillId="33" borderId="109">
      <alignment horizontal="right" vertical="center"/>
    </xf>
    <xf numFmtId="0" fontId="49" fillId="42" borderId="113" applyNumberFormat="0" applyAlignment="0" applyProtection="0"/>
    <xf numFmtId="0" fontId="46" fillId="55" borderId="115" applyNumberFormat="0" applyAlignment="0" applyProtection="0"/>
    <xf numFmtId="0" fontId="58" fillId="42" borderId="113" applyNumberFormat="0" applyAlignment="0" applyProtection="0"/>
    <xf numFmtId="0" fontId="12" fillId="15" borderId="0" applyNumberFormat="0" applyBorder="0" applyAlignment="0" applyProtection="0"/>
    <xf numFmtId="0" fontId="62" fillId="55" borderId="130" applyNumberFormat="0" applyAlignment="0" applyProtection="0"/>
    <xf numFmtId="0" fontId="12" fillId="21"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40" fillId="58" borderId="117" applyNumberFormat="0" applyFont="0" applyAlignment="0" applyProtection="0"/>
    <xf numFmtId="0" fontId="26" fillId="25" borderId="0" applyNumberFormat="0" applyBorder="0" applyAlignment="0" applyProtection="0"/>
    <xf numFmtId="0" fontId="34" fillId="0" borderId="108">
      <alignment horizontal="right" vertical="center"/>
    </xf>
    <xf numFmtId="0" fontId="40" fillId="58" borderId="117" applyNumberFormat="0" applyFont="0" applyAlignment="0" applyProtection="0"/>
    <xf numFmtId="0" fontId="26" fillId="22" borderId="0" applyNumberFormat="0" applyBorder="0" applyAlignment="0" applyProtection="0"/>
    <xf numFmtId="0" fontId="36" fillId="31" borderId="108">
      <alignment horizontal="right" vertical="center"/>
    </xf>
    <xf numFmtId="0" fontId="58" fillId="42" borderId="113" applyNumberFormat="0" applyAlignment="0" applyProtection="0"/>
    <xf numFmtId="0" fontId="58" fillId="42" borderId="113" applyNumberFormat="0" applyAlignment="0" applyProtection="0"/>
    <xf numFmtId="0" fontId="58" fillId="42" borderId="115" applyNumberFormat="0" applyAlignment="0" applyProtection="0"/>
    <xf numFmtId="0" fontId="50" fillId="0" borderId="116" applyNumberFormat="0" applyFill="0" applyAlignment="0" applyProtection="0"/>
    <xf numFmtId="0" fontId="28" fillId="12" borderId="11" applyNumberFormat="0" applyAlignment="0" applyProtection="0"/>
    <xf numFmtId="4" fontId="32" fillId="33" borderId="120">
      <alignment horizontal="right" vertical="center"/>
    </xf>
    <xf numFmtId="0" fontId="45" fillId="55" borderId="115" applyNumberFormat="0" applyAlignment="0" applyProtection="0"/>
    <xf numFmtId="0" fontId="26" fillId="22" borderId="0" applyNumberFormat="0" applyBorder="0" applyAlignment="0" applyProtection="0"/>
    <xf numFmtId="0" fontId="26" fillId="29" borderId="0" applyNumberFormat="0" applyBorder="0" applyAlignment="0" applyProtection="0"/>
    <xf numFmtId="0" fontId="45" fillId="55" borderId="113" applyNumberFormat="0" applyAlignment="0" applyProtection="0"/>
    <xf numFmtId="0" fontId="58" fillId="42" borderId="115" applyNumberFormat="0" applyAlignment="0" applyProtection="0"/>
    <xf numFmtId="0" fontId="12" fillId="30"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32" fillId="31" borderId="126">
      <alignment horizontal="right" vertical="center"/>
    </xf>
    <xf numFmtId="0" fontId="26" fillId="23"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9" borderId="0" applyNumberFormat="0" applyBorder="0" applyAlignment="0" applyProtection="0"/>
    <xf numFmtId="0" fontId="26" fillId="17"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 fillId="0" borderId="12" applyNumberFormat="0" applyFill="0" applyAlignment="0" applyProtection="0"/>
    <xf numFmtId="0" fontId="45" fillId="55" borderId="115" applyNumberFormat="0" applyAlignment="0" applyProtection="0"/>
    <xf numFmtId="0" fontId="36" fillId="31" borderId="108">
      <alignment horizontal="right" vertical="center"/>
    </xf>
    <xf numFmtId="0" fontId="34" fillId="31" borderId="109">
      <alignment horizontal="left" vertical="center"/>
    </xf>
    <xf numFmtId="0" fontId="50" fillId="0" borderId="116" applyNumberFormat="0" applyFill="0" applyAlignment="0" applyProtection="0"/>
    <xf numFmtId="0" fontId="62" fillId="55" borderId="122" applyNumberFormat="0" applyAlignment="0" applyProtection="0"/>
    <xf numFmtId="4" fontId="32" fillId="33" borderId="103">
      <alignment horizontal="right" vertical="center"/>
    </xf>
    <xf numFmtId="0" fontId="34" fillId="32" borderId="103"/>
    <xf numFmtId="0" fontId="45" fillId="55" borderId="100" applyNumberFormat="0" applyAlignment="0" applyProtection="0"/>
    <xf numFmtId="0" fontId="32" fillId="31" borderId="103">
      <alignment horizontal="right" vertical="center"/>
    </xf>
    <xf numFmtId="0" fontId="34" fillId="0" borderId="103">
      <alignment horizontal="right" vertical="center"/>
    </xf>
    <xf numFmtId="0" fontId="65" fillId="0" borderId="101" applyNumberFormat="0" applyFill="0" applyAlignment="0" applyProtection="0"/>
    <xf numFmtId="0" fontId="34" fillId="31" borderId="104">
      <alignment horizontal="left" vertical="center"/>
    </xf>
    <xf numFmtId="0" fontId="58" fillId="42" borderId="100" applyNumberFormat="0" applyAlignment="0" applyProtection="0"/>
    <xf numFmtId="173" fontId="34" fillId="59" borderId="103" applyNumberFormat="0" applyFont="0" applyBorder="0" applyAlignment="0" applyProtection="0">
      <alignment horizontal="right" vertical="center"/>
    </xf>
    <xf numFmtId="0" fontId="40" fillId="58" borderId="102" applyNumberFormat="0" applyFont="0" applyAlignment="0" applyProtection="0"/>
    <xf numFmtId="0" fontId="34" fillId="0" borderId="106">
      <alignment horizontal="left" vertical="center" wrapText="1" indent="2"/>
    </xf>
    <xf numFmtId="4" fontId="34" fillId="32" borderId="103"/>
    <xf numFmtId="49" fontId="33" fillId="0" borderId="103" applyNumberFormat="0" applyFill="0" applyBorder="0" applyProtection="0">
      <alignment horizontal="left" vertical="center"/>
    </xf>
    <xf numFmtId="0" fontId="34" fillId="0" borderId="103">
      <alignment horizontal="right" vertical="center"/>
    </xf>
    <xf numFmtId="4" fontId="32" fillId="33" borderId="105">
      <alignment horizontal="right" vertical="center"/>
    </xf>
    <xf numFmtId="4" fontId="32" fillId="33" borderId="103">
      <alignment horizontal="right" vertical="center"/>
    </xf>
    <xf numFmtId="4" fontId="32" fillId="33" borderId="103">
      <alignment horizontal="right" vertical="center"/>
    </xf>
    <xf numFmtId="0" fontId="36" fillId="31" borderId="103">
      <alignment horizontal="right" vertical="center"/>
    </xf>
    <xf numFmtId="0" fontId="32" fillId="31" borderId="103">
      <alignment horizontal="right" vertical="center"/>
    </xf>
    <xf numFmtId="49" fontId="34" fillId="0" borderId="103" applyNumberFormat="0" applyFont="0" applyFill="0" applyBorder="0" applyProtection="0">
      <alignment horizontal="left" vertical="center" indent="2"/>
    </xf>
    <xf numFmtId="0" fontId="58" fillId="42" borderId="100" applyNumberFormat="0" applyAlignment="0" applyProtection="0"/>
    <xf numFmtId="0" fontId="43" fillId="55" borderId="99" applyNumberFormat="0" applyAlignment="0" applyProtection="0"/>
    <xf numFmtId="49" fontId="34" fillId="0" borderId="103" applyNumberFormat="0" applyFont="0" applyFill="0" applyBorder="0" applyProtection="0">
      <alignment horizontal="left" vertical="center" indent="2"/>
    </xf>
    <xf numFmtId="0" fontId="49" fillId="42" borderId="100" applyNumberFormat="0" applyAlignment="0" applyProtection="0"/>
    <xf numFmtId="4" fontId="34" fillId="0" borderId="103" applyFill="0" applyBorder="0" applyProtection="0">
      <alignment horizontal="right" vertical="center"/>
    </xf>
    <xf numFmtId="0" fontId="46" fillId="55" borderId="100" applyNumberFormat="0" applyAlignment="0" applyProtection="0"/>
    <xf numFmtId="0" fontId="65" fillId="0" borderId="101" applyNumberFormat="0" applyFill="0" applyAlignment="0" applyProtection="0"/>
    <xf numFmtId="0" fontId="62" fillId="55" borderId="99" applyNumberFormat="0" applyAlignment="0" applyProtection="0"/>
    <xf numFmtId="0" fontId="34" fillId="0" borderId="103" applyNumberFormat="0" applyFill="0" applyAlignment="0" applyProtection="0"/>
    <xf numFmtId="4" fontId="34" fillId="0" borderId="103">
      <alignment horizontal="right" vertical="center"/>
    </xf>
    <xf numFmtId="0" fontId="34" fillId="0" borderId="103">
      <alignment horizontal="right" vertical="center"/>
    </xf>
    <xf numFmtId="0" fontId="58" fillId="42" borderId="100" applyNumberFormat="0" applyAlignment="0" applyProtection="0"/>
    <xf numFmtId="0" fontId="43" fillId="55" borderId="99" applyNumberFormat="0" applyAlignment="0" applyProtection="0"/>
    <xf numFmtId="0" fontId="45" fillId="55" borderId="100" applyNumberFormat="0" applyAlignment="0" applyProtection="0"/>
    <xf numFmtId="0" fontId="34" fillId="33" borderId="106">
      <alignment horizontal="left" vertical="center" wrapText="1" indent="2"/>
    </xf>
    <xf numFmtId="0" fontId="46" fillId="55" borderId="100" applyNumberFormat="0" applyAlignment="0" applyProtection="0"/>
    <xf numFmtId="0" fontId="46" fillId="55" borderId="100" applyNumberFormat="0" applyAlignment="0" applyProtection="0"/>
    <xf numFmtId="4" fontId="32" fillId="33" borderId="104">
      <alignment horizontal="right" vertical="center"/>
    </xf>
    <xf numFmtId="0" fontId="32" fillId="33" borderId="104">
      <alignment horizontal="right" vertical="center"/>
    </xf>
    <xf numFmtId="0" fontId="32" fillId="33" borderId="103">
      <alignment horizontal="right" vertical="center"/>
    </xf>
    <xf numFmtId="4" fontId="36" fillId="31" borderId="103">
      <alignment horizontal="right" vertical="center"/>
    </xf>
    <xf numFmtId="0" fontId="49" fillId="42" borderId="100" applyNumberFormat="0" applyAlignment="0" applyProtection="0"/>
    <xf numFmtId="0" fontId="50" fillId="0" borderId="101" applyNumberFormat="0" applyFill="0" applyAlignment="0" applyProtection="0"/>
    <xf numFmtId="0" fontId="65" fillId="0" borderId="101" applyNumberFormat="0" applyFill="0" applyAlignment="0" applyProtection="0"/>
    <xf numFmtId="0" fontId="40" fillId="58" borderId="102" applyNumberFormat="0" applyFont="0" applyAlignment="0" applyProtection="0"/>
    <xf numFmtId="0" fontId="58" fillId="42" borderId="100" applyNumberFormat="0" applyAlignment="0" applyProtection="0"/>
    <xf numFmtId="49" fontId="33" fillId="0" borderId="103" applyNumberFormat="0" applyFill="0" applyBorder="0" applyProtection="0">
      <alignment horizontal="left" vertical="center"/>
    </xf>
    <xf numFmtId="0" fontId="34" fillId="33" borderId="106">
      <alignment horizontal="left" vertical="center" wrapText="1" indent="2"/>
    </xf>
    <xf numFmtId="0" fontId="46" fillId="55" borderId="100" applyNumberFormat="0" applyAlignment="0" applyProtection="0"/>
    <xf numFmtId="0" fontId="34" fillId="0" borderId="106">
      <alignment horizontal="left" vertical="center" wrapText="1" indent="2"/>
    </xf>
    <xf numFmtId="0" fontId="40" fillId="58" borderId="102" applyNumberFormat="0" applyFont="0" applyAlignment="0" applyProtection="0"/>
    <xf numFmtId="0" fontId="5" fillId="58" borderId="102" applyNumberFormat="0" applyFont="0" applyAlignment="0" applyProtection="0"/>
    <xf numFmtId="0" fontId="62" fillId="55" borderId="99" applyNumberFormat="0" applyAlignment="0" applyProtection="0"/>
    <xf numFmtId="0" fontId="65" fillId="0" borderId="101" applyNumberFormat="0" applyFill="0" applyAlignment="0" applyProtection="0"/>
    <xf numFmtId="4" fontId="34" fillId="32" borderId="103"/>
    <xf numFmtId="0" fontId="32" fillId="33" borderId="103">
      <alignment horizontal="right" vertical="center"/>
    </xf>
    <xf numFmtId="0" fontId="65" fillId="0" borderId="101" applyNumberFormat="0" applyFill="0" applyAlignment="0" applyProtection="0"/>
    <xf numFmtId="4" fontId="32" fillId="33" borderId="105">
      <alignment horizontal="right" vertical="center"/>
    </xf>
    <xf numFmtId="0" fontId="45" fillId="55" borderId="100" applyNumberFormat="0" applyAlignment="0" applyProtection="0"/>
    <xf numFmtId="0" fontId="32" fillId="33" borderId="104">
      <alignment horizontal="right" vertical="center"/>
    </xf>
    <xf numFmtId="0" fontId="46" fillId="55" borderId="100" applyNumberFormat="0" applyAlignment="0" applyProtection="0"/>
    <xf numFmtId="0" fontId="50" fillId="0" borderId="101" applyNumberFormat="0" applyFill="0" applyAlignment="0" applyProtection="0"/>
    <xf numFmtId="0" fontId="40" fillId="58" borderId="102" applyNumberFormat="0" applyFont="0" applyAlignment="0" applyProtection="0"/>
    <xf numFmtId="4" fontId="32" fillId="33" borderId="104">
      <alignment horizontal="right" vertical="center"/>
    </xf>
    <xf numFmtId="0" fontId="34" fillId="33" borderId="106">
      <alignment horizontal="left" vertical="center" wrapText="1" indent="2"/>
    </xf>
    <xf numFmtId="0" fontId="34" fillId="32" borderId="103"/>
    <xf numFmtId="173" fontId="34" fillId="59" borderId="103" applyNumberFormat="0" applyFont="0" applyBorder="0" applyAlignment="0" applyProtection="0">
      <alignment horizontal="right" vertical="center"/>
    </xf>
    <xf numFmtId="0" fontId="34" fillId="0" borderId="103" applyNumberFormat="0" applyFill="0" applyAlignment="0" applyProtection="0"/>
    <xf numFmtId="4" fontId="34" fillId="0" borderId="103" applyFill="0" applyBorder="0" applyProtection="0">
      <alignment horizontal="right" vertical="center"/>
    </xf>
    <xf numFmtId="4" fontId="32" fillId="31" borderId="103">
      <alignment horizontal="right" vertical="center"/>
    </xf>
    <xf numFmtId="0" fontId="50" fillId="0" borderId="101" applyNumberFormat="0" applyFill="0" applyAlignment="0" applyProtection="0"/>
    <xf numFmtId="49" fontId="33" fillId="0" borderId="103" applyNumberFormat="0" applyFill="0" applyBorder="0" applyProtection="0">
      <alignment horizontal="left" vertical="center"/>
    </xf>
    <xf numFmtId="49" fontId="34" fillId="0" borderId="104" applyNumberFormat="0" applyFont="0" applyFill="0" applyBorder="0" applyProtection="0">
      <alignment horizontal="left" vertical="center" indent="5"/>
    </xf>
    <xf numFmtId="0" fontId="34" fillId="31" borderId="104">
      <alignment horizontal="left" vertical="center"/>
    </xf>
    <xf numFmtId="0" fontId="46" fillId="55" borderId="100" applyNumberFormat="0" applyAlignment="0" applyProtection="0"/>
    <xf numFmtId="4" fontId="32" fillId="33" borderId="105">
      <alignment horizontal="right" vertical="center"/>
    </xf>
    <xf numFmtId="0" fontId="58" fillId="42" borderId="100" applyNumberFormat="0" applyAlignment="0" applyProtection="0"/>
    <xf numFmtId="0" fontId="58" fillId="42" borderId="100" applyNumberFormat="0" applyAlignment="0" applyProtection="0"/>
    <xf numFmtId="0" fontId="40" fillId="58" borderId="102" applyNumberFormat="0" applyFont="0" applyAlignment="0" applyProtection="0"/>
    <xf numFmtId="0" fontId="62" fillId="55" borderId="99" applyNumberFormat="0" applyAlignment="0" applyProtection="0"/>
    <xf numFmtId="0" fontId="65" fillId="0" borderId="101" applyNumberFormat="0" applyFill="0" applyAlignment="0" applyProtection="0"/>
    <xf numFmtId="0" fontId="32" fillId="33" borderId="103">
      <alignment horizontal="right" vertical="center"/>
    </xf>
    <xf numFmtId="0" fontId="5" fillId="58" borderId="102" applyNumberFormat="0" applyFont="0" applyAlignment="0" applyProtection="0"/>
    <xf numFmtId="4" fontId="34" fillId="0" borderId="103">
      <alignment horizontal="right" vertical="center"/>
    </xf>
    <xf numFmtId="0" fontId="65" fillId="0" borderId="101" applyNumberFormat="0" applyFill="0" applyAlignment="0" applyProtection="0"/>
    <xf numFmtId="0" fontId="32" fillId="33" borderId="103">
      <alignment horizontal="right" vertical="center"/>
    </xf>
    <xf numFmtId="0" fontId="32" fillId="33" borderId="103">
      <alignment horizontal="right" vertical="center"/>
    </xf>
    <xf numFmtId="4" fontId="36" fillId="31" borderId="103">
      <alignment horizontal="right" vertical="center"/>
    </xf>
    <xf numFmtId="0" fontId="32" fillId="31" borderId="103">
      <alignment horizontal="right" vertical="center"/>
    </xf>
    <xf numFmtId="4" fontId="32" fillId="31" borderId="103">
      <alignment horizontal="right" vertical="center"/>
    </xf>
    <xf numFmtId="0" fontId="36" fillId="31" borderId="103">
      <alignment horizontal="right" vertical="center"/>
    </xf>
    <xf numFmtId="4" fontId="36" fillId="31" borderId="103">
      <alignment horizontal="right" vertical="center"/>
    </xf>
    <xf numFmtId="0" fontId="32" fillId="33" borderId="103">
      <alignment horizontal="right" vertical="center"/>
    </xf>
    <xf numFmtId="4" fontId="32" fillId="33" borderId="103">
      <alignment horizontal="right" vertical="center"/>
    </xf>
    <xf numFmtId="0" fontId="32" fillId="33" borderId="103">
      <alignment horizontal="right" vertical="center"/>
    </xf>
    <xf numFmtId="4" fontId="32" fillId="33" borderId="103">
      <alignment horizontal="right" vertical="center"/>
    </xf>
    <xf numFmtId="0" fontId="32" fillId="33" borderId="104">
      <alignment horizontal="right" vertical="center"/>
    </xf>
    <xf numFmtId="4" fontId="32" fillId="33" borderId="104">
      <alignment horizontal="right" vertical="center"/>
    </xf>
    <xf numFmtId="0" fontId="32" fillId="33" borderId="105">
      <alignment horizontal="right" vertical="center"/>
    </xf>
    <xf numFmtId="4" fontId="32" fillId="33" borderId="105">
      <alignment horizontal="right" vertical="center"/>
    </xf>
    <xf numFmtId="0" fontId="46" fillId="55" borderId="100" applyNumberFormat="0" applyAlignment="0" applyProtection="0"/>
    <xf numFmtId="0" fontId="34" fillId="33" borderId="106">
      <alignment horizontal="left" vertical="center" wrapText="1" indent="2"/>
    </xf>
    <xf numFmtId="0" fontId="34" fillId="0" borderId="106">
      <alignment horizontal="left" vertical="center" wrapText="1" indent="2"/>
    </xf>
    <xf numFmtId="0" fontId="34" fillId="31" borderId="104">
      <alignment horizontal="left" vertical="center"/>
    </xf>
    <xf numFmtId="0" fontId="58" fillId="42" borderId="100" applyNumberFormat="0" applyAlignment="0" applyProtection="0"/>
    <xf numFmtId="0" fontId="34" fillId="0" borderId="103">
      <alignment horizontal="right" vertical="center"/>
    </xf>
    <xf numFmtId="4" fontId="34" fillId="0" borderId="103">
      <alignment horizontal="right" vertical="center"/>
    </xf>
    <xf numFmtId="0" fontId="34" fillId="0" borderId="103" applyNumberFormat="0" applyFill="0" applyAlignment="0" applyProtection="0"/>
    <xf numFmtId="0" fontId="62" fillId="55" borderId="99" applyNumberFormat="0" applyAlignment="0" applyProtection="0"/>
    <xf numFmtId="173" fontId="34" fillId="59" borderId="103" applyNumberFormat="0" applyFont="0" applyBorder="0" applyAlignment="0" applyProtection="0">
      <alignment horizontal="right" vertical="center"/>
    </xf>
    <xf numFmtId="0" fontId="34" fillId="32" borderId="103"/>
    <xf numFmtId="4" fontId="34" fillId="32" borderId="103"/>
    <xf numFmtId="0" fontId="65" fillId="0" borderId="101" applyNumberFormat="0" applyFill="0" applyAlignment="0" applyProtection="0"/>
    <xf numFmtId="0" fontId="5" fillId="58" borderId="102" applyNumberFormat="0" applyFont="0" applyAlignment="0" applyProtection="0"/>
    <xf numFmtId="0" fontId="40" fillId="58" borderId="102" applyNumberFormat="0" applyFont="0" applyAlignment="0" applyProtection="0"/>
    <xf numFmtId="0" fontId="34" fillId="0" borderId="103" applyNumberFormat="0" applyFill="0" applyAlignment="0" applyProtection="0"/>
    <xf numFmtId="0" fontId="50" fillId="0" borderId="101" applyNumberFormat="0" applyFill="0" applyAlignment="0" applyProtection="0"/>
    <xf numFmtId="0" fontId="65" fillId="0" borderId="101" applyNumberFormat="0" applyFill="0" applyAlignment="0" applyProtection="0"/>
    <xf numFmtId="0" fontId="49" fillId="42" borderId="100" applyNumberFormat="0" applyAlignment="0" applyProtection="0"/>
    <xf numFmtId="0" fontId="46" fillId="55" borderId="100" applyNumberFormat="0" applyAlignment="0" applyProtection="0"/>
    <xf numFmtId="4" fontId="36" fillId="31" borderId="103">
      <alignment horizontal="right" vertical="center"/>
    </xf>
    <xf numFmtId="0" fontId="32" fillId="31" borderId="103">
      <alignment horizontal="right" vertical="center"/>
    </xf>
    <xf numFmtId="173" fontId="34" fillId="59" borderId="103" applyNumberFormat="0" applyFont="0" applyBorder="0" applyAlignment="0" applyProtection="0">
      <alignment horizontal="right" vertical="center"/>
    </xf>
    <xf numFmtId="0" fontId="50" fillId="0" borderId="101" applyNumberFormat="0" applyFill="0" applyAlignment="0" applyProtection="0"/>
    <xf numFmtId="49" fontId="34" fillId="0" borderId="103" applyNumberFormat="0" applyFont="0" applyFill="0" applyBorder="0" applyProtection="0">
      <alignment horizontal="left" vertical="center" indent="2"/>
    </xf>
    <xf numFmtId="49" fontId="34" fillId="0" borderId="104" applyNumberFormat="0" applyFont="0" applyFill="0" applyBorder="0" applyProtection="0">
      <alignment horizontal="left" vertical="center" indent="5"/>
    </xf>
    <xf numFmtId="49" fontId="34" fillId="0" borderId="103" applyNumberFormat="0" applyFont="0" applyFill="0" applyBorder="0" applyProtection="0">
      <alignment horizontal="left" vertical="center" indent="2"/>
    </xf>
    <xf numFmtId="4" fontId="34" fillId="0" borderId="103" applyFill="0" applyBorder="0" applyProtection="0">
      <alignment horizontal="right" vertical="center"/>
    </xf>
    <xf numFmtId="49" fontId="33" fillId="0" borderId="103" applyNumberFormat="0" applyFill="0" applyBorder="0" applyProtection="0">
      <alignment horizontal="left" vertical="center"/>
    </xf>
    <xf numFmtId="0" fontId="34" fillId="0" borderId="106">
      <alignment horizontal="left" vertical="center" wrapText="1" indent="2"/>
    </xf>
    <xf numFmtId="0" fontId="62" fillId="55" borderId="99" applyNumberFormat="0" applyAlignment="0" applyProtection="0"/>
    <xf numFmtId="0" fontId="32" fillId="33" borderId="105">
      <alignment horizontal="right" vertical="center"/>
    </xf>
    <xf numFmtId="0" fontId="49" fillId="42" borderId="100" applyNumberFormat="0" applyAlignment="0" applyProtection="0"/>
    <xf numFmtId="0" fontId="32" fillId="33" borderId="105">
      <alignment horizontal="right" vertical="center"/>
    </xf>
    <xf numFmtId="4" fontId="32" fillId="33" borderId="103">
      <alignment horizontal="right" vertical="center"/>
    </xf>
    <xf numFmtId="0" fontId="32" fillId="33" borderId="103">
      <alignment horizontal="right" vertical="center"/>
    </xf>
    <xf numFmtId="0" fontId="43" fillId="55" borderId="99" applyNumberFormat="0" applyAlignment="0" applyProtection="0"/>
    <xf numFmtId="0" fontId="45" fillId="55" borderId="100" applyNumberFormat="0" applyAlignment="0" applyProtection="0"/>
    <xf numFmtId="0" fontId="50" fillId="0" borderId="101" applyNumberFormat="0" applyFill="0" applyAlignment="0" applyProtection="0"/>
    <xf numFmtId="0" fontId="34" fillId="32" borderId="103"/>
    <xf numFmtId="4" fontId="34" fillId="32" borderId="103"/>
    <xf numFmtId="4" fontId="32" fillId="33" borderId="103">
      <alignment horizontal="right" vertical="center"/>
    </xf>
    <xf numFmtId="0" fontId="36" fillId="31" borderId="103">
      <alignment horizontal="right" vertical="center"/>
    </xf>
    <xf numFmtId="0" fontId="49" fillId="42" borderId="100" applyNumberFormat="0" applyAlignment="0" applyProtection="0"/>
    <xf numFmtId="0" fontId="46" fillId="55" borderId="100" applyNumberFormat="0" applyAlignment="0" applyProtection="0"/>
    <xf numFmtId="4" fontId="34" fillId="0" borderId="103">
      <alignment horizontal="right" vertical="center"/>
    </xf>
    <xf numFmtId="0" fontId="34" fillId="33" borderId="106">
      <alignment horizontal="left" vertical="center" wrapText="1" indent="2"/>
    </xf>
    <xf numFmtId="0" fontId="34" fillId="0" borderId="106">
      <alignment horizontal="left" vertical="center" wrapText="1" indent="2"/>
    </xf>
    <xf numFmtId="0" fontId="62" fillId="55" borderId="99" applyNumberFormat="0" applyAlignment="0" applyProtection="0"/>
    <xf numFmtId="0" fontId="58" fillId="42" borderId="100" applyNumberFormat="0" applyAlignment="0" applyProtection="0"/>
    <xf numFmtId="0" fontId="45" fillId="55" borderId="100" applyNumberFormat="0" applyAlignment="0" applyProtection="0"/>
    <xf numFmtId="0" fontId="43" fillId="55" borderId="99" applyNumberFormat="0" applyAlignment="0" applyProtection="0"/>
    <xf numFmtId="0" fontId="32" fillId="33" borderId="105">
      <alignment horizontal="right" vertical="center"/>
    </xf>
    <xf numFmtId="0" fontId="36" fillId="31" borderId="103">
      <alignment horizontal="right" vertical="center"/>
    </xf>
    <xf numFmtId="4" fontId="32" fillId="31" borderId="103">
      <alignment horizontal="right" vertical="center"/>
    </xf>
    <xf numFmtId="4" fontId="32" fillId="33" borderId="103">
      <alignment horizontal="right" vertical="center"/>
    </xf>
    <xf numFmtId="49" fontId="34" fillId="0" borderId="104" applyNumberFormat="0" applyFont="0" applyFill="0" applyBorder="0" applyProtection="0">
      <alignment horizontal="left" vertical="center" indent="5"/>
    </xf>
    <xf numFmtId="4" fontId="34" fillId="0" borderId="103" applyFill="0" applyBorder="0" applyProtection="0">
      <alignment horizontal="right" vertical="center"/>
    </xf>
    <xf numFmtId="4" fontId="32" fillId="31" borderId="103">
      <alignment horizontal="right" vertical="center"/>
    </xf>
    <xf numFmtId="4" fontId="32" fillId="33" borderId="108">
      <alignment horizontal="right" vertical="center"/>
    </xf>
    <xf numFmtId="0" fontId="58" fillId="42" borderId="100" applyNumberFormat="0" applyAlignment="0" applyProtection="0"/>
    <xf numFmtId="0" fontId="49" fillId="42" borderId="100" applyNumberFormat="0" applyAlignment="0" applyProtection="0"/>
    <xf numFmtId="0" fontId="45" fillId="55" borderId="100" applyNumberFormat="0" applyAlignment="0" applyProtection="0"/>
    <xf numFmtId="0" fontId="34" fillId="33" borderId="106">
      <alignment horizontal="left" vertical="center" wrapText="1" indent="2"/>
    </xf>
    <xf numFmtId="0" fontId="34" fillId="0" borderId="106">
      <alignment horizontal="left" vertical="center" wrapText="1" indent="2"/>
    </xf>
    <xf numFmtId="0" fontId="34" fillId="33" borderId="106">
      <alignment horizontal="left" vertical="center" wrapText="1" indent="2"/>
    </xf>
    <xf numFmtId="0" fontId="34" fillId="0" borderId="106">
      <alignment horizontal="left" vertical="center" wrapText="1" indent="2"/>
    </xf>
    <xf numFmtId="0" fontId="43" fillId="55" borderId="99" applyNumberFormat="0" applyAlignment="0" applyProtection="0"/>
    <xf numFmtId="0" fontId="45" fillId="55" borderId="100" applyNumberFormat="0" applyAlignment="0" applyProtection="0"/>
    <xf numFmtId="0" fontId="46" fillId="55" borderId="100" applyNumberFormat="0" applyAlignment="0" applyProtection="0"/>
    <xf numFmtId="0" fontId="49" fillId="42" borderId="100" applyNumberFormat="0" applyAlignment="0" applyProtection="0"/>
    <xf numFmtId="0" fontId="50" fillId="0" borderId="101" applyNumberFormat="0" applyFill="0" applyAlignment="0" applyProtection="0"/>
    <xf numFmtId="0" fontId="58" fillId="42" borderId="100" applyNumberFormat="0" applyAlignment="0" applyProtection="0"/>
    <xf numFmtId="0" fontId="40" fillId="58" borderId="102" applyNumberFormat="0" applyFont="0" applyAlignment="0" applyProtection="0"/>
    <xf numFmtId="0" fontId="5" fillId="58" borderId="102" applyNumberFormat="0" applyFont="0" applyAlignment="0" applyProtection="0"/>
    <xf numFmtId="0" fontId="62" fillId="55" borderId="99" applyNumberFormat="0" applyAlignment="0" applyProtection="0"/>
    <xf numFmtId="0" fontId="65" fillId="0" borderId="101" applyNumberFormat="0" applyFill="0" applyAlignment="0" applyProtection="0"/>
    <xf numFmtId="0" fontId="46" fillId="55" borderId="100" applyNumberFormat="0" applyAlignment="0" applyProtection="0"/>
    <xf numFmtId="0" fontId="58" fillId="42" borderId="100" applyNumberFormat="0" applyAlignment="0" applyProtection="0"/>
    <xf numFmtId="0" fontId="40" fillId="58" borderId="102" applyNumberFormat="0" applyFont="0" applyAlignment="0" applyProtection="0"/>
    <xf numFmtId="0" fontId="62" fillId="55" borderId="99" applyNumberFormat="0" applyAlignment="0" applyProtection="0"/>
    <xf numFmtId="0" fontId="65" fillId="0" borderId="101" applyNumberFormat="0" applyFill="0" applyAlignment="0" applyProtection="0"/>
    <xf numFmtId="0" fontId="32" fillId="33" borderId="96">
      <alignment horizontal="right" vertical="center"/>
    </xf>
    <xf numFmtId="4" fontId="32" fillId="33" borderId="96">
      <alignment horizontal="right" vertical="center"/>
    </xf>
    <xf numFmtId="0" fontId="32" fillId="33" borderId="97">
      <alignment horizontal="right" vertical="center"/>
    </xf>
    <xf numFmtId="4" fontId="32" fillId="33" borderId="97">
      <alignment horizontal="right" vertical="center"/>
    </xf>
    <xf numFmtId="0" fontId="46" fillId="55" borderId="100" applyNumberFormat="0" applyAlignment="0" applyProtection="0"/>
    <xf numFmtId="0" fontId="34" fillId="33" borderId="98">
      <alignment horizontal="left" vertical="center" wrapText="1" indent="2"/>
    </xf>
    <xf numFmtId="0" fontId="34" fillId="0" borderId="98">
      <alignment horizontal="left" vertical="center" wrapText="1" indent="2"/>
    </xf>
    <xf numFmtId="0" fontId="34" fillId="31" borderId="96">
      <alignment horizontal="left" vertical="center"/>
    </xf>
    <xf numFmtId="0" fontId="58" fillId="42" borderId="100" applyNumberFormat="0" applyAlignment="0" applyProtection="0"/>
    <xf numFmtId="0" fontId="62" fillId="55" borderId="99" applyNumberFormat="0" applyAlignment="0" applyProtection="0"/>
    <xf numFmtId="0" fontId="65" fillId="0" borderId="101" applyNumberFormat="0" applyFill="0" applyAlignment="0" applyProtection="0"/>
    <xf numFmtId="49" fontId="34" fillId="0" borderId="96" applyNumberFormat="0" applyFont="0" applyFill="0" applyBorder="0" applyProtection="0">
      <alignment horizontal="left" vertical="center" indent="5"/>
    </xf>
    <xf numFmtId="0" fontId="43" fillId="55" borderId="99" applyNumberFormat="0" applyAlignment="0" applyProtection="0"/>
    <xf numFmtId="0" fontId="45" fillId="55" borderId="100" applyNumberFormat="0" applyAlignment="0" applyProtection="0"/>
    <xf numFmtId="0" fontId="50" fillId="0" borderId="101" applyNumberFormat="0" applyFill="0" applyAlignment="0" applyProtection="0"/>
    <xf numFmtId="49" fontId="34" fillId="0" borderId="103" applyNumberFormat="0" applyFont="0" applyFill="0" applyBorder="0" applyProtection="0">
      <alignment horizontal="left" vertical="center" indent="2"/>
    </xf>
    <xf numFmtId="0" fontId="32" fillId="31" borderId="103">
      <alignment horizontal="right" vertical="center"/>
    </xf>
    <xf numFmtId="4" fontId="32" fillId="31" borderId="103">
      <alignment horizontal="right" vertical="center"/>
    </xf>
    <xf numFmtId="0" fontId="36" fillId="31" borderId="103">
      <alignment horizontal="right" vertical="center"/>
    </xf>
    <xf numFmtId="4" fontId="36" fillId="31" borderId="103">
      <alignment horizontal="right" vertical="center"/>
    </xf>
    <xf numFmtId="0" fontId="32" fillId="33" borderId="103">
      <alignment horizontal="right" vertical="center"/>
    </xf>
    <xf numFmtId="4" fontId="32" fillId="33" borderId="103">
      <alignment horizontal="right" vertical="center"/>
    </xf>
    <xf numFmtId="0" fontId="32" fillId="33" borderId="103">
      <alignment horizontal="right" vertical="center"/>
    </xf>
    <xf numFmtId="4" fontId="32" fillId="33" borderId="103">
      <alignment horizontal="right" vertical="center"/>
    </xf>
    <xf numFmtId="0" fontId="49" fillId="42" borderId="100" applyNumberFormat="0" applyAlignment="0" applyProtection="0"/>
    <xf numFmtId="0" fontId="34" fillId="0" borderId="103">
      <alignment horizontal="right" vertical="center"/>
    </xf>
    <xf numFmtId="4" fontId="34" fillId="0" borderId="103">
      <alignment horizontal="right" vertical="center"/>
    </xf>
    <xf numFmtId="4" fontId="34" fillId="0" borderId="103" applyFill="0" applyBorder="0" applyProtection="0">
      <alignment horizontal="right" vertical="center"/>
    </xf>
    <xf numFmtId="49" fontId="33" fillId="0" borderId="103" applyNumberFormat="0" applyFill="0" applyBorder="0" applyProtection="0">
      <alignment horizontal="left" vertical="center"/>
    </xf>
    <xf numFmtId="0" fontId="34" fillId="0" borderId="103" applyNumberFormat="0" applyFill="0" applyAlignment="0" applyProtection="0"/>
    <xf numFmtId="173" fontId="34" fillId="59" borderId="103" applyNumberFormat="0" applyFont="0" applyBorder="0" applyAlignment="0" applyProtection="0">
      <alignment horizontal="right" vertical="center"/>
    </xf>
    <xf numFmtId="0" fontId="34" fillId="32" borderId="103"/>
    <xf numFmtId="4" fontId="34" fillId="32" borderId="103"/>
    <xf numFmtId="4" fontId="32" fillId="33" borderId="103">
      <alignment horizontal="right" vertical="center"/>
    </xf>
    <xf numFmtId="0" fontId="34" fillId="32" borderId="103"/>
    <xf numFmtId="0" fontId="45" fillId="55" borderId="100" applyNumberFormat="0" applyAlignment="0" applyProtection="0"/>
    <xf numFmtId="0" fontId="32" fillId="31" borderId="103">
      <alignment horizontal="right" vertical="center"/>
    </xf>
    <xf numFmtId="0" fontId="34" fillId="0" borderId="103">
      <alignment horizontal="right" vertical="center"/>
    </xf>
    <xf numFmtId="0" fontId="65" fillId="0" borderId="101" applyNumberFormat="0" applyFill="0" applyAlignment="0" applyProtection="0"/>
    <xf numFmtId="0" fontId="34" fillId="31" borderId="104">
      <alignment horizontal="left" vertical="center"/>
    </xf>
    <xf numFmtId="0" fontId="58" fillId="42" borderId="100" applyNumberFormat="0" applyAlignment="0" applyProtection="0"/>
    <xf numFmtId="173" fontId="34" fillId="59" borderId="103" applyNumberFormat="0" applyFont="0" applyBorder="0" applyAlignment="0" applyProtection="0">
      <alignment horizontal="right" vertical="center"/>
    </xf>
    <xf numFmtId="0" fontId="40" fillId="58" borderId="102" applyNumberFormat="0" applyFont="0" applyAlignment="0" applyProtection="0"/>
    <xf numFmtId="0" fontId="34" fillId="0" borderId="106">
      <alignment horizontal="left" vertical="center" wrapText="1" indent="2"/>
    </xf>
    <xf numFmtId="4" fontId="34" fillId="32" borderId="103"/>
    <xf numFmtId="49" fontId="33" fillId="0" borderId="103" applyNumberFormat="0" applyFill="0" applyBorder="0" applyProtection="0">
      <alignment horizontal="left" vertical="center"/>
    </xf>
    <xf numFmtId="0" fontId="34" fillId="0" borderId="103">
      <alignment horizontal="right" vertical="center"/>
    </xf>
    <xf numFmtId="4" fontId="32" fillId="33" borderId="105">
      <alignment horizontal="right" vertical="center"/>
    </xf>
    <xf numFmtId="4" fontId="32" fillId="33" borderId="103">
      <alignment horizontal="right" vertical="center"/>
    </xf>
    <xf numFmtId="4" fontId="32" fillId="33" borderId="103">
      <alignment horizontal="right" vertical="center"/>
    </xf>
    <xf numFmtId="0" fontId="36" fillId="31" borderId="103">
      <alignment horizontal="right" vertical="center"/>
    </xf>
    <xf numFmtId="0" fontId="32" fillId="31" borderId="103">
      <alignment horizontal="right" vertical="center"/>
    </xf>
    <xf numFmtId="49" fontId="34" fillId="0" borderId="103" applyNumberFormat="0" applyFont="0" applyFill="0" applyBorder="0" applyProtection="0">
      <alignment horizontal="left" vertical="center" indent="2"/>
    </xf>
    <xf numFmtId="0" fontId="58" fillId="42" borderId="100" applyNumberFormat="0" applyAlignment="0" applyProtection="0"/>
    <xf numFmtId="0" fontId="43" fillId="55" borderId="99" applyNumberFormat="0" applyAlignment="0" applyProtection="0"/>
    <xf numFmtId="49" fontId="34" fillId="0" borderId="103" applyNumberFormat="0" applyFont="0" applyFill="0" applyBorder="0" applyProtection="0">
      <alignment horizontal="left" vertical="center" indent="2"/>
    </xf>
    <xf numFmtId="0" fontId="49" fillId="42" borderId="100" applyNumberFormat="0" applyAlignment="0" applyProtection="0"/>
    <xf numFmtId="4" fontId="34" fillId="0" borderId="103" applyFill="0" applyBorder="0" applyProtection="0">
      <alignment horizontal="right" vertical="center"/>
    </xf>
    <xf numFmtId="0" fontId="46" fillId="55" borderId="100" applyNumberFormat="0" applyAlignment="0" applyProtection="0"/>
    <xf numFmtId="0" fontId="65" fillId="0" borderId="101" applyNumberFormat="0" applyFill="0" applyAlignment="0" applyProtection="0"/>
    <xf numFmtId="0" fontId="62" fillId="55" borderId="99" applyNumberFormat="0" applyAlignment="0" applyProtection="0"/>
    <xf numFmtId="0" fontId="34" fillId="0" borderId="103" applyNumberFormat="0" applyFill="0" applyAlignment="0" applyProtection="0"/>
    <xf numFmtId="4" fontId="34" fillId="0" borderId="103">
      <alignment horizontal="right" vertical="center"/>
    </xf>
    <xf numFmtId="0" fontId="34" fillId="0" borderId="103">
      <alignment horizontal="right" vertical="center"/>
    </xf>
    <xf numFmtId="0" fontId="58" fillId="42" borderId="100" applyNumberFormat="0" applyAlignment="0" applyProtection="0"/>
    <xf numFmtId="0" fontId="43" fillId="55" borderId="99" applyNumberFormat="0" applyAlignment="0" applyProtection="0"/>
    <xf numFmtId="0" fontId="45" fillId="55" borderId="100" applyNumberFormat="0" applyAlignment="0" applyProtection="0"/>
    <xf numFmtId="0" fontId="34" fillId="33" borderId="106">
      <alignment horizontal="left" vertical="center" wrapText="1" indent="2"/>
    </xf>
    <xf numFmtId="0" fontId="46" fillId="55" borderId="100" applyNumberFormat="0" applyAlignment="0" applyProtection="0"/>
    <xf numFmtId="0" fontId="46" fillId="55" borderId="100" applyNumberFormat="0" applyAlignment="0" applyProtection="0"/>
    <xf numFmtId="4" fontId="32" fillId="33" borderId="104">
      <alignment horizontal="right" vertical="center"/>
    </xf>
    <xf numFmtId="0" fontId="32" fillId="33" borderId="104">
      <alignment horizontal="right" vertical="center"/>
    </xf>
    <xf numFmtId="0" fontId="32" fillId="33" borderId="103">
      <alignment horizontal="right" vertical="center"/>
    </xf>
    <xf numFmtId="4" fontId="36" fillId="31" borderId="103">
      <alignment horizontal="right" vertical="center"/>
    </xf>
    <xf numFmtId="0" fontId="49" fillId="42" borderId="100" applyNumberFormat="0" applyAlignment="0" applyProtection="0"/>
    <xf numFmtId="0" fontId="50" fillId="0" borderId="101" applyNumberFormat="0" applyFill="0" applyAlignment="0" applyProtection="0"/>
    <xf numFmtId="0" fontId="65" fillId="0" borderId="101" applyNumberFormat="0" applyFill="0" applyAlignment="0" applyProtection="0"/>
    <xf numFmtId="0" fontId="40" fillId="58" borderId="102" applyNumberFormat="0" applyFont="0" applyAlignment="0" applyProtection="0"/>
    <xf numFmtId="0" fontId="58" fillId="42" borderId="100" applyNumberFormat="0" applyAlignment="0" applyProtection="0"/>
    <xf numFmtId="49" fontId="33" fillId="0" borderId="103" applyNumberFormat="0" applyFill="0" applyBorder="0" applyProtection="0">
      <alignment horizontal="left" vertical="center"/>
    </xf>
    <xf numFmtId="0" fontId="34" fillId="33" borderId="106">
      <alignment horizontal="left" vertical="center" wrapText="1" indent="2"/>
    </xf>
    <xf numFmtId="0" fontId="46" fillId="55" borderId="100" applyNumberFormat="0" applyAlignment="0" applyProtection="0"/>
    <xf numFmtId="0" fontId="34" fillId="0" borderId="106">
      <alignment horizontal="left" vertical="center" wrapText="1" indent="2"/>
    </xf>
    <xf numFmtId="0" fontId="40" fillId="58" borderId="102" applyNumberFormat="0" applyFont="0" applyAlignment="0" applyProtection="0"/>
    <xf numFmtId="0" fontId="5" fillId="58" borderId="102" applyNumberFormat="0" applyFont="0" applyAlignment="0" applyProtection="0"/>
    <xf numFmtId="0" fontId="62" fillId="55" borderId="99" applyNumberFormat="0" applyAlignment="0" applyProtection="0"/>
    <xf numFmtId="0" fontId="65" fillId="0" borderId="101" applyNumberFormat="0" applyFill="0" applyAlignment="0" applyProtection="0"/>
    <xf numFmtId="4" fontId="34" fillId="32" borderId="103"/>
    <xf numFmtId="0" fontId="32" fillId="33" borderId="103">
      <alignment horizontal="right" vertical="center"/>
    </xf>
    <xf numFmtId="0" fontId="65" fillId="0" borderId="101" applyNumberFormat="0" applyFill="0" applyAlignment="0" applyProtection="0"/>
    <xf numFmtId="4" fontId="32" fillId="33" borderId="105">
      <alignment horizontal="right" vertical="center"/>
    </xf>
    <xf numFmtId="0" fontId="45" fillId="55" borderId="100" applyNumberFormat="0" applyAlignment="0" applyProtection="0"/>
    <xf numFmtId="0" fontId="32" fillId="33" borderId="104">
      <alignment horizontal="right" vertical="center"/>
    </xf>
    <xf numFmtId="0" fontId="46" fillId="55" borderId="100" applyNumberFormat="0" applyAlignment="0" applyProtection="0"/>
    <xf numFmtId="0" fontId="50" fillId="0" borderId="101" applyNumberFormat="0" applyFill="0" applyAlignment="0" applyProtection="0"/>
    <xf numFmtId="0" fontId="40" fillId="58" borderId="102" applyNumberFormat="0" applyFont="0" applyAlignment="0" applyProtection="0"/>
    <xf numFmtId="4" fontId="32" fillId="33" borderId="104">
      <alignment horizontal="right" vertical="center"/>
    </xf>
    <xf numFmtId="0" fontId="34" fillId="33" borderId="106">
      <alignment horizontal="left" vertical="center" wrapText="1" indent="2"/>
    </xf>
    <xf numFmtId="0" fontId="34" fillId="32" borderId="103"/>
    <xf numFmtId="173" fontId="34" fillId="59" borderId="103" applyNumberFormat="0" applyFont="0" applyBorder="0" applyAlignment="0" applyProtection="0">
      <alignment horizontal="right" vertical="center"/>
    </xf>
    <xf numFmtId="0" fontId="34" fillId="0" borderId="103" applyNumberFormat="0" applyFill="0" applyAlignment="0" applyProtection="0"/>
    <xf numFmtId="4" fontId="34" fillId="0" borderId="103" applyFill="0" applyBorder="0" applyProtection="0">
      <alignment horizontal="right" vertical="center"/>
    </xf>
    <xf numFmtId="4" fontId="32" fillId="31" borderId="103">
      <alignment horizontal="right" vertical="center"/>
    </xf>
    <xf numFmtId="0" fontId="50" fillId="0" borderId="101" applyNumberFormat="0" applyFill="0" applyAlignment="0" applyProtection="0"/>
    <xf numFmtId="49" fontId="33" fillId="0" borderId="103" applyNumberFormat="0" applyFill="0" applyBorder="0" applyProtection="0">
      <alignment horizontal="left" vertical="center"/>
    </xf>
    <xf numFmtId="49" fontId="34" fillId="0" borderId="104" applyNumberFormat="0" applyFont="0" applyFill="0" applyBorder="0" applyProtection="0">
      <alignment horizontal="left" vertical="center" indent="5"/>
    </xf>
    <xf numFmtId="0" fontId="34" fillId="31" borderId="104">
      <alignment horizontal="left" vertical="center"/>
    </xf>
    <xf numFmtId="0" fontId="46" fillId="55" borderId="100" applyNumberFormat="0" applyAlignment="0" applyProtection="0"/>
    <xf numFmtId="4" fontId="32" fillId="33" borderId="105">
      <alignment horizontal="right" vertical="center"/>
    </xf>
    <xf numFmtId="0" fontId="58" fillId="42" borderId="100" applyNumberFormat="0" applyAlignment="0" applyProtection="0"/>
    <xf numFmtId="0" fontId="58" fillId="42" borderId="100" applyNumberFormat="0" applyAlignment="0" applyProtection="0"/>
    <xf numFmtId="0" fontId="40" fillId="58" borderId="102" applyNumberFormat="0" applyFont="0" applyAlignment="0" applyProtection="0"/>
    <xf numFmtId="0" fontId="62" fillId="55" borderId="99" applyNumberFormat="0" applyAlignment="0" applyProtection="0"/>
    <xf numFmtId="0" fontId="65" fillId="0" borderId="101" applyNumberFormat="0" applyFill="0" applyAlignment="0" applyProtection="0"/>
    <xf numFmtId="0" fontId="32" fillId="33" borderId="103">
      <alignment horizontal="right" vertical="center"/>
    </xf>
    <xf numFmtId="0" fontId="5" fillId="58" borderId="102" applyNumberFormat="0" applyFont="0" applyAlignment="0" applyProtection="0"/>
    <xf numFmtId="4" fontId="34" fillId="0" borderId="103">
      <alignment horizontal="right" vertical="center"/>
    </xf>
    <xf numFmtId="0" fontId="65" fillId="0" borderId="101" applyNumberFormat="0" applyFill="0" applyAlignment="0" applyProtection="0"/>
    <xf numFmtId="0" fontId="32" fillId="33" borderId="103">
      <alignment horizontal="right" vertical="center"/>
    </xf>
    <xf numFmtId="0" fontId="32" fillId="33" borderId="103">
      <alignment horizontal="right" vertical="center"/>
    </xf>
    <xf numFmtId="4" fontId="36" fillId="31" borderId="103">
      <alignment horizontal="right" vertical="center"/>
    </xf>
    <xf numFmtId="0" fontId="32" fillId="31" borderId="103">
      <alignment horizontal="right" vertical="center"/>
    </xf>
    <xf numFmtId="4" fontId="32" fillId="31" borderId="103">
      <alignment horizontal="right" vertical="center"/>
    </xf>
    <xf numFmtId="0" fontId="36" fillId="31" borderId="103">
      <alignment horizontal="right" vertical="center"/>
    </xf>
    <xf numFmtId="4" fontId="36" fillId="31" borderId="103">
      <alignment horizontal="right" vertical="center"/>
    </xf>
    <xf numFmtId="0" fontId="32" fillId="33" borderId="103">
      <alignment horizontal="right" vertical="center"/>
    </xf>
    <xf numFmtId="4" fontId="32" fillId="33" borderId="103">
      <alignment horizontal="right" vertical="center"/>
    </xf>
    <xf numFmtId="0" fontId="32" fillId="33" borderId="103">
      <alignment horizontal="right" vertical="center"/>
    </xf>
    <xf numFmtId="4" fontId="32" fillId="33" borderId="103">
      <alignment horizontal="right" vertical="center"/>
    </xf>
    <xf numFmtId="0" fontId="32" fillId="33" borderId="104">
      <alignment horizontal="right" vertical="center"/>
    </xf>
    <xf numFmtId="4" fontId="32" fillId="33" borderId="104">
      <alignment horizontal="right" vertical="center"/>
    </xf>
    <xf numFmtId="0" fontId="32" fillId="33" borderId="105">
      <alignment horizontal="right" vertical="center"/>
    </xf>
    <xf numFmtId="4" fontId="32" fillId="33" borderId="105">
      <alignment horizontal="right" vertical="center"/>
    </xf>
    <xf numFmtId="0" fontId="46" fillId="55" borderId="100" applyNumberFormat="0" applyAlignment="0" applyProtection="0"/>
    <xf numFmtId="0" fontId="34" fillId="33" borderId="106">
      <alignment horizontal="left" vertical="center" wrapText="1" indent="2"/>
    </xf>
    <xf numFmtId="0" fontId="34" fillId="0" borderId="106">
      <alignment horizontal="left" vertical="center" wrapText="1" indent="2"/>
    </xf>
    <xf numFmtId="0" fontId="34" fillId="31" borderId="104">
      <alignment horizontal="left" vertical="center"/>
    </xf>
    <xf numFmtId="0" fontId="58" fillId="42" borderId="100" applyNumberFormat="0" applyAlignment="0" applyProtection="0"/>
    <xf numFmtId="0" fontId="34" fillId="0" borderId="103">
      <alignment horizontal="right" vertical="center"/>
    </xf>
    <xf numFmtId="4" fontId="34" fillId="0" borderId="103">
      <alignment horizontal="right" vertical="center"/>
    </xf>
    <xf numFmtId="0" fontId="34" fillId="0" borderId="103" applyNumberFormat="0" applyFill="0" applyAlignment="0" applyProtection="0"/>
    <xf numFmtId="0" fontId="62" fillId="55" borderId="99" applyNumberFormat="0" applyAlignment="0" applyProtection="0"/>
    <xf numFmtId="173" fontId="34" fillId="59" borderId="103" applyNumberFormat="0" applyFont="0" applyBorder="0" applyAlignment="0" applyProtection="0">
      <alignment horizontal="right" vertical="center"/>
    </xf>
    <xf numFmtId="0" fontId="34" fillId="32" borderId="103"/>
    <xf numFmtId="4" fontId="34" fillId="32" borderId="103"/>
    <xf numFmtId="0" fontId="65" fillId="0" borderId="101" applyNumberFormat="0" applyFill="0" applyAlignment="0" applyProtection="0"/>
    <xf numFmtId="0" fontId="5" fillId="58" borderId="102" applyNumberFormat="0" applyFont="0" applyAlignment="0" applyProtection="0"/>
    <xf numFmtId="0" fontId="40" fillId="58" borderId="102" applyNumberFormat="0" applyFont="0" applyAlignment="0" applyProtection="0"/>
    <xf numFmtId="0" fontId="34" fillId="0" borderId="103" applyNumberFormat="0" applyFill="0" applyAlignment="0" applyProtection="0"/>
    <xf numFmtId="0" fontId="50" fillId="0" borderId="101" applyNumberFormat="0" applyFill="0" applyAlignment="0" applyProtection="0"/>
    <xf numFmtId="0" fontId="65" fillId="0" borderId="101" applyNumberFormat="0" applyFill="0" applyAlignment="0" applyProtection="0"/>
    <xf numFmtId="0" fontId="49" fillId="42" borderId="100" applyNumberFormat="0" applyAlignment="0" applyProtection="0"/>
    <xf numFmtId="0" fontId="46" fillId="55" borderId="100" applyNumberFormat="0" applyAlignment="0" applyProtection="0"/>
    <xf numFmtId="4" fontId="36" fillId="31" borderId="103">
      <alignment horizontal="right" vertical="center"/>
    </xf>
    <xf numFmtId="0" fontId="32" fillId="31" borderId="103">
      <alignment horizontal="right" vertical="center"/>
    </xf>
    <xf numFmtId="173" fontId="34" fillId="59" borderId="103" applyNumberFormat="0" applyFont="0" applyBorder="0" applyAlignment="0" applyProtection="0">
      <alignment horizontal="right" vertical="center"/>
    </xf>
    <xf numFmtId="0" fontId="50" fillId="0" borderId="101" applyNumberFormat="0" applyFill="0" applyAlignment="0" applyProtection="0"/>
    <xf numFmtId="49" fontId="34" fillId="0" borderId="103" applyNumberFormat="0" applyFont="0" applyFill="0" applyBorder="0" applyProtection="0">
      <alignment horizontal="left" vertical="center" indent="2"/>
    </xf>
    <xf numFmtId="49" fontId="34" fillId="0" borderId="104" applyNumberFormat="0" applyFont="0" applyFill="0" applyBorder="0" applyProtection="0">
      <alignment horizontal="left" vertical="center" indent="5"/>
    </xf>
    <xf numFmtId="49" fontId="34" fillId="0" borderId="103" applyNumberFormat="0" applyFont="0" applyFill="0" applyBorder="0" applyProtection="0">
      <alignment horizontal="left" vertical="center" indent="2"/>
    </xf>
    <xf numFmtId="4" fontId="34" fillId="0" borderId="103" applyFill="0" applyBorder="0" applyProtection="0">
      <alignment horizontal="right" vertical="center"/>
    </xf>
    <xf numFmtId="49" fontId="33" fillId="0" borderId="103" applyNumberFormat="0" applyFill="0" applyBorder="0" applyProtection="0">
      <alignment horizontal="left" vertical="center"/>
    </xf>
    <xf numFmtId="0" fontId="34" fillId="0" borderId="106">
      <alignment horizontal="left" vertical="center" wrapText="1" indent="2"/>
    </xf>
    <xf numFmtId="0" fontId="62" fillId="55" borderId="99" applyNumberFormat="0" applyAlignment="0" applyProtection="0"/>
    <xf numFmtId="0" fontId="32" fillId="33" borderId="105">
      <alignment horizontal="right" vertical="center"/>
    </xf>
    <xf numFmtId="0" fontId="49" fillId="42" borderId="100" applyNumberFormat="0" applyAlignment="0" applyProtection="0"/>
    <xf numFmtId="0" fontId="32" fillId="33" borderId="105">
      <alignment horizontal="right" vertical="center"/>
    </xf>
    <xf numFmtId="4" fontId="32" fillId="33" borderId="103">
      <alignment horizontal="right" vertical="center"/>
    </xf>
    <xf numFmtId="0" fontId="32" fillId="33" borderId="103">
      <alignment horizontal="right" vertical="center"/>
    </xf>
    <xf numFmtId="0" fontId="43" fillId="55" borderId="99" applyNumberFormat="0" applyAlignment="0" applyProtection="0"/>
    <xf numFmtId="0" fontId="45" fillId="55" borderId="100" applyNumberFormat="0" applyAlignment="0" applyProtection="0"/>
    <xf numFmtId="0" fontId="50" fillId="0" borderId="101" applyNumberFormat="0" applyFill="0" applyAlignment="0" applyProtection="0"/>
    <xf numFmtId="0" fontId="34" fillId="32" borderId="103"/>
    <xf numFmtId="4" fontId="34" fillId="32" borderId="103"/>
    <xf numFmtId="4" fontId="32" fillId="33" borderId="103">
      <alignment horizontal="right" vertical="center"/>
    </xf>
    <xf numFmtId="0" fontId="36" fillId="31" borderId="103">
      <alignment horizontal="right" vertical="center"/>
    </xf>
    <xf numFmtId="0" fontId="49" fillId="42" borderId="100" applyNumberFormat="0" applyAlignment="0" applyProtection="0"/>
    <xf numFmtId="0" fontId="46" fillId="55" borderId="100" applyNumberFormat="0" applyAlignment="0" applyProtection="0"/>
    <xf numFmtId="4" fontId="34" fillId="0" borderId="103">
      <alignment horizontal="right" vertical="center"/>
    </xf>
    <xf numFmtId="0" fontId="34" fillId="33" borderId="106">
      <alignment horizontal="left" vertical="center" wrapText="1" indent="2"/>
    </xf>
    <xf numFmtId="0" fontId="34" fillId="0" borderId="106">
      <alignment horizontal="left" vertical="center" wrapText="1" indent="2"/>
    </xf>
    <xf numFmtId="0" fontId="62" fillId="55" borderId="99" applyNumberFormat="0" applyAlignment="0" applyProtection="0"/>
    <xf numFmtId="0" fontId="58" fillId="42" borderId="100" applyNumberFormat="0" applyAlignment="0" applyProtection="0"/>
    <xf numFmtId="0" fontId="45" fillId="55" borderId="100" applyNumberFormat="0" applyAlignment="0" applyProtection="0"/>
    <xf numFmtId="0" fontId="43" fillId="55" borderId="99" applyNumberFormat="0" applyAlignment="0" applyProtection="0"/>
    <xf numFmtId="0" fontId="32" fillId="33" borderId="105">
      <alignment horizontal="right" vertical="center"/>
    </xf>
    <xf numFmtId="0" fontId="36" fillId="31" borderId="103">
      <alignment horizontal="right" vertical="center"/>
    </xf>
    <xf numFmtId="4" fontId="32" fillId="31" borderId="103">
      <alignment horizontal="right" vertical="center"/>
    </xf>
    <xf numFmtId="4" fontId="32" fillId="33" borderId="103">
      <alignment horizontal="right" vertical="center"/>
    </xf>
    <xf numFmtId="49" fontId="34" fillId="0" borderId="104" applyNumberFormat="0" applyFont="0" applyFill="0" applyBorder="0" applyProtection="0">
      <alignment horizontal="left" vertical="center" indent="5"/>
    </xf>
    <xf numFmtId="4" fontId="34" fillId="0" borderId="103" applyFill="0" applyBorder="0" applyProtection="0">
      <alignment horizontal="right" vertical="center"/>
    </xf>
    <xf numFmtId="4" fontId="32" fillId="31" borderId="103">
      <alignment horizontal="right" vertical="center"/>
    </xf>
    <xf numFmtId="0" fontId="58" fillId="42" borderId="100" applyNumberFormat="0" applyAlignment="0" applyProtection="0"/>
    <xf numFmtId="0" fontId="49" fillId="42" borderId="100" applyNumberFormat="0" applyAlignment="0" applyProtection="0"/>
    <xf numFmtId="0" fontId="45" fillId="55" borderId="100" applyNumberFormat="0" applyAlignment="0" applyProtection="0"/>
    <xf numFmtId="0" fontId="34" fillId="33" borderId="106">
      <alignment horizontal="left" vertical="center" wrapText="1" indent="2"/>
    </xf>
    <xf numFmtId="0" fontId="34" fillId="0" borderId="106">
      <alignment horizontal="left" vertical="center" wrapText="1" indent="2"/>
    </xf>
    <xf numFmtId="0" fontId="34" fillId="33" borderId="106">
      <alignment horizontal="left" vertical="center" wrapText="1" indent="2"/>
    </xf>
    <xf numFmtId="4" fontId="32" fillId="33" borderId="108">
      <alignment horizontal="right" vertical="center"/>
    </xf>
    <xf numFmtId="0" fontId="49" fillId="42" borderId="123" applyNumberFormat="0" applyAlignment="0" applyProtection="0"/>
    <xf numFmtId="0" fontId="34" fillId="0" borderId="108">
      <alignment horizontal="right" vertical="center"/>
    </xf>
    <xf numFmtId="4" fontId="32" fillId="33" borderId="128">
      <alignment horizontal="right" vertical="center"/>
    </xf>
    <xf numFmtId="0" fontId="50" fillId="0" borderId="114" applyNumberFormat="0" applyFill="0" applyAlignment="0" applyProtection="0"/>
    <xf numFmtId="0" fontId="65" fillId="0" borderId="114" applyNumberFormat="0" applyFill="0" applyAlignment="0" applyProtection="0"/>
    <xf numFmtId="4" fontId="36" fillId="31" borderId="118">
      <alignment horizontal="right" vertical="center"/>
    </xf>
    <xf numFmtId="0" fontId="32" fillId="33" borderId="108">
      <alignment horizontal="right" vertical="center"/>
    </xf>
    <xf numFmtId="0" fontId="32" fillId="33" borderId="109">
      <alignment horizontal="right" vertical="center"/>
    </xf>
    <xf numFmtId="0" fontId="58" fillId="42" borderId="113" applyNumberFormat="0" applyAlignment="0" applyProtection="0"/>
    <xf numFmtId="4" fontId="32" fillId="31" borderId="108">
      <alignment horizontal="right" vertical="center"/>
    </xf>
    <xf numFmtId="4" fontId="34" fillId="0" borderId="118" applyFill="0" applyBorder="0" applyProtection="0">
      <alignment horizontal="right" vertical="center"/>
    </xf>
    <xf numFmtId="0" fontId="50" fillId="0" borderId="114" applyNumberFormat="0" applyFill="0" applyAlignment="0" applyProtection="0"/>
    <xf numFmtId="0" fontId="46" fillId="55" borderId="115" applyNumberFormat="0" applyAlignment="0" applyProtection="0"/>
    <xf numFmtId="0" fontId="58" fillId="42" borderId="113" applyNumberFormat="0" applyAlignment="0" applyProtection="0"/>
    <xf numFmtId="0" fontId="45" fillId="55" borderId="113" applyNumberFormat="0" applyAlignment="0" applyProtection="0"/>
    <xf numFmtId="0" fontId="26" fillId="16" borderId="0" applyNumberFormat="0" applyBorder="0" applyAlignment="0" applyProtection="0"/>
    <xf numFmtId="0" fontId="29" fillId="12" borderId="10" applyNumberFormat="0" applyAlignment="0" applyProtection="0"/>
    <xf numFmtId="0" fontId="12" fillId="15" borderId="0" applyNumberFormat="0" applyBorder="0" applyAlignment="0" applyProtection="0"/>
    <xf numFmtId="0" fontId="49" fillId="42" borderId="115" applyNumberFormat="0" applyAlignment="0" applyProtection="0"/>
    <xf numFmtId="0" fontId="58" fillId="42" borderId="123" applyNumberFormat="0" applyAlignment="0" applyProtection="0"/>
    <xf numFmtId="0" fontId="34" fillId="0" borderId="118">
      <alignment horizontal="right" vertical="center"/>
    </xf>
    <xf numFmtId="0" fontId="32" fillId="33" borderId="108">
      <alignment horizontal="right" vertical="center"/>
    </xf>
    <xf numFmtId="0" fontId="65" fillId="0" borderId="114" applyNumberFormat="0" applyFill="0" applyAlignment="0" applyProtection="0"/>
    <xf numFmtId="0" fontId="12" fillId="27" borderId="0" applyNumberFormat="0" applyBorder="0" applyAlignment="0" applyProtection="0"/>
    <xf numFmtId="0" fontId="5" fillId="58" borderId="117" applyNumberFormat="0" applyFont="0" applyAlignment="0" applyProtection="0"/>
    <xf numFmtId="0" fontId="29" fillId="12" borderId="10" applyNumberFormat="0" applyAlignment="0" applyProtection="0"/>
    <xf numFmtId="4" fontId="34" fillId="0" borderId="108" applyFill="0" applyBorder="0" applyProtection="0">
      <alignment horizontal="right" vertical="center"/>
    </xf>
    <xf numFmtId="0" fontId="49" fillId="42" borderId="113" applyNumberFormat="0" applyAlignment="0" applyProtection="0"/>
    <xf numFmtId="0" fontId="32" fillId="33" borderId="108">
      <alignment horizontal="right" vertical="center"/>
    </xf>
    <xf numFmtId="4" fontId="32" fillId="31" borderId="118">
      <alignment horizontal="right" vertical="center"/>
    </xf>
    <xf numFmtId="0" fontId="40" fillId="58" borderId="125" applyNumberFormat="0" applyFont="0" applyAlignment="0" applyProtection="0"/>
    <xf numFmtId="173" fontId="34" fillId="59" borderId="108" applyNumberFormat="0" applyFont="0" applyBorder="0" applyAlignment="0" applyProtection="0">
      <alignment horizontal="right" vertical="center"/>
    </xf>
    <xf numFmtId="0" fontId="28" fillId="12" borderId="11" applyNumberFormat="0" applyAlignment="0" applyProtection="0"/>
    <xf numFmtId="173" fontId="34" fillId="59" borderId="108" applyNumberFormat="0" applyFont="0" applyBorder="0" applyAlignment="0" applyProtection="0">
      <alignment horizontal="right" vertical="center"/>
    </xf>
    <xf numFmtId="0" fontId="34" fillId="0" borderId="126">
      <alignment horizontal="right" vertical="center"/>
    </xf>
    <xf numFmtId="0" fontId="36" fillId="31" borderId="126">
      <alignment horizontal="right" vertical="center"/>
    </xf>
    <xf numFmtId="0" fontId="62" fillId="55" borderId="122" applyNumberFormat="0" applyAlignment="0" applyProtection="0"/>
    <xf numFmtId="49" fontId="33" fillId="0" borderId="118" applyNumberFormat="0" applyFill="0" applyBorder="0" applyProtection="0">
      <alignment horizontal="left" vertical="center"/>
    </xf>
    <xf numFmtId="0" fontId="49" fillId="42" borderId="115" applyNumberFormat="0" applyAlignment="0" applyProtection="0"/>
    <xf numFmtId="0" fontId="65" fillId="0" borderId="114" applyNumberFormat="0" applyFill="0" applyAlignment="0" applyProtection="0"/>
    <xf numFmtId="0" fontId="1" fillId="0" borderId="0" applyNumberFormat="0" applyFill="0" applyBorder="0" applyAlignment="0" applyProtection="0"/>
    <xf numFmtId="4" fontId="32" fillId="33" borderId="108">
      <alignment horizontal="right" vertical="center"/>
    </xf>
    <xf numFmtId="0" fontId="32" fillId="31" borderId="118">
      <alignment horizontal="right" vertical="center"/>
    </xf>
    <xf numFmtId="4" fontId="36" fillId="31" borderId="118">
      <alignment horizontal="right" vertical="center"/>
    </xf>
    <xf numFmtId="0" fontId="58" fillId="42" borderId="115" applyNumberFormat="0" applyAlignment="0" applyProtection="0"/>
    <xf numFmtId="0" fontId="62" fillId="55" borderId="122" applyNumberFormat="0" applyAlignment="0" applyProtection="0"/>
    <xf numFmtId="0" fontId="32" fillId="33" borderId="118">
      <alignment horizontal="right" vertical="center"/>
    </xf>
    <xf numFmtId="0" fontId="32" fillId="33" borderId="108">
      <alignment horizontal="right" vertical="center"/>
    </xf>
    <xf numFmtId="0" fontId="28" fillId="12" borderId="11" applyNumberFormat="0" applyAlignment="0" applyProtection="0"/>
    <xf numFmtId="0" fontId="32" fillId="33" borderId="119">
      <alignment horizontal="right" vertical="center"/>
    </xf>
    <xf numFmtId="0" fontId="26" fillId="22" borderId="0" applyNumberFormat="0" applyBorder="0" applyAlignment="0" applyProtection="0"/>
    <xf numFmtId="0" fontId="49" fillId="42" borderId="123" applyNumberFormat="0" applyAlignment="0" applyProtection="0"/>
    <xf numFmtId="0" fontId="34" fillId="0" borderId="118" applyNumberFormat="0" applyFill="0" applyAlignment="0" applyProtection="0"/>
    <xf numFmtId="0" fontId="5" fillId="58" borderId="117" applyNumberFormat="0" applyFont="0" applyAlignment="0" applyProtection="0"/>
    <xf numFmtId="0" fontId="5" fillId="58" borderId="117" applyNumberFormat="0" applyFont="0" applyAlignment="0" applyProtection="0"/>
    <xf numFmtId="49" fontId="33" fillId="0" borderId="108" applyNumberFormat="0" applyFill="0" applyBorder="0" applyProtection="0">
      <alignment horizontal="left" vertical="center"/>
    </xf>
    <xf numFmtId="0" fontId="12" fillId="24" borderId="0" applyNumberFormat="0" applyBorder="0" applyAlignment="0" applyProtection="0"/>
    <xf numFmtId="0" fontId="26" fillId="14" borderId="0" applyNumberFormat="0" applyBorder="0" applyAlignment="0" applyProtection="0"/>
    <xf numFmtId="4" fontId="32" fillId="33" borderId="118">
      <alignment horizontal="right" vertical="center"/>
    </xf>
    <xf numFmtId="49" fontId="33" fillId="0" borderId="108" applyNumberFormat="0" applyFill="0" applyBorder="0" applyProtection="0">
      <alignment horizontal="left" vertical="center"/>
    </xf>
    <xf numFmtId="4" fontId="32" fillId="33" borderId="127">
      <alignment horizontal="right" vertical="center"/>
    </xf>
    <xf numFmtId="0" fontId="34" fillId="0" borderId="111">
      <alignment horizontal="left" vertical="center" wrapText="1" indent="2"/>
    </xf>
    <xf numFmtId="4" fontId="34" fillId="0" borderId="108" applyFill="0" applyBorder="0" applyProtection="0">
      <alignment horizontal="right" vertical="center"/>
    </xf>
    <xf numFmtId="0" fontId="32" fillId="33" borderId="110">
      <alignment horizontal="right" vertical="center"/>
    </xf>
    <xf numFmtId="0" fontId="26" fillId="17" borderId="0" applyNumberFormat="0" applyBorder="0" applyAlignment="0" applyProtection="0"/>
    <xf numFmtId="49" fontId="34" fillId="0" borderId="108" applyNumberFormat="0" applyFont="0" applyFill="0" applyBorder="0" applyProtection="0">
      <alignment horizontal="left" vertical="center" indent="2"/>
    </xf>
    <xf numFmtId="0" fontId="46" fillId="55" borderId="115" applyNumberFormat="0" applyAlignment="0" applyProtection="0"/>
    <xf numFmtId="0" fontId="29" fillId="12" borderId="10" applyNumberFormat="0" applyAlignment="0" applyProtection="0"/>
    <xf numFmtId="0" fontId="62" fillId="55" borderId="112" applyNumberFormat="0" applyAlignment="0" applyProtection="0"/>
    <xf numFmtId="0" fontId="26" fillId="25" borderId="0" applyNumberFormat="0" applyBorder="0" applyAlignment="0" applyProtection="0"/>
    <xf numFmtId="0" fontId="50" fillId="0" borderId="116" applyNumberFormat="0" applyFill="0" applyAlignment="0" applyProtection="0"/>
    <xf numFmtId="0" fontId="65" fillId="0" borderId="116" applyNumberFormat="0" applyFill="0" applyAlignment="0" applyProtection="0"/>
    <xf numFmtId="0" fontId="34" fillId="0" borderId="126">
      <alignment horizontal="right" vertical="center"/>
    </xf>
    <xf numFmtId="0" fontId="32" fillId="33" borderId="126">
      <alignment horizontal="right" vertical="center"/>
    </xf>
    <xf numFmtId="0" fontId="46" fillId="55" borderId="113" applyNumberFormat="0" applyAlignment="0" applyProtection="0"/>
    <xf numFmtId="0" fontId="46" fillId="55" borderId="113" applyNumberFormat="0" applyAlignment="0" applyProtection="0"/>
    <xf numFmtId="173" fontId="34" fillId="59" borderId="108" applyNumberFormat="0" applyFont="0" applyBorder="0" applyAlignment="0" applyProtection="0">
      <alignment horizontal="right" vertical="center"/>
    </xf>
    <xf numFmtId="0" fontId="46" fillId="55" borderId="115" applyNumberFormat="0" applyAlignment="0" applyProtection="0"/>
    <xf numFmtId="0" fontId="34" fillId="33" borderId="121">
      <alignment horizontal="left" vertical="center" wrapText="1" indent="2"/>
    </xf>
    <xf numFmtId="0" fontId="58" fillId="42" borderId="113" applyNumberFormat="0" applyAlignment="0" applyProtection="0"/>
    <xf numFmtId="0" fontId="45" fillId="55" borderId="113" applyNumberFormat="0" applyAlignment="0" applyProtection="0"/>
    <xf numFmtId="0" fontId="46" fillId="55" borderId="113" applyNumberFormat="0" applyAlignment="0" applyProtection="0"/>
    <xf numFmtId="0" fontId="34" fillId="0" borderId="108">
      <alignment horizontal="right" vertical="center"/>
    </xf>
    <xf numFmtId="0" fontId="28" fillId="12" borderId="11" applyNumberFormat="0" applyAlignment="0" applyProtection="0"/>
    <xf numFmtId="0" fontId="12" fillId="27" borderId="0" applyNumberFormat="0" applyBorder="0" applyAlignment="0" applyProtection="0"/>
    <xf numFmtId="0" fontId="65" fillId="0" borderId="116" applyNumberFormat="0" applyFill="0" applyAlignment="0" applyProtection="0"/>
    <xf numFmtId="0" fontId="30" fillId="0" borderId="0" applyNumberFormat="0" applyFill="0" applyBorder="0" applyAlignment="0" applyProtection="0"/>
    <xf numFmtId="0" fontId="26" fillId="26" borderId="0" applyNumberFormat="0" applyBorder="0" applyAlignment="0" applyProtection="0"/>
    <xf numFmtId="0" fontId="34" fillId="0" borderId="111">
      <alignment horizontal="left" vertical="center" wrapText="1" indent="2"/>
    </xf>
    <xf numFmtId="0" fontId="50" fillId="0" borderId="116" applyNumberFormat="0" applyFill="0" applyAlignment="0" applyProtection="0"/>
    <xf numFmtId="4" fontId="34" fillId="0" borderId="126">
      <alignment horizontal="right" vertical="center"/>
    </xf>
    <xf numFmtId="0" fontId="5" fillId="58" borderId="125" applyNumberFormat="0" applyFont="0" applyAlignment="0" applyProtection="0"/>
    <xf numFmtId="0" fontId="12" fillId="30" borderId="0" applyNumberFormat="0" applyBorder="0" applyAlignment="0" applyProtection="0"/>
    <xf numFmtId="0" fontId="26" fillId="14" borderId="0" applyNumberFormat="0" applyBorder="0" applyAlignment="0" applyProtection="0"/>
    <xf numFmtId="0" fontId="50" fillId="0" borderId="116" applyNumberFormat="0" applyFill="0" applyAlignment="0" applyProtection="0"/>
    <xf numFmtId="0" fontId="12" fillId="18" borderId="0" applyNumberFormat="0" applyBorder="0" applyAlignment="0" applyProtection="0"/>
    <xf numFmtId="0" fontId="62" fillId="55" borderId="112" applyNumberFormat="0" applyAlignment="0" applyProtection="0"/>
    <xf numFmtId="0" fontId="32" fillId="33" borderId="108">
      <alignment horizontal="right" vertical="center"/>
    </xf>
    <xf numFmtId="0" fontId="49" fillId="42" borderId="113" applyNumberFormat="0" applyAlignment="0" applyProtection="0"/>
    <xf numFmtId="0" fontId="26" fillId="25" borderId="0" applyNumberFormat="0" applyBorder="0" applyAlignment="0" applyProtection="0"/>
    <xf numFmtId="49" fontId="33" fillId="0" borderId="108" applyNumberFormat="0" applyFill="0" applyBorder="0" applyProtection="0">
      <alignment horizontal="left" vertical="center"/>
    </xf>
    <xf numFmtId="0" fontId="36" fillId="31" borderId="118">
      <alignment horizontal="right" vertical="center"/>
    </xf>
    <xf numFmtId="49" fontId="34" fillId="0" borderId="109" applyNumberFormat="0" applyFont="0" applyFill="0" applyBorder="0" applyProtection="0">
      <alignment horizontal="left" vertical="center" indent="5"/>
    </xf>
    <xf numFmtId="0" fontId="34" fillId="33" borderId="129">
      <alignment horizontal="left" vertical="center" wrapText="1" indent="2"/>
    </xf>
    <xf numFmtId="0" fontId="40" fillId="58" borderId="107" applyNumberFormat="0" applyFont="0" applyAlignment="0" applyProtection="0"/>
    <xf numFmtId="4" fontId="36" fillId="31" borderId="108">
      <alignment horizontal="right" vertical="center"/>
    </xf>
    <xf numFmtId="0" fontId="40" fillId="58" borderId="117" applyNumberFormat="0" applyFont="0" applyAlignment="0" applyProtection="0"/>
    <xf numFmtId="4" fontId="32" fillId="33" borderId="108">
      <alignment horizontal="right" vertical="center"/>
    </xf>
    <xf numFmtId="0" fontId="26" fillId="23" borderId="0" applyNumberFormat="0" applyBorder="0" applyAlignment="0" applyProtection="0"/>
    <xf numFmtId="0" fontId="43" fillId="55" borderId="112" applyNumberFormat="0" applyAlignment="0" applyProtection="0"/>
    <xf numFmtId="0" fontId="34" fillId="0" borderId="108" applyNumberFormat="0" applyFill="0" applyAlignment="0" applyProtection="0"/>
    <xf numFmtId="0" fontId="32" fillId="33" borderId="110">
      <alignment horizontal="right" vertical="center"/>
    </xf>
    <xf numFmtId="0" fontId="40" fillId="58" borderId="125" applyNumberFormat="0" applyFont="0" applyAlignment="0" applyProtection="0"/>
    <xf numFmtId="0" fontId="43" fillId="55" borderId="112" applyNumberFormat="0" applyAlignment="0" applyProtection="0"/>
    <xf numFmtId="0" fontId="65" fillId="0" borderId="114" applyNumberFormat="0" applyFill="0" applyAlignment="0" applyProtection="0"/>
    <xf numFmtId="0" fontId="29" fillId="12" borderId="10" applyNumberFormat="0" applyAlignment="0" applyProtection="0"/>
    <xf numFmtId="0" fontId="36" fillId="31" borderId="118">
      <alignment horizontal="right" vertical="center"/>
    </xf>
    <xf numFmtId="0" fontId="62" fillId="55" borderId="122" applyNumberFormat="0" applyAlignment="0" applyProtection="0"/>
    <xf numFmtId="0" fontId="5" fillId="58" borderId="107" applyNumberFormat="0" applyFont="0" applyAlignment="0" applyProtection="0"/>
    <xf numFmtId="0" fontId="2" fillId="0" borderId="12" applyNumberFormat="0" applyFill="0" applyAlignment="0" applyProtection="0"/>
    <xf numFmtId="0" fontId="62" fillId="55" borderId="112" applyNumberFormat="0" applyAlignment="0" applyProtection="0"/>
    <xf numFmtId="4" fontId="34" fillId="0" borderId="118">
      <alignment horizontal="right" vertical="center"/>
    </xf>
    <xf numFmtId="0" fontId="34" fillId="31" borderId="127">
      <alignment horizontal="left" vertical="center"/>
    </xf>
    <xf numFmtId="0" fontId="46" fillId="55" borderId="123" applyNumberFormat="0" applyAlignment="0" applyProtection="0"/>
    <xf numFmtId="0" fontId="46" fillId="55" borderId="113" applyNumberFormat="0" applyAlignment="0" applyProtection="0"/>
    <xf numFmtId="0" fontId="26" fillId="25" borderId="0" applyNumberFormat="0" applyBorder="0" applyAlignment="0" applyProtection="0"/>
    <xf numFmtId="49" fontId="34" fillId="0" borderId="109" applyNumberFormat="0" applyFont="0" applyFill="0" applyBorder="0" applyProtection="0">
      <alignment horizontal="left" vertical="center" indent="5"/>
    </xf>
    <xf numFmtId="0" fontId="34" fillId="0" borderId="108">
      <alignment horizontal="right" vertical="center"/>
    </xf>
    <xf numFmtId="4" fontId="32" fillId="33" borderId="108">
      <alignment horizontal="right" vertical="center"/>
    </xf>
    <xf numFmtId="4" fontId="34" fillId="32" borderId="108"/>
    <xf numFmtId="4" fontId="34" fillId="0" borderId="108" applyFill="0" applyBorder="0" applyProtection="0">
      <alignment horizontal="right" vertical="center"/>
    </xf>
    <xf numFmtId="0" fontId="43" fillId="55" borderId="122" applyNumberFormat="0" applyAlignment="0" applyProtection="0"/>
    <xf numFmtId="173" fontId="34" fillId="59" borderId="126" applyNumberFormat="0" applyFont="0" applyBorder="0" applyAlignment="0" applyProtection="0">
      <alignment horizontal="right" vertical="center"/>
    </xf>
    <xf numFmtId="0" fontId="40" fillId="58" borderId="117" applyNumberFormat="0" applyFont="0" applyAlignment="0" applyProtection="0"/>
    <xf numFmtId="49" fontId="33" fillId="0" borderId="108" applyNumberFormat="0" applyFill="0" applyBorder="0" applyProtection="0">
      <alignment horizontal="left" vertical="center"/>
    </xf>
    <xf numFmtId="0" fontId="26" fillId="17" borderId="0" applyNumberFormat="0" applyBorder="0" applyAlignment="0" applyProtection="0"/>
    <xf numFmtId="4" fontId="32" fillId="33" borderId="110">
      <alignment horizontal="right" vertical="center"/>
    </xf>
    <xf numFmtId="0" fontId="34" fillId="0" borderId="111">
      <alignment horizontal="left" vertical="center" wrapText="1" indent="2"/>
    </xf>
    <xf numFmtId="0" fontId="45" fillId="55" borderId="115" applyNumberFormat="0" applyAlignment="0" applyProtection="0"/>
    <xf numFmtId="49" fontId="34" fillId="0" borderId="119" applyNumberFormat="0" applyFont="0" applyFill="0" applyBorder="0" applyProtection="0">
      <alignment horizontal="left" vertical="center" indent="5"/>
    </xf>
    <xf numFmtId="0" fontId="65" fillId="0" borderId="114" applyNumberFormat="0" applyFill="0" applyAlignment="0" applyProtection="0"/>
    <xf numFmtId="0" fontId="32" fillId="31" borderId="108">
      <alignment horizontal="right" vertical="center"/>
    </xf>
    <xf numFmtId="4" fontId="34" fillId="32" borderId="118"/>
    <xf numFmtId="0" fontId="32" fillId="33" borderId="118">
      <alignment horizontal="right" vertical="center"/>
    </xf>
    <xf numFmtId="0" fontId="40" fillId="58" borderId="107" applyNumberFormat="0" applyFont="0" applyAlignment="0" applyProtection="0"/>
    <xf numFmtId="0" fontId="12" fillId="21" borderId="0" applyNumberFormat="0" applyBorder="0" applyAlignment="0" applyProtection="0"/>
    <xf numFmtId="0" fontId="65" fillId="0" borderId="124" applyNumberFormat="0" applyFill="0" applyAlignment="0" applyProtection="0"/>
    <xf numFmtId="0" fontId="2" fillId="0" borderId="12" applyNumberFormat="0" applyFill="0" applyAlignment="0" applyProtection="0"/>
    <xf numFmtId="0" fontId="26" fillId="28" borderId="0" applyNumberFormat="0" applyBorder="0" applyAlignment="0" applyProtection="0"/>
    <xf numFmtId="0" fontId="32" fillId="33" borderId="108">
      <alignment horizontal="right" vertical="center"/>
    </xf>
    <xf numFmtId="0" fontId="12" fillId="30" borderId="0" applyNumberFormat="0" applyBorder="0" applyAlignment="0" applyProtection="0"/>
    <xf numFmtId="0" fontId="65" fillId="0" borderId="116" applyNumberFormat="0" applyFill="0" applyAlignment="0" applyProtection="0"/>
    <xf numFmtId="4" fontId="34" fillId="32" borderId="118"/>
    <xf numFmtId="4" fontId="34" fillId="32" borderId="118"/>
    <xf numFmtId="4" fontId="32" fillId="31" borderId="108">
      <alignment horizontal="right" vertical="center"/>
    </xf>
    <xf numFmtId="173" fontId="34" fillId="59" borderId="108" applyNumberFormat="0" applyFont="0" applyBorder="0" applyAlignment="0" applyProtection="0">
      <alignment horizontal="right" vertical="center"/>
    </xf>
    <xf numFmtId="4" fontId="34" fillId="32" borderId="108"/>
    <xf numFmtId="0" fontId="26" fillId="16" borderId="0" applyNumberFormat="0" applyBorder="0" applyAlignment="0" applyProtection="0"/>
    <xf numFmtId="0" fontId="32" fillId="33" borderId="109">
      <alignment horizontal="right" vertical="center"/>
    </xf>
    <xf numFmtId="0" fontId="46" fillId="55" borderId="113" applyNumberFormat="0" applyAlignment="0" applyProtection="0"/>
    <xf numFmtId="0" fontId="26" fillId="29" borderId="0" applyNumberFormat="0" applyBorder="0" applyAlignment="0" applyProtection="0"/>
    <xf numFmtId="0" fontId="26" fillId="28" borderId="0" applyNumberFormat="0" applyBorder="0" applyAlignment="0" applyProtection="0"/>
    <xf numFmtId="4" fontId="34" fillId="0" borderId="108" applyFill="0" applyBorder="0" applyProtection="0">
      <alignment horizontal="right" vertical="center"/>
    </xf>
    <xf numFmtId="0" fontId="34" fillId="0" borderId="129">
      <alignment horizontal="left" vertical="center" wrapText="1" indent="2"/>
    </xf>
    <xf numFmtId="4" fontId="36" fillId="31" borderId="126">
      <alignment horizontal="right" vertical="center"/>
    </xf>
    <xf numFmtId="0" fontId="26" fillId="16" borderId="0" applyNumberFormat="0" applyBorder="0" applyAlignment="0" applyProtection="0"/>
    <xf numFmtId="0" fontId="49" fillId="42" borderId="113" applyNumberFormat="0" applyAlignment="0" applyProtection="0"/>
    <xf numFmtId="0" fontId="26" fillId="19" borderId="0" applyNumberFormat="0" applyBorder="0" applyAlignment="0" applyProtection="0"/>
    <xf numFmtId="0" fontId="32" fillId="33" borderId="118">
      <alignment horizontal="right" vertical="center"/>
    </xf>
    <xf numFmtId="0" fontId="12" fillId="15" borderId="0" applyNumberFormat="0" applyBorder="0" applyAlignment="0" applyProtection="0"/>
    <xf numFmtId="0" fontId="58" fillId="42" borderId="123" applyNumberFormat="0" applyAlignment="0" applyProtection="0"/>
    <xf numFmtId="0" fontId="43" fillId="55" borderId="112" applyNumberFormat="0" applyAlignment="0" applyProtection="0"/>
    <xf numFmtId="0" fontId="1" fillId="0" borderId="0" applyNumberFormat="0" applyFill="0" applyBorder="0" applyAlignment="0" applyProtection="0"/>
    <xf numFmtId="0" fontId="12" fillId="30" borderId="0" applyNumberFormat="0" applyBorder="0" applyAlignment="0" applyProtection="0"/>
    <xf numFmtId="4" fontId="32" fillId="33" borderId="108">
      <alignment horizontal="right" vertical="center"/>
    </xf>
    <xf numFmtId="0" fontId="5" fillId="58" borderId="117" applyNumberFormat="0" applyFont="0" applyAlignment="0" applyProtection="0"/>
    <xf numFmtId="0" fontId="45" fillId="55" borderId="113" applyNumberFormat="0" applyAlignment="0" applyProtection="0"/>
    <xf numFmtId="0" fontId="32" fillId="33" borderId="118">
      <alignment horizontal="right" vertical="center"/>
    </xf>
    <xf numFmtId="0" fontId="32" fillId="33" borderId="108">
      <alignment horizontal="right" vertical="center"/>
    </xf>
    <xf numFmtId="0" fontId="30" fillId="0" borderId="0" applyNumberFormat="0" applyFill="0" applyBorder="0" applyAlignment="0" applyProtection="0"/>
    <xf numFmtId="0" fontId="26" fillId="28" borderId="0" applyNumberFormat="0" applyBorder="0" applyAlignment="0" applyProtection="0"/>
    <xf numFmtId="0" fontId="26" fillId="19" borderId="0" applyNumberFormat="0" applyBorder="0" applyAlignment="0" applyProtection="0"/>
    <xf numFmtId="0" fontId="1" fillId="0" borderId="0" applyNumberFormat="0" applyFill="0" applyBorder="0" applyAlignment="0" applyProtection="0"/>
    <xf numFmtId="0" fontId="58" fillId="42" borderId="113" applyNumberFormat="0" applyAlignment="0" applyProtection="0"/>
    <xf numFmtId="4" fontId="34" fillId="0" borderId="126" applyFill="0" applyBorder="0" applyProtection="0">
      <alignment horizontal="right" vertical="center"/>
    </xf>
    <xf numFmtId="0" fontId="40" fillId="58" borderId="107" applyNumberFormat="0" applyFont="0" applyAlignment="0" applyProtection="0"/>
    <xf numFmtId="0" fontId="26" fillId="19" borderId="0" applyNumberFormat="0" applyBorder="0" applyAlignment="0" applyProtection="0"/>
    <xf numFmtId="0" fontId="34" fillId="0" borderId="121">
      <alignment horizontal="left" vertical="center" wrapText="1" indent="2"/>
    </xf>
    <xf numFmtId="0" fontId="34" fillId="0" borderId="121">
      <alignment horizontal="left" vertical="center" wrapText="1" indent="2"/>
    </xf>
    <xf numFmtId="4" fontId="34" fillId="0" borderId="108">
      <alignment horizontal="right" vertical="center"/>
    </xf>
    <xf numFmtId="0" fontId="32" fillId="33" borderId="118">
      <alignment horizontal="right" vertical="center"/>
    </xf>
    <xf numFmtId="0" fontId="34" fillId="33" borderId="111">
      <alignment horizontal="left" vertical="center" wrapText="1" indent="2"/>
    </xf>
    <xf numFmtId="4" fontId="32" fillId="33" borderId="108">
      <alignment horizontal="right" vertical="center"/>
    </xf>
    <xf numFmtId="49" fontId="34" fillId="0" borderId="108" applyNumberFormat="0" applyFont="0" applyFill="0" applyBorder="0" applyProtection="0">
      <alignment horizontal="left" vertical="center" indent="2"/>
    </xf>
    <xf numFmtId="0" fontId="32" fillId="33" borderId="108">
      <alignment horizontal="right" vertical="center"/>
    </xf>
    <xf numFmtId="4" fontId="34" fillId="0" borderId="108" applyFill="0" applyBorder="0" applyProtection="0">
      <alignment horizontal="right" vertical="center"/>
    </xf>
    <xf numFmtId="173" fontId="34" fillId="59" borderId="118" applyNumberFormat="0" applyFont="0" applyBorder="0" applyAlignment="0" applyProtection="0">
      <alignment horizontal="right" vertical="center"/>
    </xf>
    <xf numFmtId="0" fontId="40" fillId="58" borderId="107" applyNumberFormat="0" applyFont="0" applyAlignment="0" applyProtection="0"/>
    <xf numFmtId="0" fontId="12" fillId="27" borderId="0" applyNumberFormat="0" applyBorder="0" applyAlignment="0" applyProtection="0"/>
    <xf numFmtId="0" fontId="49" fillId="42" borderId="113" applyNumberFormat="0" applyAlignment="0" applyProtection="0"/>
    <xf numFmtId="0" fontId="62" fillId="55" borderId="112" applyNumberFormat="0" applyAlignment="0" applyProtection="0"/>
    <xf numFmtId="0" fontId="49" fillId="42" borderId="115" applyNumberFormat="0" applyAlignment="0" applyProtection="0"/>
    <xf numFmtId="4" fontId="32" fillId="33" borderId="108">
      <alignment horizontal="right" vertical="center"/>
    </xf>
    <xf numFmtId="0" fontId="12" fillId="24" borderId="0" applyNumberFormat="0" applyBorder="0" applyAlignment="0" applyProtection="0"/>
    <xf numFmtId="4" fontId="34" fillId="0" borderId="118">
      <alignment horizontal="right" vertical="center"/>
    </xf>
    <xf numFmtId="0" fontId="12" fillId="18" borderId="0" applyNumberFormat="0" applyBorder="0" applyAlignment="0" applyProtection="0"/>
    <xf numFmtId="4" fontId="34" fillId="0" borderId="118" applyFill="0" applyBorder="0" applyProtection="0">
      <alignment horizontal="right" vertical="center"/>
    </xf>
    <xf numFmtId="4" fontId="34" fillId="0" borderId="118">
      <alignment horizontal="right" vertical="center"/>
    </xf>
    <xf numFmtId="0" fontId="32" fillId="33" borderId="110">
      <alignment horizontal="right" vertical="center"/>
    </xf>
    <xf numFmtId="0" fontId="29" fillId="12" borderId="10" applyNumberFormat="0" applyAlignment="0" applyProtection="0"/>
    <xf numFmtId="0" fontId="32" fillId="33" borderId="126">
      <alignment horizontal="right" vertical="center"/>
    </xf>
    <xf numFmtId="0" fontId="28" fillId="12" borderId="11" applyNumberFormat="0" applyAlignment="0" applyProtection="0"/>
    <xf numFmtId="0" fontId="50" fillId="0" borderId="114" applyNumberFormat="0" applyFill="0" applyAlignment="0" applyProtection="0"/>
    <xf numFmtId="0" fontId="26" fillId="14" borderId="0" applyNumberFormat="0" applyBorder="0" applyAlignment="0" applyProtection="0"/>
    <xf numFmtId="0" fontId="45" fillId="55" borderId="113" applyNumberFormat="0" applyAlignment="0" applyProtection="0"/>
    <xf numFmtId="49" fontId="34" fillId="0" borderId="118" applyNumberFormat="0" applyFont="0" applyFill="0" applyBorder="0" applyProtection="0">
      <alignment horizontal="left" vertical="center" indent="2"/>
    </xf>
    <xf numFmtId="0" fontId="26" fillId="14" borderId="0" applyNumberFormat="0" applyBorder="0" applyAlignment="0" applyProtection="0"/>
    <xf numFmtId="0" fontId="34" fillId="31" borderId="109">
      <alignment horizontal="left" vertical="center"/>
    </xf>
    <xf numFmtId="4" fontId="36" fillId="31" borderId="108">
      <alignment horizontal="right" vertical="center"/>
    </xf>
    <xf numFmtId="0" fontId="32" fillId="33" borderId="118">
      <alignment horizontal="right" vertical="center"/>
    </xf>
    <xf numFmtId="0" fontId="32" fillId="31" borderId="118">
      <alignment horizontal="right" vertical="center"/>
    </xf>
    <xf numFmtId="4" fontId="32" fillId="33" borderId="110">
      <alignment horizontal="right" vertical="center"/>
    </xf>
    <xf numFmtId="0" fontId="49" fillId="42" borderId="115" applyNumberFormat="0" applyAlignment="0" applyProtection="0"/>
    <xf numFmtId="4" fontId="32" fillId="31" borderId="108">
      <alignment horizontal="right" vertical="center"/>
    </xf>
    <xf numFmtId="0" fontId="43" fillId="55" borderId="122" applyNumberFormat="0" applyAlignment="0" applyProtection="0"/>
    <xf numFmtId="0" fontId="12" fillId="27" borderId="0" applyNumberFormat="0" applyBorder="0" applyAlignment="0" applyProtection="0"/>
    <xf numFmtId="0" fontId="26" fillId="22" borderId="0" applyNumberFormat="0" applyBorder="0" applyAlignment="0" applyProtection="0"/>
    <xf numFmtId="49" fontId="34" fillId="0" borderId="118" applyNumberFormat="0" applyFont="0" applyFill="0" applyBorder="0" applyProtection="0">
      <alignment horizontal="left" vertical="center" indent="2"/>
    </xf>
    <xf numFmtId="0" fontId="34" fillId="0" borderId="111">
      <alignment horizontal="left" vertical="center" wrapText="1" indent="2"/>
    </xf>
    <xf numFmtId="4" fontId="32" fillId="33" borderId="110">
      <alignment horizontal="right" vertical="center"/>
    </xf>
    <xf numFmtId="0" fontId="12" fillId="18" borderId="0" applyNumberFormat="0" applyBorder="0" applyAlignment="0" applyProtection="0"/>
    <xf numFmtId="4" fontId="34" fillId="32" borderId="108"/>
    <xf numFmtId="0" fontId="26" fillId="28" borderId="0" applyNumberFormat="0" applyBorder="0" applyAlignment="0" applyProtection="0"/>
    <xf numFmtId="0" fontId="26" fillId="17" borderId="0" applyNumberFormat="0" applyBorder="0" applyAlignment="0" applyProtection="0"/>
    <xf numFmtId="0" fontId="46" fillId="55" borderId="115" applyNumberFormat="0" applyAlignment="0" applyProtection="0"/>
    <xf numFmtId="0" fontId="34" fillId="32" borderId="108"/>
    <xf numFmtId="0" fontId="46" fillId="55" borderId="113" applyNumberFormat="0" applyAlignment="0" applyProtection="0"/>
    <xf numFmtId="0" fontId="46" fillId="55" borderId="123" applyNumberFormat="0" applyAlignment="0" applyProtection="0"/>
    <xf numFmtId="0" fontId="34" fillId="32" borderId="108"/>
    <xf numFmtId="0" fontId="46" fillId="55" borderId="115" applyNumberFormat="0" applyAlignment="0" applyProtection="0"/>
    <xf numFmtId="0" fontId="34" fillId="0" borderId="121">
      <alignment horizontal="left" vertical="center" wrapText="1" indent="2"/>
    </xf>
    <xf numFmtId="0" fontId="12" fillId="15" borderId="0" applyNumberFormat="0" applyBorder="0" applyAlignment="0" applyProtection="0"/>
    <xf numFmtId="0" fontId="65" fillId="0" borderId="116" applyNumberFormat="0" applyFill="0" applyAlignment="0" applyProtection="0"/>
    <xf numFmtId="173" fontId="34" fillId="59" borderId="126" applyNumberFormat="0" applyFont="0" applyBorder="0" applyAlignment="0" applyProtection="0">
      <alignment horizontal="right" vertical="center"/>
    </xf>
    <xf numFmtId="0" fontId="36" fillId="31" borderId="108">
      <alignment horizontal="right" vertical="center"/>
    </xf>
    <xf numFmtId="0" fontId="26" fillId="19" borderId="0" applyNumberFormat="0" applyBorder="0" applyAlignment="0" applyProtection="0"/>
    <xf numFmtId="49" fontId="33" fillId="0" borderId="118" applyNumberFormat="0" applyFill="0" applyBorder="0" applyProtection="0">
      <alignment horizontal="left" vertical="center"/>
    </xf>
    <xf numFmtId="4" fontId="32" fillId="33" borderId="108">
      <alignment horizontal="right" vertical="center"/>
    </xf>
    <xf numFmtId="0" fontId="43" fillId="55" borderId="122" applyNumberFormat="0" applyAlignment="0" applyProtection="0"/>
    <xf numFmtId="49" fontId="33" fillId="0" borderId="118" applyNumberFormat="0" applyFill="0" applyBorder="0" applyProtection="0">
      <alignment horizontal="left" vertical="center"/>
    </xf>
    <xf numFmtId="0" fontId="32" fillId="31" borderId="108">
      <alignment horizontal="right" vertical="center"/>
    </xf>
    <xf numFmtId="0" fontId="30" fillId="0" borderId="0" applyNumberFormat="0" applyFill="0" applyBorder="0" applyAlignment="0" applyProtection="0"/>
    <xf numFmtId="0" fontId="26" fillId="19" borderId="0" applyNumberFormat="0" applyBorder="0" applyAlignment="0" applyProtection="0"/>
    <xf numFmtId="0" fontId="65" fillId="0" borderId="114" applyNumberFormat="0" applyFill="0" applyAlignment="0" applyProtection="0"/>
    <xf numFmtId="0" fontId="26" fillId="20" borderId="0" applyNumberFormat="0" applyBorder="0" applyAlignment="0" applyProtection="0"/>
    <xf numFmtId="0" fontId="45" fillId="55" borderId="113" applyNumberFormat="0" applyAlignment="0" applyProtection="0"/>
    <xf numFmtId="0" fontId="46" fillId="55" borderId="115" applyNumberFormat="0" applyAlignment="0" applyProtection="0"/>
    <xf numFmtId="0" fontId="58" fillId="42" borderId="115" applyNumberFormat="0" applyAlignment="0" applyProtection="0"/>
    <xf numFmtId="49" fontId="34" fillId="0" borderId="108" applyNumberFormat="0" applyFont="0" applyFill="0" applyBorder="0" applyProtection="0">
      <alignment horizontal="left" vertical="center" indent="2"/>
    </xf>
    <xf numFmtId="0" fontId="26" fillId="14" borderId="0" applyNumberFormat="0" applyBorder="0" applyAlignment="0" applyProtection="0"/>
    <xf numFmtId="0" fontId="26" fillId="26" borderId="0" applyNumberFormat="0" applyBorder="0" applyAlignment="0" applyProtection="0"/>
    <xf numFmtId="4" fontId="34" fillId="0" borderId="108" applyFill="0" applyBorder="0" applyProtection="0">
      <alignment horizontal="right" vertical="center"/>
    </xf>
    <xf numFmtId="0" fontId="49" fillId="42" borderId="113" applyNumberFormat="0" applyAlignment="0" applyProtection="0"/>
    <xf numFmtId="0" fontId="12" fillId="24" borderId="0" applyNumberFormat="0" applyBorder="0" applyAlignment="0" applyProtection="0"/>
    <xf numFmtId="0" fontId="46" fillId="55" borderId="113" applyNumberFormat="0" applyAlignment="0" applyProtection="0"/>
    <xf numFmtId="4" fontId="32" fillId="33" borderId="119">
      <alignment horizontal="right" vertical="center"/>
    </xf>
    <xf numFmtId="0" fontId="65" fillId="0" borderId="116" applyNumberFormat="0" applyFill="0" applyAlignment="0" applyProtection="0"/>
    <xf numFmtId="0" fontId="43" fillId="55" borderId="112" applyNumberFormat="0" applyAlignment="0" applyProtection="0"/>
    <xf numFmtId="0" fontId="45" fillId="55" borderId="115" applyNumberFormat="0" applyAlignment="0" applyProtection="0"/>
    <xf numFmtId="0" fontId="26" fillId="28" borderId="0" applyNumberFormat="0" applyBorder="0" applyAlignment="0" applyProtection="0"/>
    <xf numFmtId="0" fontId="46" fillId="55" borderId="115" applyNumberFormat="0" applyAlignment="0" applyProtection="0"/>
    <xf numFmtId="0" fontId="34" fillId="31" borderId="127">
      <alignment horizontal="left" vertical="center"/>
    </xf>
    <xf numFmtId="0" fontId="32" fillId="33" borderId="108">
      <alignment horizontal="right" vertical="center"/>
    </xf>
    <xf numFmtId="0" fontId="32" fillId="33" borderId="120">
      <alignment horizontal="right" vertical="center"/>
    </xf>
    <xf numFmtId="0" fontId="32" fillId="31" borderId="108">
      <alignment horizontal="right" vertical="center"/>
    </xf>
    <xf numFmtId="0" fontId="32" fillId="33" borderId="108">
      <alignment horizontal="right" vertical="center"/>
    </xf>
    <xf numFmtId="0" fontId="40" fillId="58" borderId="107" applyNumberFormat="0" applyFont="0" applyAlignment="0" applyProtection="0"/>
    <xf numFmtId="0" fontId="1" fillId="0" borderId="0" applyNumberFormat="0" applyFill="0" applyBorder="0" applyAlignment="0" applyProtection="0"/>
    <xf numFmtId="0" fontId="34" fillId="31" borderId="109">
      <alignment horizontal="left" vertical="center"/>
    </xf>
    <xf numFmtId="0" fontId="46" fillId="55" borderId="113" applyNumberFormat="0" applyAlignment="0" applyProtection="0"/>
    <xf numFmtId="0" fontId="49" fillId="42" borderId="115" applyNumberFormat="0" applyAlignment="0" applyProtection="0"/>
    <xf numFmtId="0" fontId="32" fillId="33" borderId="108">
      <alignment horizontal="right" vertical="center"/>
    </xf>
    <xf numFmtId="0" fontId="26" fillId="22" borderId="0" applyNumberFormat="0" applyBorder="0" applyAlignment="0" applyProtection="0"/>
    <xf numFmtId="0" fontId="46" fillId="55" borderId="113" applyNumberFormat="0" applyAlignment="0" applyProtection="0"/>
    <xf numFmtId="0" fontId="5" fillId="58" borderId="107" applyNumberFormat="0" applyFont="0" applyAlignment="0" applyProtection="0"/>
    <xf numFmtId="4" fontId="34" fillId="0" borderId="108">
      <alignment horizontal="right" vertical="center"/>
    </xf>
    <xf numFmtId="0" fontId="32" fillId="33" borderId="119">
      <alignment horizontal="right" vertical="center"/>
    </xf>
    <xf numFmtId="0" fontId="50" fillId="0" borderId="116" applyNumberFormat="0" applyFill="0" applyAlignment="0" applyProtection="0"/>
    <xf numFmtId="0" fontId="34" fillId="0" borderId="121">
      <alignment horizontal="left" vertical="center" wrapText="1" indent="2"/>
    </xf>
    <xf numFmtId="0" fontId="26" fillId="13" borderId="0" applyNumberFormat="0" applyBorder="0" applyAlignment="0" applyProtection="0"/>
    <xf numFmtId="0" fontId="34" fillId="32" borderId="108"/>
    <xf numFmtId="0" fontId="1" fillId="0" borderId="0" applyNumberFormat="0" applyFill="0" applyBorder="0" applyAlignment="0" applyProtection="0"/>
    <xf numFmtId="0" fontId="58" fillId="42" borderId="113" applyNumberFormat="0" applyAlignment="0" applyProtection="0"/>
    <xf numFmtId="49" fontId="33" fillId="0" borderId="108" applyNumberFormat="0" applyFill="0" applyBorder="0" applyProtection="0">
      <alignment horizontal="left" vertical="center"/>
    </xf>
    <xf numFmtId="0" fontId="36" fillId="31" borderId="118">
      <alignment horizontal="right" vertical="center"/>
    </xf>
    <xf numFmtId="4" fontId="34" fillId="32" borderId="108"/>
    <xf numFmtId="4" fontId="32" fillId="31" borderId="108">
      <alignment horizontal="right" vertical="center"/>
    </xf>
    <xf numFmtId="0" fontId="32" fillId="31" borderId="108">
      <alignment horizontal="right" vertical="center"/>
    </xf>
    <xf numFmtId="0" fontId="34" fillId="33" borderId="121">
      <alignment horizontal="left" vertical="center" wrapText="1" indent="2"/>
    </xf>
    <xf numFmtId="0" fontId="32" fillId="33" borderId="108">
      <alignment horizontal="right" vertical="center"/>
    </xf>
    <xf numFmtId="0" fontId="26" fillId="29" borderId="0" applyNumberFormat="0" applyBorder="0" applyAlignment="0" applyProtection="0"/>
    <xf numFmtId="0" fontId="58" fillId="42" borderId="115" applyNumberFormat="0" applyAlignment="0" applyProtection="0"/>
    <xf numFmtId="0" fontId="62" fillId="55" borderId="122" applyNumberFormat="0" applyAlignment="0" applyProtection="0"/>
    <xf numFmtId="4" fontId="32" fillId="33" borderId="108">
      <alignment horizontal="right" vertical="center"/>
    </xf>
    <xf numFmtId="0" fontId="26" fillId="25" borderId="0" applyNumberFormat="0" applyBorder="0" applyAlignment="0" applyProtection="0"/>
    <xf numFmtId="0" fontId="26" fillId="19" borderId="0" applyNumberFormat="0" applyBorder="0" applyAlignment="0" applyProtection="0"/>
    <xf numFmtId="0" fontId="1" fillId="0" borderId="0" applyNumberFormat="0" applyFill="0" applyBorder="0" applyAlignment="0" applyProtection="0"/>
    <xf numFmtId="0" fontId="5" fillId="58" borderId="107" applyNumberFormat="0" applyFont="0" applyAlignment="0" applyProtection="0"/>
    <xf numFmtId="4" fontId="32" fillId="33" borderId="118">
      <alignment horizontal="right" vertical="center"/>
    </xf>
    <xf numFmtId="0" fontId="32" fillId="33" borderId="128">
      <alignment horizontal="right" vertical="center"/>
    </xf>
    <xf numFmtId="4" fontId="36" fillId="31" borderId="108">
      <alignment horizontal="right" vertical="center"/>
    </xf>
    <xf numFmtId="4" fontId="34" fillId="0" borderId="118" applyFill="0" applyBorder="0" applyProtection="0">
      <alignment horizontal="right" vertical="center"/>
    </xf>
    <xf numFmtId="4" fontId="34" fillId="0" borderId="108" applyFill="0" applyBorder="0" applyProtection="0">
      <alignment horizontal="right" vertical="center"/>
    </xf>
    <xf numFmtId="4" fontId="32" fillId="33" borderId="118">
      <alignment horizontal="right" vertical="center"/>
    </xf>
    <xf numFmtId="49" fontId="33" fillId="0" borderId="118" applyNumberFormat="0" applyFill="0" applyBorder="0" applyProtection="0">
      <alignment horizontal="left" vertical="center"/>
    </xf>
    <xf numFmtId="0" fontId="32" fillId="33" borderId="118">
      <alignment horizontal="right" vertical="center"/>
    </xf>
    <xf numFmtId="0" fontId="45" fillId="55" borderId="113" applyNumberFormat="0" applyAlignment="0" applyProtection="0"/>
    <xf numFmtId="0" fontId="26" fillId="23" borderId="0" applyNumberFormat="0" applyBorder="0" applyAlignment="0" applyProtection="0"/>
    <xf numFmtId="49" fontId="34" fillId="0" borderId="109" applyNumberFormat="0" applyFont="0" applyFill="0" applyBorder="0" applyProtection="0">
      <alignment horizontal="left" vertical="center" indent="5"/>
    </xf>
    <xf numFmtId="0" fontId="34" fillId="33" borderId="121">
      <alignment horizontal="left" vertical="center" wrapText="1" indent="2"/>
    </xf>
    <xf numFmtId="0" fontId="40" fillId="58" borderId="107" applyNumberFormat="0" applyFont="0" applyAlignment="0" applyProtection="0"/>
    <xf numFmtId="0" fontId="12" fillId="15" borderId="0" applyNumberFormat="0" applyBorder="0" applyAlignment="0" applyProtection="0"/>
    <xf numFmtId="0" fontId="40" fillId="58" borderId="107" applyNumberFormat="0" applyFont="0" applyAlignment="0" applyProtection="0"/>
    <xf numFmtId="0" fontId="32" fillId="33" borderId="108">
      <alignment horizontal="right" vertical="center"/>
    </xf>
    <xf numFmtId="4" fontId="32" fillId="31" borderId="126">
      <alignment horizontal="right" vertical="center"/>
    </xf>
    <xf numFmtId="4" fontId="32" fillId="31" borderId="108">
      <alignment horizontal="right" vertical="center"/>
    </xf>
    <xf numFmtId="0" fontId="46" fillId="55" borderId="115" applyNumberFormat="0" applyAlignment="0" applyProtection="0"/>
    <xf numFmtId="0" fontId="58" fillId="42" borderId="115" applyNumberFormat="0" applyAlignment="0" applyProtection="0"/>
    <xf numFmtId="4" fontId="32" fillId="33" borderId="118">
      <alignment horizontal="right" vertical="center"/>
    </xf>
    <xf numFmtId="0" fontId="5" fillId="58" borderId="107" applyNumberFormat="0" applyFont="0" applyAlignment="0" applyProtection="0"/>
    <xf numFmtId="0" fontId="12" fillId="21" borderId="0" applyNumberFormat="0" applyBorder="0" applyAlignment="0" applyProtection="0"/>
    <xf numFmtId="0" fontId="46" fillId="55" borderId="113" applyNumberFormat="0" applyAlignment="0" applyProtection="0"/>
    <xf numFmtId="0" fontId="34" fillId="0" borderId="111">
      <alignment horizontal="left" vertical="center" wrapText="1" indent="2"/>
    </xf>
    <xf numFmtId="4" fontId="32" fillId="33" borderId="126">
      <alignment horizontal="right" vertical="center"/>
    </xf>
    <xf numFmtId="0" fontId="26" fillId="20" borderId="0" applyNumberFormat="0" applyBorder="0" applyAlignment="0" applyProtection="0"/>
    <xf numFmtId="0" fontId="12" fillId="24" borderId="0" applyNumberFormat="0" applyBorder="0" applyAlignment="0" applyProtection="0"/>
    <xf numFmtId="0" fontId="34" fillId="32" borderId="108"/>
    <xf numFmtId="0" fontId="26" fillId="20" borderId="0" applyNumberFormat="0" applyBorder="0" applyAlignment="0" applyProtection="0"/>
    <xf numFmtId="0" fontId="46" fillId="55" borderId="113" applyNumberFormat="0" applyAlignment="0" applyProtection="0"/>
    <xf numFmtId="0" fontId="1" fillId="0" borderId="0" applyNumberFormat="0" applyFill="0" applyBorder="0" applyAlignment="0" applyProtection="0"/>
    <xf numFmtId="0" fontId="5" fillId="58" borderId="107" applyNumberFormat="0" applyFont="0" applyAlignment="0" applyProtection="0"/>
    <xf numFmtId="0" fontId="34" fillId="32" borderId="118"/>
    <xf numFmtId="4" fontId="32" fillId="33" borderId="118">
      <alignment horizontal="right" vertical="center"/>
    </xf>
    <xf numFmtId="0" fontId="26" fillId="22" borderId="0" applyNumberFormat="0" applyBorder="0" applyAlignment="0" applyProtection="0"/>
    <xf numFmtId="4" fontId="34" fillId="0" borderId="126" applyFill="0" applyBorder="0" applyProtection="0">
      <alignment horizontal="right" vertical="center"/>
    </xf>
    <xf numFmtId="0" fontId="12" fillId="18" borderId="0" applyNumberFormat="0" applyBorder="0" applyAlignment="0" applyProtection="0"/>
    <xf numFmtId="4" fontId="32" fillId="33" borderId="118">
      <alignment horizontal="right" vertical="center"/>
    </xf>
    <xf numFmtId="0" fontId="45" fillId="55" borderId="115" applyNumberFormat="0" applyAlignment="0" applyProtection="0"/>
    <xf numFmtId="0" fontId="65" fillId="0" borderId="114" applyNumberFormat="0" applyFill="0" applyAlignment="0" applyProtection="0"/>
    <xf numFmtId="4" fontId="34" fillId="32" borderId="108"/>
    <xf numFmtId="0" fontId="26" fillId="16" borderId="0" applyNumberFormat="0" applyBorder="0" applyAlignment="0" applyProtection="0"/>
    <xf numFmtId="0" fontId="58" fillId="42" borderId="113" applyNumberFormat="0" applyAlignment="0" applyProtection="0"/>
    <xf numFmtId="4" fontId="32" fillId="33" borderId="118">
      <alignment horizontal="right" vertical="center"/>
    </xf>
    <xf numFmtId="0" fontId="34" fillId="0" borderId="111">
      <alignment horizontal="left" vertical="center" wrapText="1" indent="2"/>
    </xf>
    <xf numFmtId="0" fontId="36" fillId="31" borderId="126">
      <alignment horizontal="right" vertical="center"/>
    </xf>
    <xf numFmtId="4" fontId="34" fillId="32" borderId="126"/>
    <xf numFmtId="0" fontId="46" fillId="55" borderId="113" applyNumberFormat="0" applyAlignment="0" applyProtection="0"/>
    <xf numFmtId="4" fontId="32" fillId="33" borderId="118">
      <alignment horizontal="right" vertical="center"/>
    </xf>
    <xf numFmtId="0" fontId="34" fillId="0" borderId="108" applyNumberFormat="0" applyFill="0" applyAlignment="0" applyProtection="0"/>
    <xf numFmtId="0" fontId="12" fillId="15" borderId="0" applyNumberFormat="0" applyBorder="0" applyAlignment="0" applyProtection="0"/>
    <xf numFmtId="0" fontId="32" fillId="33" borderId="108">
      <alignment horizontal="right" vertical="center"/>
    </xf>
    <xf numFmtId="0" fontId="2" fillId="0" borderId="12" applyNumberFormat="0" applyFill="0" applyAlignment="0" applyProtection="0"/>
    <xf numFmtId="0" fontId="62" fillId="55" borderId="112" applyNumberFormat="0" applyAlignment="0" applyProtection="0"/>
    <xf numFmtId="0" fontId="45" fillId="55" borderId="115" applyNumberFormat="0" applyAlignment="0" applyProtection="0"/>
    <xf numFmtId="0" fontId="34" fillId="0" borderId="108" applyNumberFormat="0" applyFill="0" applyAlignment="0" applyProtection="0"/>
    <xf numFmtId="0" fontId="26" fillId="29" borderId="0" applyNumberFormat="0" applyBorder="0" applyAlignment="0" applyProtection="0"/>
    <xf numFmtId="0" fontId="34" fillId="0" borderId="118" applyNumberFormat="0" applyFill="0" applyAlignment="0" applyProtection="0"/>
    <xf numFmtId="0" fontId="58" fillId="42" borderId="115" applyNumberFormat="0" applyAlignment="0" applyProtection="0"/>
    <xf numFmtId="4" fontId="34" fillId="0" borderId="108">
      <alignment horizontal="right" vertical="center"/>
    </xf>
    <xf numFmtId="0" fontId="34" fillId="31" borderId="119">
      <alignment horizontal="left" vertical="center"/>
    </xf>
    <xf numFmtId="49" fontId="34" fillId="0" borderId="127" applyNumberFormat="0" applyFont="0" applyFill="0" applyBorder="0" applyProtection="0">
      <alignment horizontal="left" vertical="center" indent="5"/>
    </xf>
    <xf numFmtId="0" fontId="65" fillId="0" borderId="116" applyNumberFormat="0" applyFill="0" applyAlignment="0" applyProtection="0"/>
    <xf numFmtId="0" fontId="26" fillId="19" borderId="0" applyNumberFormat="0" applyBorder="0" applyAlignment="0" applyProtection="0"/>
    <xf numFmtId="0" fontId="65" fillId="0" borderId="116" applyNumberFormat="0" applyFill="0" applyAlignment="0" applyProtection="0"/>
    <xf numFmtId="0" fontId="26" fillId="26" borderId="0" applyNumberFormat="0" applyBorder="0" applyAlignment="0" applyProtection="0"/>
    <xf numFmtId="173" fontId="34" fillId="59" borderId="108" applyNumberFormat="0" applyFont="0" applyBorder="0" applyAlignment="0" applyProtection="0">
      <alignment horizontal="right" vertical="center"/>
    </xf>
    <xf numFmtId="0" fontId="28" fillId="12" borderId="11" applyNumberFormat="0" applyAlignment="0" applyProtection="0"/>
    <xf numFmtId="0" fontId="34" fillId="33" borderId="121">
      <alignment horizontal="left" vertical="center" wrapText="1" indent="2"/>
    </xf>
    <xf numFmtId="0" fontId="26" fillId="26" borderId="0" applyNumberFormat="0" applyBorder="0" applyAlignment="0" applyProtection="0"/>
    <xf numFmtId="0" fontId="32" fillId="33" borderId="109">
      <alignment horizontal="right" vertical="center"/>
    </xf>
    <xf numFmtId="0" fontId="12" fillId="27" borderId="0" applyNumberFormat="0" applyBorder="0" applyAlignment="0" applyProtection="0"/>
    <xf numFmtId="0" fontId="49" fillId="42" borderId="113" applyNumberFormat="0" applyAlignment="0" applyProtection="0"/>
    <xf numFmtId="0" fontId="32" fillId="33" borderId="108">
      <alignment horizontal="right" vertical="center"/>
    </xf>
    <xf numFmtId="0" fontId="26" fillId="17" borderId="0" applyNumberFormat="0" applyBorder="0" applyAlignment="0" applyProtection="0"/>
    <xf numFmtId="0" fontId="12" fillId="21" borderId="0" applyNumberFormat="0" applyBorder="0" applyAlignment="0" applyProtection="0"/>
    <xf numFmtId="0" fontId="58" fillId="42" borderId="115" applyNumberFormat="0" applyAlignment="0" applyProtection="0"/>
    <xf numFmtId="0" fontId="65" fillId="0" borderId="124" applyNumberFormat="0" applyFill="0" applyAlignment="0" applyProtection="0"/>
    <xf numFmtId="0" fontId="34" fillId="32" borderId="118"/>
    <xf numFmtId="0" fontId="32" fillId="33" borderId="120">
      <alignment horizontal="right" vertical="center"/>
    </xf>
    <xf numFmtId="0" fontId="34" fillId="33" borderId="111">
      <alignment horizontal="left" vertical="center" wrapText="1" indent="2"/>
    </xf>
    <xf numFmtId="0" fontId="45" fillId="55" borderId="113" applyNumberFormat="0" applyAlignment="0" applyProtection="0"/>
    <xf numFmtId="4" fontId="32" fillId="33" borderId="118">
      <alignment horizontal="right" vertical="center"/>
    </xf>
    <xf numFmtId="0" fontId="43" fillId="55" borderId="112" applyNumberFormat="0" applyAlignment="0" applyProtection="0"/>
    <xf numFmtId="4" fontId="32" fillId="33" borderId="126">
      <alignment horizontal="right" vertical="center"/>
    </xf>
    <xf numFmtId="0" fontId="45" fillId="55" borderId="113" applyNumberFormat="0" applyAlignment="0" applyProtection="0"/>
    <xf numFmtId="0" fontId="50" fillId="0" borderId="114" applyNumberFormat="0" applyFill="0" applyAlignment="0" applyProtection="0"/>
    <xf numFmtId="0" fontId="26" fillId="23" borderId="0" applyNumberFormat="0" applyBorder="0" applyAlignment="0" applyProtection="0"/>
    <xf numFmtId="0" fontId="62" fillId="55" borderId="112" applyNumberFormat="0" applyAlignment="0" applyProtection="0"/>
    <xf numFmtId="0" fontId="40" fillId="58" borderId="125" applyNumberFormat="0" applyFont="0" applyAlignment="0" applyProtection="0"/>
    <xf numFmtId="49" fontId="33" fillId="0" borderId="108" applyNumberFormat="0" applyFill="0" applyBorder="0" applyProtection="0">
      <alignment horizontal="left" vertical="center"/>
    </xf>
    <xf numFmtId="0" fontId="40" fillId="58" borderId="107" applyNumberFormat="0" applyFont="0" applyAlignment="0" applyProtection="0"/>
    <xf numFmtId="0" fontId="26" fillId="16" borderId="0" applyNumberFormat="0" applyBorder="0" applyAlignment="0" applyProtection="0"/>
    <xf numFmtId="0" fontId="26" fillId="20" borderId="0" applyNumberFormat="0" applyBorder="0" applyAlignment="0" applyProtection="0"/>
    <xf numFmtId="0" fontId="62" fillId="55" borderId="112" applyNumberFormat="0" applyAlignment="0" applyProtection="0"/>
    <xf numFmtId="0" fontId="26" fillId="13" borderId="0" applyNumberFormat="0" applyBorder="0" applyAlignment="0" applyProtection="0"/>
    <xf numFmtId="0" fontId="46" fillId="55" borderId="113" applyNumberFormat="0" applyAlignment="0" applyProtection="0"/>
    <xf numFmtId="0" fontId="34" fillId="0" borderId="108" applyNumberFormat="0" applyFill="0" applyAlignment="0" applyProtection="0"/>
    <xf numFmtId="0" fontId="32" fillId="33" borderId="127">
      <alignment horizontal="right" vertical="center"/>
    </xf>
    <xf numFmtId="0" fontId="12" fillId="30" borderId="0" applyNumberFormat="0" applyBorder="0" applyAlignment="0" applyProtection="0"/>
    <xf numFmtId="0" fontId="34" fillId="31" borderId="109">
      <alignment horizontal="left" vertical="center"/>
    </xf>
    <xf numFmtId="0" fontId="34" fillId="0" borderId="121">
      <alignment horizontal="left" vertical="center" wrapText="1" indent="2"/>
    </xf>
    <xf numFmtId="0" fontId="5" fillId="58" borderId="107" applyNumberFormat="0" applyFont="0" applyAlignment="0" applyProtection="0"/>
    <xf numFmtId="0" fontId="12" fillId="15" borderId="0" applyNumberFormat="0" applyBorder="0" applyAlignment="0" applyProtection="0"/>
    <xf numFmtId="0" fontId="50" fillId="0" borderId="124" applyNumberFormat="0" applyFill="0" applyAlignment="0" applyProtection="0"/>
    <xf numFmtId="0" fontId="34" fillId="33" borderId="111">
      <alignment horizontal="left" vertical="center" wrapText="1" indent="2"/>
    </xf>
    <xf numFmtId="0" fontId="26" fillId="23" borderId="0" applyNumberFormat="0" applyBorder="0" applyAlignment="0" applyProtection="0"/>
    <xf numFmtId="0" fontId="58" fillId="42" borderId="113" applyNumberFormat="0" applyAlignment="0" applyProtection="0"/>
    <xf numFmtId="0" fontId="12" fillId="18" borderId="0" applyNumberFormat="0" applyBorder="0" applyAlignment="0" applyProtection="0"/>
    <xf numFmtId="0" fontId="32" fillId="33" borderId="119">
      <alignment horizontal="right" vertical="center"/>
    </xf>
    <xf numFmtId="4" fontId="36" fillId="31" borderId="108">
      <alignment horizontal="right" vertical="center"/>
    </xf>
    <xf numFmtId="0" fontId="40" fillId="58" borderId="107" applyNumberFormat="0" applyFont="0" applyAlignment="0" applyProtection="0"/>
    <xf numFmtId="0" fontId="62" fillId="55" borderId="112" applyNumberFormat="0" applyAlignment="0" applyProtection="0"/>
    <xf numFmtId="0" fontId="32" fillId="33" borderId="110">
      <alignment horizontal="right" vertical="center"/>
    </xf>
    <xf numFmtId="4" fontId="34" fillId="32" borderId="108"/>
    <xf numFmtId="0" fontId="5" fillId="58" borderId="107" applyNumberFormat="0" applyFont="0" applyAlignment="0" applyProtection="0"/>
    <xf numFmtId="0" fontId="26" fillId="14" borderId="0" applyNumberFormat="0" applyBorder="0" applyAlignment="0" applyProtection="0"/>
    <xf numFmtId="4" fontId="32" fillId="33" borderId="109">
      <alignment horizontal="right" vertical="center"/>
    </xf>
    <xf numFmtId="0" fontId="34" fillId="0" borderId="121">
      <alignment horizontal="left" vertical="center" wrapText="1" indent="2"/>
    </xf>
    <xf numFmtId="0" fontId="12" fillId="24" borderId="0" applyNumberFormat="0" applyBorder="0" applyAlignment="0" applyProtection="0"/>
    <xf numFmtId="4" fontId="34" fillId="32" borderId="118"/>
    <xf numFmtId="0" fontId="49" fillId="42" borderId="123" applyNumberFormat="0" applyAlignment="0" applyProtection="0"/>
    <xf numFmtId="0" fontId="34" fillId="0" borderId="118" applyNumberFormat="0" applyFill="0" applyAlignment="0" applyProtection="0"/>
    <xf numFmtId="0" fontId="12" fillId="15" borderId="0" applyNumberFormat="0" applyBorder="0" applyAlignment="0" applyProtection="0"/>
    <xf numFmtId="0" fontId="26" fillId="16" borderId="0" applyNumberFormat="0" applyBorder="0" applyAlignment="0" applyProtection="0"/>
    <xf numFmtId="0" fontId="26" fillId="23" borderId="0" applyNumberFormat="0" applyBorder="0" applyAlignment="0" applyProtection="0"/>
    <xf numFmtId="0" fontId="34" fillId="0" borderId="111">
      <alignment horizontal="left" vertical="center" wrapText="1" indent="2"/>
    </xf>
    <xf numFmtId="0" fontId="43" fillId="55" borderId="122" applyNumberFormat="0" applyAlignment="0" applyProtection="0"/>
    <xf numFmtId="0" fontId="32" fillId="33" borderId="127">
      <alignment horizontal="right" vertical="center"/>
    </xf>
    <xf numFmtId="0" fontId="62" fillId="55" borderId="122" applyNumberFormat="0" applyAlignment="0" applyProtection="0"/>
    <xf numFmtId="0" fontId="32" fillId="31" borderId="118">
      <alignment horizontal="right" vertical="center"/>
    </xf>
    <xf numFmtId="0" fontId="40" fillId="58" borderId="117" applyNumberFormat="0" applyFont="0" applyAlignment="0" applyProtection="0"/>
    <xf numFmtId="4" fontId="32" fillId="33" borderId="126">
      <alignment horizontal="right" vertical="center"/>
    </xf>
    <xf numFmtId="0" fontId="62" fillId="55" borderId="122" applyNumberFormat="0" applyAlignment="0" applyProtection="0"/>
    <xf numFmtId="0" fontId="32" fillId="33" borderId="119">
      <alignment horizontal="right" vertical="center"/>
    </xf>
    <xf numFmtId="4" fontId="32" fillId="33" borderId="126">
      <alignment horizontal="right" vertical="center"/>
    </xf>
    <xf numFmtId="0" fontId="32" fillId="33" borderId="108">
      <alignment horizontal="right" vertical="center"/>
    </xf>
    <xf numFmtId="0" fontId="26" fillId="13" borderId="0" applyNumberFormat="0" applyBorder="0" applyAlignment="0" applyProtection="0"/>
    <xf numFmtId="0" fontId="34" fillId="32" borderId="118"/>
    <xf numFmtId="4" fontId="32" fillId="33" borderId="118">
      <alignment horizontal="right" vertical="center"/>
    </xf>
    <xf numFmtId="0" fontId="34" fillId="32" borderId="118"/>
    <xf numFmtId="0" fontId="49" fillId="42" borderId="115" applyNumberFormat="0" applyAlignment="0" applyProtection="0"/>
    <xf numFmtId="4" fontId="34" fillId="32" borderId="118"/>
    <xf numFmtId="0" fontId="34" fillId="31" borderId="127">
      <alignment horizontal="left" vertical="center"/>
    </xf>
    <xf numFmtId="0" fontId="34" fillId="0" borderId="126">
      <alignment horizontal="right" vertical="center"/>
    </xf>
    <xf numFmtId="0" fontId="26" fillId="23" borderId="0" applyNumberFormat="0" applyBorder="0" applyAlignment="0" applyProtection="0"/>
    <xf numFmtId="0" fontId="65" fillId="0" borderId="116" applyNumberFormat="0" applyFill="0" applyAlignment="0" applyProtection="0"/>
    <xf numFmtId="4" fontId="32" fillId="33" borderId="108">
      <alignment horizontal="right" vertical="center"/>
    </xf>
    <xf numFmtId="4" fontId="36" fillId="31" borderId="108">
      <alignment horizontal="right" vertical="center"/>
    </xf>
    <xf numFmtId="0" fontId="34" fillId="32" borderId="108"/>
    <xf numFmtId="0" fontId="50" fillId="0" borderId="114" applyNumberFormat="0" applyFill="0" applyAlignment="0" applyProtection="0"/>
    <xf numFmtId="4" fontId="34" fillId="0" borderId="108" applyFill="0" applyBorder="0" applyProtection="0">
      <alignment horizontal="right" vertical="center"/>
    </xf>
    <xf numFmtId="0" fontId="50" fillId="0" borderId="114" applyNumberFormat="0" applyFill="0" applyAlignment="0" applyProtection="0"/>
    <xf numFmtId="0" fontId="34" fillId="0" borderId="108" applyNumberFormat="0" applyFill="0" applyAlignment="0" applyProtection="0"/>
    <xf numFmtId="0" fontId="65" fillId="0" borderId="116" applyNumberFormat="0" applyFill="0" applyAlignment="0" applyProtection="0"/>
    <xf numFmtId="0" fontId="34" fillId="0" borderId="108" applyNumberFormat="0" applyFill="0" applyAlignment="0" applyProtection="0"/>
    <xf numFmtId="0" fontId="28" fillId="12" borderId="11" applyNumberFormat="0" applyAlignment="0" applyProtection="0"/>
    <xf numFmtId="4" fontId="32" fillId="33" borderId="110">
      <alignment horizontal="right" vertical="center"/>
    </xf>
    <xf numFmtId="0" fontId="32" fillId="33" borderId="126">
      <alignment horizontal="right" vertical="center"/>
    </xf>
    <xf numFmtId="173" fontId="34" fillId="59" borderId="118" applyNumberFormat="0" applyFont="0" applyBorder="0" applyAlignment="0" applyProtection="0">
      <alignment horizontal="right" vertical="center"/>
    </xf>
    <xf numFmtId="0" fontId="50" fillId="0" borderId="124" applyNumberFormat="0" applyFill="0" applyAlignment="0" applyProtection="0"/>
    <xf numFmtId="0" fontId="32" fillId="33" borderId="118">
      <alignment horizontal="right" vertical="center"/>
    </xf>
    <xf numFmtId="0" fontId="49" fillId="42" borderId="113" applyNumberFormat="0" applyAlignment="0" applyProtection="0"/>
    <xf numFmtId="0" fontId="46" fillId="55" borderId="113" applyNumberFormat="0" applyAlignment="0" applyProtection="0"/>
    <xf numFmtId="4" fontId="34" fillId="0" borderId="108">
      <alignment horizontal="right" vertical="center"/>
    </xf>
    <xf numFmtId="0" fontId="34" fillId="33" borderId="111">
      <alignment horizontal="left" vertical="center" wrapText="1" indent="2"/>
    </xf>
    <xf numFmtId="0" fontId="34" fillId="0" borderId="111">
      <alignment horizontal="left" vertical="center" wrapText="1" indent="2"/>
    </xf>
    <xf numFmtId="0" fontId="62" fillId="55" borderId="112" applyNumberFormat="0" applyAlignment="0" applyProtection="0"/>
    <xf numFmtId="0" fontId="58" fillId="42" borderId="113" applyNumberFormat="0" applyAlignment="0" applyProtection="0"/>
    <xf numFmtId="0" fontId="45" fillId="55" borderId="113" applyNumberFormat="0" applyAlignment="0" applyProtection="0"/>
    <xf numFmtId="0" fontId="43" fillId="55" borderId="112" applyNumberFormat="0" applyAlignment="0" applyProtection="0"/>
    <xf numFmtId="0" fontId="32" fillId="33" borderId="110">
      <alignment horizontal="right" vertical="center"/>
    </xf>
    <xf numFmtId="0" fontId="36" fillId="31" borderId="108">
      <alignment horizontal="right" vertical="center"/>
    </xf>
    <xf numFmtId="4" fontId="32" fillId="31" borderId="108">
      <alignment horizontal="right" vertical="center"/>
    </xf>
    <xf numFmtId="4" fontId="32" fillId="33" borderId="108">
      <alignment horizontal="right" vertical="center"/>
    </xf>
    <xf numFmtId="49" fontId="34" fillId="0" borderId="109" applyNumberFormat="0" applyFont="0" applyFill="0" applyBorder="0" applyProtection="0">
      <alignment horizontal="left" vertical="center" indent="5"/>
    </xf>
    <xf numFmtId="4" fontId="34" fillId="0" borderId="108" applyFill="0" applyBorder="0" applyProtection="0">
      <alignment horizontal="right" vertical="center"/>
    </xf>
    <xf numFmtId="4" fontId="32" fillId="31" borderId="108">
      <alignment horizontal="right" vertical="center"/>
    </xf>
    <xf numFmtId="0" fontId="58" fillId="42" borderId="113" applyNumberFormat="0" applyAlignment="0" applyProtection="0"/>
    <xf numFmtId="0" fontId="49" fillId="42" borderId="113" applyNumberFormat="0" applyAlignment="0" applyProtection="0"/>
    <xf numFmtId="0" fontId="45" fillId="55" borderId="113" applyNumberFormat="0" applyAlignment="0" applyProtection="0"/>
    <xf numFmtId="0" fontId="34" fillId="33" borderId="111">
      <alignment horizontal="left" vertical="center" wrapText="1" indent="2"/>
    </xf>
    <xf numFmtId="0" fontId="34" fillId="0" borderId="111">
      <alignment horizontal="left" vertical="center" wrapText="1" indent="2"/>
    </xf>
    <xf numFmtId="0" fontId="34" fillId="33" borderId="111">
      <alignment horizontal="left" vertical="center" wrapText="1" indent="2"/>
    </xf>
    <xf numFmtId="0" fontId="34" fillId="0" borderId="118">
      <alignment horizontal="right" vertical="center"/>
    </xf>
    <xf numFmtId="4" fontId="34" fillId="0" borderId="126">
      <alignment horizontal="right" vertical="center"/>
    </xf>
    <xf numFmtId="0" fontId="34" fillId="33" borderId="121">
      <alignment horizontal="left" vertical="center" wrapText="1" indent="2"/>
    </xf>
    <xf numFmtId="0" fontId="34" fillId="0" borderId="118">
      <alignment horizontal="right" vertical="center"/>
    </xf>
    <xf numFmtId="4" fontId="32" fillId="33" borderId="119">
      <alignment horizontal="right" vertical="center"/>
    </xf>
    <xf numFmtId="0" fontId="32" fillId="31" borderId="118">
      <alignment horizontal="right" vertical="center"/>
    </xf>
    <xf numFmtId="0" fontId="62" fillId="55" borderId="122" applyNumberFormat="0" applyAlignment="0" applyProtection="0"/>
    <xf numFmtId="0" fontId="49" fillId="42" borderId="115" applyNumberFormat="0" applyAlignment="0" applyProtection="0"/>
    <xf numFmtId="0" fontId="32" fillId="33" borderId="118">
      <alignment horizontal="right" vertical="center"/>
    </xf>
    <xf numFmtId="0" fontId="58" fillId="42" borderId="115" applyNumberFormat="0" applyAlignment="0" applyProtection="0"/>
    <xf numFmtId="4" fontId="32" fillId="31" borderId="118">
      <alignment horizontal="right" vertical="center"/>
    </xf>
    <xf numFmtId="4" fontId="34" fillId="0" borderId="118">
      <alignment horizontal="right" vertical="center"/>
    </xf>
    <xf numFmtId="0" fontId="32" fillId="33" borderId="118">
      <alignment horizontal="right" vertical="center"/>
    </xf>
    <xf numFmtId="4" fontId="36" fillId="31" borderId="118">
      <alignment horizontal="right" vertical="center"/>
    </xf>
    <xf numFmtId="49" fontId="34" fillId="0" borderId="118" applyNumberFormat="0" applyFont="0" applyFill="0" applyBorder="0" applyProtection="0">
      <alignment horizontal="left" vertical="center" indent="2"/>
    </xf>
    <xf numFmtId="173" fontId="34" fillId="59" borderId="118" applyNumberFormat="0" applyFont="0" applyBorder="0" applyAlignment="0" applyProtection="0">
      <alignment horizontal="right" vertical="center"/>
    </xf>
    <xf numFmtId="49" fontId="33" fillId="0" borderId="118" applyNumberFormat="0" applyFill="0" applyBorder="0" applyProtection="0">
      <alignment horizontal="left" vertical="center"/>
    </xf>
    <xf numFmtId="49" fontId="33" fillId="0" borderId="126" applyNumberFormat="0" applyFill="0" applyBorder="0" applyProtection="0">
      <alignment horizontal="left" vertical="center"/>
    </xf>
    <xf numFmtId="0" fontId="40" fillId="58" borderId="117" applyNumberFormat="0" applyFont="0" applyAlignment="0" applyProtection="0"/>
    <xf numFmtId="0" fontId="65" fillId="0" borderId="116" applyNumberFormat="0" applyFill="0" applyAlignment="0" applyProtection="0"/>
    <xf numFmtId="0" fontId="26" fillId="17" borderId="0" applyNumberFormat="0" applyBorder="0" applyAlignment="0" applyProtection="0"/>
    <xf numFmtId="0" fontId="62" fillId="55" borderId="130" applyNumberFormat="0" applyAlignment="0" applyProtection="0"/>
    <xf numFmtId="0" fontId="58" fillId="42" borderId="123" applyNumberFormat="0" applyAlignment="0" applyProtection="0"/>
    <xf numFmtId="0" fontId="30" fillId="0" borderId="0" applyNumberFormat="0" applyFill="0" applyBorder="0" applyAlignment="0" applyProtection="0"/>
    <xf numFmtId="49" fontId="34" fillId="0" borderId="126" applyNumberFormat="0" applyFont="0" applyFill="0" applyBorder="0" applyProtection="0">
      <alignment horizontal="left" vertical="center" indent="2"/>
    </xf>
    <xf numFmtId="4" fontId="32" fillId="33" borderId="126">
      <alignment horizontal="right" vertical="center"/>
    </xf>
    <xf numFmtId="0" fontId="32" fillId="33" borderId="126">
      <alignment horizontal="right" vertical="center"/>
    </xf>
    <xf numFmtId="0" fontId="58" fillId="42" borderId="123" applyNumberFormat="0" applyAlignment="0" applyProtection="0"/>
    <xf numFmtId="0" fontId="34" fillId="33" borderId="129">
      <alignment horizontal="left" vertical="center" wrapText="1" indent="2"/>
    </xf>
    <xf numFmtId="173" fontId="34" fillId="59" borderId="126" applyNumberFormat="0" applyFont="0" applyBorder="0" applyAlignment="0" applyProtection="0">
      <alignment horizontal="right" vertical="center"/>
    </xf>
    <xf numFmtId="4" fontId="34" fillId="0" borderId="126" applyFill="0" applyBorder="0" applyProtection="0">
      <alignment horizontal="right" vertical="center"/>
    </xf>
    <xf numFmtId="0" fontId="26" fillId="13" borderId="0" applyNumberFormat="0" applyBorder="0" applyAlignment="0" applyProtection="0"/>
    <xf numFmtId="4" fontId="34" fillId="0" borderId="126" applyFill="0" applyBorder="0" applyProtection="0">
      <alignment horizontal="right" vertical="center"/>
    </xf>
    <xf numFmtId="0" fontId="32" fillId="31" borderId="118">
      <alignment horizontal="right" vertical="center"/>
    </xf>
    <xf numFmtId="0" fontId="58" fillId="42" borderId="115" applyNumberFormat="0" applyAlignment="0" applyProtection="0"/>
    <xf numFmtId="0" fontId="26" fillId="29" borderId="0" applyNumberFormat="0" applyBorder="0" applyAlignment="0" applyProtection="0"/>
    <xf numFmtId="0" fontId="46" fillId="55" borderId="123" applyNumberFormat="0" applyAlignment="0" applyProtection="0"/>
    <xf numFmtId="0" fontId="36" fillId="31" borderId="126">
      <alignment horizontal="right" vertical="center"/>
    </xf>
    <xf numFmtId="0" fontId="65" fillId="0" borderId="116" applyNumberFormat="0" applyFill="0" applyAlignment="0" applyProtection="0"/>
    <xf numFmtId="0" fontId="40" fillId="58" borderId="117" applyNumberFormat="0" applyFont="0" applyAlignment="0" applyProtection="0"/>
    <xf numFmtId="0" fontId="36" fillId="31" borderId="118">
      <alignment horizontal="right" vertical="center"/>
    </xf>
    <xf numFmtId="0" fontId="34" fillId="0" borderId="121">
      <alignment horizontal="left" vertical="center" wrapText="1" indent="2"/>
    </xf>
    <xf numFmtId="0" fontId="12" fillId="15" borderId="0" applyNumberFormat="0" applyBorder="0" applyAlignment="0" applyProtection="0"/>
    <xf numFmtId="0" fontId="30" fillId="0" borderId="0" applyNumberFormat="0" applyFill="0" applyBorder="0" applyAlignment="0" applyProtection="0"/>
    <xf numFmtId="49" fontId="34" fillId="0" borderId="119" applyNumberFormat="0" applyFont="0" applyFill="0" applyBorder="0" applyProtection="0">
      <alignment horizontal="left" vertical="center" indent="5"/>
    </xf>
    <xf numFmtId="0" fontId="26" fillId="19" borderId="0" applyNumberFormat="0" applyBorder="0" applyAlignment="0" applyProtection="0"/>
    <xf numFmtId="4" fontId="32" fillId="33" borderId="127">
      <alignment horizontal="right" vertical="center"/>
    </xf>
    <xf numFmtId="0" fontId="5" fillId="58" borderId="117" applyNumberFormat="0" applyFont="0" applyAlignment="0" applyProtection="0"/>
    <xf numFmtId="173" fontId="34" fillId="59" borderId="118" applyNumberFormat="0" applyFont="0" applyBorder="0" applyAlignment="0" applyProtection="0">
      <alignment horizontal="right" vertical="center"/>
    </xf>
    <xf numFmtId="0" fontId="12" fillId="18" borderId="0" applyNumberFormat="0" applyBorder="0" applyAlignment="0" applyProtection="0"/>
    <xf numFmtId="49" fontId="33" fillId="0" borderId="126" applyNumberFormat="0" applyFill="0" applyBorder="0" applyProtection="0">
      <alignment horizontal="left" vertical="center"/>
    </xf>
    <xf numFmtId="0" fontId="34" fillId="0" borderId="129">
      <alignment horizontal="left" vertical="center" wrapText="1" indent="2"/>
    </xf>
    <xf numFmtId="0" fontId="26" fillId="25" borderId="0" applyNumberFormat="0" applyBorder="0" applyAlignment="0" applyProtection="0"/>
    <xf numFmtId="0" fontId="34" fillId="32" borderId="126"/>
    <xf numFmtId="0" fontId="49" fillId="42" borderId="123" applyNumberFormat="0" applyAlignment="0" applyProtection="0"/>
    <xf numFmtId="0" fontId="49" fillId="42" borderId="123" applyNumberFormat="0" applyAlignment="0" applyProtection="0"/>
    <xf numFmtId="49" fontId="34" fillId="0" borderId="119" applyNumberFormat="0" applyFont="0" applyFill="0" applyBorder="0" applyProtection="0">
      <alignment horizontal="left" vertical="center" indent="5"/>
    </xf>
    <xf numFmtId="4" fontId="32" fillId="33" borderId="126">
      <alignment horizontal="right" vertical="center"/>
    </xf>
    <xf numFmtId="0" fontId="65" fillId="0" borderId="116" applyNumberFormat="0" applyFill="0" applyAlignment="0" applyProtection="0"/>
    <xf numFmtId="0" fontId="12" fillId="24" borderId="0" applyNumberFormat="0" applyBorder="0" applyAlignment="0" applyProtection="0"/>
    <xf numFmtId="0" fontId="65" fillId="0" borderId="116" applyNumberFormat="0" applyFill="0" applyAlignment="0" applyProtection="0"/>
    <xf numFmtId="0" fontId="58" fillId="42" borderId="123" applyNumberFormat="0" applyAlignment="0" applyProtection="0"/>
    <xf numFmtId="4" fontId="36" fillId="31" borderId="126">
      <alignment horizontal="right" vertical="center"/>
    </xf>
    <xf numFmtId="4" fontId="32" fillId="33" borderId="127">
      <alignment horizontal="right" vertical="center"/>
    </xf>
    <xf numFmtId="0" fontId="65" fillId="0" borderId="116" applyNumberFormat="0" applyFill="0" applyAlignment="0" applyProtection="0"/>
    <xf numFmtId="0" fontId="12" fillId="15" borderId="0" applyNumberFormat="0" applyBorder="0" applyAlignment="0" applyProtection="0"/>
    <xf numFmtId="0" fontId="58" fillId="42" borderId="115" applyNumberFormat="0" applyAlignment="0" applyProtection="0"/>
    <xf numFmtId="173" fontId="34" fillId="59" borderId="126" applyNumberFormat="0" applyFont="0" applyBorder="0" applyAlignment="0" applyProtection="0">
      <alignment horizontal="right" vertical="center"/>
    </xf>
    <xf numFmtId="0" fontId="46" fillId="55" borderId="115" applyNumberFormat="0" applyAlignment="0" applyProtection="0"/>
    <xf numFmtId="0" fontId="46" fillId="55" borderId="115" applyNumberFormat="0" applyAlignment="0" applyProtection="0"/>
    <xf numFmtId="4" fontId="32" fillId="33" borderId="120">
      <alignment horizontal="right" vertical="center"/>
    </xf>
    <xf numFmtId="0" fontId="58" fillId="42" borderId="115" applyNumberFormat="0" applyAlignment="0" applyProtection="0"/>
    <xf numFmtId="0" fontId="26" fillId="13" borderId="0" applyNumberFormat="0" applyBorder="0" applyAlignment="0" applyProtection="0"/>
    <xf numFmtId="0" fontId="50" fillId="0" borderId="116" applyNumberFormat="0" applyFill="0" applyAlignment="0" applyProtection="0"/>
    <xf numFmtId="4" fontId="34" fillId="32" borderId="118"/>
    <xf numFmtId="0" fontId="26" fillId="25" borderId="0" applyNumberFormat="0" applyBorder="0" applyAlignment="0" applyProtection="0"/>
    <xf numFmtId="0" fontId="65" fillId="0" borderId="116" applyNumberFormat="0" applyFill="0" applyAlignment="0" applyProtection="0"/>
    <xf numFmtId="0" fontId="62" fillId="55" borderId="130" applyNumberFormat="0" applyAlignment="0" applyProtection="0"/>
    <xf numFmtId="0" fontId="12" fillId="30" borderId="0" applyNumberFormat="0" applyBorder="0" applyAlignment="0" applyProtection="0"/>
    <xf numFmtId="4" fontId="32" fillId="33" borderId="128">
      <alignment horizontal="right" vertical="center"/>
    </xf>
    <xf numFmtId="49" fontId="34" fillId="0" borderId="126" applyNumberFormat="0" applyFont="0" applyFill="0" applyBorder="0" applyProtection="0">
      <alignment horizontal="left" vertical="center" indent="2"/>
    </xf>
    <xf numFmtId="0" fontId="26" fillId="17" borderId="0" applyNumberFormat="0" applyBorder="0" applyAlignment="0" applyProtection="0"/>
    <xf numFmtId="0" fontId="43" fillId="55" borderId="122" applyNumberFormat="0" applyAlignment="0" applyProtection="0"/>
    <xf numFmtId="0" fontId="58" fillId="42" borderId="115" applyNumberFormat="0" applyAlignment="0" applyProtection="0"/>
    <xf numFmtId="4" fontId="32" fillId="33" borderId="120">
      <alignment horizontal="right" vertical="center"/>
    </xf>
    <xf numFmtId="0" fontId="43" fillId="55" borderId="130" applyNumberFormat="0" applyAlignment="0" applyProtection="0"/>
    <xf numFmtId="0" fontId="58" fillId="42" borderId="123" applyNumberFormat="0" applyAlignment="0" applyProtection="0"/>
    <xf numFmtId="0" fontId="50" fillId="0" borderId="116" applyNumberFormat="0" applyFill="0" applyAlignment="0" applyProtection="0"/>
    <xf numFmtId="0" fontId="50" fillId="0" borderId="124" applyNumberFormat="0" applyFill="0" applyAlignment="0" applyProtection="0"/>
    <xf numFmtId="0" fontId="36" fillId="31" borderId="118">
      <alignment horizontal="right" vertical="center"/>
    </xf>
    <xf numFmtId="0" fontId="26" fillId="25" borderId="0" applyNumberFormat="0" applyBorder="0" applyAlignment="0" applyProtection="0"/>
    <xf numFmtId="0" fontId="32" fillId="33" borderId="119">
      <alignment horizontal="right" vertical="center"/>
    </xf>
    <xf numFmtId="4" fontId="32" fillId="33" borderId="119">
      <alignment horizontal="right" vertical="center"/>
    </xf>
    <xf numFmtId="0" fontId="43" fillId="55" borderId="122" applyNumberFormat="0" applyAlignment="0" applyProtection="0"/>
    <xf numFmtId="0" fontId="50" fillId="0" borderId="124" applyNumberFormat="0" applyFill="0" applyAlignment="0" applyProtection="0"/>
    <xf numFmtId="0" fontId="46" fillId="55" borderId="115" applyNumberFormat="0" applyAlignment="0" applyProtection="0"/>
    <xf numFmtId="4" fontId="32" fillId="31" borderId="118">
      <alignment horizontal="right" vertical="center"/>
    </xf>
    <xf numFmtId="0" fontId="12" fillId="21" borderId="0" applyNumberFormat="0" applyBorder="0" applyAlignment="0" applyProtection="0"/>
    <xf numFmtId="49" fontId="34" fillId="0" borderId="126" applyNumberFormat="0" applyFont="0" applyFill="0" applyBorder="0" applyProtection="0">
      <alignment horizontal="left" vertical="center" indent="2"/>
    </xf>
    <xf numFmtId="4" fontId="36" fillId="31" borderId="126">
      <alignment horizontal="right" vertical="center"/>
    </xf>
    <xf numFmtId="0" fontId="26" fillId="28" borderId="0" applyNumberFormat="0" applyBorder="0" applyAlignment="0" applyProtection="0"/>
    <xf numFmtId="173" fontId="34" fillId="59" borderId="118" applyNumberFormat="0" applyFont="0" applyBorder="0" applyAlignment="0" applyProtection="0">
      <alignment horizontal="right" vertical="center"/>
    </xf>
    <xf numFmtId="0" fontId="58" fillId="42" borderId="123" applyNumberFormat="0" applyAlignment="0" applyProtection="0"/>
    <xf numFmtId="0" fontId="12" fillId="30" borderId="0" applyNumberFormat="0" applyBorder="0" applyAlignment="0" applyProtection="0"/>
    <xf numFmtId="4" fontId="32" fillId="31" borderId="118">
      <alignment horizontal="right" vertical="center"/>
    </xf>
    <xf numFmtId="0" fontId="40" fillId="58" borderId="117" applyNumberFormat="0" applyFont="0" applyAlignment="0" applyProtection="0"/>
    <xf numFmtId="0" fontId="34" fillId="0" borderId="121">
      <alignment horizontal="left" vertical="center" wrapText="1" indent="2"/>
    </xf>
    <xf numFmtId="0" fontId="46" fillId="55" borderId="123" applyNumberFormat="0" applyAlignment="0" applyProtection="0"/>
    <xf numFmtId="0" fontId="49" fillId="42" borderId="115" applyNumberFormat="0" applyAlignment="0" applyProtection="0"/>
    <xf numFmtId="4" fontId="32" fillId="33" borderId="118">
      <alignment horizontal="right" vertical="center"/>
    </xf>
    <xf numFmtId="0" fontId="32" fillId="33" borderId="126">
      <alignment horizontal="right" vertical="center"/>
    </xf>
    <xf numFmtId="0" fontId="46" fillId="55" borderId="115" applyNumberFormat="0" applyAlignment="0" applyProtection="0"/>
    <xf numFmtId="0" fontId="32" fillId="33" borderId="119">
      <alignment horizontal="right" vertical="center"/>
    </xf>
    <xf numFmtId="0" fontId="45" fillId="55" borderId="123" applyNumberFormat="0" applyAlignment="0" applyProtection="0"/>
    <xf numFmtId="0" fontId="36" fillId="31" borderId="126">
      <alignment horizontal="right" vertical="center"/>
    </xf>
    <xf numFmtId="0" fontId="26" fillId="28" borderId="0" applyNumberFormat="0" applyBorder="0" applyAlignment="0" applyProtection="0"/>
    <xf numFmtId="49" fontId="33" fillId="0" borderId="126" applyNumberFormat="0" applyFill="0" applyBorder="0" applyProtection="0">
      <alignment horizontal="left" vertical="center"/>
    </xf>
    <xf numFmtId="4" fontId="36" fillId="31" borderId="118">
      <alignment horizontal="right" vertical="center"/>
    </xf>
    <xf numFmtId="0" fontId="26" fillId="16" borderId="0" applyNumberFormat="0" applyBorder="0" applyAlignment="0" applyProtection="0"/>
    <xf numFmtId="4" fontId="36" fillId="31" borderId="126">
      <alignment horizontal="right" vertical="center"/>
    </xf>
    <xf numFmtId="0" fontId="45" fillId="55" borderId="115" applyNumberFormat="0" applyAlignment="0" applyProtection="0"/>
    <xf numFmtId="49" fontId="34" fillId="0" borderId="118" applyNumberFormat="0" applyFont="0" applyFill="0" applyBorder="0" applyProtection="0">
      <alignment horizontal="left" vertical="center" indent="2"/>
    </xf>
    <xf numFmtId="0" fontId="32" fillId="31" borderId="126">
      <alignment horizontal="right" vertical="center"/>
    </xf>
    <xf numFmtId="0" fontId="46" fillId="55" borderId="115" applyNumberFormat="0" applyAlignment="0" applyProtection="0"/>
    <xf numFmtId="173" fontId="34" fillId="59" borderId="118" applyNumberFormat="0" applyFont="0" applyBorder="0" applyAlignment="0" applyProtection="0">
      <alignment horizontal="right" vertical="center"/>
    </xf>
    <xf numFmtId="0" fontId="12" fillId="30" borderId="0" applyNumberFormat="0" applyBorder="0" applyAlignment="0" applyProtection="0"/>
    <xf numFmtId="0" fontId="32" fillId="31" borderId="118">
      <alignment horizontal="right" vertical="center"/>
    </xf>
    <xf numFmtId="4" fontId="32" fillId="33" borderId="120">
      <alignment horizontal="right" vertical="center"/>
    </xf>
    <xf numFmtId="0" fontId="32" fillId="31" borderId="126">
      <alignment horizontal="right" vertical="center"/>
    </xf>
    <xf numFmtId="0" fontId="43" fillId="55" borderId="122" applyNumberFormat="0" applyAlignment="0" applyProtection="0"/>
    <xf numFmtId="0" fontId="30" fillId="0" borderId="0" applyNumberFormat="0" applyFill="0" applyBorder="0" applyAlignment="0" applyProtection="0"/>
    <xf numFmtId="4" fontId="32" fillId="33" borderId="120">
      <alignment horizontal="right" vertical="center"/>
    </xf>
    <xf numFmtId="0" fontId="34" fillId="32" borderId="118"/>
    <xf numFmtId="0" fontId="1" fillId="0" borderId="0" applyNumberFormat="0" applyFill="0" applyBorder="0" applyAlignment="0" applyProtection="0"/>
    <xf numFmtId="0" fontId="34" fillId="33" borderId="121">
      <alignment horizontal="left" vertical="center" wrapText="1" indent="2"/>
    </xf>
    <xf numFmtId="4" fontId="32" fillId="31" borderId="118">
      <alignment horizontal="right" vertical="center"/>
    </xf>
    <xf numFmtId="0" fontId="26" fillId="28" borderId="0" applyNumberFormat="0" applyBorder="0" applyAlignment="0" applyProtection="0"/>
    <xf numFmtId="0" fontId="43" fillId="55" borderId="130" applyNumberFormat="0" applyAlignment="0" applyProtection="0"/>
    <xf numFmtId="4" fontId="34" fillId="32" borderId="118"/>
    <xf numFmtId="0" fontId="46" fillId="55" borderId="123" applyNumberFormat="0" applyAlignment="0" applyProtection="0"/>
    <xf numFmtId="0" fontId="26" fillId="19" borderId="0" applyNumberFormat="0" applyBorder="0" applyAlignment="0" applyProtection="0"/>
    <xf numFmtId="0" fontId="46" fillId="55" borderId="123" applyNumberFormat="0" applyAlignment="0" applyProtection="0"/>
    <xf numFmtId="0" fontId="2" fillId="0" borderId="12" applyNumberFormat="0" applyFill="0" applyAlignment="0" applyProtection="0"/>
    <xf numFmtId="49" fontId="34" fillId="0" borderId="118" applyNumberFormat="0" applyFont="0" applyFill="0" applyBorder="0" applyProtection="0">
      <alignment horizontal="left" vertical="center" indent="2"/>
    </xf>
    <xf numFmtId="0" fontId="45" fillId="55" borderId="123" applyNumberFormat="0" applyAlignment="0" applyProtection="0"/>
    <xf numFmtId="0" fontId="40" fillId="58" borderId="125" applyNumberFormat="0" applyFont="0" applyAlignment="0" applyProtection="0"/>
    <xf numFmtId="0" fontId="65" fillId="0" borderId="124" applyNumberFormat="0" applyFill="0" applyAlignment="0" applyProtection="0"/>
    <xf numFmtId="4" fontId="34" fillId="0" borderId="118">
      <alignment horizontal="right" vertical="center"/>
    </xf>
    <xf numFmtId="0" fontId="12" fillId="27" borderId="0" applyNumberFormat="0" applyBorder="0" applyAlignment="0" applyProtection="0"/>
    <xf numFmtId="0" fontId="26" fillId="22" borderId="0" applyNumberFormat="0" applyBorder="0" applyAlignment="0" applyProtection="0"/>
    <xf numFmtId="0" fontId="12" fillId="18" borderId="0" applyNumberFormat="0" applyBorder="0" applyAlignment="0" applyProtection="0"/>
    <xf numFmtId="0" fontId="34" fillId="0" borderId="129">
      <alignment horizontal="left" vertical="center" wrapText="1" indent="2"/>
    </xf>
    <xf numFmtId="0" fontId="12" fillId="24" borderId="0" applyNumberFormat="0" applyBorder="0" applyAlignment="0" applyProtection="0"/>
    <xf numFmtId="0" fontId="26" fillId="20" borderId="0" applyNumberFormat="0" applyBorder="0" applyAlignment="0" applyProtection="0"/>
    <xf numFmtId="0" fontId="62" fillId="55" borderId="122" applyNumberFormat="0" applyAlignment="0" applyProtection="0"/>
    <xf numFmtId="0" fontId="65" fillId="0" borderId="124" applyNumberFormat="0" applyFill="0" applyAlignment="0" applyProtection="0"/>
    <xf numFmtId="0" fontId="34" fillId="31" borderId="127">
      <alignment horizontal="left" vertical="center"/>
    </xf>
    <xf numFmtId="0" fontId="28" fillId="12" borderId="11" applyNumberFormat="0" applyAlignment="0" applyProtection="0"/>
    <xf numFmtId="0" fontId="62" fillId="55" borderId="122" applyNumberFormat="0" applyAlignment="0" applyProtection="0"/>
    <xf numFmtId="0" fontId="26" fillId="14" borderId="0" applyNumberFormat="0" applyBorder="0" applyAlignment="0" applyProtection="0"/>
    <xf numFmtId="0" fontId="26" fillId="22" borderId="0" applyNumberFormat="0" applyBorder="0" applyAlignment="0" applyProtection="0"/>
    <xf numFmtId="0" fontId="34" fillId="0" borderId="126" applyNumberFormat="0" applyFill="0" applyAlignment="0" applyProtection="0"/>
    <xf numFmtId="4" fontId="32" fillId="31" borderId="118">
      <alignment horizontal="right" vertical="center"/>
    </xf>
    <xf numFmtId="4" fontId="34" fillId="32" borderId="126"/>
    <xf numFmtId="0" fontId="46" fillId="55" borderId="115" applyNumberFormat="0" applyAlignment="0" applyProtection="0"/>
    <xf numFmtId="0" fontId="12" fillId="24" borderId="0" applyNumberFormat="0" applyBorder="0" applyAlignment="0" applyProtection="0"/>
    <xf numFmtId="0" fontId="26" fillId="17" borderId="0" applyNumberFormat="0" applyBorder="0" applyAlignment="0" applyProtection="0"/>
    <xf numFmtId="0" fontId="34" fillId="0" borderId="118" applyNumberFormat="0" applyFill="0" applyAlignment="0" applyProtection="0"/>
    <xf numFmtId="0" fontId="12" fillId="21" borderId="0" applyNumberFormat="0" applyBorder="0" applyAlignment="0" applyProtection="0"/>
    <xf numFmtId="0" fontId="29" fillId="12" borderId="10" applyNumberFormat="0" applyAlignment="0" applyProtection="0"/>
    <xf numFmtId="49" fontId="33" fillId="0" borderId="126" applyNumberFormat="0" applyFill="0" applyBorder="0" applyProtection="0">
      <alignment horizontal="left" vertical="center"/>
    </xf>
    <xf numFmtId="0" fontId="34" fillId="0" borderId="121">
      <alignment horizontal="left" vertical="center" wrapText="1" indent="2"/>
    </xf>
    <xf numFmtId="0" fontId="12" fillId="27" borderId="0" applyNumberFormat="0" applyBorder="0" applyAlignment="0" applyProtection="0"/>
    <xf numFmtId="0" fontId="26" fillId="22" borderId="0" applyNumberFormat="0" applyBorder="0" applyAlignment="0" applyProtection="0"/>
    <xf numFmtId="4" fontId="34" fillId="32" borderId="118"/>
    <xf numFmtId="4" fontId="32" fillId="33" borderId="127">
      <alignment horizontal="right" vertical="center"/>
    </xf>
    <xf numFmtId="0" fontId="49" fillId="42" borderId="123" applyNumberFormat="0" applyAlignment="0" applyProtection="0"/>
    <xf numFmtId="0" fontId="12" fillId="18" borderId="0" applyNumberFormat="0" applyBorder="0" applyAlignment="0" applyProtection="0"/>
    <xf numFmtId="0" fontId="65" fillId="0" borderId="116" applyNumberFormat="0" applyFill="0" applyAlignment="0" applyProtection="0"/>
    <xf numFmtId="0" fontId="5" fillId="58" borderId="117" applyNumberFormat="0" applyFont="0" applyAlignment="0" applyProtection="0"/>
    <xf numFmtId="0" fontId="12" fillId="30" borderId="0" applyNumberFormat="0" applyBorder="0" applyAlignment="0" applyProtection="0"/>
    <xf numFmtId="49" fontId="33" fillId="0" borderId="118" applyNumberFormat="0" applyFill="0" applyBorder="0" applyProtection="0">
      <alignment horizontal="left" vertical="center"/>
    </xf>
    <xf numFmtId="0" fontId="12" fillId="30" borderId="0" applyNumberFormat="0" applyBorder="0" applyAlignment="0" applyProtection="0"/>
    <xf numFmtId="0" fontId="12" fillId="27" borderId="0" applyNumberFormat="0" applyBorder="0" applyAlignment="0" applyProtection="0"/>
    <xf numFmtId="0" fontId="34" fillId="0" borderId="118">
      <alignment horizontal="right" vertical="center"/>
    </xf>
    <xf numFmtId="4" fontId="34" fillId="0" borderId="118">
      <alignment horizontal="right" vertical="center"/>
    </xf>
    <xf numFmtId="0" fontId="12" fillId="15" borderId="0" applyNumberFormat="0" applyBorder="0" applyAlignment="0" applyProtection="0"/>
    <xf numFmtId="0" fontId="46" fillId="55" borderId="123" applyNumberFormat="0" applyAlignment="0" applyProtection="0"/>
    <xf numFmtId="0" fontId="32" fillId="33" borderId="120">
      <alignment horizontal="right" vertical="center"/>
    </xf>
    <xf numFmtId="0" fontId="12" fillId="15" borderId="0" applyNumberFormat="0" applyBorder="0" applyAlignment="0" applyProtection="0"/>
    <xf numFmtId="0" fontId="62" fillId="55" borderId="122" applyNumberFormat="0" applyAlignment="0" applyProtection="0"/>
    <xf numFmtId="0" fontId="2" fillId="0" borderId="12" applyNumberFormat="0" applyFill="0" applyAlignment="0" applyProtection="0"/>
    <xf numFmtId="0" fontId="58" fillId="42" borderId="115" applyNumberFormat="0" applyAlignment="0" applyProtection="0"/>
    <xf numFmtId="0" fontId="26" fillId="25" borderId="0" applyNumberFormat="0" applyBorder="0" applyAlignment="0" applyProtection="0"/>
    <xf numFmtId="173" fontId="34" fillId="59" borderId="118" applyNumberFormat="0" applyFont="0" applyBorder="0" applyAlignment="0" applyProtection="0">
      <alignment horizontal="right" vertical="center"/>
    </xf>
    <xf numFmtId="0" fontId="26" fillId="19" borderId="0" applyNumberFormat="0" applyBorder="0" applyAlignment="0" applyProtection="0"/>
    <xf numFmtId="49" fontId="34" fillId="0" borderId="126" applyNumberFormat="0" applyFont="0" applyFill="0" applyBorder="0" applyProtection="0">
      <alignment horizontal="left" vertical="center" indent="2"/>
    </xf>
    <xf numFmtId="0" fontId="26" fillId="19" borderId="0" applyNumberFormat="0" applyBorder="0" applyAlignment="0" applyProtection="0"/>
    <xf numFmtId="0" fontId="26" fillId="22" borderId="0" applyNumberFormat="0" applyBorder="0" applyAlignment="0" applyProtection="0"/>
    <xf numFmtId="0" fontId="62" fillId="55" borderId="122" applyNumberFormat="0" applyAlignment="0" applyProtection="0"/>
    <xf numFmtId="0" fontId="26" fillId="14" borderId="0" applyNumberFormat="0" applyBorder="0" applyAlignment="0" applyProtection="0"/>
    <xf numFmtId="0" fontId="12" fillId="30" borderId="0" applyNumberFormat="0" applyBorder="0" applyAlignment="0" applyProtection="0"/>
    <xf numFmtId="0" fontId="26" fillId="25" borderId="0" applyNumberFormat="0" applyBorder="0" applyAlignment="0" applyProtection="0"/>
    <xf numFmtId="0" fontId="58" fillId="42" borderId="115" applyNumberFormat="0" applyAlignment="0" applyProtection="0"/>
    <xf numFmtId="0" fontId="58" fillId="42" borderId="123" applyNumberFormat="0" applyAlignment="0" applyProtection="0"/>
    <xf numFmtId="4" fontId="32" fillId="33" borderId="126">
      <alignment horizontal="right" vertical="center"/>
    </xf>
    <xf numFmtId="0" fontId="34" fillId="33" borderId="121">
      <alignment horizontal="left" vertical="center" wrapText="1" indent="2"/>
    </xf>
    <xf numFmtId="0" fontId="1" fillId="0" borderId="0" applyNumberFormat="0" applyFill="0" applyBorder="0" applyAlignment="0" applyProtection="0"/>
    <xf numFmtId="4" fontId="34" fillId="0" borderId="118" applyFill="0" applyBorder="0" applyProtection="0">
      <alignment horizontal="right" vertical="center"/>
    </xf>
    <xf numFmtId="0" fontId="58" fillId="42" borderId="115" applyNumberFormat="0" applyAlignment="0" applyProtection="0"/>
    <xf numFmtId="0" fontId="50" fillId="0" borderId="124" applyNumberFormat="0" applyFill="0" applyAlignment="0" applyProtection="0"/>
    <xf numFmtId="0" fontId="28" fillId="12" borderId="11" applyNumberFormat="0" applyAlignment="0" applyProtection="0"/>
    <xf numFmtId="0" fontId="26" fillId="20" borderId="0" applyNumberFormat="0" applyBorder="0" applyAlignment="0" applyProtection="0"/>
    <xf numFmtId="0" fontId="12" fillId="18" borderId="0" applyNumberFormat="0" applyBorder="0" applyAlignment="0" applyProtection="0"/>
    <xf numFmtId="0" fontId="12" fillId="30" borderId="0" applyNumberFormat="0" applyBorder="0" applyAlignment="0" applyProtection="0"/>
    <xf numFmtId="0" fontId="50" fillId="0" borderId="124" applyNumberFormat="0" applyFill="0" applyAlignment="0" applyProtection="0"/>
    <xf numFmtId="0" fontId="65" fillId="0" borderId="116" applyNumberFormat="0" applyFill="0" applyAlignment="0" applyProtection="0"/>
    <xf numFmtId="0" fontId="34" fillId="0" borderId="121">
      <alignment horizontal="left" vertical="center" wrapText="1" indent="2"/>
    </xf>
    <xf numFmtId="0" fontId="26" fillId="17" borderId="0" applyNumberFormat="0" applyBorder="0" applyAlignment="0" applyProtection="0"/>
    <xf numFmtId="0" fontId="34" fillId="0" borderId="118">
      <alignment horizontal="right" vertical="center"/>
    </xf>
    <xf numFmtId="4" fontId="34" fillId="0" borderId="126" applyFill="0" applyBorder="0" applyProtection="0">
      <alignment horizontal="right" vertical="center"/>
    </xf>
    <xf numFmtId="0" fontId="12" fillId="21" borderId="0" applyNumberFormat="0" applyBorder="0" applyAlignment="0" applyProtection="0"/>
    <xf numFmtId="0" fontId="34" fillId="33" borderId="121">
      <alignment horizontal="left" vertical="center" wrapText="1" indent="2"/>
    </xf>
    <xf numFmtId="0" fontId="32" fillId="33" borderId="126">
      <alignment horizontal="right" vertical="center"/>
    </xf>
    <xf numFmtId="0" fontId="45" fillId="55" borderId="115" applyNumberFormat="0" applyAlignment="0" applyProtection="0"/>
    <xf numFmtId="0" fontId="34" fillId="33" borderId="121">
      <alignment horizontal="left" vertical="center" wrapText="1" indent="2"/>
    </xf>
    <xf numFmtId="0" fontId="5" fillId="58" borderId="117" applyNumberFormat="0" applyFont="0" applyAlignment="0" applyProtection="0"/>
    <xf numFmtId="0" fontId="34" fillId="32" borderId="118"/>
    <xf numFmtId="0" fontId="49" fillId="42" borderId="115" applyNumberFormat="0" applyAlignment="0" applyProtection="0"/>
    <xf numFmtId="0" fontId="45" fillId="55" borderId="115" applyNumberFormat="0" applyAlignment="0" applyProtection="0"/>
    <xf numFmtId="0" fontId="62" fillId="55" borderId="122" applyNumberFormat="0" applyAlignment="0" applyProtection="0"/>
    <xf numFmtId="0" fontId="46" fillId="55" borderId="115" applyNumberFormat="0" applyAlignment="0" applyProtection="0"/>
    <xf numFmtId="0" fontId="26" fillId="14" borderId="0" applyNumberFormat="0" applyBorder="0" applyAlignment="0" applyProtection="0"/>
    <xf numFmtId="4" fontId="32" fillId="33" borderId="128">
      <alignment horizontal="right" vertical="center"/>
    </xf>
    <xf numFmtId="0" fontId="34" fillId="0" borderId="118">
      <alignment horizontal="right" vertical="center"/>
    </xf>
    <xf numFmtId="0" fontId="45" fillId="55" borderId="115" applyNumberFormat="0" applyAlignment="0" applyProtection="0"/>
    <xf numFmtId="0" fontId="5" fillId="58" borderId="125" applyNumberFormat="0" applyFont="0" applyAlignment="0" applyProtection="0"/>
    <xf numFmtId="0" fontId="26" fillId="26" borderId="0" applyNumberFormat="0" applyBorder="0" applyAlignment="0" applyProtection="0"/>
    <xf numFmtId="0" fontId="26" fillId="19" borderId="0" applyNumberFormat="0" applyBorder="0" applyAlignment="0" applyProtection="0"/>
    <xf numFmtId="0" fontId="34" fillId="0" borderId="118" applyNumberFormat="0" applyFill="0" applyAlignment="0" applyProtection="0"/>
    <xf numFmtId="4" fontId="32" fillId="33" borderId="119">
      <alignment horizontal="right" vertical="center"/>
    </xf>
    <xf numFmtId="0" fontId="65" fillId="0" borderId="116" applyNumberFormat="0" applyFill="0" applyAlignment="0" applyProtection="0"/>
    <xf numFmtId="0" fontId="12" fillId="15" borderId="0" applyNumberFormat="0" applyBorder="0" applyAlignment="0" applyProtection="0"/>
    <xf numFmtId="4" fontId="36" fillId="31" borderId="118">
      <alignment horizontal="right" vertical="center"/>
    </xf>
    <xf numFmtId="0" fontId="26" fillId="20" borderId="0" applyNumberFormat="0" applyBorder="0" applyAlignment="0" applyProtection="0"/>
    <xf numFmtId="0" fontId="58" fillId="42" borderId="115" applyNumberFormat="0" applyAlignment="0" applyProtection="0"/>
    <xf numFmtId="0" fontId="32" fillId="33" borderId="118">
      <alignment horizontal="right" vertical="center"/>
    </xf>
    <xf numFmtId="0" fontId="65" fillId="0" borderId="116" applyNumberFormat="0" applyFill="0" applyAlignment="0" applyProtection="0"/>
    <xf numFmtId="0" fontId="45" fillId="55" borderId="115" applyNumberFormat="0" applyAlignment="0" applyProtection="0"/>
    <xf numFmtId="4" fontId="32" fillId="33" borderId="120">
      <alignment horizontal="right" vertical="center"/>
    </xf>
    <xf numFmtId="0" fontId="5" fillId="58" borderId="125" applyNumberFormat="0" applyFont="0" applyAlignment="0" applyProtection="0"/>
    <xf numFmtId="0" fontId="12" fillId="21" borderId="0" applyNumberFormat="0" applyBorder="0" applyAlignment="0" applyProtection="0"/>
    <xf numFmtId="0" fontId="46" fillId="55" borderId="123" applyNumberFormat="0" applyAlignment="0" applyProtection="0"/>
    <xf numFmtId="49" fontId="34" fillId="0" borderId="118" applyNumberFormat="0" applyFont="0" applyFill="0" applyBorder="0" applyProtection="0">
      <alignment horizontal="left" vertical="center" indent="2"/>
    </xf>
    <xf numFmtId="0" fontId="26" fillId="20" borderId="0" applyNumberFormat="0" applyBorder="0" applyAlignment="0" applyProtection="0"/>
    <xf numFmtId="173" fontId="34" fillId="59" borderId="118" applyNumberFormat="0" applyFont="0" applyBorder="0" applyAlignment="0" applyProtection="0">
      <alignment horizontal="right" vertical="center"/>
    </xf>
    <xf numFmtId="0" fontId="12" fillId="24" borderId="0" applyNumberFormat="0" applyBorder="0" applyAlignment="0" applyProtection="0"/>
    <xf numFmtId="49" fontId="33" fillId="0" borderId="118" applyNumberFormat="0" applyFill="0" applyBorder="0" applyProtection="0">
      <alignment horizontal="left" vertical="center"/>
    </xf>
    <xf numFmtId="0" fontId="29" fillId="12" borderId="10" applyNumberFormat="0" applyAlignment="0" applyProtection="0"/>
    <xf numFmtId="0" fontId="26" fillId="20" borderId="0" applyNumberFormat="0" applyBorder="0" applyAlignment="0" applyProtection="0"/>
    <xf numFmtId="0" fontId="65" fillId="0" borderId="124" applyNumberFormat="0" applyFill="0" applyAlignment="0" applyProtection="0"/>
    <xf numFmtId="0" fontId="36" fillId="31" borderId="118">
      <alignment horizontal="right" vertical="center"/>
    </xf>
    <xf numFmtId="0" fontId="45" fillId="55" borderId="123" applyNumberFormat="0" applyAlignment="0" applyProtection="0"/>
    <xf numFmtId="0" fontId="26" fillId="22" borderId="0" applyNumberFormat="0" applyBorder="0" applyAlignment="0" applyProtection="0"/>
    <xf numFmtId="0" fontId="58" fillId="42" borderId="115" applyNumberFormat="0" applyAlignment="0" applyProtection="0"/>
    <xf numFmtId="0" fontId="36" fillId="31" borderId="118">
      <alignment horizontal="right" vertical="center"/>
    </xf>
    <xf numFmtId="4" fontId="34" fillId="32" borderId="126"/>
    <xf numFmtId="49" fontId="33" fillId="0" borderId="118" applyNumberFormat="0" applyFill="0" applyBorder="0" applyProtection="0">
      <alignment horizontal="left" vertical="center"/>
    </xf>
    <xf numFmtId="0" fontId="58" fillId="42" borderId="123" applyNumberFormat="0" applyAlignment="0" applyProtection="0"/>
    <xf numFmtId="0" fontId="32" fillId="31" borderId="118">
      <alignment horizontal="right" vertical="center"/>
    </xf>
    <xf numFmtId="0" fontId="58" fillId="42" borderId="115" applyNumberFormat="0" applyAlignment="0" applyProtection="0"/>
    <xf numFmtId="0" fontId="34" fillId="31" borderId="119">
      <alignment horizontal="left" vertical="center"/>
    </xf>
    <xf numFmtId="0" fontId="26" fillId="14" borderId="0" applyNumberFormat="0" applyBorder="0" applyAlignment="0" applyProtection="0"/>
    <xf numFmtId="0" fontId="12" fillId="24" borderId="0" applyNumberFormat="0" applyBorder="0" applyAlignment="0" applyProtection="0"/>
    <xf numFmtId="0" fontId="32" fillId="31" borderId="118">
      <alignment horizontal="right" vertical="center"/>
    </xf>
    <xf numFmtId="4" fontId="34" fillId="32" borderId="126"/>
    <xf numFmtId="0" fontId="40" fillId="58" borderId="117" applyNumberFormat="0" applyFont="0" applyAlignment="0" applyProtection="0"/>
    <xf numFmtId="0" fontId="2" fillId="0" borderId="12" applyNumberFormat="0" applyFill="0" applyAlignment="0" applyProtection="0"/>
    <xf numFmtId="0" fontId="32" fillId="33" borderId="128">
      <alignment horizontal="right" vertical="center"/>
    </xf>
    <xf numFmtId="49" fontId="34" fillId="0" borderId="119" applyNumberFormat="0" applyFont="0" applyFill="0" applyBorder="0" applyProtection="0">
      <alignment horizontal="left" vertical="center" indent="5"/>
    </xf>
    <xf numFmtId="0" fontId="43" fillId="55" borderId="122" applyNumberFormat="0" applyAlignment="0" applyProtection="0"/>
    <xf numFmtId="0" fontId="26" fillId="29" borderId="0" applyNumberFormat="0" applyBorder="0" applyAlignment="0" applyProtection="0"/>
    <xf numFmtId="0" fontId="50" fillId="0" borderId="116" applyNumberFormat="0" applyFill="0" applyAlignment="0" applyProtection="0"/>
    <xf numFmtId="49" fontId="34" fillId="0" borderId="118" applyNumberFormat="0" applyFont="0" applyFill="0" applyBorder="0" applyProtection="0">
      <alignment horizontal="left" vertical="center" indent="2"/>
    </xf>
    <xf numFmtId="0" fontId="50" fillId="0" borderId="116" applyNumberFormat="0" applyFill="0" applyAlignment="0" applyProtection="0"/>
    <xf numFmtId="0" fontId="32" fillId="33" borderId="120">
      <alignment horizontal="right" vertical="center"/>
    </xf>
    <xf numFmtId="0" fontId="30" fillId="0" borderId="0" applyNumberFormat="0" applyFill="0" applyBorder="0" applyAlignment="0" applyProtection="0"/>
    <xf numFmtId="0" fontId="36" fillId="31" borderId="118">
      <alignment horizontal="right" vertical="center"/>
    </xf>
    <xf numFmtId="4" fontId="32" fillId="33" borderId="118">
      <alignment horizontal="right" vertical="center"/>
    </xf>
    <xf numFmtId="0" fontId="12" fillId="24" borderId="0" applyNumberFormat="0" applyBorder="0" applyAlignment="0" applyProtection="0"/>
    <xf numFmtId="0" fontId="65" fillId="0" borderId="124" applyNumberFormat="0" applyFill="0" applyAlignment="0" applyProtection="0"/>
    <xf numFmtId="0" fontId="62" fillId="55" borderId="130" applyNumberFormat="0" applyAlignment="0" applyProtection="0"/>
    <xf numFmtId="4" fontId="32" fillId="33" borderId="127">
      <alignment horizontal="right" vertical="center"/>
    </xf>
    <xf numFmtId="0" fontId="12" fillId="21" borderId="0" applyNumberFormat="0" applyBorder="0" applyAlignment="0" applyProtection="0"/>
    <xf numFmtId="49" fontId="33" fillId="0" borderId="118" applyNumberFormat="0" applyFill="0" applyBorder="0" applyProtection="0">
      <alignment horizontal="left" vertical="center"/>
    </xf>
    <xf numFmtId="0" fontId="65" fillId="0" borderId="124" applyNumberFormat="0" applyFill="0" applyAlignment="0" applyProtection="0"/>
    <xf numFmtId="0" fontId="50" fillId="0" borderId="116" applyNumberFormat="0" applyFill="0" applyAlignment="0" applyProtection="0"/>
    <xf numFmtId="4" fontId="34" fillId="0" borderId="118" applyFill="0" applyBorder="0" applyProtection="0">
      <alignment horizontal="right" vertical="center"/>
    </xf>
    <xf numFmtId="49" fontId="33" fillId="0" borderId="118" applyNumberFormat="0" applyFill="0" applyBorder="0" applyProtection="0">
      <alignment horizontal="left" vertical="center"/>
    </xf>
    <xf numFmtId="49" fontId="34" fillId="0" borderId="118" applyNumberFormat="0" applyFont="0" applyFill="0" applyBorder="0" applyProtection="0">
      <alignment horizontal="left" vertical="center" indent="2"/>
    </xf>
    <xf numFmtId="0" fontId="36" fillId="31" borderId="118">
      <alignment horizontal="right" vertical="center"/>
    </xf>
    <xf numFmtId="0" fontId="26" fillId="22" borderId="0" applyNumberFormat="0" applyBorder="0" applyAlignment="0" applyProtection="0"/>
    <xf numFmtId="49" fontId="34" fillId="0" borderId="119" applyNumberFormat="0" applyFont="0" applyFill="0" applyBorder="0" applyProtection="0">
      <alignment horizontal="left" vertical="center" indent="5"/>
    </xf>
    <xf numFmtId="0" fontId="26" fillId="19" borderId="0" applyNumberFormat="0" applyBorder="0" applyAlignment="0" applyProtection="0"/>
    <xf numFmtId="0" fontId="49" fillId="42" borderId="123" applyNumberFormat="0" applyAlignment="0" applyProtection="0"/>
    <xf numFmtId="4" fontId="34" fillId="32" borderId="126"/>
    <xf numFmtId="4" fontId="32" fillId="31" borderId="126">
      <alignment horizontal="right" vertical="center"/>
    </xf>
    <xf numFmtId="0" fontId="29" fillId="12" borderId="10" applyNumberFormat="0" applyAlignment="0" applyProtection="0"/>
    <xf numFmtId="0" fontId="26" fillId="23" borderId="0" applyNumberFormat="0" applyBorder="0" applyAlignment="0" applyProtection="0"/>
    <xf numFmtId="0" fontId="34" fillId="0" borderId="121">
      <alignment horizontal="left" vertical="center" wrapText="1" indent="2"/>
    </xf>
    <xf numFmtId="0" fontId="46" fillId="55" borderId="123" applyNumberFormat="0" applyAlignment="0" applyProtection="0"/>
    <xf numFmtId="0" fontId="34" fillId="0" borderId="129">
      <alignment horizontal="left" vertical="center" wrapText="1" indent="2"/>
    </xf>
    <xf numFmtId="0" fontId="65" fillId="0" borderId="124" applyNumberFormat="0" applyFill="0" applyAlignment="0" applyProtection="0"/>
    <xf numFmtId="49" fontId="34" fillId="0" borderId="126" applyNumberFormat="0" applyFont="0" applyFill="0" applyBorder="0" applyProtection="0">
      <alignment horizontal="left" vertical="center" indent="2"/>
    </xf>
    <xf numFmtId="0" fontId="28" fillId="12" borderId="11" applyNumberFormat="0" applyAlignment="0" applyProtection="0"/>
    <xf numFmtId="0" fontId="32" fillId="33" borderId="126">
      <alignment horizontal="right" vertical="center"/>
    </xf>
    <xf numFmtId="0" fontId="32" fillId="33" borderId="118">
      <alignment horizontal="right" vertical="center"/>
    </xf>
    <xf numFmtId="0" fontId="26" fillId="28" borderId="0" applyNumberFormat="0" applyBorder="0" applyAlignment="0" applyProtection="0"/>
    <xf numFmtId="0" fontId="26" fillId="16" borderId="0" applyNumberFormat="0" applyBorder="0" applyAlignment="0" applyProtection="0"/>
    <xf numFmtId="0" fontId="26" fillId="28" borderId="0" applyNumberFormat="0" applyBorder="0" applyAlignment="0" applyProtection="0"/>
    <xf numFmtId="0" fontId="40" fillId="58" borderId="125" applyNumberFormat="0" applyFont="0" applyAlignment="0" applyProtection="0"/>
    <xf numFmtId="0" fontId="62" fillId="55" borderId="130" applyNumberFormat="0" applyAlignment="0" applyProtection="0"/>
    <xf numFmtId="0" fontId="34" fillId="33" borderId="129">
      <alignment horizontal="left" vertical="center" wrapText="1" indent="2"/>
    </xf>
    <xf numFmtId="0" fontId="26" fillId="23" borderId="0" applyNumberFormat="0" applyBorder="0" applyAlignment="0" applyProtection="0"/>
    <xf numFmtId="0" fontId="12" fillId="27" borderId="0" applyNumberFormat="0" applyBorder="0" applyAlignment="0" applyProtection="0"/>
    <xf numFmtId="4" fontId="32" fillId="33" borderId="118">
      <alignment horizontal="right" vertical="center"/>
    </xf>
    <xf numFmtId="4" fontId="36" fillId="31" borderId="118">
      <alignment horizontal="right" vertical="center"/>
    </xf>
    <xf numFmtId="0" fontId="34" fillId="32" borderId="118"/>
    <xf numFmtId="0" fontId="50" fillId="0" borderId="116" applyNumberFormat="0" applyFill="0" applyAlignment="0" applyProtection="0"/>
    <xf numFmtId="4" fontId="34" fillId="0" borderId="118" applyFill="0" applyBorder="0" applyProtection="0">
      <alignment horizontal="right" vertical="center"/>
    </xf>
    <xf numFmtId="0" fontId="50" fillId="0" borderId="116" applyNumberFormat="0" applyFill="0" applyAlignment="0" applyProtection="0"/>
    <xf numFmtId="0" fontId="34" fillId="0" borderId="118" applyNumberFormat="0" applyFill="0" applyAlignment="0" applyProtection="0"/>
    <xf numFmtId="0" fontId="34" fillId="32" borderId="126"/>
    <xf numFmtId="0" fontId="34" fillId="0" borderId="118" applyNumberFormat="0" applyFill="0" applyAlignment="0" applyProtection="0"/>
    <xf numFmtId="0" fontId="40" fillId="58" borderId="125" applyNumberFormat="0" applyFont="0" applyAlignment="0" applyProtection="0"/>
    <xf numFmtId="4" fontId="32" fillId="33" borderId="120">
      <alignment horizontal="right" vertical="center"/>
    </xf>
    <xf numFmtId="0" fontId="46" fillId="55" borderId="123" applyNumberFormat="0" applyAlignment="0" applyProtection="0"/>
    <xf numFmtId="0" fontId="49" fillId="42" borderId="115" applyNumberFormat="0" applyAlignment="0" applyProtection="0"/>
    <xf numFmtId="0" fontId="46" fillId="55" borderId="115" applyNumberFormat="0" applyAlignment="0" applyProtection="0"/>
    <xf numFmtId="4" fontId="34" fillId="0" borderId="118">
      <alignment horizontal="right" vertical="center"/>
    </xf>
    <xf numFmtId="0" fontId="34" fillId="33" borderId="121">
      <alignment horizontal="left" vertical="center" wrapText="1" indent="2"/>
    </xf>
    <xf numFmtId="0" fontId="34" fillId="0" borderId="121">
      <alignment horizontal="left" vertical="center" wrapText="1" indent="2"/>
    </xf>
    <xf numFmtId="0" fontId="62" fillId="55" borderId="122" applyNumberFormat="0" applyAlignment="0" applyProtection="0"/>
    <xf numFmtId="0" fontId="58" fillId="42" borderId="115" applyNumberFormat="0" applyAlignment="0" applyProtection="0"/>
    <xf numFmtId="0" fontId="45" fillId="55" borderId="115" applyNumberFormat="0" applyAlignment="0" applyProtection="0"/>
    <xf numFmtId="0" fontId="43" fillId="55" borderId="122" applyNumberFormat="0" applyAlignment="0" applyProtection="0"/>
    <xf numFmtId="0" fontId="32" fillId="33" borderId="120">
      <alignment horizontal="right" vertical="center"/>
    </xf>
    <xf numFmtId="0" fontId="36" fillId="31" borderId="118">
      <alignment horizontal="right" vertical="center"/>
    </xf>
    <xf numFmtId="4" fontId="32" fillId="31" borderId="118">
      <alignment horizontal="right" vertical="center"/>
    </xf>
    <xf numFmtId="4" fontId="32" fillId="33" borderId="118">
      <alignment horizontal="right" vertical="center"/>
    </xf>
    <xf numFmtId="49" fontId="34" fillId="0" borderId="119" applyNumberFormat="0" applyFont="0" applyFill="0" applyBorder="0" applyProtection="0">
      <alignment horizontal="left" vertical="center" indent="5"/>
    </xf>
    <xf numFmtId="4" fontId="34" fillId="0" borderId="118" applyFill="0" applyBorder="0" applyProtection="0">
      <alignment horizontal="right" vertical="center"/>
    </xf>
    <xf numFmtId="4" fontId="32" fillId="31" borderId="118">
      <alignment horizontal="right" vertical="center"/>
    </xf>
    <xf numFmtId="0" fontId="58" fillId="42" borderId="115" applyNumberFormat="0" applyAlignment="0" applyProtection="0"/>
    <xf numFmtId="0" fontId="49" fillId="42" borderId="115" applyNumberFormat="0" applyAlignment="0" applyProtection="0"/>
    <xf numFmtId="0" fontId="45" fillId="55" borderId="115" applyNumberFormat="0" applyAlignment="0" applyProtection="0"/>
    <xf numFmtId="0" fontId="34" fillId="33" borderId="121">
      <alignment horizontal="left" vertical="center" wrapText="1" indent="2"/>
    </xf>
    <xf numFmtId="0" fontId="34" fillId="0" borderId="121">
      <alignment horizontal="left" vertical="center" wrapText="1" indent="2"/>
    </xf>
    <xf numFmtId="0" fontId="34" fillId="33" borderId="121">
      <alignment horizontal="left" vertical="center" wrapText="1" indent="2"/>
    </xf>
    <xf numFmtId="49" fontId="34" fillId="0" borderId="126" applyNumberFormat="0" applyFont="0" applyFill="0" applyBorder="0" applyProtection="0">
      <alignment horizontal="left" vertical="center" indent="2"/>
    </xf>
    <xf numFmtId="0" fontId="32" fillId="33" borderId="126">
      <alignment horizontal="right" vertical="center"/>
    </xf>
    <xf numFmtId="0" fontId="32" fillId="33" borderId="126">
      <alignment horizontal="right" vertical="center"/>
    </xf>
    <xf numFmtId="0" fontId="28" fillId="12" borderId="11" applyNumberFormat="0" applyAlignment="0" applyProtection="0"/>
    <xf numFmtId="0" fontId="43" fillId="55" borderId="130" applyNumberFormat="0" applyAlignment="0" applyProtection="0"/>
    <xf numFmtId="0" fontId="49" fillId="42" borderId="123" applyNumberFormat="0" applyAlignment="0" applyProtection="0"/>
    <xf numFmtId="0" fontId="26" fillId="14" borderId="0" applyNumberFormat="0" applyBorder="0" applyAlignment="0" applyProtection="0"/>
    <xf numFmtId="0" fontId="12" fillId="27" borderId="0" applyNumberFormat="0" applyBorder="0" applyAlignment="0" applyProtection="0"/>
    <xf numFmtId="0" fontId="40" fillId="58" borderId="125" applyNumberFormat="0" applyFont="0" applyAlignment="0" applyProtection="0"/>
    <xf numFmtId="0" fontId="26" fillId="23" borderId="0" applyNumberFormat="0" applyBorder="0" applyAlignment="0" applyProtection="0"/>
    <xf numFmtId="0" fontId="26" fillId="23" borderId="0" applyNumberFormat="0" applyBorder="0" applyAlignment="0" applyProtection="0"/>
    <xf numFmtId="4" fontId="34" fillId="32" borderId="126"/>
    <xf numFmtId="0" fontId="45" fillId="55" borderId="123" applyNumberFormat="0" applyAlignment="0" applyProtection="0"/>
    <xf numFmtId="0" fontId="65" fillId="0" borderId="124" applyNumberFormat="0" applyFill="0" applyAlignment="0" applyProtection="0"/>
    <xf numFmtId="173" fontId="34" fillId="59" borderId="126" applyNumberFormat="0" applyFont="0" applyBorder="0" applyAlignment="0" applyProtection="0">
      <alignment horizontal="right" vertical="center"/>
    </xf>
    <xf numFmtId="0" fontId="58" fillId="42" borderId="123" applyNumberFormat="0" applyAlignment="0" applyProtection="0"/>
    <xf numFmtId="4" fontId="32" fillId="33" borderId="126">
      <alignment horizontal="right" vertical="center"/>
    </xf>
    <xf numFmtId="0" fontId="26" fillId="28" borderId="0" applyNumberFormat="0" applyBorder="0" applyAlignment="0" applyProtection="0"/>
    <xf numFmtId="0" fontId="32" fillId="33" borderId="126">
      <alignment horizontal="right" vertical="center"/>
    </xf>
    <xf numFmtId="0" fontId="58" fillId="42" borderId="123" applyNumberFormat="0" applyAlignment="0" applyProtection="0"/>
    <xf numFmtId="4" fontId="32" fillId="33" borderId="128">
      <alignment horizontal="right" vertical="center"/>
    </xf>
    <xf numFmtId="0" fontId="26" fillId="29" borderId="0" applyNumberFormat="0" applyBorder="0" applyAlignment="0" applyProtection="0"/>
    <xf numFmtId="0" fontId="26" fillId="20" borderId="0" applyNumberFormat="0" applyBorder="0" applyAlignment="0" applyProtection="0"/>
    <xf numFmtId="0" fontId="26" fillId="19" borderId="0" applyNumberFormat="0" applyBorder="0" applyAlignment="0" applyProtection="0"/>
    <xf numFmtId="0" fontId="29" fillId="12" borderId="10" applyNumberFormat="0" applyAlignment="0" applyProtection="0"/>
    <xf numFmtId="0" fontId="62" fillId="55" borderId="130" applyNumberFormat="0" applyAlignment="0" applyProtection="0"/>
    <xf numFmtId="0" fontId="46" fillId="55" borderId="123" applyNumberFormat="0" applyAlignment="0" applyProtection="0"/>
    <xf numFmtId="0" fontId="34" fillId="32" borderId="126"/>
    <xf numFmtId="0" fontId="40" fillId="58" borderId="125" applyNumberFormat="0" applyFont="0" applyAlignment="0" applyProtection="0"/>
    <xf numFmtId="0" fontId="65" fillId="0" borderId="124" applyNumberFormat="0" applyFill="0" applyAlignment="0" applyProtection="0"/>
    <xf numFmtId="4" fontId="34" fillId="0" borderId="126" applyFill="0" applyBorder="0" applyProtection="0">
      <alignment horizontal="right" vertical="center"/>
    </xf>
    <xf numFmtId="0" fontId="26" fillId="14" borderId="0" applyNumberFormat="0" applyBorder="0" applyAlignment="0" applyProtection="0"/>
    <xf numFmtId="0" fontId="34" fillId="32" borderId="126"/>
    <xf numFmtId="49" fontId="34" fillId="0" borderId="127" applyNumberFormat="0" applyFont="0" applyFill="0" applyBorder="0" applyProtection="0">
      <alignment horizontal="left" vertical="center" indent="5"/>
    </xf>
    <xf numFmtId="4" fontId="32" fillId="33" borderId="128">
      <alignment horizontal="right" vertical="center"/>
    </xf>
    <xf numFmtId="0" fontId="32" fillId="31" borderId="126">
      <alignment horizontal="right" vertical="center"/>
    </xf>
    <xf numFmtId="0" fontId="26" fillId="17" borderId="0" applyNumberFormat="0" applyBorder="0" applyAlignment="0" applyProtection="0"/>
    <xf numFmtId="0" fontId="12" fillId="21" borderId="0" applyNumberFormat="0" applyBorder="0" applyAlignment="0" applyProtection="0"/>
    <xf numFmtId="0" fontId="32" fillId="33" borderId="126">
      <alignment horizontal="right" vertical="center"/>
    </xf>
    <xf numFmtId="49" fontId="33" fillId="0" borderId="126" applyNumberFormat="0" applyFill="0" applyBorder="0" applyProtection="0">
      <alignment horizontal="left" vertical="center"/>
    </xf>
    <xf numFmtId="0" fontId="26" fillId="29" borderId="0" applyNumberFormat="0" applyBorder="0" applyAlignment="0" applyProtection="0"/>
    <xf numFmtId="49" fontId="34" fillId="0" borderId="127" applyNumberFormat="0" applyFont="0" applyFill="0" applyBorder="0" applyProtection="0">
      <alignment horizontal="left" vertical="center" indent="5"/>
    </xf>
    <xf numFmtId="49" fontId="33" fillId="0" borderId="126" applyNumberFormat="0" applyFill="0" applyBorder="0" applyProtection="0">
      <alignment horizontal="left" vertical="center"/>
    </xf>
    <xf numFmtId="4" fontId="34" fillId="0" borderId="126" applyFill="0" applyBorder="0" applyProtection="0">
      <alignment horizontal="right" vertical="center"/>
    </xf>
    <xf numFmtId="0" fontId="26" fillId="14" borderId="0" applyNumberFormat="0" applyBorder="0" applyAlignment="0" applyProtection="0"/>
    <xf numFmtId="0" fontId="62" fillId="55" borderId="130" applyNumberFormat="0" applyAlignment="0" applyProtection="0"/>
    <xf numFmtId="0" fontId="12" fillId="24" borderId="0" applyNumberFormat="0" applyBorder="0" applyAlignment="0" applyProtection="0"/>
    <xf numFmtId="0" fontId="26" fillId="19" borderId="0" applyNumberFormat="0" applyBorder="0" applyAlignment="0" applyProtection="0"/>
    <xf numFmtId="0" fontId="46" fillId="55" borderId="123" applyNumberFormat="0" applyAlignment="0" applyProtection="0"/>
    <xf numFmtId="0" fontId="32" fillId="33" borderId="128">
      <alignment horizontal="right" vertical="center"/>
    </xf>
    <xf numFmtId="4" fontId="34" fillId="32" borderId="126"/>
    <xf numFmtId="49" fontId="34" fillId="0" borderId="126" applyNumberFormat="0" applyFont="0" applyFill="0" applyBorder="0" applyProtection="0">
      <alignment horizontal="left" vertical="center" indent="2"/>
    </xf>
    <xf numFmtId="0" fontId="5" fillId="58" borderId="125" applyNumberFormat="0" applyFont="0" applyAlignment="0" applyProtection="0"/>
    <xf numFmtId="0" fontId="34" fillId="31" borderId="127">
      <alignment horizontal="left" vertical="center"/>
    </xf>
    <xf numFmtId="0" fontId="32" fillId="33" borderId="128">
      <alignment horizontal="right" vertical="center"/>
    </xf>
    <xf numFmtId="0" fontId="32" fillId="33" borderId="128">
      <alignment horizontal="right" vertical="center"/>
    </xf>
    <xf numFmtId="0" fontId="26" fillId="28" borderId="0" applyNumberFormat="0" applyBorder="0" applyAlignment="0" applyProtection="0"/>
    <xf numFmtId="0" fontId="50" fillId="0" borderId="124" applyNumberFormat="0" applyFill="0" applyAlignment="0" applyProtection="0"/>
    <xf numFmtId="0" fontId="36" fillId="31" borderId="126">
      <alignment horizontal="right" vertical="center"/>
    </xf>
    <xf numFmtId="0" fontId="36" fillId="31" borderId="126">
      <alignment horizontal="right" vertical="center"/>
    </xf>
    <xf numFmtId="0" fontId="50" fillId="0" borderId="124" applyNumberFormat="0" applyFill="0" applyAlignment="0" applyProtection="0"/>
    <xf numFmtId="0" fontId="43" fillId="55" borderId="130" applyNumberFormat="0" applyAlignment="0" applyProtection="0"/>
    <xf numFmtId="49" fontId="34" fillId="0" borderId="127" applyNumberFormat="0" applyFont="0" applyFill="0" applyBorder="0" applyProtection="0">
      <alignment horizontal="left" vertical="center" indent="5"/>
    </xf>
    <xf numFmtId="0" fontId="50" fillId="0" borderId="124" applyNumberFormat="0" applyFill="0" applyAlignment="0" applyProtection="0"/>
    <xf numFmtId="49" fontId="34" fillId="0" borderId="126" applyNumberFormat="0" applyFont="0" applyFill="0" applyBorder="0" applyProtection="0">
      <alignment horizontal="left" vertical="center" indent="2"/>
    </xf>
    <xf numFmtId="0" fontId="65" fillId="0" borderId="124" applyNumberFormat="0" applyFill="0" applyAlignment="0" applyProtection="0"/>
    <xf numFmtId="0" fontId="34" fillId="0" borderId="126" applyNumberFormat="0" applyFill="0" applyAlignment="0" applyProtection="0"/>
    <xf numFmtId="0" fontId="2" fillId="0" borderId="12" applyNumberFormat="0" applyFill="0" applyAlignment="0" applyProtection="0"/>
    <xf numFmtId="0" fontId="12" fillId="27" borderId="0" applyNumberFormat="0" applyBorder="0" applyAlignment="0" applyProtection="0"/>
    <xf numFmtId="0" fontId="29" fillId="12" borderId="10" applyNumberFormat="0" applyAlignment="0" applyProtection="0"/>
    <xf numFmtId="0" fontId="32" fillId="33" borderId="126">
      <alignment horizontal="right" vertical="center"/>
    </xf>
    <xf numFmtId="0" fontId="34" fillId="0" borderId="129">
      <alignment horizontal="left" vertical="center" wrapText="1" indent="2"/>
    </xf>
    <xf numFmtId="0" fontId="58" fillId="42" borderId="123" applyNumberFormat="0" applyAlignment="0" applyProtection="0"/>
    <xf numFmtId="0" fontId="12" fillId="24" borderId="0" applyNumberFormat="0" applyBorder="0" applyAlignment="0" applyProtection="0"/>
    <xf numFmtId="0" fontId="26" fillId="17" borderId="0" applyNumberFormat="0" applyBorder="0" applyAlignment="0" applyProtection="0"/>
    <xf numFmtId="0" fontId="34" fillId="31" borderId="127">
      <alignment horizontal="left" vertical="center"/>
    </xf>
    <xf numFmtId="0" fontId="5" fillId="58" borderId="125" applyNumberFormat="0" applyFont="0" applyAlignment="0" applyProtection="0"/>
    <xf numFmtId="0" fontId="34" fillId="0" borderId="126" applyNumberFormat="0" applyFill="0" applyAlignment="0" applyProtection="0"/>
    <xf numFmtId="0" fontId="26" fillId="23" borderId="0" applyNumberFormat="0" applyBorder="0" applyAlignment="0" applyProtection="0"/>
    <xf numFmtId="0" fontId="12" fillId="21" borderId="0" applyNumberFormat="0" applyBorder="0" applyAlignment="0" applyProtection="0"/>
    <xf numFmtId="0" fontId="49" fillId="42" borderId="123" applyNumberFormat="0" applyAlignment="0" applyProtection="0"/>
    <xf numFmtId="0" fontId="26" fillId="22" borderId="0" applyNumberFormat="0" applyBorder="0" applyAlignment="0" applyProtection="0"/>
    <xf numFmtId="0" fontId="34" fillId="33" borderId="129">
      <alignment horizontal="left" vertical="center" wrapText="1" indent="2"/>
    </xf>
    <xf numFmtId="0" fontId="34" fillId="32" borderId="126"/>
    <xf numFmtId="0" fontId="36" fillId="31" borderId="126">
      <alignment horizontal="right" vertical="center"/>
    </xf>
    <xf numFmtId="0" fontId="28" fillId="12" borderId="11" applyNumberFormat="0" applyAlignment="0" applyProtection="0"/>
    <xf numFmtId="0" fontId="45" fillId="55" borderId="123" applyNumberFormat="0" applyAlignment="0" applyProtection="0"/>
    <xf numFmtId="0" fontId="26" fillId="13" borderId="0" applyNumberFormat="0" applyBorder="0" applyAlignment="0" applyProtection="0"/>
    <xf numFmtId="0" fontId="1" fillId="0" borderId="0" applyNumberFormat="0" applyFill="0" applyBorder="0" applyAlignment="0" applyProtection="0"/>
    <xf numFmtId="0" fontId="26" fillId="25" borderId="0" applyNumberFormat="0" applyBorder="0" applyAlignment="0" applyProtection="0"/>
    <xf numFmtId="4" fontId="32" fillId="33" borderId="126">
      <alignment horizontal="right" vertical="center"/>
    </xf>
    <xf numFmtId="0" fontId="40" fillId="58" borderId="125" applyNumberFormat="0" applyFont="0" applyAlignment="0" applyProtection="0"/>
    <xf numFmtId="0" fontId="49" fillId="42" borderId="123" applyNumberFormat="0" applyAlignment="0" applyProtection="0"/>
    <xf numFmtId="0" fontId="12" fillId="18" borderId="0" applyNumberFormat="0" applyBorder="0" applyAlignment="0" applyProtection="0"/>
    <xf numFmtId="0" fontId="26" fillId="17" borderId="0" applyNumberFormat="0" applyBorder="0" applyAlignment="0" applyProtection="0"/>
    <xf numFmtId="4" fontId="34" fillId="0" borderId="126">
      <alignment horizontal="right" vertical="center"/>
    </xf>
    <xf numFmtId="0" fontId="32" fillId="31" borderId="126">
      <alignment horizontal="right" vertical="center"/>
    </xf>
    <xf numFmtId="0" fontId="58" fillId="42" borderId="123" applyNumberFormat="0" applyAlignment="0" applyProtection="0"/>
    <xf numFmtId="4" fontId="32" fillId="33" borderId="126">
      <alignment horizontal="right" vertical="center"/>
    </xf>
    <xf numFmtId="0" fontId="62" fillId="55" borderId="130" applyNumberFormat="0" applyAlignment="0" applyProtection="0"/>
    <xf numFmtId="0" fontId="58" fillId="42" borderId="123" applyNumberFormat="0" applyAlignment="0" applyProtection="0"/>
    <xf numFmtId="0" fontId="26" fillId="22" borderId="0" applyNumberFormat="0" applyBorder="0" applyAlignment="0" applyProtection="0"/>
    <xf numFmtId="0" fontId="12" fillId="27" borderId="0" applyNumberFormat="0" applyBorder="0" applyAlignment="0" applyProtection="0"/>
    <xf numFmtId="0" fontId="12" fillId="21" borderId="0" applyNumberFormat="0" applyBorder="0" applyAlignment="0" applyProtection="0"/>
    <xf numFmtId="4" fontId="32" fillId="33" borderId="126">
      <alignment horizontal="right" vertical="center"/>
    </xf>
    <xf numFmtId="4" fontId="32" fillId="33" borderId="126">
      <alignment horizontal="right" vertical="center"/>
    </xf>
    <xf numFmtId="4" fontId="34" fillId="32" borderId="126"/>
    <xf numFmtId="0" fontId="12" fillId="30" borderId="0" applyNumberFormat="0" applyBorder="0" applyAlignment="0" applyProtection="0"/>
    <xf numFmtId="0" fontId="26" fillId="28" borderId="0" applyNumberFormat="0" applyBorder="0" applyAlignment="0" applyProtection="0"/>
    <xf numFmtId="0" fontId="46" fillId="55" borderId="123" applyNumberFormat="0" applyAlignment="0" applyProtection="0"/>
    <xf numFmtId="0" fontId="12" fillId="27" borderId="0" applyNumberFormat="0" applyBorder="0" applyAlignment="0" applyProtection="0"/>
    <xf numFmtId="0" fontId="32" fillId="33" borderId="127">
      <alignment horizontal="right" vertical="center"/>
    </xf>
    <xf numFmtId="49" fontId="34" fillId="0" borderId="126" applyNumberFormat="0" applyFont="0" applyFill="0" applyBorder="0" applyProtection="0">
      <alignment horizontal="left" vertical="center" indent="2"/>
    </xf>
    <xf numFmtId="0" fontId="34" fillId="0" borderId="126">
      <alignment horizontal="right" vertical="center"/>
    </xf>
    <xf numFmtId="0" fontId="26" fillId="17" borderId="0" applyNumberFormat="0" applyBorder="0" applyAlignment="0" applyProtection="0"/>
    <xf numFmtId="0" fontId="12" fillId="21" borderId="0" applyNumberFormat="0" applyBorder="0" applyAlignment="0" applyProtection="0"/>
    <xf numFmtId="0" fontId="34" fillId="32" borderId="126"/>
    <xf numFmtId="49" fontId="34" fillId="0" borderId="126" applyNumberFormat="0" applyFont="0" applyFill="0" applyBorder="0" applyProtection="0">
      <alignment horizontal="left" vertical="center" indent="2"/>
    </xf>
    <xf numFmtId="0" fontId="26" fillId="17" borderId="0" applyNumberFormat="0" applyBorder="0" applyAlignment="0" applyProtection="0"/>
    <xf numFmtId="0" fontId="34" fillId="31" borderId="127">
      <alignment horizontal="left" vertical="center"/>
    </xf>
    <xf numFmtId="0" fontId="34" fillId="0" borderId="129">
      <alignment horizontal="left" vertical="center" wrapText="1" indent="2"/>
    </xf>
    <xf numFmtId="4" fontId="34" fillId="0" borderId="126" applyFill="0" applyBorder="0" applyProtection="0">
      <alignment horizontal="right" vertical="center"/>
    </xf>
    <xf numFmtId="0" fontId="32" fillId="33" borderId="127">
      <alignment horizontal="right" vertical="center"/>
    </xf>
    <xf numFmtId="0" fontId="12" fillId="30" borderId="0" applyNumberFormat="0" applyBorder="0" applyAlignment="0" applyProtection="0"/>
    <xf numFmtId="0" fontId="26" fillId="25" borderId="0" applyNumberFormat="0" applyBorder="0" applyAlignment="0" applyProtection="0"/>
    <xf numFmtId="4" fontId="32" fillId="31" borderId="126">
      <alignment horizontal="right" vertical="center"/>
    </xf>
    <xf numFmtId="0" fontId="2" fillId="0" borderId="12" applyNumberFormat="0" applyFill="0" applyAlignment="0" applyProtection="0"/>
    <xf numFmtId="0" fontId="12" fillId="21" borderId="0" applyNumberFormat="0" applyBorder="0" applyAlignment="0" applyProtection="0"/>
    <xf numFmtId="0" fontId="32" fillId="33" borderId="126">
      <alignment horizontal="right" vertical="center"/>
    </xf>
    <xf numFmtId="0" fontId="26" fillId="23" borderId="0" applyNumberFormat="0" applyBorder="0" applyAlignment="0" applyProtection="0"/>
    <xf numFmtId="0" fontId="46" fillId="55" borderId="123" applyNumberFormat="0" applyAlignment="0" applyProtection="0"/>
    <xf numFmtId="0" fontId="26" fillId="20" borderId="0" applyNumberFormat="0" applyBorder="0" applyAlignment="0" applyProtection="0"/>
    <xf numFmtId="0" fontId="12" fillId="18" borderId="0" applyNumberFormat="0" applyBorder="0" applyAlignment="0" applyProtection="0"/>
    <xf numFmtId="0" fontId="26" fillId="28" borderId="0" applyNumberFormat="0" applyBorder="0" applyAlignment="0" applyProtection="0"/>
    <xf numFmtId="0" fontId="65" fillId="0" borderId="124" applyNumberFormat="0" applyFill="0" applyAlignment="0" applyProtection="0"/>
    <xf numFmtId="0" fontId="46" fillId="55" borderId="123" applyNumberFormat="0" applyAlignment="0" applyProtection="0"/>
    <xf numFmtId="0" fontId="36" fillId="31" borderId="126">
      <alignment horizontal="right" vertical="center"/>
    </xf>
    <xf numFmtId="4" fontId="32" fillId="33" borderId="126">
      <alignment horizontal="right" vertical="center"/>
    </xf>
    <xf numFmtId="0" fontId="2" fillId="0" borderId="12" applyNumberFormat="0" applyFill="0" applyAlignment="0" applyProtection="0"/>
    <xf numFmtId="49" fontId="33" fillId="0" borderId="126" applyNumberFormat="0" applyFill="0" applyBorder="0" applyProtection="0">
      <alignment horizontal="left" vertical="center"/>
    </xf>
    <xf numFmtId="0" fontId="32" fillId="31" borderId="126">
      <alignment horizontal="right" vertical="center"/>
    </xf>
    <xf numFmtId="0" fontId="62" fillId="55" borderId="130" applyNumberFormat="0" applyAlignment="0" applyProtection="0"/>
    <xf numFmtId="0" fontId="34" fillId="0" borderId="126" applyNumberFormat="0" applyFill="0" applyAlignment="0" applyProtection="0"/>
    <xf numFmtId="0" fontId="26" fillId="16" borderId="0" applyNumberFormat="0" applyBorder="0" applyAlignment="0" applyProtection="0"/>
    <xf numFmtId="0" fontId="65" fillId="0" borderId="124" applyNumberFormat="0" applyFill="0" applyAlignment="0" applyProtection="0"/>
    <xf numFmtId="0" fontId="26" fillId="17" borderId="0" applyNumberFormat="0" applyBorder="0" applyAlignment="0" applyProtection="0"/>
    <xf numFmtId="0" fontId="49" fillId="42" borderId="123" applyNumberFormat="0" applyAlignment="0" applyProtection="0"/>
    <xf numFmtId="0" fontId="32" fillId="33" borderId="127">
      <alignment horizontal="right" vertical="center"/>
    </xf>
    <xf numFmtId="0" fontId="2" fillId="0" borderId="12" applyNumberFormat="0" applyFill="0" applyAlignment="0" applyProtection="0"/>
    <xf numFmtId="0" fontId="12" fillId="30" borderId="0" applyNumberFormat="0" applyBorder="0" applyAlignment="0" applyProtection="0"/>
    <xf numFmtId="0" fontId="34" fillId="32" borderId="126"/>
    <xf numFmtId="0" fontId="65" fillId="0" borderId="124" applyNumberFormat="0" applyFill="0" applyAlignment="0" applyProtection="0"/>
    <xf numFmtId="0" fontId="26" fillId="13" borderId="0" applyNumberFormat="0" applyBorder="0" applyAlignment="0" applyProtection="0"/>
    <xf numFmtId="4" fontId="36" fillId="31" borderId="126">
      <alignment horizontal="right" vertical="center"/>
    </xf>
    <xf numFmtId="0" fontId="34" fillId="33" borderId="129">
      <alignment horizontal="left" vertical="center" wrapText="1" indent="2"/>
    </xf>
    <xf numFmtId="0" fontId="34" fillId="0" borderId="126">
      <alignment horizontal="right" vertical="center"/>
    </xf>
    <xf numFmtId="4" fontId="34" fillId="0" borderId="126">
      <alignment horizontal="right" vertical="center"/>
    </xf>
    <xf numFmtId="173" fontId="34" fillId="59" borderId="126" applyNumberFormat="0" applyFont="0" applyBorder="0" applyAlignment="0" applyProtection="0">
      <alignment horizontal="right" vertical="center"/>
    </xf>
    <xf numFmtId="0" fontId="26" fillId="14" borderId="0" applyNumberFormat="0" applyBorder="0" applyAlignment="0" applyProtection="0"/>
    <xf numFmtId="0" fontId="49" fillId="42" borderId="123" applyNumberFormat="0" applyAlignment="0" applyProtection="0"/>
    <xf numFmtId="4" fontId="32" fillId="33" borderId="126">
      <alignment horizontal="right" vertical="center"/>
    </xf>
    <xf numFmtId="0" fontId="34" fillId="0" borderId="129">
      <alignment horizontal="left" vertical="center" wrapText="1" indent="2"/>
    </xf>
    <xf numFmtId="0" fontId="65" fillId="0" borderId="124" applyNumberFormat="0" applyFill="0" applyAlignment="0" applyProtection="0"/>
    <xf numFmtId="0" fontId="58" fillId="42" borderId="123" applyNumberFormat="0" applyAlignment="0" applyProtection="0"/>
    <xf numFmtId="0" fontId="45" fillId="55" borderId="123" applyNumberFormat="0" applyAlignment="0" applyProtection="0"/>
    <xf numFmtId="4" fontId="32" fillId="33" borderId="128">
      <alignment horizontal="right" vertical="center"/>
    </xf>
    <xf numFmtId="0" fontId="26" fillId="29" borderId="0" applyNumberFormat="0" applyBorder="0" applyAlignment="0" applyProtection="0"/>
    <xf numFmtId="0" fontId="26" fillId="14" borderId="0" applyNumberFormat="0" applyBorder="0" applyAlignment="0" applyProtection="0"/>
    <xf numFmtId="0" fontId="26" fillId="22" borderId="0" applyNumberFormat="0" applyBorder="0" applyAlignment="0" applyProtection="0"/>
    <xf numFmtId="0" fontId="34" fillId="0" borderId="126">
      <alignment horizontal="right" vertical="center"/>
    </xf>
    <xf numFmtId="173" fontId="34" fillId="59" borderId="126" applyNumberFormat="0" applyFont="0" applyBorder="0" applyAlignment="0" applyProtection="0">
      <alignment horizontal="right" vertical="center"/>
    </xf>
    <xf numFmtId="4" fontId="32" fillId="33" borderId="126">
      <alignment horizontal="right" vertical="center"/>
    </xf>
    <xf numFmtId="0" fontId="1" fillId="0" borderId="0" applyNumberFormat="0" applyFill="0" applyBorder="0" applyAlignment="0" applyProtection="0"/>
    <xf numFmtId="4" fontId="32" fillId="31" borderId="126">
      <alignment horizontal="right" vertical="center"/>
    </xf>
    <xf numFmtId="0" fontId="26" fillId="23" borderId="0" applyNumberFormat="0" applyBorder="0" applyAlignment="0" applyProtection="0"/>
    <xf numFmtId="0" fontId="40" fillId="58" borderId="125" applyNumberFormat="0" applyFont="0" applyAlignment="0" applyProtection="0"/>
    <xf numFmtId="0" fontId="32" fillId="31" borderId="126">
      <alignment horizontal="right" vertical="center"/>
    </xf>
    <xf numFmtId="0" fontId="26" fillId="25" borderId="0" applyNumberFormat="0" applyBorder="0" applyAlignment="0" applyProtection="0"/>
    <xf numFmtId="0" fontId="40" fillId="58" borderId="125" applyNumberFormat="0" applyFont="0" applyAlignment="0" applyProtection="0"/>
    <xf numFmtId="0" fontId="32" fillId="31" borderId="126">
      <alignment horizontal="right" vertical="center"/>
    </xf>
    <xf numFmtId="0" fontId="26" fillId="28" borderId="0" applyNumberFormat="0" applyBorder="0" applyAlignment="0" applyProtection="0"/>
    <xf numFmtId="0" fontId="12" fillId="24" borderId="0" applyNumberFormat="0" applyBorder="0" applyAlignment="0" applyProtection="0"/>
    <xf numFmtId="0" fontId="26" fillId="19" borderId="0" applyNumberFormat="0" applyBorder="0" applyAlignment="0" applyProtection="0"/>
    <xf numFmtId="0" fontId="12" fillId="21" borderId="0" applyNumberFormat="0" applyBorder="0" applyAlignment="0" applyProtection="0"/>
    <xf numFmtId="0" fontId="34" fillId="33" borderId="129">
      <alignment horizontal="left" vertical="center" wrapText="1" indent="2"/>
    </xf>
    <xf numFmtId="0" fontId="5" fillId="58" borderId="125" applyNumberFormat="0" applyFont="0" applyAlignment="0" applyProtection="0"/>
    <xf numFmtId="0" fontId="12" fillId="18" borderId="0" applyNumberFormat="0" applyBorder="0" applyAlignment="0" applyProtection="0"/>
    <xf numFmtId="0" fontId="32" fillId="33" borderId="127">
      <alignment horizontal="right" vertical="center"/>
    </xf>
    <xf numFmtId="4" fontId="36" fillId="31" borderId="126">
      <alignment horizontal="right" vertical="center"/>
    </xf>
    <xf numFmtId="0" fontId="34" fillId="33" borderId="129">
      <alignment horizontal="left" vertical="center" wrapText="1" indent="2"/>
    </xf>
    <xf numFmtId="0" fontId="43" fillId="55" borderId="130" applyNumberFormat="0" applyAlignment="0" applyProtection="0"/>
    <xf numFmtId="0" fontId="26" fillId="23"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12" fillId="15" borderId="0" applyNumberFormat="0" applyBorder="0" applyAlignment="0" applyProtection="0"/>
    <xf numFmtId="4" fontId="34" fillId="0" borderId="126">
      <alignment horizontal="right" vertical="center"/>
    </xf>
    <xf numFmtId="173" fontId="34" fillId="59" borderId="126" applyNumberFormat="0" applyFont="0" applyBorder="0" applyAlignment="0" applyProtection="0">
      <alignment horizontal="right" vertical="center"/>
    </xf>
    <xf numFmtId="0" fontId="26" fillId="20" borderId="0" applyNumberFormat="0" applyBorder="0" applyAlignment="0" applyProtection="0"/>
    <xf numFmtId="0" fontId="34" fillId="0" borderId="126">
      <alignment horizontal="right" vertical="center"/>
    </xf>
    <xf numFmtId="0" fontId="26" fillId="25" borderId="0" applyNumberFormat="0" applyBorder="0" applyAlignment="0" applyProtection="0"/>
    <xf numFmtId="0" fontId="40" fillId="58" borderId="125" applyNumberFormat="0" applyFont="0" applyAlignment="0" applyProtection="0"/>
    <xf numFmtId="4" fontId="34" fillId="0" borderId="126">
      <alignment horizontal="right" vertical="center"/>
    </xf>
    <xf numFmtId="0" fontId="34" fillId="33" borderId="129">
      <alignment horizontal="left" vertical="center" wrapText="1" indent="2"/>
    </xf>
    <xf numFmtId="0" fontId="26" fillId="13" borderId="0" applyNumberFormat="0" applyBorder="0" applyAlignment="0" applyProtection="0"/>
    <xf numFmtId="0" fontId="29" fillId="12" borderId="10" applyNumberFormat="0" applyAlignment="0" applyProtection="0"/>
    <xf numFmtId="0" fontId="46" fillId="55" borderId="123" applyNumberFormat="0" applyAlignment="0" applyProtection="0"/>
    <xf numFmtId="0" fontId="65" fillId="0" borderId="124" applyNumberFormat="0" applyFill="0" applyAlignment="0" applyProtection="0"/>
    <xf numFmtId="0" fontId="34" fillId="0" borderId="126" applyNumberFormat="0" applyFill="0" applyAlignment="0" applyProtection="0"/>
    <xf numFmtId="49" fontId="33" fillId="0" borderId="126" applyNumberFormat="0" applyFill="0" applyBorder="0" applyProtection="0">
      <alignment horizontal="left" vertical="center"/>
    </xf>
    <xf numFmtId="0" fontId="65" fillId="0" borderId="124" applyNumberFormat="0" applyFill="0" applyAlignment="0" applyProtection="0"/>
    <xf numFmtId="0" fontId="32" fillId="33" borderId="126">
      <alignment horizontal="right" vertical="center"/>
    </xf>
    <xf numFmtId="0" fontId="12" fillId="15" borderId="0" applyNumberFormat="0" applyBorder="0" applyAlignment="0" applyProtection="0"/>
    <xf numFmtId="0" fontId="65" fillId="0" borderId="124" applyNumberFormat="0" applyFill="0" applyAlignment="0" applyProtection="0"/>
    <xf numFmtId="0" fontId="43" fillId="55" borderId="130" applyNumberFormat="0" applyAlignment="0" applyProtection="0"/>
    <xf numFmtId="0" fontId="12" fillId="18" borderId="0" applyNumberFormat="0" applyBorder="0" applyAlignment="0" applyProtection="0"/>
    <xf numFmtId="0" fontId="12" fillId="18" borderId="0" applyNumberFormat="0" applyBorder="0" applyAlignment="0" applyProtection="0"/>
    <xf numFmtId="0" fontId="34" fillId="0" borderId="126" applyNumberFormat="0" applyFill="0" applyAlignment="0" applyProtection="0"/>
    <xf numFmtId="0" fontId="1" fillId="0" borderId="0" applyNumberFormat="0" applyFill="0" applyBorder="0" applyAlignment="0" applyProtection="0"/>
    <xf numFmtId="0" fontId="45" fillId="55" borderId="123" applyNumberFormat="0" applyAlignment="0" applyProtection="0"/>
    <xf numFmtId="0" fontId="2" fillId="0" borderId="12" applyNumberFormat="0" applyFill="0" applyAlignment="0" applyProtection="0"/>
    <xf numFmtId="0" fontId="34" fillId="0" borderId="129">
      <alignment horizontal="left" vertical="center" wrapText="1" indent="2"/>
    </xf>
    <xf numFmtId="0" fontId="58" fillId="42" borderId="123" applyNumberFormat="0" applyAlignment="0" applyProtection="0"/>
    <xf numFmtId="0" fontId="5" fillId="58" borderId="125" applyNumberFormat="0" applyFont="0" applyAlignment="0" applyProtection="0"/>
    <xf numFmtId="0" fontId="2" fillId="0" borderId="12" applyNumberFormat="0" applyFill="0" applyAlignment="0" applyProtection="0"/>
    <xf numFmtId="4" fontId="32" fillId="33" borderId="127">
      <alignment horizontal="right" vertical="center"/>
    </xf>
    <xf numFmtId="4" fontId="34" fillId="0" borderId="126">
      <alignment horizontal="right" vertical="center"/>
    </xf>
    <xf numFmtId="0" fontId="36" fillId="31" borderId="126">
      <alignment horizontal="right" vertical="center"/>
    </xf>
    <xf numFmtId="0" fontId="62" fillId="55" borderId="130" applyNumberFormat="0" applyAlignment="0" applyProtection="0"/>
    <xf numFmtId="0" fontId="58" fillId="42" borderId="123" applyNumberFormat="0" applyAlignment="0" applyProtection="0"/>
    <xf numFmtId="0" fontId="30" fillId="0" borderId="0" applyNumberFormat="0" applyFill="0" applyBorder="0" applyAlignment="0" applyProtection="0"/>
    <xf numFmtId="0" fontId="26" fillId="26" borderId="0" applyNumberFormat="0" applyBorder="0" applyAlignment="0" applyProtection="0"/>
    <xf numFmtId="4" fontId="32" fillId="33" borderId="128">
      <alignment horizontal="right" vertical="center"/>
    </xf>
    <xf numFmtId="0" fontId="45" fillId="55" borderId="123" applyNumberFormat="0" applyAlignment="0" applyProtection="0"/>
    <xf numFmtId="0" fontId="46" fillId="55" borderId="123" applyNumberFormat="0" applyAlignment="0" applyProtection="0"/>
    <xf numFmtId="0" fontId="34" fillId="0" borderId="129">
      <alignment horizontal="left" vertical="center" wrapText="1" indent="2"/>
    </xf>
    <xf numFmtId="0" fontId="26" fillId="16" borderId="0" applyNumberFormat="0" applyBorder="0" applyAlignment="0" applyProtection="0"/>
    <xf numFmtId="4" fontId="36" fillId="31" borderId="126">
      <alignment horizontal="right" vertical="center"/>
    </xf>
    <xf numFmtId="0" fontId="43" fillId="55" borderId="130" applyNumberFormat="0" applyAlignment="0" applyProtection="0"/>
    <xf numFmtId="173" fontId="34" fillId="59" borderId="126" applyNumberFormat="0" applyFont="0" applyBorder="0" applyAlignment="0" applyProtection="0">
      <alignment horizontal="right" vertical="center"/>
    </xf>
    <xf numFmtId="49" fontId="33" fillId="0" borderId="126" applyNumberFormat="0" applyFill="0" applyBorder="0" applyProtection="0">
      <alignment horizontal="left" vertical="center"/>
    </xf>
    <xf numFmtId="0" fontId="50" fillId="0" borderId="124" applyNumberFormat="0" applyFill="0" applyAlignment="0" applyProtection="0"/>
    <xf numFmtId="4" fontId="32" fillId="33" borderId="128">
      <alignment horizontal="right" vertical="center"/>
    </xf>
    <xf numFmtId="4" fontId="32" fillId="33" borderId="126">
      <alignment horizontal="right" vertical="center"/>
    </xf>
    <xf numFmtId="0" fontId="30" fillId="0" borderId="0" applyNumberFormat="0" applyFill="0" applyBorder="0" applyAlignment="0" applyProtection="0"/>
    <xf numFmtId="0" fontId="34" fillId="32" borderId="126"/>
    <xf numFmtId="0" fontId="26" fillId="26" borderId="0" applyNumberFormat="0" applyBorder="0" applyAlignment="0" applyProtection="0"/>
    <xf numFmtId="0" fontId="40" fillId="58" borderId="125" applyNumberFormat="0" applyFont="0" applyAlignment="0" applyProtection="0"/>
    <xf numFmtId="0" fontId="32" fillId="33" borderId="126">
      <alignment horizontal="right" vertical="center"/>
    </xf>
    <xf numFmtId="0" fontId="32" fillId="33" borderId="126">
      <alignment horizontal="right" vertical="center"/>
    </xf>
    <xf numFmtId="0" fontId="26" fillId="16" borderId="0" applyNumberFormat="0" applyBorder="0" applyAlignment="0" applyProtection="0"/>
    <xf numFmtId="4" fontId="34" fillId="32" borderId="126"/>
    <xf numFmtId="0" fontId="58" fillId="42" borderId="123" applyNumberFormat="0" applyAlignment="0" applyProtection="0"/>
    <xf numFmtId="0" fontId="58" fillId="42" borderId="123" applyNumberFormat="0" applyAlignment="0" applyProtection="0"/>
    <xf numFmtId="0" fontId="46" fillId="55" borderId="123" applyNumberFormat="0" applyAlignment="0" applyProtection="0"/>
    <xf numFmtId="0" fontId="30" fillId="0" borderId="0" applyNumberFormat="0" applyFill="0" applyBorder="0" applyAlignment="0" applyProtection="0"/>
    <xf numFmtId="0" fontId="62" fillId="55" borderId="130" applyNumberFormat="0" applyAlignment="0" applyProtection="0"/>
    <xf numFmtId="0" fontId="26" fillId="26" borderId="0" applyNumberFormat="0" applyBorder="0" applyAlignment="0" applyProtection="0"/>
    <xf numFmtId="0" fontId="34" fillId="0" borderId="129">
      <alignment horizontal="left" vertical="center" wrapText="1" indent="2"/>
    </xf>
    <xf numFmtId="0" fontId="43" fillId="55" borderId="130" applyNumberFormat="0" applyAlignment="0" applyProtection="0"/>
    <xf numFmtId="0" fontId="26" fillId="16" borderId="0" applyNumberFormat="0" applyBorder="0" applyAlignment="0" applyProtection="0"/>
    <xf numFmtId="0" fontId="43" fillId="55" borderId="130" applyNumberFormat="0" applyAlignment="0" applyProtection="0"/>
    <xf numFmtId="0" fontId="5" fillId="58" borderId="125" applyNumberFormat="0" applyFont="0" applyAlignment="0" applyProtection="0"/>
    <xf numFmtId="0" fontId="34" fillId="33" borderId="129">
      <alignment horizontal="left" vertical="center" wrapText="1" indent="2"/>
    </xf>
    <xf numFmtId="4" fontId="34" fillId="32" borderId="126"/>
    <xf numFmtId="0" fontId="65" fillId="0" borderId="124" applyNumberFormat="0" applyFill="0" applyAlignment="0" applyProtection="0"/>
    <xf numFmtId="0" fontId="45" fillId="55" borderId="123" applyNumberFormat="0" applyAlignment="0" applyProtection="0"/>
    <xf numFmtId="0" fontId="30" fillId="0" borderId="0" applyNumberFormat="0" applyFill="0" applyBorder="0" applyAlignment="0" applyProtection="0"/>
    <xf numFmtId="0" fontId="65" fillId="0" borderId="124" applyNumberFormat="0" applyFill="0" applyAlignment="0" applyProtection="0"/>
    <xf numFmtId="0" fontId="26" fillId="26" borderId="0" applyNumberFormat="0" applyBorder="0" applyAlignment="0" applyProtection="0"/>
    <xf numFmtId="0" fontId="34" fillId="0" borderId="126" applyNumberFormat="0" applyFill="0" applyAlignment="0" applyProtection="0"/>
    <xf numFmtId="0" fontId="46" fillId="55" borderId="123" applyNumberFormat="0" applyAlignment="0" applyProtection="0"/>
    <xf numFmtId="0" fontId="26" fillId="16" borderId="0" applyNumberFormat="0" applyBorder="0" applyAlignment="0" applyProtection="0"/>
    <xf numFmtId="0" fontId="45" fillId="55" borderId="123" applyNumberFormat="0" applyAlignment="0" applyProtection="0"/>
    <xf numFmtId="0" fontId="34" fillId="33" borderId="129">
      <alignment horizontal="left" vertical="center" wrapText="1" indent="2"/>
    </xf>
    <xf numFmtId="0" fontId="34" fillId="0" borderId="129">
      <alignment horizontal="left" vertical="center" wrapText="1" indent="2"/>
    </xf>
    <xf numFmtId="0" fontId="65" fillId="0" borderId="124" applyNumberFormat="0" applyFill="0" applyAlignment="0" applyProtection="0"/>
    <xf numFmtId="0" fontId="30" fillId="0" borderId="0" applyNumberFormat="0" applyFill="0" applyBorder="0" applyAlignment="0" applyProtection="0"/>
    <xf numFmtId="4" fontId="32" fillId="33" borderId="128">
      <alignment horizontal="right" vertical="center"/>
    </xf>
    <xf numFmtId="0" fontId="26" fillId="26" borderId="0" applyNumberFormat="0" applyBorder="0" applyAlignment="0" applyProtection="0"/>
    <xf numFmtId="0" fontId="32" fillId="33" borderId="126">
      <alignment horizontal="right" vertical="center"/>
    </xf>
    <xf numFmtId="173" fontId="34" fillId="59" borderId="126" applyNumberFormat="0" applyFont="0" applyBorder="0" applyAlignment="0" applyProtection="0">
      <alignment horizontal="right" vertical="center"/>
    </xf>
    <xf numFmtId="0" fontId="45" fillId="55" borderId="123" applyNumberFormat="0" applyAlignment="0" applyProtection="0"/>
    <xf numFmtId="0" fontId="45" fillId="55" borderId="123" applyNumberFormat="0" applyAlignment="0" applyProtection="0"/>
    <xf numFmtId="4" fontId="36" fillId="31" borderId="126">
      <alignment horizontal="right" vertical="center"/>
    </xf>
    <xf numFmtId="0" fontId="65" fillId="0" borderId="124" applyNumberFormat="0" applyFill="0" applyAlignment="0" applyProtection="0"/>
    <xf numFmtId="0" fontId="50" fillId="0" borderId="124" applyNumberFormat="0" applyFill="0" applyAlignment="0" applyProtection="0"/>
    <xf numFmtId="4" fontId="34" fillId="0" borderId="126">
      <alignment horizontal="right" vertical="center"/>
    </xf>
    <xf numFmtId="0" fontId="30" fillId="0" borderId="0" applyNumberFormat="0" applyFill="0" applyBorder="0" applyAlignment="0" applyProtection="0"/>
    <xf numFmtId="0" fontId="34" fillId="32" borderId="126"/>
    <xf numFmtId="0" fontId="26" fillId="26" borderId="0" applyNumberFormat="0" applyBorder="0" applyAlignment="0" applyProtection="0"/>
    <xf numFmtId="0" fontId="49" fillId="42" borderId="123" applyNumberFormat="0" applyAlignment="0" applyProtection="0"/>
    <xf numFmtId="0" fontId="34" fillId="0" borderId="126">
      <alignment horizontal="right" vertical="center"/>
    </xf>
    <xf numFmtId="0" fontId="32" fillId="33" borderId="127">
      <alignment horizontal="right" vertical="center"/>
    </xf>
    <xf numFmtId="4" fontId="32" fillId="31" borderId="126">
      <alignment horizontal="right" vertical="center"/>
    </xf>
    <xf numFmtId="0" fontId="46" fillId="55" borderId="123" applyNumberFormat="0" applyAlignment="0" applyProtection="0"/>
    <xf numFmtId="0" fontId="34" fillId="32" borderId="126"/>
    <xf numFmtId="0" fontId="50" fillId="0" borderId="124" applyNumberFormat="0" applyFill="0" applyAlignment="0" applyProtection="0"/>
    <xf numFmtId="0" fontId="32" fillId="33" borderId="126">
      <alignment horizontal="right" vertical="center"/>
    </xf>
    <xf numFmtId="0" fontId="46" fillId="55" borderId="123" applyNumberFormat="0" applyAlignment="0" applyProtection="0"/>
    <xf numFmtId="0" fontId="26" fillId="26" borderId="0" applyNumberFormat="0" applyBorder="0" applyAlignment="0" applyProtection="0"/>
    <xf numFmtId="0" fontId="34" fillId="0" borderId="126">
      <alignment horizontal="right" vertical="center"/>
    </xf>
    <xf numFmtId="49" fontId="34" fillId="0" borderId="127" applyNumberFormat="0" applyFont="0" applyFill="0" applyBorder="0" applyProtection="0">
      <alignment horizontal="left" vertical="center" indent="5"/>
    </xf>
    <xf numFmtId="0" fontId="34" fillId="0" borderId="129">
      <alignment horizontal="left" vertical="center" wrapText="1" indent="2"/>
    </xf>
    <xf numFmtId="0" fontId="34" fillId="0" borderId="129">
      <alignment horizontal="left" vertical="center" wrapText="1" indent="2"/>
    </xf>
    <xf numFmtId="0" fontId="40" fillId="58" borderId="125" applyNumberFormat="0" applyFont="0" applyAlignment="0" applyProtection="0"/>
    <xf numFmtId="0" fontId="26" fillId="26" borderId="0" applyNumberFormat="0" applyBorder="0" applyAlignment="0" applyProtection="0"/>
    <xf numFmtId="0" fontId="32" fillId="31" borderId="126">
      <alignment horizontal="right" vertical="center"/>
    </xf>
    <xf numFmtId="0" fontId="50" fillId="0" borderId="124" applyNumberFormat="0" applyFill="0" applyAlignment="0" applyProtection="0"/>
    <xf numFmtId="0" fontId="34" fillId="0" borderId="126" applyNumberFormat="0" applyFill="0" applyAlignment="0" applyProtection="0"/>
    <xf numFmtId="0" fontId="50" fillId="0" borderId="124" applyNumberFormat="0" applyFill="0" applyAlignment="0" applyProtection="0"/>
    <xf numFmtId="4" fontId="34" fillId="0" borderId="126" applyFill="0" applyBorder="0" applyProtection="0">
      <alignment horizontal="right" vertical="center"/>
    </xf>
    <xf numFmtId="49" fontId="34" fillId="0" borderId="127" applyNumberFormat="0" applyFont="0" applyFill="0" applyBorder="0" applyProtection="0">
      <alignment horizontal="left" vertical="center" indent="5"/>
    </xf>
    <xf numFmtId="0" fontId="34" fillId="0" borderId="126" applyNumberFormat="0" applyFill="0" applyAlignment="0" applyProtection="0"/>
    <xf numFmtId="0" fontId="58" fillId="42" borderId="123" applyNumberFormat="0" applyAlignment="0" applyProtection="0"/>
    <xf numFmtId="0" fontId="34" fillId="0" borderId="126" applyNumberFormat="0" applyFill="0" applyAlignment="0" applyProtection="0"/>
    <xf numFmtId="4" fontId="32" fillId="33" borderId="126">
      <alignment horizontal="right" vertical="center"/>
    </xf>
    <xf numFmtId="0" fontId="49" fillId="42" borderId="123" applyNumberFormat="0" applyAlignment="0" applyProtection="0"/>
    <xf numFmtId="0" fontId="46" fillId="55" borderId="123" applyNumberFormat="0" applyAlignment="0" applyProtection="0"/>
    <xf numFmtId="4" fontId="34" fillId="0" borderId="126">
      <alignment horizontal="right" vertical="center"/>
    </xf>
    <xf numFmtId="0" fontId="34" fillId="33" borderId="129">
      <alignment horizontal="left" vertical="center" wrapText="1" indent="2"/>
    </xf>
    <xf numFmtId="0" fontId="34" fillId="0" borderId="129">
      <alignment horizontal="left" vertical="center" wrapText="1" indent="2"/>
    </xf>
    <xf numFmtId="0" fontId="62" fillId="55" borderId="130" applyNumberFormat="0" applyAlignment="0" applyProtection="0"/>
    <xf numFmtId="0" fontId="58" fillId="42" borderId="123" applyNumberFormat="0" applyAlignment="0" applyProtection="0"/>
    <xf numFmtId="0" fontId="45" fillId="55" borderId="123" applyNumberFormat="0" applyAlignment="0" applyProtection="0"/>
    <xf numFmtId="0" fontId="43" fillId="55" borderId="130" applyNumberFormat="0" applyAlignment="0" applyProtection="0"/>
    <xf numFmtId="0" fontId="32" fillId="33" borderId="128">
      <alignment horizontal="right" vertical="center"/>
    </xf>
    <xf numFmtId="0" fontId="36" fillId="31" borderId="126">
      <alignment horizontal="right" vertical="center"/>
    </xf>
    <xf numFmtId="4" fontId="32" fillId="31" borderId="126">
      <alignment horizontal="right" vertical="center"/>
    </xf>
    <xf numFmtId="4" fontId="32" fillId="33" borderId="126">
      <alignment horizontal="right" vertical="center"/>
    </xf>
    <xf numFmtId="49" fontId="34" fillId="0" borderId="127" applyNumberFormat="0" applyFont="0" applyFill="0" applyBorder="0" applyProtection="0">
      <alignment horizontal="left" vertical="center" indent="5"/>
    </xf>
    <xf numFmtId="4" fontId="34" fillId="0" borderId="126" applyFill="0" applyBorder="0" applyProtection="0">
      <alignment horizontal="right" vertical="center"/>
    </xf>
    <xf numFmtId="4" fontId="32" fillId="31" borderId="126">
      <alignment horizontal="right" vertical="center"/>
    </xf>
    <xf numFmtId="0" fontId="58" fillId="42" borderId="123" applyNumberFormat="0" applyAlignment="0" applyProtection="0"/>
    <xf numFmtId="0" fontId="49" fillId="42" borderId="123" applyNumberFormat="0" applyAlignment="0" applyProtection="0"/>
    <xf numFmtId="0" fontId="45" fillId="55" borderId="123" applyNumberFormat="0" applyAlignment="0" applyProtection="0"/>
    <xf numFmtId="0" fontId="34" fillId="33" borderId="129">
      <alignment horizontal="left" vertical="center" wrapText="1" indent="2"/>
    </xf>
    <xf numFmtId="0" fontId="34" fillId="0" borderId="129">
      <alignment horizontal="left" vertical="center" wrapText="1" indent="2"/>
    </xf>
    <xf numFmtId="0" fontId="34" fillId="33" borderId="129">
      <alignment horizontal="left" vertical="center" wrapText="1" indent="2"/>
    </xf>
    <xf numFmtId="0" fontId="34" fillId="32" borderId="143"/>
    <xf numFmtId="0" fontId="2" fillId="0" borderId="12" applyNumberFormat="0" applyFill="0" applyAlignment="0" applyProtection="0"/>
    <xf numFmtId="0" fontId="34" fillId="0" borderId="146">
      <alignment horizontal="left" vertical="center" wrapText="1" indent="2"/>
    </xf>
    <xf numFmtId="4" fontId="32" fillId="33" borderId="144">
      <alignment horizontal="right" vertical="center"/>
    </xf>
    <xf numFmtId="0" fontId="26" fillId="26" borderId="0" applyNumberFormat="0" applyBorder="0" applyAlignment="0" applyProtection="0"/>
    <xf numFmtId="0" fontId="34" fillId="31" borderId="152">
      <alignment horizontal="left" vertical="center"/>
    </xf>
    <xf numFmtId="0" fontId="34" fillId="31" borderId="152">
      <alignment horizontal="left" vertical="center"/>
    </xf>
    <xf numFmtId="0" fontId="34" fillId="0" borderId="143" applyNumberFormat="0" applyFill="0" applyAlignment="0" applyProtection="0"/>
    <xf numFmtId="4" fontId="32" fillId="33" borderId="145">
      <alignment horizontal="right" vertical="center"/>
    </xf>
    <xf numFmtId="0" fontId="32" fillId="33" borderId="143">
      <alignment horizontal="right" vertical="center"/>
    </xf>
    <xf numFmtId="49" fontId="34" fillId="0" borderId="151" applyNumberFormat="0" applyFont="0" applyFill="0" applyBorder="0" applyProtection="0">
      <alignment horizontal="left" vertical="center" indent="2"/>
    </xf>
    <xf numFmtId="0" fontId="26" fillId="25" borderId="0" applyNumberFormat="0" applyBorder="0" applyAlignment="0" applyProtection="0"/>
    <xf numFmtId="0" fontId="12" fillId="18" borderId="0" applyNumberFormat="0" applyBorder="0" applyAlignment="0" applyProtection="0"/>
    <xf numFmtId="0" fontId="50" fillId="0" borderId="149" applyNumberFormat="0" applyFill="0" applyAlignment="0" applyProtection="0"/>
    <xf numFmtId="0" fontId="43" fillId="55" borderId="162" applyNumberFormat="0" applyAlignment="0" applyProtection="0"/>
    <xf numFmtId="0" fontId="26" fillId="13" borderId="0" applyNumberFormat="0" applyBorder="0" applyAlignment="0" applyProtection="0"/>
    <xf numFmtId="0" fontId="43" fillId="55" borderId="139" applyNumberFormat="0" applyAlignment="0" applyProtection="0"/>
    <xf numFmtId="0" fontId="34" fillId="0" borderId="151">
      <alignment horizontal="right" vertical="center"/>
    </xf>
    <xf numFmtId="0" fontId="49" fillId="42" borderId="140" applyNumberFormat="0" applyAlignment="0" applyProtection="0"/>
    <xf numFmtId="0" fontId="32" fillId="33" borderId="151">
      <alignment horizontal="right" vertical="center"/>
    </xf>
    <xf numFmtId="0" fontId="1" fillId="0" borderId="0" applyNumberFormat="0" applyFill="0" applyBorder="0" applyAlignment="0" applyProtection="0"/>
    <xf numFmtId="4" fontId="34" fillId="32" borderId="143"/>
    <xf numFmtId="0" fontId="32" fillId="33" borderId="143">
      <alignment horizontal="right" vertical="center"/>
    </xf>
    <xf numFmtId="0" fontId="28" fillId="12" borderId="11" applyNumberFormat="0" applyAlignment="0" applyProtection="0"/>
    <xf numFmtId="49" fontId="34" fillId="0" borderId="143" applyNumberFormat="0" applyFont="0" applyFill="0" applyBorder="0" applyProtection="0">
      <alignment horizontal="left" vertical="center" indent="2"/>
    </xf>
    <xf numFmtId="0" fontId="32" fillId="31" borderId="143">
      <alignment horizontal="right" vertical="center"/>
    </xf>
    <xf numFmtId="0" fontId="5" fillId="58" borderId="142" applyNumberFormat="0" applyFont="0" applyAlignment="0" applyProtection="0"/>
    <xf numFmtId="0" fontId="34" fillId="31" borderId="152">
      <alignment horizontal="left" vertical="center"/>
    </xf>
    <xf numFmtId="0" fontId="26" fillId="22" borderId="0" applyNumberFormat="0" applyBorder="0" applyAlignment="0" applyProtection="0"/>
    <xf numFmtId="4" fontId="36" fillId="31" borderId="143">
      <alignment horizontal="right" vertical="center"/>
    </xf>
    <xf numFmtId="0" fontId="12" fillId="27" borderId="0" applyNumberFormat="0" applyBorder="0" applyAlignment="0" applyProtection="0"/>
    <xf numFmtId="0" fontId="26" fillId="23" borderId="0" applyNumberFormat="0" applyBorder="0" applyAlignment="0" applyProtection="0"/>
    <xf numFmtId="0" fontId="34" fillId="0" borderId="158" applyNumberFormat="0" applyFill="0" applyAlignment="0" applyProtection="0"/>
    <xf numFmtId="0" fontId="30" fillId="0" borderId="0" applyNumberFormat="0" applyFill="0" applyBorder="0" applyAlignment="0" applyProtection="0"/>
    <xf numFmtId="0" fontId="29" fillId="12" borderId="10" applyNumberFormat="0" applyAlignment="0" applyProtection="0"/>
    <xf numFmtId="0" fontId="58" fillId="42" borderId="148" applyNumberFormat="0" applyAlignment="0" applyProtection="0"/>
    <xf numFmtId="0" fontId="12" fillId="15" borderId="0" applyNumberFormat="0" applyBorder="0" applyAlignment="0" applyProtection="0"/>
    <xf numFmtId="0" fontId="32" fillId="33" borderId="151">
      <alignment horizontal="right" vertical="center"/>
    </xf>
    <xf numFmtId="0" fontId="5" fillId="58" borderId="142" applyNumberFormat="0" applyFont="0" applyAlignment="0" applyProtection="0"/>
    <xf numFmtId="0" fontId="46" fillId="55" borderId="140" applyNumberFormat="0" applyAlignment="0" applyProtection="0"/>
    <xf numFmtId="0" fontId="62" fillId="55" borderId="139" applyNumberFormat="0" applyAlignment="0" applyProtection="0"/>
    <xf numFmtId="0" fontId="12" fillId="21" borderId="0" applyNumberFormat="0" applyBorder="0" applyAlignment="0" applyProtection="0"/>
    <xf numFmtId="0" fontId="40" fillId="58" borderId="142" applyNumberFormat="0" applyFont="0" applyAlignment="0" applyProtection="0"/>
    <xf numFmtId="0" fontId="65" fillId="0" borderId="149" applyNumberFormat="0" applyFill="0" applyAlignment="0" applyProtection="0"/>
    <xf numFmtId="0" fontId="12" fillId="18" borderId="0" applyNumberFormat="0" applyBorder="0" applyAlignment="0" applyProtection="0"/>
    <xf numFmtId="0" fontId="34" fillId="0" borderId="151" applyNumberFormat="0" applyFill="0" applyAlignment="0" applyProtection="0"/>
    <xf numFmtId="0" fontId="43" fillId="55" borderId="147" applyNumberFormat="0" applyAlignment="0" applyProtection="0"/>
    <xf numFmtId="4" fontId="34" fillId="32" borderId="143"/>
    <xf numFmtId="0" fontId="65" fillId="0" borderId="141" applyNumberFormat="0" applyFill="0" applyAlignment="0" applyProtection="0"/>
    <xf numFmtId="0" fontId="28" fillId="12" borderId="11" applyNumberFormat="0" applyAlignment="0" applyProtection="0"/>
    <xf numFmtId="0" fontId="29" fillId="12" borderId="10" applyNumberFormat="0" applyAlignment="0" applyProtection="0"/>
    <xf numFmtId="0" fontId="26" fillId="17" borderId="0" applyNumberFormat="0" applyBorder="0" applyAlignment="0" applyProtection="0"/>
    <xf numFmtId="0" fontId="58" fillId="42" borderId="140" applyNumberFormat="0" applyAlignment="0" applyProtection="0"/>
    <xf numFmtId="0" fontId="1" fillId="0" borderId="0" applyNumberFormat="0" applyFill="0" applyBorder="0" applyAlignment="0" applyProtection="0"/>
    <xf numFmtId="4" fontId="32" fillId="33" borderId="143">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26" fillId="16"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5" fillId="58" borderId="150" applyNumberFormat="0" applyFont="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126" applyNumberFormat="0" applyFill="0" applyAlignment="0" applyProtection="0"/>
    <xf numFmtId="0" fontId="32" fillId="33" borderId="126">
      <alignment horizontal="right" vertical="center"/>
    </xf>
    <xf numFmtId="0" fontId="32" fillId="33" borderId="126">
      <alignment horizontal="right" vertical="center"/>
    </xf>
    <xf numFmtId="0" fontId="50" fillId="0" borderId="149" applyNumberFormat="0" applyFill="0" applyAlignment="0" applyProtection="0"/>
    <xf numFmtId="0" fontId="32" fillId="33" borderId="145">
      <alignment horizontal="right" vertical="center"/>
    </xf>
    <xf numFmtId="0" fontId="34" fillId="0" borderId="126">
      <alignment horizontal="right" vertical="center"/>
    </xf>
    <xf numFmtId="0" fontId="36" fillId="31" borderId="126">
      <alignment horizontal="right" vertical="center"/>
    </xf>
    <xf numFmtId="0" fontId="34" fillId="32" borderId="126"/>
    <xf numFmtId="0" fontId="32" fillId="31" borderId="126">
      <alignment horizontal="right" vertical="center"/>
    </xf>
    <xf numFmtId="0" fontId="36" fillId="31" borderId="143">
      <alignment horizontal="right" vertical="center"/>
    </xf>
    <xf numFmtId="0" fontId="34" fillId="0" borderId="143">
      <alignment horizontal="right" vertical="center"/>
    </xf>
    <xf numFmtId="0" fontId="46" fillId="55" borderId="140" applyNumberFormat="0" applyAlignment="0" applyProtection="0"/>
    <xf numFmtId="49" fontId="33" fillId="0" borderId="158" applyNumberFormat="0" applyFill="0" applyBorder="0" applyProtection="0">
      <alignment horizontal="left" vertical="center"/>
    </xf>
    <xf numFmtId="0" fontId="26" fillId="16" borderId="0" applyNumberFormat="0" applyBorder="0" applyAlignment="0" applyProtection="0"/>
    <xf numFmtId="4" fontId="32" fillId="33" borderId="151">
      <alignment horizontal="right" vertical="center"/>
    </xf>
    <xf numFmtId="4" fontId="34" fillId="32" borderId="143"/>
    <xf numFmtId="0" fontId="65" fillId="0" borderId="141" applyNumberFormat="0" applyFill="0" applyAlignment="0" applyProtection="0"/>
    <xf numFmtId="0" fontId="45" fillId="55" borderId="140" applyNumberFormat="0" applyAlignment="0" applyProtection="0"/>
    <xf numFmtId="0" fontId="34" fillId="32" borderId="143"/>
    <xf numFmtId="0" fontId="26" fillId="26" borderId="0" applyNumberFormat="0" applyBorder="0" applyAlignment="0" applyProtection="0"/>
    <xf numFmtId="0" fontId="45" fillId="55" borderId="155" applyNumberFormat="0" applyAlignment="0" applyProtection="0"/>
    <xf numFmtId="0" fontId="46" fillId="55" borderId="148" applyNumberFormat="0" applyAlignment="0" applyProtection="0"/>
    <xf numFmtId="0" fontId="26" fillId="28" borderId="0" applyNumberFormat="0" applyBorder="0" applyAlignment="0" applyProtection="0"/>
    <xf numFmtId="4" fontId="32" fillId="31" borderId="158">
      <alignment horizontal="right" vertical="center"/>
    </xf>
    <xf numFmtId="0" fontId="26" fillId="23" borderId="0" applyNumberFormat="0" applyBorder="0" applyAlignment="0" applyProtection="0"/>
    <xf numFmtId="0" fontId="29" fillId="12" borderId="10" applyNumberFormat="0" applyAlignment="0" applyProtection="0"/>
    <xf numFmtId="0" fontId="46" fillId="55" borderId="155" applyNumberFormat="0" applyAlignment="0" applyProtection="0"/>
    <xf numFmtId="4" fontId="32" fillId="31" borderId="151">
      <alignment horizontal="right" vertical="center"/>
    </xf>
    <xf numFmtId="0" fontId="62" fillId="55" borderId="139" applyNumberFormat="0" applyAlignment="0" applyProtection="0"/>
    <xf numFmtId="49" fontId="33" fillId="0" borderId="151" applyNumberFormat="0" applyFill="0" applyBorder="0" applyProtection="0">
      <alignment horizontal="left" vertical="center"/>
    </xf>
    <xf numFmtId="0" fontId="43" fillId="55" borderId="162" applyNumberFormat="0" applyAlignment="0" applyProtection="0"/>
    <xf numFmtId="0" fontId="58" fillId="42" borderId="148" applyNumberFormat="0" applyAlignment="0" applyProtection="0"/>
    <xf numFmtId="0" fontId="26" fillId="29" borderId="0" applyNumberFormat="0" applyBorder="0" applyAlignment="0" applyProtection="0"/>
    <xf numFmtId="0" fontId="29" fillId="12" borderId="10" applyNumberFormat="0" applyAlignment="0" applyProtection="0"/>
    <xf numFmtId="0" fontId="32" fillId="31" borderId="151">
      <alignment horizontal="right" vertical="center"/>
    </xf>
    <xf numFmtId="4" fontId="32" fillId="33" borderId="143">
      <alignment horizontal="right" vertical="center"/>
    </xf>
    <xf numFmtId="0" fontId="34" fillId="32" borderId="143"/>
    <xf numFmtId="49" fontId="33" fillId="0" borderId="151" applyNumberFormat="0" applyFill="0" applyBorder="0" applyProtection="0">
      <alignment horizontal="left" vertical="center"/>
    </xf>
    <xf numFmtId="0" fontId="34" fillId="0" borderId="154">
      <alignment horizontal="left" vertical="center" wrapText="1" indent="2"/>
    </xf>
    <xf numFmtId="0" fontId="32" fillId="33" borderId="151">
      <alignment horizontal="right" vertical="center"/>
    </xf>
    <xf numFmtId="0" fontId="26" fillId="19" borderId="0" applyNumberFormat="0" applyBorder="0" applyAlignment="0" applyProtection="0"/>
    <xf numFmtId="4" fontId="32" fillId="31" borderId="151">
      <alignment horizontal="right" vertical="center"/>
    </xf>
    <xf numFmtId="0" fontId="58" fillId="42" borderId="140" applyNumberFormat="0" applyAlignment="0" applyProtection="0"/>
    <xf numFmtId="0" fontId="30" fillId="0" borderId="0" applyNumberFormat="0" applyFill="0" applyBorder="0" applyAlignment="0" applyProtection="0"/>
    <xf numFmtId="0" fontId="1" fillId="0" borderId="0" applyNumberFormat="0" applyFill="0" applyBorder="0" applyAlignment="0" applyProtection="0"/>
    <xf numFmtId="0" fontId="40" fillId="58" borderId="150" applyNumberFormat="0" applyFont="0" applyAlignment="0" applyProtection="0"/>
    <xf numFmtId="0" fontId="12" fillId="24" borderId="0" applyNumberFormat="0" applyBorder="0" applyAlignment="0" applyProtection="0"/>
    <xf numFmtId="0" fontId="34" fillId="33" borderId="146">
      <alignment horizontal="left" vertical="center" wrapText="1" indent="2"/>
    </xf>
    <xf numFmtId="0" fontId="32" fillId="33" borderId="145">
      <alignment horizontal="right" vertical="center"/>
    </xf>
    <xf numFmtId="0" fontId="32" fillId="33" borderId="160">
      <alignment horizontal="right" vertical="center"/>
    </xf>
    <xf numFmtId="0" fontId="46" fillId="55" borderId="140" applyNumberFormat="0" applyAlignment="0" applyProtection="0"/>
    <xf numFmtId="4" fontId="32" fillId="33" borderId="143">
      <alignment horizontal="right" vertical="center"/>
    </xf>
    <xf numFmtId="0" fontId="32" fillId="33" borderId="143">
      <alignment horizontal="right" vertical="center"/>
    </xf>
    <xf numFmtId="0" fontId="65" fillId="0" borderId="141" applyNumberFormat="0" applyFill="0" applyAlignment="0" applyProtection="0"/>
    <xf numFmtId="0" fontId="32" fillId="33" borderId="144">
      <alignment horizontal="right" vertical="center"/>
    </xf>
    <xf numFmtId="0" fontId="46" fillId="55" borderId="132" applyNumberFormat="0" applyAlignment="0" applyProtection="0"/>
    <xf numFmtId="0" fontId="50" fillId="0" borderId="141" applyNumberFormat="0" applyFill="0" applyAlignment="0" applyProtection="0"/>
    <xf numFmtId="43" fontId="37" fillId="0" borderId="0" applyFont="0" applyFill="0" applyBorder="0" applyAlignment="0" applyProtection="0"/>
    <xf numFmtId="4" fontId="32" fillId="33" borderId="143">
      <alignment horizontal="right" vertical="center"/>
    </xf>
    <xf numFmtId="43" fontId="37" fillId="0" borderId="0" applyFont="0" applyFill="0" applyBorder="0" applyAlignment="0" applyProtection="0"/>
    <xf numFmtId="0" fontId="34" fillId="33" borderId="146">
      <alignment horizontal="left" vertical="center" wrapText="1" indent="2"/>
    </xf>
    <xf numFmtId="4" fontId="34" fillId="32" borderId="158"/>
    <xf numFmtId="4" fontId="32" fillId="33" borderId="158">
      <alignment horizontal="right" vertical="center"/>
    </xf>
    <xf numFmtId="0" fontId="65" fillId="0" borderId="149" applyNumberFormat="0" applyFill="0" applyAlignment="0" applyProtection="0"/>
    <xf numFmtId="0" fontId="65" fillId="0" borderId="156" applyNumberFormat="0" applyFill="0" applyAlignment="0" applyProtection="0"/>
    <xf numFmtId="0" fontId="65" fillId="0" borderId="141" applyNumberFormat="0" applyFill="0" applyAlignment="0" applyProtection="0"/>
    <xf numFmtId="0" fontId="62" fillId="55" borderId="139" applyNumberFormat="0" applyAlignment="0" applyProtection="0"/>
    <xf numFmtId="0" fontId="46" fillId="55" borderId="140" applyNumberFormat="0" applyAlignment="0" applyProtection="0"/>
    <xf numFmtId="0" fontId="65" fillId="0" borderId="141" applyNumberFormat="0" applyFill="0" applyAlignment="0" applyProtection="0"/>
    <xf numFmtId="0" fontId="58" fillId="42" borderId="132" applyNumberFormat="0" applyAlignment="0" applyProtection="0"/>
    <xf numFmtId="4" fontId="34" fillId="0" borderId="143">
      <alignment horizontal="right" vertical="center"/>
    </xf>
    <xf numFmtId="4" fontId="32" fillId="31" borderId="143">
      <alignment horizontal="right" vertical="center"/>
    </xf>
    <xf numFmtId="4" fontId="36" fillId="31" borderId="143">
      <alignment horizontal="right" vertical="center"/>
    </xf>
    <xf numFmtId="49" fontId="33" fillId="0" borderId="143" applyNumberFormat="0" applyFill="0" applyBorder="0" applyProtection="0">
      <alignment horizontal="left" vertical="center"/>
    </xf>
    <xf numFmtId="0" fontId="29" fillId="12" borderId="10" applyNumberFormat="0" applyAlignment="0" applyProtection="0"/>
    <xf numFmtId="0" fontId="40" fillId="58" borderId="142" applyNumberFormat="0" applyFont="0" applyAlignment="0" applyProtection="0"/>
    <xf numFmtId="0" fontId="34" fillId="0" borderId="143">
      <alignment horizontal="right" vertical="center"/>
    </xf>
    <xf numFmtId="49" fontId="33" fillId="0" borderId="158" applyNumberFormat="0" applyFill="0" applyBorder="0" applyProtection="0">
      <alignment horizontal="left" vertical="center"/>
    </xf>
    <xf numFmtId="0" fontId="45" fillId="55" borderId="148" applyNumberFormat="0" applyAlignment="0" applyProtection="0"/>
    <xf numFmtId="4" fontId="32" fillId="33" borderId="151">
      <alignment horizontal="right" vertical="center"/>
    </xf>
    <xf numFmtId="0" fontId="26" fillId="13" borderId="0" applyNumberFormat="0" applyBorder="0" applyAlignment="0" applyProtection="0"/>
    <xf numFmtId="0" fontId="26" fillId="26" borderId="0" applyNumberFormat="0" applyBorder="0" applyAlignment="0" applyProtection="0"/>
    <xf numFmtId="0" fontId="5" fillId="58" borderId="150" applyNumberFormat="0" applyFont="0" applyAlignment="0" applyProtection="0"/>
    <xf numFmtId="0" fontId="34" fillId="0" borderId="151">
      <alignment horizontal="right" vertical="center"/>
    </xf>
    <xf numFmtId="0" fontId="26" fillId="26"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4" fontId="34" fillId="0" borderId="126" applyFill="0" applyBorder="0" applyProtection="0">
      <alignment horizontal="right" vertical="center"/>
    </xf>
    <xf numFmtId="0" fontId="58" fillId="42" borderId="140" applyNumberFormat="0" applyAlignment="0" applyProtection="0"/>
    <xf numFmtId="0" fontId="36" fillId="31" borderId="143">
      <alignment horizontal="right" vertical="center"/>
    </xf>
    <xf numFmtId="0" fontId="40" fillId="58" borderId="150" applyNumberFormat="0" applyFont="0" applyAlignment="0" applyProtection="0"/>
    <xf numFmtId="0" fontId="12" fillId="15" borderId="0" applyNumberFormat="0" applyBorder="0" applyAlignment="0" applyProtection="0"/>
    <xf numFmtId="4" fontId="32" fillId="33" borderId="143">
      <alignment horizontal="right" vertical="center"/>
    </xf>
    <xf numFmtId="0" fontId="36" fillId="31" borderId="143">
      <alignment horizontal="right" vertical="center"/>
    </xf>
    <xf numFmtId="0" fontId="12" fillId="21" borderId="0" applyNumberFormat="0" applyBorder="0" applyAlignment="0" applyProtection="0"/>
    <xf numFmtId="0" fontId="40" fillId="58" borderId="134" applyNumberFormat="0" applyFont="0" applyAlignment="0" applyProtection="0"/>
    <xf numFmtId="0" fontId="5" fillId="58" borderId="134" applyNumberFormat="0" applyFont="0" applyAlignment="0" applyProtection="0"/>
    <xf numFmtId="0" fontId="62" fillId="55" borderId="131" applyNumberFormat="0" applyAlignment="0" applyProtection="0"/>
    <xf numFmtId="0" fontId="26" fillId="28" borderId="0" applyNumberFormat="0" applyBorder="0" applyAlignment="0" applyProtection="0"/>
    <xf numFmtId="0" fontId="32" fillId="33" borderId="159">
      <alignment horizontal="right" vertical="center"/>
    </xf>
    <xf numFmtId="4" fontId="34" fillId="32" borderId="158"/>
    <xf numFmtId="0" fontId="34" fillId="32" borderId="143"/>
    <xf numFmtId="0" fontId="65" fillId="0" borderId="141" applyNumberFormat="0" applyFill="0" applyAlignment="0" applyProtection="0"/>
    <xf numFmtId="0" fontId="26" fillId="14" borderId="0" applyNumberFormat="0" applyBorder="0" applyAlignment="0" applyProtection="0"/>
    <xf numFmtId="0" fontId="65" fillId="0" borderId="133" applyNumberFormat="0" applyFill="0" applyAlignment="0" applyProtection="0"/>
    <xf numFmtId="0" fontId="34" fillId="31" borderId="144">
      <alignment horizontal="left" vertical="center"/>
    </xf>
    <xf numFmtId="0" fontId="45" fillId="55" borderId="140" applyNumberFormat="0" applyAlignment="0" applyProtection="0"/>
    <xf numFmtId="4" fontId="32" fillId="33" borderId="143">
      <alignment horizontal="right" vertical="center"/>
    </xf>
    <xf numFmtId="4" fontId="32" fillId="33" borderId="160">
      <alignment horizontal="right" vertical="center"/>
    </xf>
    <xf numFmtId="0" fontId="26" fillId="28" borderId="0" applyNumberFormat="0" applyBorder="0" applyAlignment="0" applyProtection="0"/>
    <xf numFmtId="0" fontId="26" fillId="14" borderId="0" applyNumberFormat="0" applyBorder="0" applyAlignment="0" applyProtection="0"/>
    <xf numFmtId="0" fontId="34" fillId="0" borderId="154">
      <alignment horizontal="left" vertical="center" wrapText="1" indent="2"/>
    </xf>
    <xf numFmtId="0" fontId="49" fillId="42" borderId="140" applyNumberFormat="0" applyAlignment="0" applyProtection="0"/>
    <xf numFmtId="0" fontId="36" fillId="31" borderId="143">
      <alignment horizontal="right" vertical="center"/>
    </xf>
    <xf numFmtId="0" fontId="46" fillId="55" borderId="148" applyNumberFormat="0" applyAlignment="0" applyProtection="0"/>
    <xf numFmtId="4" fontId="32" fillId="33" borderId="151">
      <alignment horizontal="right" vertical="center"/>
    </xf>
    <xf numFmtId="0" fontId="46" fillId="55" borderId="140" applyNumberFormat="0" applyAlignment="0" applyProtection="0"/>
    <xf numFmtId="4" fontId="32" fillId="33" borderId="145">
      <alignment horizontal="right" vertical="center"/>
    </xf>
    <xf numFmtId="0" fontId="32" fillId="33" borderId="143">
      <alignment horizontal="right" vertical="center"/>
    </xf>
    <xf numFmtId="0" fontId="26" fillId="17" borderId="0" applyNumberFormat="0" applyBorder="0" applyAlignment="0" applyProtection="0"/>
    <xf numFmtId="49" fontId="33" fillId="0" borderId="151" applyNumberFormat="0" applyFill="0" applyBorder="0" applyProtection="0">
      <alignment horizontal="left" vertical="center"/>
    </xf>
    <xf numFmtId="0" fontId="46" fillId="55" borderId="140" applyNumberFormat="0" applyAlignment="0" applyProtection="0"/>
    <xf numFmtId="4" fontId="34" fillId="0" borderId="143">
      <alignment horizontal="right" vertical="center"/>
    </xf>
    <xf numFmtId="0" fontId="5" fillId="58" borderId="142" applyNumberFormat="0" applyFont="0" applyAlignment="0" applyProtection="0"/>
    <xf numFmtId="0" fontId="43" fillId="55" borderId="162" applyNumberFormat="0" applyAlignment="0" applyProtection="0"/>
    <xf numFmtId="0" fontId="26" fillId="14" borderId="0" applyNumberFormat="0" applyBorder="0" applyAlignment="0" applyProtection="0"/>
    <xf numFmtId="0" fontId="26" fillId="29" borderId="0" applyNumberFormat="0" applyBorder="0" applyAlignment="0" applyProtection="0"/>
    <xf numFmtId="4" fontId="32" fillId="33" borderId="144">
      <alignment horizontal="right" vertical="center"/>
    </xf>
    <xf numFmtId="4" fontId="32" fillId="33" borderId="143">
      <alignment horizontal="right" vertical="center"/>
    </xf>
    <xf numFmtId="0" fontId="62" fillId="55" borderId="147" applyNumberFormat="0" applyAlignment="0" applyProtection="0"/>
    <xf numFmtId="4" fontId="32" fillId="33" borderId="160">
      <alignment horizontal="right" vertical="center"/>
    </xf>
    <xf numFmtId="0" fontId="30" fillId="0" borderId="0" applyNumberFormat="0" applyFill="0" applyBorder="0" applyAlignment="0" applyProtection="0"/>
    <xf numFmtId="0" fontId="34" fillId="32" borderId="151"/>
    <xf numFmtId="0" fontId="32" fillId="33" borderId="144">
      <alignment horizontal="right" vertical="center"/>
    </xf>
    <xf numFmtId="4" fontId="34" fillId="0" borderId="158">
      <alignment horizontal="right" vertical="center"/>
    </xf>
    <xf numFmtId="0" fontId="2" fillId="0" borderId="12" applyNumberFormat="0" applyFill="0" applyAlignment="0" applyProtection="0"/>
    <xf numFmtId="0" fontId="32" fillId="33" borderId="152">
      <alignment horizontal="right" vertical="center"/>
    </xf>
    <xf numFmtId="0" fontId="26" fillId="14" borderId="0" applyNumberFormat="0" applyBorder="0" applyAlignment="0" applyProtection="0"/>
    <xf numFmtId="0" fontId="32" fillId="33" borderId="151">
      <alignment horizontal="right" vertical="center"/>
    </xf>
    <xf numFmtId="0" fontId="26" fillId="23" borderId="0" applyNumberFormat="0" applyBorder="0" applyAlignment="0" applyProtection="0"/>
    <xf numFmtId="0" fontId="46" fillId="55" borderId="148" applyNumberFormat="0" applyAlignment="0" applyProtection="0"/>
    <xf numFmtId="4" fontId="34" fillId="0" borderId="158">
      <alignment horizontal="right" vertical="center"/>
    </xf>
    <xf numFmtId="4" fontId="36" fillId="31" borderId="143">
      <alignment horizontal="right" vertical="center"/>
    </xf>
    <xf numFmtId="0" fontId="26" fillId="28" borderId="0" applyNumberFormat="0" applyBorder="0" applyAlignment="0" applyProtection="0"/>
    <xf numFmtId="0" fontId="58" fillId="42" borderId="140" applyNumberFormat="0" applyAlignment="0" applyProtection="0"/>
    <xf numFmtId="0" fontId="32" fillId="33" borderId="143">
      <alignment horizontal="right" vertical="center"/>
    </xf>
    <xf numFmtId="0" fontId="46" fillId="55" borderId="132" applyNumberFormat="0" applyAlignment="0" applyProtection="0"/>
    <xf numFmtId="4" fontId="32" fillId="33" borderId="144">
      <alignment horizontal="right" vertical="center"/>
    </xf>
    <xf numFmtId="0" fontId="12" fillId="18" borderId="0" applyNumberFormat="0" applyBorder="0" applyAlignment="0" applyProtection="0"/>
    <xf numFmtId="0" fontId="43" fillId="55" borderId="139" applyNumberFormat="0" applyAlignment="0" applyProtection="0"/>
    <xf numFmtId="0" fontId="32" fillId="33" borderId="143">
      <alignment horizontal="right" vertical="center"/>
    </xf>
    <xf numFmtId="0" fontId="34" fillId="0" borderId="143">
      <alignment horizontal="right" vertical="center"/>
    </xf>
    <xf numFmtId="0" fontId="32" fillId="33" borderId="143">
      <alignment horizontal="right" vertical="center"/>
    </xf>
    <xf numFmtId="0" fontId="58" fillId="42" borderId="140" applyNumberFormat="0" applyAlignment="0" applyProtection="0"/>
    <xf numFmtId="0" fontId="58" fillId="42" borderId="132" applyNumberFormat="0" applyAlignment="0" applyProtection="0"/>
    <xf numFmtId="0" fontId="26" fillId="20" borderId="0" applyNumberFormat="0" applyBorder="0" applyAlignment="0" applyProtection="0"/>
    <xf numFmtId="0" fontId="29" fillId="12" borderId="10" applyNumberFormat="0" applyAlignment="0" applyProtection="0"/>
    <xf numFmtId="0" fontId="40" fillId="58" borderId="134" applyNumberFormat="0" applyFont="0" applyAlignment="0" applyProtection="0"/>
    <xf numFmtId="0" fontId="62" fillId="55" borderId="131" applyNumberFormat="0" applyAlignment="0" applyProtection="0"/>
    <xf numFmtId="0" fontId="50" fillId="0" borderId="141" applyNumberFormat="0" applyFill="0" applyAlignment="0" applyProtection="0"/>
    <xf numFmtId="0" fontId="65" fillId="0" borderId="133" applyNumberFormat="0" applyFill="0" applyAlignment="0" applyProtection="0"/>
    <xf numFmtId="0" fontId="62" fillId="55" borderId="147" applyNumberFormat="0" applyAlignment="0" applyProtection="0"/>
    <xf numFmtId="4" fontId="32" fillId="33" borderId="145">
      <alignment horizontal="right" vertical="center"/>
    </xf>
    <xf numFmtId="0" fontId="26" fillId="14" borderId="0" applyNumberFormat="0" applyBorder="0" applyAlignment="0" applyProtection="0"/>
    <xf numFmtId="0" fontId="58" fillId="42" borderId="140" applyNumberFormat="0" applyAlignment="0" applyProtection="0"/>
    <xf numFmtId="0" fontId="46" fillId="55" borderId="140" applyNumberFormat="0" applyAlignment="0" applyProtection="0"/>
    <xf numFmtId="49" fontId="34" fillId="0" borderId="143" applyNumberFormat="0" applyFont="0" applyFill="0" applyBorder="0" applyProtection="0">
      <alignment horizontal="left" vertical="center" indent="2"/>
    </xf>
    <xf numFmtId="49" fontId="34" fillId="0" borderId="144" applyNumberFormat="0" applyFont="0" applyFill="0" applyBorder="0" applyProtection="0">
      <alignment horizontal="left" vertical="center" indent="5"/>
    </xf>
    <xf numFmtId="0" fontId="65" fillId="0" borderId="141" applyNumberFormat="0" applyFill="0" applyAlignment="0" applyProtection="0"/>
    <xf numFmtId="0" fontId="34" fillId="33" borderId="146">
      <alignment horizontal="left" vertical="center" wrapText="1" indent="2"/>
    </xf>
    <xf numFmtId="0" fontId="32" fillId="33" borderId="143">
      <alignment horizontal="right" vertical="center"/>
    </xf>
    <xf numFmtId="0" fontId="32" fillId="33" borderId="145">
      <alignment horizontal="right" vertical="center"/>
    </xf>
    <xf numFmtId="0" fontId="34" fillId="0" borderId="146">
      <alignment horizontal="left" vertical="center" wrapText="1" indent="2"/>
    </xf>
    <xf numFmtId="0" fontId="32" fillId="33" borderId="145">
      <alignment horizontal="right" vertical="center"/>
    </xf>
    <xf numFmtId="0" fontId="45" fillId="55" borderId="140" applyNumberFormat="0" applyAlignment="0" applyProtection="0"/>
    <xf numFmtId="0" fontId="65" fillId="0" borderId="141" applyNumberFormat="0" applyFill="0" applyAlignment="0" applyProtection="0"/>
    <xf numFmtId="0" fontId="43" fillId="55" borderId="139" applyNumberFormat="0" applyAlignment="0" applyProtection="0"/>
    <xf numFmtId="0" fontId="32" fillId="33" borderId="144">
      <alignment horizontal="right" vertical="center"/>
    </xf>
    <xf numFmtId="173" fontId="34" fillId="59" borderId="143" applyNumberFormat="0" applyFont="0" applyBorder="0" applyAlignment="0" applyProtection="0">
      <alignment horizontal="right" vertical="center"/>
    </xf>
    <xf numFmtId="49" fontId="33" fillId="0" borderId="143" applyNumberFormat="0" applyFill="0" applyBorder="0" applyProtection="0">
      <alignment horizontal="left" vertical="center"/>
    </xf>
    <xf numFmtId="0" fontId="32" fillId="31" borderId="135">
      <alignment horizontal="right" vertical="center"/>
    </xf>
    <xf numFmtId="4" fontId="32" fillId="31" borderId="135">
      <alignment horizontal="right" vertical="center"/>
    </xf>
    <xf numFmtId="0" fontId="36" fillId="31" borderId="135">
      <alignment horizontal="right" vertical="center"/>
    </xf>
    <xf numFmtId="4" fontId="36" fillId="31" borderId="135">
      <alignment horizontal="right" vertical="center"/>
    </xf>
    <xf numFmtId="0" fontId="32" fillId="33" borderId="135">
      <alignment horizontal="right" vertical="center"/>
    </xf>
    <xf numFmtId="4" fontId="32" fillId="33" borderId="135">
      <alignment horizontal="right" vertical="center"/>
    </xf>
    <xf numFmtId="0" fontId="32" fillId="33" borderId="135">
      <alignment horizontal="right" vertical="center"/>
    </xf>
    <xf numFmtId="4" fontId="32" fillId="33" borderId="135">
      <alignment horizontal="right" vertical="center"/>
    </xf>
    <xf numFmtId="0" fontId="32" fillId="33" borderId="136">
      <alignment horizontal="right" vertical="center"/>
    </xf>
    <xf numFmtId="4" fontId="32" fillId="33" borderId="136">
      <alignment horizontal="right" vertical="center"/>
    </xf>
    <xf numFmtId="0" fontId="32" fillId="33" borderId="137">
      <alignment horizontal="right" vertical="center"/>
    </xf>
    <xf numFmtId="4" fontId="32" fillId="33" borderId="137">
      <alignment horizontal="right" vertical="center"/>
    </xf>
    <xf numFmtId="0" fontId="46" fillId="55" borderId="132" applyNumberFormat="0" applyAlignment="0" applyProtection="0"/>
    <xf numFmtId="0" fontId="34" fillId="33" borderId="138">
      <alignment horizontal="left" vertical="center" wrapText="1" indent="2"/>
    </xf>
    <xf numFmtId="0" fontId="34" fillId="0" borderId="138">
      <alignment horizontal="left" vertical="center" wrapText="1" indent="2"/>
    </xf>
    <xf numFmtId="0" fontId="34" fillId="31" borderId="136">
      <alignment horizontal="left" vertical="center"/>
    </xf>
    <xf numFmtId="0" fontId="26" fillId="20" borderId="0" applyNumberFormat="0" applyBorder="0" applyAlignment="0" applyProtection="0"/>
    <xf numFmtId="0" fontId="58" fillId="42" borderId="132" applyNumberFormat="0" applyAlignment="0" applyProtection="0"/>
    <xf numFmtId="0" fontId="34" fillId="0" borderId="135">
      <alignment horizontal="right" vertical="center"/>
    </xf>
    <xf numFmtId="4" fontId="34" fillId="0" borderId="135">
      <alignment horizontal="right" vertical="center"/>
    </xf>
    <xf numFmtId="0" fontId="12" fillId="21" borderId="0" applyNumberFormat="0" applyBorder="0" applyAlignment="0" applyProtection="0"/>
    <xf numFmtId="0" fontId="34" fillId="0" borderId="135" applyNumberFormat="0" applyFill="0" applyAlignment="0" applyProtection="0"/>
    <xf numFmtId="0" fontId="62" fillId="55" borderId="131" applyNumberFormat="0" applyAlignment="0" applyProtection="0"/>
    <xf numFmtId="173" fontId="34" fillId="59" borderId="135" applyNumberFormat="0" applyFont="0" applyBorder="0" applyAlignment="0" applyProtection="0">
      <alignment horizontal="right" vertical="center"/>
    </xf>
    <xf numFmtId="0" fontId="34" fillId="32" borderId="135"/>
    <xf numFmtId="4" fontId="34" fillId="32" borderId="135"/>
    <xf numFmtId="0" fontId="65" fillId="0" borderId="133" applyNumberFormat="0" applyFill="0" applyAlignment="0" applyProtection="0"/>
    <xf numFmtId="0" fontId="26" fillId="26" borderId="0" applyNumberFormat="0" applyBorder="0" applyAlignment="0" applyProtection="0"/>
    <xf numFmtId="4" fontId="34" fillId="32" borderId="151"/>
    <xf numFmtId="4" fontId="32" fillId="33" borderId="145">
      <alignment horizontal="right" vertical="center"/>
    </xf>
    <xf numFmtId="0" fontId="34" fillId="32" borderId="143"/>
    <xf numFmtId="49" fontId="34" fillId="0" borderId="143" applyNumberFormat="0" applyFont="0" applyFill="0" applyBorder="0" applyProtection="0">
      <alignment horizontal="left" vertical="center" indent="2"/>
    </xf>
    <xf numFmtId="0" fontId="34" fillId="33" borderId="161">
      <alignment horizontal="left" vertical="center" wrapText="1" indent="2"/>
    </xf>
    <xf numFmtId="0" fontId="65" fillId="0" borderId="141" applyNumberFormat="0" applyFill="0" applyAlignment="0" applyProtection="0"/>
    <xf numFmtId="0" fontId="26" fillId="20" borderId="0" applyNumberFormat="0" applyBorder="0" applyAlignment="0" applyProtection="0"/>
    <xf numFmtId="0" fontId="58" fillId="42" borderId="148" applyNumberFormat="0" applyAlignment="0" applyProtection="0"/>
    <xf numFmtId="4" fontId="36" fillId="31" borderId="143">
      <alignment horizontal="right" vertical="center"/>
    </xf>
    <xf numFmtId="0" fontId="65" fillId="0" borderId="149" applyNumberFormat="0" applyFill="0" applyAlignment="0" applyProtection="0"/>
    <xf numFmtId="0" fontId="46" fillId="55" borderId="140" applyNumberFormat="0" applyAlignment="0" applyProtection="0"/>
    <xf numFmtId="0" fontId="26" fillId="29" borderId="0" applyNumberFormat="0" applyBorder="0" applyAlignment="0" applyProtection="0"/>
    <xf numFmtId="0" fontId="34" fillId="31" borderId="159">
      <alignment horizontal="left" vertical="center"/>
    </xf>
    <xf numFmtId="0" fontId="58" fillId="42" borderId="148" applyNumberFormat="0" applyAlignment="0" applyProtection="0"/>
    <xf numFmtId="0" fontId="50" fillId="0" borderId="141" applyNumberFormat="0" applyFill="0" applyAlignment="0" applyProtection="0"/>
    <xf numFmtId="0" fontId="34" fillId="32" borderId="143"/>
    <xf numFmtId="0" fontId="45" fillId="55" borderId="140" applyNumberFormat="0" applyAlignment="0" applyProtection="0"/>
    <xf numFmtId="49" fontId="33" fillId="0" borderId="143" applyNumberFormat="0" applyFill="0" applyBorder="0" applyProtection="0">
      <alignment horizontal="left" vertical="center"/>
    </xf>
    <xf numFmtId="0" fontId="34" fillId="0" borderId="143" applyNumberFormat="0" applyFill="0" applyAlignment="0" applyProtection="0"/>
    <xf numFmtId="0" fontId="5" fillId="58" borderId="142" applyNumberFormat="0" applyFont="0" applyAlignment="0" applyProtection="0"/>
    <xf numFmtId="0" fontId="26" fillId="14" borderId="0" applyNumberFormat="0" applyBorder="0" applyAlignment="0" applyProtection="0"/>
    <xf numFmtId="0" fontId="12" fillId="27" borderId="0" applyNumberFormat="0" applyBorder="0" applyAlignment="0" applyProtection="0"/>
    <xf numFmtId="4" fontId="34" fillId="0" borderId="143">
      <alignment horizontal="right" vertical="center"/>
    </xf>
    <xf numFmtId="0" fontId="26" fillId="19" borderId="0" applyNumberFormat="0" applyBorder="0" applyAlignment="0" applyProtection="0"/>
    <xf numFmtId="0" fontId="45" fillId="55" borderId="140" applyNumberFormat="0" applyAlignment="0" applyProtection="0"/>
    <xf numFmtId="0" fontId="32" fillId="31" borderId="158">
      <alignment horizontal="right" vertical="center"/>
    </xf>
    <xf numFmtId="4" fontId="32" fillId="33" borderId="151">
      <alignment horizontal="right" vertical="center"/>
    </xf>
    <xf numFmtId="0" fontId="26" fillId="17" borderId="0" applyNumberFormat="0" applyBorder="0" applyAlignment="0" applyProtection="0"/>
    <xf numFmtId="0" fontId="26" fillId="13" borderId="0" applyNumberFormat="0" applyBorder="0" applyAlignment="0" applyProtection="0"/>
    <xf numFmtId="0" fontId="32" fillId="33" borderId="153">
      <alignment horizontal="right" vertical="center"/>
    </xf>
    <xf numFmtId="0" fontId="65" fillId="0" borderId="149" applyNumberFormat="0" applyFill="0" applyAlignment="0" applyProtection="0"/>
    <xf numFmtId="0" fontId="36" fillId="31" borderId="143">
      <alignment horizontal="right" vertical="center"/>
    </xf>
    <xf numFmtId="49" fontId="34" fillId="0" borderId="144" applyNumberFormat="0" applyFont="0" applyFill="0" applyBorder="0" applyProtection="0">
      <alignment horizontal="left" vertical="center" indent="5"/>
    </xf>
    <xf numFmtId="0" fontId="65" fillId="0" borderId="141" applyNumberFormat="0" applyFill="0" applyAlignment="0" applyProtection="0"/>
    <xf numFmtId="0" fontId="40" fillId="58" borderId="142" applyNumberFormat="0" applyFont="0" applyAlignment="0" applyProtection="0"/>
    <xf numFmtId="0" fontId="32" fillId="33" borderId="144">
      <alignment horizontal="right" vertical="center"/>
    </xf>
    <xf numFmtId="0" fontId="43" fillId="55" borderId="139" applyNumberFormat="0" applyAlignment="0" applyProtection="0"/>
    <xf numFmtId="4" fontId="32" fillId="33" borderId="145">
      <alignment horizontal="right" vertical="center"/>
    </xf>
    <xf numFmtId="4" fontId="36" fillId="31" borderId="143">
      <alignment horizontal="right" vertical="center"/>
    </xf>
    <xf numFmtId="0" fontId="58" fillId="42" borderId="140" applyNumberFormat="0" applyAlignment="0" applyProtection="0"/>
    <xf numFmtId="0" fontId="46" fillId="55" borderId="140" applyNumberFormat="0" applyAlignment="0" applyProtection="0"/>
    <xf numFmtId="0" fontId="36" fillId="31" borderId="143">
      <alignment horizontal="right" vertical="center"/>
    </xf>
    <xf numFmtId="0" fontId="65" fillId="0" borderId="141" applyNumberFormat="0" applyFill="0" applyAlignment="0" applyProtection="0"/>
    <xf numFmtId="0" fontId="46" fillId="55" borderId="140" applyNumberFormat="0" applyAlignment="0" applyProtection="0"/>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5" fillId="58" borderId="142" applyNumberFormat="0" applyFont="0" applyAlignment="0" applyProtection="0"/>
    <xf numFmtId="0" fontId="26" fillId="26" borderId="0" applyNumberFormat="0" applyBorder="0" applyAlignment="0" applyProtection="0"/>
    <xf numFmtId="0" fontId="26" fillId="16" borderId="0" applyNumberFormat="0" applyBorder="0" applyAlignment="0" applyProtection="0"/>
    <xf numFmtId="0" fontId="32" fillId="33" borderId="153">
      <alignment horizontal="right" vertical="center"/>
    </xf>
    <xf numFmtId="0" fontId="26" fillId="13" borderId="0" applyNumberFormat="0" applyBorder="0" applyAlignment="0" applyProtection="0"/>
    <xf numFmtId="0" fontId="49" fillId="42" borderId="148" applyNumberFormat="0" applyAlignment="0" applyProtection="0"/>
    <xf numFmtId="0" fontId="62" fillId="55" borderId="139" applyNumberFormat="0" applyAlignment="0" applyProtection="0"/>
    <xf numFmtId="0" fontId="32" fillId="33" borderId="151">
      <alignment horizontal="right" vertical="center"/>
    </xf>
    <xf numFmtId="0" fontId="26" fillId="17" borderId="0" applyNumberFormat="0" applyBorder="0" applyAlignment="0" applyProtection="0"/>
    <xf numFmtId="4" fontId="36" fillId="31" borderId="143">
      <alignment horizontal="right" vertical="center"/>
    </xf>
    <xf numFmtId="0" fontId="1" fillId="0" borderId="0" applyNumberFormat="0" applyFill="0" applyBorder="0" applyAlignment="0" applyProtection="0"/>
    <xf numFmtId="49" fontId="34" fillId="0" borderId="135" applyNumberFormat="0" applyFont="0" applyFill="0" applyBorder="0" applyProtection="0">
      <alignment horizontal="left" vertical="center" indent="2"/>
    </xf>
    <xf numFmtId="49" fontId="34" fillId="0" borderId="136" applyNumberFormat="0" applyFont="0" applyFill="0" applyBorder="0" applyProtection="0">
      <alignment horizontal="left" vertical="center" indent="5"/>
    </xf>
    <xf numFmtId="0" fontId="2" fillId="0" borderId="12" applyNumberFormat="0" applyFill="0" applyAlignment="0" applyProtection="0"/>
    <xf numFmtId="0" fontId="34" fillId="32" borderId="151"/>
    <xf numFmtId="0" fontId="12" fillId="24" borderId="0" applyNumberFormat="0" applyBorder="0" applyAlignment="0" applyProtection="0"/>
    <xf numFmtId="0" fontId="32" fillId="33" borderId="145">
      <alignment horizontal="right" vertical="center"/>
    </xf>
    <xf numFmtId="0" fontId="32" fillId="31" borderId="143">
      <alignment horizontal="right" vertical="center"/>
    </xf>
    <xf numFmtId="0" fontId="50" fillId="0" borderId="141" applyNumberFormat="0" applyFill="0" applyAlignment="0" applyProtection="0"/>
    <xf numFmtId="0" fontId="26" fillId="26" borderId="0" applyNumberFormat="0" applyBorder="0" applyAlignment="0" applyProtection="0"/>
    <xf numFmtId="49" fontId="33" fillId="0" borderId="151" applyNumberFormat="0" applyFill="0" applyBorder="0" applyProtection="0">
      <alignment horizontal="left" vertical="center"/>
    </xf>
    <xf numFmtId="0" fontId="34" fillId="0" borderId="146">
      <alignment horizontal="left" vertical="center" wrapText="1" indent="2"/>
    </xf>
    <xf numFmtId="4" fontId="34" fillId="0" borderId="135" applyFill="0" applyBorder="0" applyProtection="0">
      <alignment horizontal="right" vertical="center"/>
    </xf>
    <xf numFmtId="49" fontId="33" fillId="0" borderId="135" applyNumberFormat="0" applyFill="0" applyBorder="0" applyProtection="0">
      <alignment horizontal="left" vertical="center"/>
    </xf>
    <xf numFmtId="0" fontId="26" fillId="28" borderId="0" applyNumberFormat="0" applyBorder="0" applyAlignment="0" applyProtection="0"/>
    <xf numFmtId="4" fontId="32" fillId="33" borderId="145">
      <alignment horizontal="right" vertical="center"/>
    </xf>
    <xf numFmtId="4" fontId="34" fillId="0" borderId="143" applyFill="0" applyBorder="0" applyProtection="0">
      <alignment horizontal="right" vertical="center"/>
    </xf>
    <xf numFmtId="0" fontId="45" fillId="55" borderId="140" applyNumberFormat="0" applyAlignment="0" applyProtection="0"/>
    <xf numFmtId="0" fontId="49" fillId="42" borderId="140" applyNumberFormat="0" applyAlignment="0" applyProtection="0"/>
    <xf numFmtId="0" fontId="34" fillId="33" borderId="146">
      <alignment horizontal="left" vertical="center" wrapText="1" indent="2"/>
    </xf>
    <xf numFmtId="4" fontId="34" fillId="0" borderId="151" applyFill="0" applyBorder="0" applyProtection="0">
      <alignment horizontal="right" vertical="center"/>
    </xf>
    <xf numFmtId="4" fontId="36" fillId="31" borderId="143">
      <alignment horizontal="right" vertical="center"/>
    </xf>
    <xf numFmtId="0" fontId="45" fillId="55" borderId="140" applyNumberFormat="0" applyAlignment="0" applyProtection="0"/>
    <xf numFmtId="0" fontId="26" fillId="13" borderId="0" applyNumberFormat="0" applyBorder="0" applyAlignment="0" applyProtection="0"/>
    <xf numFmtId="0" fontId="2" fillId="0" borderId="12" applyNumberFormat="0" applyFill="0" applyAlignment="0" applyProtection="0"/>
    <xf numFmtId="0" fontId="12" fillId="24" borderId="0" applyNumberFormat="0" applyBorder="0" applyAlignment="0" applyProtection="0"/>
    <xf numFmtId="0" fontId="32" fillId="31" borderId="143">
      <alignment horizontal="right" vertical="center"/>
    </xf>
    <xf numFmtId="173" fontId="34" fillId="59" borderId="143" applyNumberFormat="0" applyFont="0" applyBorder="0" applyAlignment="0" applyProtection="0">
      <alignment horizontal="right" vertical="center"/>
    </xf>
    <xf numFmtId="0" fontId="32" fillId="33" borderId="143">
      <alignment horizontal="right" vertical="center"/>
    </xf>
    <xf numFmtId="0" fontId="43" fillId="55" borderId="139" applyNumberFormat="0" applyAlignment="0" applyProtection="0"/>
    <xf numFmtId="0" fontId="65" fillId="0" borderId="141" applyNumberFormat="0" applyFill="0" applyAlignment="0" applyProtection="0"/>
    <xf numFmtId="0" fontId="40" fillId="58" borderId="142" applyNumberFormat="0" applyFont="0" applyAlignment="0" applyProtection="0"/>
    <xf numFmtId="0" fontId="32" fillId="33" borderId="143">
      <alignment horizontal="right" vertical="center"/>
    </xf>
    <xf numFmtId="0" fontId="32" fillId="33" borderId="144">
      <alignment horizontal="right" vertical="center"/>
    </xf>
    <xf numFmtId="0" fontId="46" fillId="55" borderId="140" applyNumberFormat="0" applyAlignment="0" applyProtection="0"/>
    <xf numFmtId="0" fontId="32" fillId="33" borderId="145">
      <alignment horizontal="right" vertical="center"/>
    </xf>
    <xf numFmtId="0" fontId="32" fillId="33" borderId="143">
      <alignment horizontal="right" vertical="center"/>
    </xf>
    <xf numFmtId="0" fontId="49" fillId="42" borderId="140" applyNumberFormat="0" applyAlignment="0" applyProtection="0"/>
    <xf numFmtId="4" fontId="34" fillId="0" borderId="143">
      <alignment horizontal="right" vertical="center"/>
    </xf>
    <xf numFmtId="0" fontId="46" fillId="55" borderId="140" applyNumberFormat="0" applyAlignment="0" applyProtection="0"/>
    <xf numFmtId="0" fontId="34" fillId="31" borderId="144">
      <alignment horizontal="left" vertical="center"/>
    </xf>
    <xf numFmtId="0" fontId="29" fillId="12" borderId="10" applyNumberFormat="0" applyAlignment="0" applyProtection="0"/>
    <xf numFmtId="173" fontId="34" fillId="59" borderId="143" applyNumberFormat="0" applyFont="0" applyBorder="0" applyAlignment="0" applyProtection="0">
      <alignment horizontal="right" vertical="center"/>
    </xf>
    <xf numFmtId="0" fontId="43" fillId="55" borderId="131" applyNumberFormat="0" applyAlignment="0" applyProtection="0"/>
    <xf numFmtId="0" fontId="45" fillId="55" borderId="132" applyNumberFormat="0" applyAlignment="0" applyProtection="0"/>
    <xf numFmtId="0" fontId="50" fillId="0" borderId="133" applyNumberFormat="0" applyFill="0" applyAlignment="0" applyProtection="0"/>
    <xf numFmtId="0" fontId="32" fillId="31" borderId="151">
      <alignment horizontal="right" vertical="center"/>
    </xf>
    <xf numFmtId="4" fontId="36" fillId="31" borderId="143">
      <alignment horizontal="right" vertical="center"/>
    </xf>
    <xf numFmtId="0" fontId="43" fillId="55" borderId="139" applyNumberFormat="0" applyAlignment="0" applyProtection="0"/>
    <xf numFmtId="0" fontId="26" fillId="28" borderId="0" applyNumberFormat="0" applyBorder="0" applyAlignment="0" applyProtection="0"/>
    <xf numFmtId="0" fontId="26" fillId="26" borderId="0" applyNumberFormat="0" applyBorder="0" applyAlignment="0" applyProtection="0"/>
    <xf numFmtId="4" fontId="36" fillId="31" borderId="158">
      <alignment horizontal="right" vertical="center"/>
    </xf>
    <xf numFmtId="0" fontId="46" fillId="55" borderId="140" applyNumberFormat="0" applyAlignment="0" applyProtection="0"/>
    <xf numFmtId="0" fontId="46" fillId="55" borderId="155" applyNumberFormat="0" applyAlignment="0" applyProtection="0"/>
    <xf numFmtId="49" fontId="33" fillId="0" borderId="151" applyNumberFormat="0" applyFill="0" applyBorder="0" applyProtection="0">
      <alignment horizontal="left" vertical="center"/>
    </xf>
    <xf numFmtId="0" fontId="34" fillId="0" borderId="151">
      <alignment horizontal="right" vertical="center"/>
    </xf>
    <xf numFmtId="0" fontId="46" fillId="55" borderId="140" applyNumberFormat="0" applyAlignment="0" applyProtection="0"/>
    <xf numFmtId="0" fontId="1" fillId="0" borderId="0" applyNumberFormat="0" applyFill="0" applyBorder="0" applyAlignment="0" applyProtection="0"/>
    <xf numFmtId="0" fontId="29" fillId="12" borderId="10" applyNumberFormat="0" applyAlignment="0" applyProtection="0"/>
    <xf numFmtId="0" fontId="26" fillId="22" borderId="0" applyNumberFormat="0" applyBorder="0" applyAlignment="0" applyProtection="0"/>
    <xf numFmtId="0" fontId="58" fillId="42" borderId="155" applyNumberFormat="0" applyAlignment="0" applyProtection="0"/>
    <xf numFmtId="0" fontId="30" fillId="0" borderId="0" applyNumberFormat="0" applyFill="0" applyBorder="0" applyAlignment="0" applyProtection="0"/>
    <xf numFmtId="0" fontId="34" fillId="31" borderId="144">
      <alignment horizontal="left" vertical="center"/>
    </xf>
    <xf numFmtId="4" fontId="34" fillId="0" borderId="143">
      <alignment horizontal="right" vertical="center"/>
    </xf>
    <xf numFmtId="4" fontId="32" fillId="33" borderId="143">
      <alignment horizontal="right" vertical="center"/>
    </xf>
    <xf numFmtId="0" fontId="62" fillId="55" borderId="139" applyNumberFormat="0" applyAlignment="0" applyProtection="0"/>
    <xf numFmtId="0" fontId="50" fillId="0" borderId="141" applyNumberFormat="0" applyFill="0" applyAlignment="0" applyProtection="0"/>
    <xf numFmtId="49" fontId="34" fillId="0" borderId="151" applyNumberFormat="0" applyFont="0" applyFill="0" applyBorder="0" applyProtection="0">
      <alignment horizontal="left" vertical="center" indent="2"/>
    </xf>
    <xf numFmtId="0" fontId="49" fillId="42" borderId="132" applyNumberFormat="0" applyAlignment="0" applyProtection="0"/>
    <xf numFmtId="49" fontId="34" fillId="0" borderId="143" applyNumberFormat="0" applyFont="0" applyFill="0" applyBorder="0" applyProtection="0">
      <alignment horizontal="left" vertical="center" indent="2"/>
    </xf>
    <xf numFmtId="173" fontId="34" fillId="59" borderId="143" applyNumberFormat="0" applyFont="0" applyBorder="0" applyAlignment="0" applyProtection="0">
      <alignment horizontal="right" vertical="center"/>
    </xf>
    <xf numFmtId="4" fontId="34" fillId="0" borderId="151">
      <alignment horizontal="right" vertical="center"/>
    </xf>
    <xf numFmtId="0" fontId="12" fillId="18" borderId="0" applyNumberFormat="0" applyBorder="0" applyAlignment="0" applyProtection="0"/>
    <xf numFmtId="4" fontId="32" fillId="33" borderId="151">
      <alignment horizontal="right" vertical="center"/>
    </xf>
    <xf numFmtId="49" fontId="34" fillId="0" borderId="151" applyNumberFormat="0" applyFont="0" applyFill="0" applyBorder="0" applyProtection="0">
      <alignment horizontal="left" vertical="center" indent="2"/>
    </xf>
    <xf numFmtId="0" fontId="26" fillId="13" borderId="0" applyNumberFormat="0" applyBorder="0" applyAlignment="0" applyProtection="0"/>
    <xf numFmtId="4" fontId="32" fillId="33" borderId="145">
      <alignment horizontal="right" vertical="center"/>
    </xf>
    <xf numFmtId="0" fontId="26" fillId="22" borderId="0" applyNumberFormat="0" applyBorder="0" applyAlignment="0" applyProtection="0"/>
    <xf numFmtId="4" fontId="34" fillId="0" borderId="158" applyFill="0" applyBorder="0" applyProtection="0">
      <alignment horizontal="right" vertical="center"/>
    </xf>
    <xf numFmtId="0" fontId="28" fillId="12" borderId="11" applyNumberFormat="0" applyAlignment="0" applyProtection="0"/>
    <xf numFmtId="0" fontId="34" fillId="33" borderId="154">
      <alignment horizontal="left" vertical="center" wrapText="1" indent="2"/>
    </xf>
    <xf numFmtId="0" fontId="26" fillId="28" borderId="0" applyNumberFormat="0" applyBorder="0" applyAlignment="0" applyProtection="0"/>
    <xf numFmtId="0" fontId="12" fillId="18" borderId="0" applyNumberFormat="0" applyBorder="0" applyAlignment="0" applyProtection="0"/>
    <xf numFmtId="0" fontId="58" fillId="42" borderId="140" applyNumberFormat="0" applyAlignment="0" applyProtection="0"/>
    <xf numFmtId="0" fontId="34" fillId="33" borderId="146">
      <alignment horizontal="left" vertical="center" wrapText="1" indent="2"/>
    </xf>
    <xf numFmtId="0" fontId="50" fillId="0" borderId="141" applyNumberFormat="0" applyFill="0" applyAlignment="0" applyProtection="0"/>
    <xf numFmtId="4" fontId="34" fillId="32" borderId="143"/>
    <xf numFmtId="0" fontId="29" fillId="12" borderId="10" applyNumberFormat="0" applyAlignment="0" applyProtection="0"/>
    <xf numFmtId="0" fontId="34" fillId="33" borderId="138">
      <alignment horizontal="left" vertical="center" wrapText="1" indent="2"/>
    </xf>
    <xf numFmtId="0" fontId="34" fillId="0" borderId="138">
      <alignment horizontal="left" vertical="center" wrapText="1" indent="2"/>
    </xf>
    <xf numFmtId="0" fontId="26" fillId="26" borderId="0" applyNumberFormat="0" applyBorder="0" applyAlignment="0" applyProtection="0"/>
    <xf numFmtId="0" fontId="1" fillId="0" borderId="0" applyNumberFormat="0" applyFill="0" applyBorder="0" applyAlignment="0" applyProtection="0"/>
    <xf numFmtId="0" fontId="26" fillId="26"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34" fillId="33" borderId="154">
      <alignment horizontal="left" vertical="center" wrapText="1" indent="2"/>
    </xf>
    <xf numFmtId="0" fontId="58" fillId="42" borderId="140" applyNumberFormat="0" applyAlignment="0" applyProtection="0"/>
    <xf numFmtId="0" fontId="12" fillId="30" borderId="0" applyNumberFormat="0" applyBorder="0" applyAlignment="0" applyProtection="0"/>
    <xf numFmtId="0" fontId="28" fillId="12" borderId="11" applyNumberFormat="0" applyAlignment="0" applyProtection="0"/>
    <xf numFmtId="0" fontId="12" fillId="30" borderId="0" applyNumberFormat="0" applyBorder="0" applyAlignment="0" applyProtection="0"/>
    <xf numFmtId="0" fontId="45" fillId="55" borderId="148" applyNumberFormat="0" applyAlignment="0" applyProtection="0"/>
    <xf numFmtId="0" fontId="12" fillId="18" borderId="0" applyNumberFormat="0" applyBorder="0" applyAlignment="0" applyProtection="0"/>
    <xf numFmtId="4" fontId="32" fillId="33" borderId="158">
      <alignment horizontal="right" vertical="center"/>
    </xf>
    <xf numFmtId="0" fontId="65" fillId="0" borderId="149" applyNumberFormat="0" applyFill="0" applyAlignment="0" applyProtection="0"/>
    <xf numFmtId="0" fontId="32" fillId="33" borderId="160">
      <alignment horizontal="right" vertical="center"/>
    </xf>
    <xf numFmtId="0" fontId="26" fillId="29" borderId="0" applyNumberFormat="0" applyBorder="0" applyAlignment="0" applyProtection="0"/>
    <xf numFmtId="0" fontId="58" fillId="42" borderId="148" applyNumberFormat="0" applyAlignment="0" applyProtection="0"/>
    <xf numFmtId="4" fontId="32" fillId="33" borderId="152">
      <alignment horizontal="right" vertical="center"/>
    </xf>
    <xf numFmtId="0" fontId="34" fillId="0" borderId="143">
      <alignment horizontal="right" vertical="center"/>
    </xf>
    <xf numFmtId="4" fontId="32" fillId="31" borderId="151">
      <alignment horizontal="right" vertical="center"/>
    </xf>
    <xf numFmtId="0" fontId="43" fillId="55" borderId="139" applyNumberFormat="0" applyAlignment="0" applyProtection="0"/>
    <xf numFmtId="4" fontId="32" fillId="31" borderId="143">
      <alignment horizontal="right" vertical="center"/>
    </xf>
    <xf numFmtId="0" fontId="50" fillId="0" borderId="141" applyNumberFormat="0" applyFill="0" applyAlignment="0" applyProtection="0"/>
    <xf numFmtId="0" fontId="46" fillId="55" borderId="140" applyNumberFormat="0" applyAlignment="0" applyProtection="0"/>
    <xf numFmtId="4" fontId="32" fillId="33" borderId="144">
      <alignment horizontal="right" vertical="center"/>
    </xf>
    <xf numFmtId="0" fontId="12" fillId="30" borderId="0" applyNumberFormat="0" applyBorder="0" applyAlignment="0" applyProtection="0"/>
    <xf numFmtId="0" fontId="45" fillId="55" borderId="140" applyNumberFormat="0" applyAlignment="0" applyProtection="0"/>
    <xf numFmtId="0" fontId="34" fillId="0" borderId="146">
      <alignment horizontal="left" vertical="center" wrapText="1" indent="2"/>
    </xf>
    <xf numFmtId="49" fontId="34" fillId="0" borderId="143" applyNumberFormat="0" applyFont="0" applyFill="0" applyBorder="0" applyProtection="0">
      <alignment horizontal="left" vertical="center" indent="2"/>
    </xf>
    <xf numFmtId="0" fontId="58" fillId="42" borderId="140" applyNumberFormat="0" applyAlignment="0" applyProtection="0"/>
    <xf numFmtId="0" fontId="40" fillId="58" borderId="142" applyNumberFormat="0" applyFont="0" applyAlignment="0" applyProtection="0"/>
    <xf numFmtId="4" fontId="32" fillId="33" borderId="144">
      <alignment horizontal="right" vertical="center"/>
    </xf>
    <xf numFmtId="0" fontId="34" fillId="33" borderId="146">
      <alignment horizontal="left" vertical="center" wrapText="1" indent="2"/>
    </xf>
    <xf numFmtId="0" fontId="50" fillId="0" borderId="141" applyNumberFormat="0" applyFill="0" applyAlignment="0" applyProtection="0"/>
    <xf numFmtId="0" fontId="62" fillId="55" borderId="139" applyNumberFormat="0" applyAlignment="0" applyProtection="0"/>
    <xf numFmtId="0" fontId="40" fillId="58" borderId="142" applyNumberFormat="0" applyFont="0" applyAlignment="0" applyProtection="0"/>
    <xf numFmtId="0" fontId="58" fillId="42" borderId="140" applyNumberFormat="0" applyAlignment="0" applyProtection="0"/>
    <xf numFmtId="0" fontId="34" fillId="0" borderId="143" applyNumberFormat="0" applyFill="0" applyAlignment="0" applyProtection="0"/>
    <xf numFmtId="0" fontId="32" fillId="31" borderId="143">
      <alignment horizontal="right" vertical="center"/>
    </xf>
    <xf numFmtId="0" fontId="32" fillId="33" borderId="143">
      <alignment horizontal="right" vertical="center"/>
    </xf>
    <xf numFmtId="0" fontId="40" fillId="58" borderId="142" applyNumberFormat="0" applyFont="0" applyAlignment="0" applyProtection="0"/>
    <xf numFmtId="0" fontId="50" fillId="0" borderId="141" applyNumberFormat="0" applyFill="0" applyAlignment="0" applyProtection="0"/>
    <xf numFmtId="0" fontId="32" fillId="31" borderId="143">
      <alignment horizontal="right" vertical="center"/>
    </xf>
    <xf numFmtId="4" fontId="34" fillId="0" borderId="143" applyFill="0" applyBorder="0" applyProtection="0">
      <alignment horizontal="right" vertical="center"/>
    </xf>
    <xf numFmtId="49" fontId="34" fillId="0" borderId="143" applyNumberFormat="0" applyFont="0" applyFill="0" applyBorder="0" applyProtection="0">
      <alignment horizontal="left" vertical="center" indent="2"/>
    </xf>
    <xf numFmtId="0" fontId="49" fillId="42" borderId="140" applyNumberFormat="0" applyAlignment="0" applyProtection="0"/>
    <xf numFmtId="0" fontId="5" fillId="58" borderId="150" applyNumberFormat="0" applyFont="0" applyAlignment="0" applyProtection="0"/>
    <xf numFmtId="0" fontId="12" fillId="21" borderId="0" applyNumberFormat="0" applyBorder="0" applyAlignment="0" applyProtection="0"/>
    <xf numFmtId="0" fontId="26" fillId="14" borderId="0" applyNumberFormat="0" applyBorder="0" applyAlignment="0" applyProtection="0"/>
    <xf numFmtId="0" fontId="12" fillId="30" borderId="0" applyNumberFormat="0" applyBorder="0" applyAlignment="0" applyProtection="0"/>
    <xf numFmtId="0" fontId="50" fillId="0" borderId="149" applyNumberFormat="0" applyFill="0" applyAlignment="0" applyProtection="0"/>
    <xf numFmtId="0" fontId="26" fillId="28" borderId="0" applyNumberFormat="0" applyBorder="0" applyAlignment="0" applyProtection="0"/>
    <xf numFmtId="0" fontId="26" fillId="20" borderId="0" applyNumberFormat="0" applyBorder="0" applyAlignment="0" applyProtection="0"/>
    <xf numFmtId="0" fontId="26" fillId="25" borderId="0" applyNumberFormat="0" applyBorder="0" applyAlignment="0" applyProtection="0"/>
    <xf numFmtId="0" fontId="26" fillId="23" borderId="0" applyNumberFormat="0" applyBorder="0" applyAlignment="0" applyProtection="0"/>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32" fillId="31" borderId="158">
      <alignment horizontal="right" vertical="center"/>
    </xf>
    <xf numFmtId="0" fontId="2" fillId="0" borderId="12" applyNumberFormat="0" applyFill="0" applyAlignment="0" applyProtection="0"/>
    <xf numFmtId="0" fontId="12" fillId="27" borderId="0" applyNumberFormat="0" applyBorder="0" applyAlignment="0" applyProtection="0"/>
    <xf numFmtId="0" fontId="26" fillId="29" borderId="0" applyNumberFormat="0" applyBorder="0" applyAlignment="0" applyProtection="0"/>
    <xf numFmtId="0" fontId="58" fillId="42" borderId="148" applyNumberFormat="0" applyAlignment="0" applyProtection="0"/>
    <xf numFmtId="0" fontId="49" fillId="42" borderId="140" applyNumberFormat="0" applyAlignment="0" applyProtection="0"/>
    <xf numFmtId="4" fontId="34" fillId="32" borderId="143"/>
    <xf numFmtId="0" fontId="12" fillId="18" borderId="0" applyNumberFormat="0" applyBorder="0" applyAlignment="0" applyProtection="0"/>
    <xf numFmtId="4" fontId="32" fillId="33" borderId="135">
      <alignment horizontal="right" vertical="center"/>
    </xf>
    <xf numFmtId="0" fontId="34" fillId="32" borderId="135"/>
    <xf numFmtId="0" fontId="45" fillId="55" borderId="132" applyNumberFormat="0" applyAlignment="0" applyProtection="0"/>
    <xf numFmtId="0" fontId="32" fillId="31" borderId="135">
      <alignment horizontal="right" vertical="center"/>
    </xf>
    <xf numFmtId="0" fontId="34" fillId="0" borderId="135">
      <alignment horizontal="right" vertical="center"/>
    </xf>
    <xf numFmtId="0" fontId="65" fillId="0" borderId="133" applyNumberFormat="0" applyFill="0" applyAlignment="0" applyProtection="0"/>
    <xf numFmtId="0" fontId="34" fillId="31" borderId="136">
      <alignment horizontal="left" vertical="center"/>
    </xf>
    <xf numFmtId="0" fontId="58" fillId="42" borderId="132" applyNumberFormat="0" applyAlignment="0" applyProtection="0"/>
    <xf numFmtId="173" fontId="34" fillId="59" borderId="135" applyNumberFormat="0" applyFont="0" applyBorder="0" applyAlignment="0" applyProtection="0">
      <alignment horizontal="right" vertical="center"/>
    </xf>
    <xf numFmtId="0" fontId="40" fillId="58" borderId="134" applyNumberFormat="0" applyFont="0" applyAlignment="0" applyProtection="0"/>
    <xf numFmtId="0" fontId="34" fillId="0" borderId="138">
      <alignment horizontal="left" vertical="center" wrapText="1" indent="2"/>
    </xf>
    <xf numFmtId="4" fontId="34" fillId="32" borderId="135"/>
    <xf numFmtId="49" fontId="33" fillId="0" borderId="135" applyNumberFormat="0" applyFill="0" applyBorder="0" applyProtection="0">
      <alignment horizontal="left" vertical="center"/>
    </xf>
    <xf numFmtId="0" fontId="34" fillId="0" borderId="135">
      <alignment horizontal="right" vertical="center"/>
    </xf>
    <xf numFmtId="4" fontId="32" fillId="33" borderId="137">
      <alignment horizontal="right" vertical="center"/>
    </xf>
    <xf numFmtId="4" fontId="32" fillId="33" borderId="135">
      <alignment horizontal="right" vertical="center"/>
    </xf>
    <xf numFmtId="4" fontId="32" fillId="33" borderId="135">
      <alignment horizontal="right" vertical="center"/>
    </xf>
    <xf numFmtId="0" fontId="36" fillId="31" borderId="135">
      <alignment horizontal="right" vertical="center"/>
    </xf>
    <xf numFmtId="0" fontId="32" fillId="31" borderId="135">
      <alignment horizontal="right" vertical="center"/>
    </xf>
    <xf numFmtId="49" fontId="34" fillId="0" borderId="135" applyNumberFormat="0" applyFont="0" applyFill="0" applyBorder="0" applyProtection="0">
      <alignment horizontal="left" vertical="center" indent="2"/>
    </xf>
    <xf numFmtId="0" fontId="58" fillId="42" borderId="132" applyNumberFormat="0" applyAlignment="0" applyProtection="0"/>
    <xf numFmtId="0" fontId="43" fillId="55" borderId="131" applyNumberFormat="0" applyAlignment="0" applyProtection="0"/>
    <xf numFmtId="49" fontId="34" fillId="0" borderId="135" applyNumberFormat="0" applyFont="0" applyFill="0" applyBorder="0" applyProtection="0">
      <alignment horizontal="left" vertical="center" indent="2"/>
    </xf>
    <xf numFmtId="0" fontId="49" fillId="42" borderId="132" applyNumberFormat="0" applyAlignment="0" applyProtection="0"/>
    <xf numFmtId="4" fontId="34" fillId="0" borderId="135" applyFill="0" applyBorder="0" applyProtection="0">
      <alignment horizontal="right" vertical="center"/>
    </xf>
    <xf numFmtId="0" fontId="46" fillId="55" borderId="132" applyNumberFormat="0" applyAlignment="0" applyProtection="0"/>
    <xf numFmtId="0" fontId="65" fillId="0" borderId="133" applyNumberFormat="0" applyFill="0" applyAlignment="0" applyProtection="0"/>
    <xf numFmtId="0" fontId="62" fillId="55" borderId="131" applyNumberFormat="0" applyAlignment="0" applyProtection="0"/>
    <xf numFmtId="0" fontId="34" fillId="0" borderId="135" applyNumberFormat="0" applyFill="0" applyAlignment="0" applyProtection="0"/>
    <xf numFmtId="4" fontId="34" fillId="0" borderId="135">
      <alignment horizontal="right" vertical="center"/>
    </xf>
    <xf numFmtId="0" fontId="34" fillId="0" borderId="135">
      <alignment horizontal="right" vertical="center"/>
    </xf>
    <xf numFmtId="0" fontId="58" fillId="42" borderId="132" applyNumberFormat="0" applyAlignment="0" applyProtection="0"/>
    <xf numFmtId="0" fontId="43" fillId="55" borderId="131" applyNumberFormat="0" applyAlignment="0" applyProtection="0"/>
    <xf numFmtId="0" fontId="45" fillId="55" borderId="132" applyNumberFormat="0" applyAlignment="0" applyProtection="0"/>
    <xf numFmtId="0" fontId="34" fillId="33" borderId="138">
      <alignment horizontal="left" vertical="center" wrapText="1" indent="2"/>
    </xf>
    <xf numFmtId="0" fontId="46" fillId="55" borderId="132" applyNumberFormat="0" applyAlignment="0" applyProtection="0"/>
    <xf numFmtId="0" fontId="46" fillId="55" borderId="132" applyNumberFormat="0" applyAlignment="0" applyProtection="0"/>
    <xf numFmtId="4" fontId="32" fillId="33" borderId="136">
      <alignment horizontal="right" vertical="center"/>
    </xf>
    <xf numFmtId="0" fontId="32" fillId="33" borderId="136">
      <alignment horizontal="right" vertical="center"/>
    </xf>
    <xf numFmtId="0" fontId="32" fillId="33" borderId="135">
      <alignment horizontal="right" vertical="center"/>
    </xf>
    <xf numFmtId="4" fontId="36" fillId="31" borderId="135">
      <alignment horizontal="right" vertical="center"/>
    </xf>
    <xf numFmtId="0" fontId="49" fillId="42" borderId="132" applyNumberFormat="0" applyAlignment="0" applyProtection="0"/>
    <xf numFmtId="0" fontId="50" fillId="0" borderId="133" applyNumberFormat="0" applyFill="0" applyAlignment="0" applyProtection="0"/>
    <xf numFmtId="0" fontId="65" fillId="0" borderId="133" applyNumberFormat="0" applyFill="0" applyAlignment="0" applyProtection="0"/>
    <xf numFmtId="0" fontId="40" fillId="58" borderId="134" applyNumberFormat="0" applyFont="0" applyAlignment="0" applyProtection="0"/>
    <xf numFmtId="0" fontId="58" fillId="42" borderId="132" applyNumberFormat="0" applyAlignment="0" applyProtection="0"/>
    <xf numFmtId="49" fontId="33" fillId="0" borderId="135" applyNumberFormat="0" applyFill="0" applyBorder="0" applyProtection="0">
      <alignment horizontal="left" vertical="center"/>
    </xf>
    <xf numFmtId="0" fontId="34" fillId="33" borderId="138">
      <alignment horizontal="left" vertical="center" wrapText="1" indent="2"/>
    </xf>
    <xf numFmtId="0" fontId="46" fillId="55" borderId="132" applyNumberFormat="0" applyAlignment="0" applyProtection="0"/>
    <xf numFmtId="0" fontId="34" fillId="0" borderId="138">
      <alignment horizontal="left" vertical="center" wrapText="1" indent="2"/>
    </xf>
    <xf numFmtId="0" fontId="40" fillId="58" borderId="134" applyNumberFormat="0" applyFont="0" applyAlignment="0" applyProtection="0"/>
    <xf numFmtId="0" fontId="5" fillId="58" borderId="134" applyNumberFormat="0" applyFont="0" applyAlignment="0" applyProtection="0"/>
    <xf numFmtId="0" fontId="62" fillId="55" borderId="131" applyNumberFormat="0" applyAlignment="0" applyProtection="0"/>
    <xf numFmtId="0" fontId="65" fillId="0" borderId="133" applyNumberFormat="0" applyFill="0" applyAlignment="0" applyProtection="0"/>
    <xf numFmtId="4" fontId="34" fillId="32" borderId="135"/>
    <xf numFmtId="0" fontId="32" fillId="33" borderId="135">
      <alignment horizontal="right" vertical="center"/>
    </xf>
    <xf numFmtId="0" fontId="65" fillId="0" borderId="133" applyNumberFormat="0" applyFill="0" applyAlignment="0" applyProtection="0"/>
    <xf numFmtId="4" fontId="32" fillId="33" borderId="137">
      <alignment horizontal="right" vertical="center"/>
    </xf>
    <xf numFmtId="0" fontId="45" fillId="55" borderId="132" applyNumberFormat="0" applyAlignment="0" applyProtection="0"/>
    <xf numFmtId="0" fontId="32" fillId="33" borderId="136">
      <alignment horizontal="right" vertical="center"/>
    </xf>
    <xf numFmtId="0" fontId="46" fillId="55" borderId="132" applyNumberFormat="0" applyAlignment="0" applyProtection="0"/>
    <xf numFmtId="0" fontId="50" fillId="0" borderId="133" applyNumberFormat="0" applyFill="0" applyAlignment="0" applyProtection="0"/>
    <xf numFmtId="0" fontId="40" fillId="58" borderId="134" applyNumberFormat="0" applyFont="0" applyAlignment="0" applyProtection="0"/>
    <xf numFmtId="4" fontId="32" fillId="33" borderId="136">
      <alignment horizontal="right" vertical="center"/>
    </xf>
    <xf numFmtId="0" fontId="34" fillId="33" borderId="138">
      <alignment horizontal="left" vertical="center" wrapText="1" indent="2"/>
    </xf>
    <xf numFmtId="0" fontId="34" fillId="32" borderId="135"/>
    <xf numFmtId="173" fontId="34" fillId="59" borderId="135" applyNumberFormat="0" applyFont="0" applyBorder="0" applyAlignment="0" applyProtection="0">
      <alignment horizontal="right" vertical="center"/>
    </xf>
    <xf numFmtId="0" fontId="34" fillId="0" borderId="135" applyNumberFormat="0" applyFill="0" applyAlignment="0" applyProtection="0"/>
    <xf numFmtId="4" fontId="34" fillId="0" borderId="135" applyFill="0" applyBorder="0" applyProtection="0">
      <alignment horizontal="right" vertical="center"/>
    </xf>
    <xf numFmtId="4" fontId="32" fillId="31" borderId="135">
      <alignment horizontal="right" vertical="center"/>
    </xf>
    <xf numFmtId="0" fontId="50" fillId="0" borderId="133" applyNumberFormat="0" applyFill="0" applyAlignment="0" applyProtection="0"/>
    <xf numFmtId="49" fontId="33" fillId="0" borderId="135" applyNumberFormat="0" applyFill="0" applyBorder="0" applyProtection="0">
      <alignment horizontal="left" vertical="center"/>
    </xf>
    <xf numFmtId="49" fontId="34" fillId="0" borderId="136" applyNumberFormat="0" applyFont="0" applyFill="0" applyBorder="0" applyProtection="0">
      <alignment horizontal="left" vertical="center" indent="5"/>
    </xf>
    <xf numFmtId="0" fontId="34" fillId="31" borderId="136">
      <alignment horizontal="left" vertical="center"/>
    </xf>
    <xf numFmtId="0" fontId="46" fillId="55" borderId="132" applyNumberFormat="0" applyAlignment="0" applyProtection="0"/>
    <xf numFmtId="4" fontId="32" fillId="33" borderId="137">
      <alignment horizontal="right" vertical="center"/>
    </xf>
    <xf numFmtId="0" fontId="58" fillId="42" borderId="132" applyNumberFormat="0" applyAlignment="0" applyProtection="0"/>
    <xf numFmtId="0" fontId="58" fillId="42" borderId="132" applyNumberFormat="0" applyAlignment="0" applyProtection="0"/>
    <xf numFmtId="0" fontId="40" fillId="58" borderId="134" applyNumberFormat="0" applyFont="0" applyAlignment="0" applyProtection="0"/>
    <xf numFmtId="0" fontId="62" fillId="55" borderId="131" applyNumberFormat="0" applyAlignment="0" applyProtection="0"/>
    <xf numFmtId="0" fontId="65" fillId="0" borderId="133" applyNumberFormat="0" applyFill="0" applyAlignment="0" applyProtection="0"/>
    <xf numFmtId="0" fontId="32" fillId="33" borderId="135">
      <alignment horizontal="right" vertical="center"/>
    </xf>
    <xf numFmtId="0" fontId="5" fillId="58" borderId="134" applyNumberFormat="0" applyFont="0" applyAlignment="0" applyProtection="0"/>
    <xf numFmtId="4" fontId="34" fillId="0" borderId="135">
      <alignment horizontal="right" vertical="center"/>
    </xf>
    <xf numFmtId="0" fontId="65" fillId="0" borderId="133" applyNumberFormat="0" applyFill="0" applyAlignment="0" applyProtection="0"/>
    <xf numFmtId="0" fontId="32" fillId="33" borderId="135">
      <alignment horizontal="right" vertical="center"/>
    </xf>
    <xf numFmtId="0" fontId="32" fillId="33" borderId="135">
      <alignment horizontal="right" vertical="center"/>
    </xf>
    <xf numFmtId="4" fontId="36" fillId="31" borderId="135">
      <alignment horizontal="right" vertical="center"/>
    </xf>
    <xf numFmtId="0" fontId="32" fillId="31" borderId="135">
      <alignment horizontal="right" vertical="center"/>
    </xf>
    <xf numFmtId="4" fontId="32" fillId="31" borderId="135">
      <alignment horizontal="right" vertical="center"/>
    </xf>
    <xf numFmtId="0" fontId="36" fillId="31" borderId="135">
      <alignment horizontal="right" vertical="center"/>
    </xf>
    <xf numFmtId="4" fontId="36" fillId="31" borderId="135">
      <alignment horizontal="right" vertical="center"/>
    </xf>
    <xf numFmtId="0" fontId="32" fillId="33" borderId="135">
      <alignment horizontal="right" vertical="center"/>
    </xf>
    <xf numFmtId="4" fontId="32" fillId="33" borderId="135">
      <alignment horizontal="right" vertical="center"/>
    </xf>
    <xf numFmtId="0" fontId="32" fillId="33" borderId="135">
      <alignment horizontal="right" vertical="center"/>
    </xf>
    <xf numFmtId="4" fontId="32" fillId="33" borderId="135">
      <alignment horizontal="right" vertical="center"/>
    </xf>
    <xf numFmtId="0" fontId="32" fillId="33" borderId="136">
      <alignment horizontal="right" vertical="center"/>
    </xf>
    <xf numFmtId="4" fontId="32" fillId="33" borderId="136">
      <alignment horizontal="right" vertical="center"/>
    </xf>
    <xf numFmtId="0" fontId="32" fillId="33" borderId="137">
      <alignment horizontal="right" vertical="center"/>
    </xf>
    <xf numFmtId="4" fontId="32" fillId="33" borderId="137">
      <alignment horizontal="right" vertical="center"/>
    </xf>
    <xf numFmtId="0" fontId="46" fillId="55" borderId="132" applyNumberFormat="0" applyAlignment="0" applyProtection="0"/>
    <xf numFmtId="0" fontId="34" fillId="33" borderId="138">
      <alignment horizontal="left" vertical="center" wrapText="1" indent="2"/>
    </xf>
    <xf numFmtId="0" fontId="34" fillId="0" borderId="138">
      <alignment horizontal="left" vertical="center" wrapText="1" indent="2"/>
    </xf>
    <xf numFmtId="0" fontId="34" fillId="31" borderId="136">
      <alignment horizontal="left" vertical="center"/>
    </xf>
    <xf numFmtId="0" fontId="58" fillId="42" borderId="132" applyNumberFormat="0" applyAlignment="0" applyProtection="0"/>
    <xf numFmtId="0" fontId="34" fillId="0" borderId="135">
      <alignment horizontal="right" vertical="center"/>
    </xf>
    <xf numFmtId="4" fontId="34" fillId="0" borderId="135">
      <alignment horizontal="right" vertical="center"/>
    </xf>
    <xf numFmtId="0" fontId="34" fillId="0" borderId="135" applyNumberFormat="0" applyFill="0" applyAlignment="0" applyProtection="0"/>
    <xf numFmtId="0" fontId="62" fillId="55" borderId="131" applyNumberFormat="0" applyAlignment="0" applyProtection="0"/>
    <xf numFmtId="173" fontId="34" fillId="59" borderId="135" applyNumberFormat="0" applyFont="0" applyBorder="0" applyAlignment="0" applyProtection="0">
      <alignment horizontal="right" vertical="center"/>
    </xf>
    <xf numFmtId="0" fontId="34" fillId="32" borderId="135"/>
    <xf numFmtId="4" fontId="34" fillId="32" borderId="135"/>
    <xf numFmtId="0" fontId="65" fillId="0" borderId="133" applyNumberFormat="0" applyFill="0" applyAlignment="0" applyProtection="0"/>
    <xf numFmtId="0" fontId="5" fillId="58" borderId="134" applyNumberFormat="0" applyFont="0" applyAlignment="0" applyProtection="0"/>
    <xf numFmtId="0" fontId="40" fillId="58" borderId="134" applyNumberFormat="0" applyFont="0" applyAlignment="0" applyProtection="0"/>
    <xf numFmtId="0" fontId="34" fillId="0" borderId="135" applyNumberFormat="0" applyFill="0" applyAlignment="0" applyProtection="0"/>
    <xf numFmtId="0" fontId="50" fillId="0" borderId="133" applyNumberFormat="0" applyFill="0" applyAlignment="0" applyProtection="0"/>
    <xf numFmtId="0" fontId="65" fillId="0" borderId="133" applyNumberFormat="0" applyFill="0" applyAlignment="0" applyProtection="0"/>
    <xf numFmtId="0" fontId="49" fillId="42" borderId="132" applyNumberFormat="0" applyAlignment="0" applyProtection="0"/>
    <xf numFmtId="0" fontId="46" fillId="55" borderId="132" applyNumberFormat="0" applyAlignment="0" applyProtection="0"/>
    <xf numFmtId="4" fontId="36" fillId="31" borderId="135">
      <alignment horizontal="right" vertical="center"/>
    </xf>
    <xf numFmtId="0" fontId="32" fillId="31" borderId="135">
      <alignment horizontal="right" vertical="center"/>
    </xf>
    <xf numFmtId="173" fontId="34" fillId="59" borderId="135" applyNumberFormat="0" applyFont="0" applyBorder="0" applyAlignment="0" applyProtection="0">
      <alignment horizontal="right" vertical="center"/>
    </xf>
    <xf numFmtId="0" fontId="50" fillId="0" borderId="133" applyNumberFormat="0" applyFill="0" applyAlignment="0" applyProtection="0"/>
    <xf numFmtId="49" fontId="34" fillId="0" borderId="135" applyNumberFormat="0" applyFont="0" applyFill="0" applyBorder="0" applyProtection="0">
      <alignment horizontal="left" vertical="center" indent="2"/>
    </xf>
    <xf numFmtId="49" fontId="34" fillId="0" borderId="136" applyNumberFormat="0" applyFont="0" applyFill="0" applyBorder="0" applyProtection="0">
      <alignment horizontal="left" vertical="center" indent="5"/>
    </xf>
    <xf numFmtId="49" fontId="34" fillId="0" borderId="135" applyNumberFormat="0" applyFont="0" applyFill="0" applyBorder="0" applyProtection="0">
      <alignment horizontal="left" vertical="center" indent="2"/>
    </xf>
    <xf numFmtId="4" fontId="34" fillId="0" borderId="135" applyFill="0" applyBorder="0" applyProtection="0">
      <alignment horizontal="right" vertical="center"/>
    </xf>
    <xf numFmtId="49" fontId="33" fillId="0" borderId="135" applyNumberFormat="0" applyFill="0" applyBorder="0" applyProtection="0">
      <alignment horizontal="left" vertical="center"/>
    </xf>
    <xf numFmtId="0" fontId="34" fillId="0" borderId="138">
      <alignment horizontal="left" vertical="center" wrapText="1" indent="2"/>
    </xf>
    <xf numFmtId="0" fontId="62" fillId="55" borderId="131" applyNumberFormat="0" applyAlignment="0" applyProtection="0"/>
    <xf numFmtId="0" fontId="32" fillId="33" borderId="137">
      <alignment horizontal="right" vertical="center"/>
    </xf>
    <xf numFmtId="0" fontId="49" fillId="42" borderId="132" applyNumberFormat="0" applyAlignment="0" applyProtection="0"/>
    <xf numFmtId="0" fontId="32" fillId="33" borderId="137">
      <alignment horizontal="right" vertical="center"/>
    </xf>
    <xf numFmtId="4" fontId="32" fillId="33" borderId="135">
      <alignment horizontal="right" vertical="center"/>
    </xf>
    <xf numFmtId="0" fontId="32" fillId="33" borderId="135">
      <alignment horizontal="right" vertical="center"/>
    </xf>
    <xf numFmtId="0" fontId="43" fillId="55" borderId="131" applyNumberFormat="0" applyAlignment="0" applyProtection="0"/>
    <xf numFmtId="0" fontId="45" fillId="55" borderId="132" applyNumberFormat="0" applyAlignment="0" applyProtection="0"/>
    <xf numFmtId="0" fontId="50" fillId="0" borderId="133" applyNumberFormat="0" applyFill="0" applyAlignment="0" applyProtection="0"/>
    <xf numFmtId="0" fontId="34" fillId="32" borderId="135"/>
    <xf numFmtId="4" fontId="34" fillId="32" borderId="135"/>
    <xf numFmtId="4" fontId="32" fillId="33" borderId="135">
      <alignment horizontal="right" vertical="center"/>
    </xf>
    <xf numFmtId="0" fontId="36" fillId="31" borderId="135">
      <alignment horizontal="right" vertical="center"/>
    </xf>
    <xf numFmtId="0" fontId="49" fillId="42" borderId="132" applyNumberFormat="0" applyAlignment="0" applyProtection="0"/>
    <xf numFmtId="0" fontId="46" fillId="55" borderId="132" applyNumberFormat="0" applyAlignment="0" applyProtection="0"/>
    <xf numFmtId="4" fontId="34" fillId="0" borderId="135">
      <alignment horizontal="right" vertical="center"/>
    </xf>
    <xf numFmtId="0" fontId="34" fillId="33" borderId="138">
      <alignment horizontal="left" vertical="center" wrapText="1" indent="2"/>
    </xf>
    <xf numFmtId="0" fontId="34" fillId="0" borderId="138">
      <alignment horizontal="left" vertical="center" wrapText="1" indent="2"/>
    </xf>
    <xf numFmtId="0" fontId="62" fillId="55" borderId="131" applyNumberFormat="0" applyAlignment="0" applyProtection="0"/>
    <xf numFmtId="0" fontId="58" fillId="42" borderId="132" applyNumberFormat="0" applyAlignment="0" applyProtection="0"/>
    <xf numFmtId="0" fontId="45" fillId="55" borderId="132" applyNumberFormat="0" applyAlignment="0" applyProtection="0"/>
    <xf numFmtId="0" fontId="43" fillId="55" borderId="131" applyNumberFormat="0" applyAlignment="0" applyProtection="0"/>
    <xf numFmtId="0" fontId="32" fillId="33" borderId="137">
      <alignment horizontal="right" vertical="center"/>
    </xf>
    <xf numFmtId="0" fontId="36" fillId="31" borderId="135">
      <alignment horizontal="right" vertical="center"/>
    </xf>
    <xf numFmtId="4" fontId="32" fillId="31" borderId="135">
      <alignment horizontal="right" vertical="center"/>
    </xf>
    <xf numFmtId="4" fontId="32" fillId="33" borderId="135">
      <alignment horizontal="right" vertical="center"/>
    </xf>
    <xf numFmtId="49" fontId="34" fillId="0" borderId="136" applyNumberFormat="0" applyFont="0" applyFill="0" applyBorder="0" applyProtection="0">
      <alignment horizontal="left" vertical="center" indent="5"/>
    </xf>
    <xf numFmtId="4" fontId="34" fillId="0" borderId="135" applyFill="0" applyBorder="0" applyProtection="0">
      <alignment horizontal="right" vertical="center"/>
    </xf>
    <xf numFmtId="4" fontId="32" fillId="31" borderId="135">
      <alignment horizontal="right" vertical="center"/>
    </xf>
    <xf numFmtId="0" fontId="26" fillId="13" borderId="0" applyNumberFormat="0" applyBorder="0" applyAlignment="0" applyProtection="0"/>
    <xf numFmtId="0" fontId="58" fillId="42" borderId="132" applyNumberFormat="0" applyAlignment="0" applyProtection="0"/>
    <xf numFmtId="0" fontId="49" fillId="42" borderId="132" applyNumberFormat="0" applyAlignment="0" applyProtection="0"/>
    <xf numFmtId="0" fontId="45" fillId="55" borderId="132" applyNumberFormat="0" applyAlignment="0" applyProtection="0"/>
    <xf numFmtId="0" fontId="34" fillId="33" borderId="138">
      <alignment horizontal="left" vertical="center" wrapText="1" indent="2"/>
    </xf>
    <xf numFmtId="0" fontId="34" fillId="0" borderId="138">
      <alignment horizontal="left" vertical="center" wrapText="1" indent="2"/>
    </xf>
    <xf numFmtId="0" fontId="34" fillId="33" borderId="138">
      <alignment horizontal="left" vertical="center" wrapText="1" indent="2"/>
    </xf>
    <xf numFmtId="0" fontId="34" fillId="0" borderId="138">
      <alignment horizontal="left" vertical="center" wrapText="1" indent="2"/>
    </xf>
    <xf numFmtId="0" fontId="43" fillId="55" borderId="131" applyNumberFormat="0" applyAlignment="0" applyProtection="0"/>
    <xf numFmtId="0" fontId="45" fillId="55" borderId="132" applyNumberFormat="0" applyAlignment="0" applyProtection="0"/>
    <xf numFmtId="0" fontId="46" fillId="55" borderId="132" applyNumberFormat="0" applyAlignment="0" applyProtection="0"/>
    <xf numFmtId="0" fontId="49" fillId="42" borderId="132" applyNumberFormat="0" applyAlignment="0" applyProtection="0"/>
    <xf numFmtId="0" fontId="50" fillId="0" borderId="133" applyNumberFormat="0" applyFill="0" applyAlignment="0" applyProtection="0"/>
    <xf numFmtId="0" fontId="58" fillId="42" borderId="132" applyNumberFormat="0" applyAlignment="0" applyProtection="0"/>
    <xf numFmtId="0" fontId="40" fillId="58" borderId="134" applyNumberFormat="0" applyFont="0" applyAlignment="0" applyProtection="0"/>
    <xf numFmtId="0" fontId="5" fillId="58" borderId="134" applyNumberFormat="0" applyFont="0" applyAlignment="0" applyProtection="0"/>
    <xf numFmtId="0" fontId="62" fillId="55" borderId="131" applyNumberFormat="0" applyAlignment="0" applyProtection="0"/>
    <xf numFmtId="0" fontId="65" fillId="0" borderId="133" applyNumberFormat="0" applyFill="0" applyAlignment="0" applyProtection="0"/>
    <xf numFmtId="0" fontId="46" fillId="55" borderId="132" applyNumberFormat="0" applyAlignment="0" applyProtection="0"/>
    <xf numFmtId="0" fontId="58" fillId="42" borderId="132" applyNumberFormat="0" applyAlignment="0" applyProtection="0"/>
    <xf numFmtId="0" fontId="40" fillId="58" borderId="134" applyNumberFormat="0" applyFont="0" applyAlignment="0" applyProtection="0"/>
    <xf numFmtId="0" fontId="62" fillId="55" borderId="131" applyNumberFormat="0" applyAlignment="0" applyProtection="0"/>
    <xf numFmtId="0" fontId="65" fillId="0" borderId="133" applyNumberFormat="0" applyFill="0" applyAlignment="0" applyProtection="0"/>
    <xf numFmtId="0" fontId="40" fillId="58" borderId="157" applyNumberFormat="0" applyFont="0" applyAlignment="0" applyProtection="0"/>
    <xf numFmtId="0" fontId="34" fillId="0" borderId="143" applyNumberFormat="0" applyFill="0" applyAlignment="0" applyProtection="0"/>
    <xf numFmtId="4" fontId="32" fillId="33" borderId="145">
      <alignment horizontal="right" vertical="center"/>
    </xf>
    <xf numFmtId="0" fontId="32" fillId="33" borderId="143">
      <alignment horizontal="right" vertical="center"/>
    </xf>
    <xf numFmtId="0" fontId="46" fillId="55" borderId="132" applyNumberFormat="0" applyAlignment="0" applyProtection="0"/>
    <xf numFmtId="4" fontId="32" fillId="33" borderId="143">
      <alignment horizontal="right" vertical="center"/>
    </xf>
    <xf numFmtId="0" fontId="12" fillId="27" borderId="0" applyNumberFormat="0" applyBorder="0" applyAlignment="0" applyProtection="0"/>
    <xf numFmtId="0" fontId="65" fillId="0" borderId="156" applyNumberFormat="0" applyFill="0" applyAlignment="0" applyProtection="0"/>
    <xf numFmtId="0" fontId="58" fillId="42" borderId="132" applyNumberFormat="0" applyAlignment="0" applyProtection="0"/>
    <xf numFmtId="0" fontId="62" fillId="55" borderId="131" applyNumberFormat="0" applyAlignment="0" applyProtection="0"/>
    <xf numFmtId="0" fontId="65" fillId="0" borderId="133" applyNumberFormat="0" applyFill="0" applyAlignment="0" applyProtection="0"/>
    <xf numFmtId="4" fontId="32" fillId="33" borderId="153">
      <alignment horizontal="right" vertical="center"/>
    </xf>
    <xf numFmtId="0" fontId="43" fillId="55" borderId="131" applyNumberFormat="0" applyAlignment="0" applyProtection="0"/>
    <xf numFmtId="0" fontId="45" fillId="55" borderId="132" applyNumberFormat="0" applyAlignment="0" applyProtection="0"/>
    <xf numFmtId="0" fontId="50" fillId="0" borderId="133" applyNumberFormat="0" applyFill="0" applyAlignment="0" applyProtection="0"/>
    <xf numFmtId="49" fontId="34" fillId="0" borderId="135" applyNumberFormat="0" applyFont="0" applyFill="0" applyBorder="0" applyProtection="0">
      <alignment horizontal="left" vertical="center" indent="2"/>
    </xf>
    <xf numFmtId="0" fontId="32" fillId="31" borderId="135">
      <alignment horizontal="right" vertical="center"/>
    </xf>
    <xf numFmtId="4" fontId="32" fillId="31" borderId="135">
      <alignment horizontal="right" vertical="center"/>
    </xf>
    <xf numFmtId="0" fontId="36" fillId="31" borderId="135">
      <alignment horizontal="right" vertical="center"/>
    </xf>
    <xf numFmtId="4" fontId="36" fillId="31" borderId="135">
      <alignment horizontal="right" vertical="center"/>
    </xf>
    <xf numFmtId="0" fontId="32" fillId="33" borderId="135">
      <alignment horizontal="right" vertical="center"/>
    </xf>
    <xf numFmtId="4" fontId="32" fillId="33" borderId="135">
      <alignment horizontal="right" vertical="center"/>
    </xf>
    <xf numFmtId="0" fontId="32" fillId="33" borderId="135">
      <alignment horizontal="right" vertical="center"/>
    </xf>
    <xf numFmtId="4" fontId="32" fillId="33" borderId="135">
      <alignment horizontal="right" vertical="center"/>
    </xf>
    <xf numFmtId="0" fontId="49" fillId="42" borderId="132" applyNumberFormat="0" applyAlignment="0" applyProtection="0"/>
    <xf numFmtId="0" fontId="34" fillId="0" borderId="135">
      <alignment horizontal="right" vertical="center"/>
    </xf>
    <xf numFmtId="4" fontId="34" fillId="0" borderId="135">
      <alignment horizontal="right" vertical="center"/>
    </xf>
    <xf numFmtId="4" fontId="34" fillId="0" borderId="135" applyFill="0" applyBorder="0" applyProtection="0">
      <alignment horizontal="right" vertical="center"/>
    </xf>
    <xf numFmtId="49" fontId="33" fillId="0" borderId="135" applyNumberFormat="0" applyFill="0" applyBorder="0" applyProtection="0">
      <alignment horizontal="left" vertical="center"/>
    </xf>
    <xf numFmtId="0" fontId="34" fillId="0" borderId="135" applyNumberFormat="0" applyFill="0" applyAlignment="0" applyProtection="0"/>
    <xf numFmtId="173" fontId="34" fillId="59" borderId="135" applyNumberFormat="0" applyFont="0" applyBorder="0" applyAlignment="0" applyProtection="0">
      <alignment horizontal="right" vertical="center"/>
    </xf>
    <xf numFmtId="0" fontId="34" fillId="32" borderId="135"/>
    <xf numFmtId="4" fontId="34" fillId="32" borderId="135"/>
    <xf numFmtId="4" fontId="32" fillId="33" borderId="135">
      <alignment horizontal="right" vertical="center"/>
    </xf>
    <xf numFmtId="0" fontId="34" fillId="32" borderId="135"/>
    <xf numFmtId="0" fontId="45" fillId="55" borderId="132" applyNumberFormat="0" applyAlignment="0" applyProtection="0"/>
    <xf numFmtId="0" fontId="32" fillId="31" borderId="135">
      <alignment horizontal="right" vertical="center"/>
    </xf>
    <xf numFmtId="0" fontId="34" fillId="0" borderId="135">
      <alignment horizontal="right" vertical="center"/>
    </xf>
    <xf numFmtId="0" fontId="65" fillId="0" borderId="133" applyNumberFormat="0" applyFill="0" applyAlignment="0" applyProtection="0"/>
    <xf numFmtId="0" fontId="34" fillId="31" borderId="136">
      <alignment horizontal="left" vertical="center"/>
    </xf>
    <xf numFmtId="0" fontId="58" fillId="42" borderId="132" applyNumberFormat="0" applyAlignment="0" applyProtection="0"/>
    <xf numFmtId="173" fontId="34" fillId="59" borderId="135" applyNumberFormat="0" applyFont="0" applyBorder="0" applyAlignment="0" applyProtection="0">
      <alignment horizontal="right" vertical="center"/>
    </xf>
    <xf numFmtId="0" fontId="40" fillId="58" borderId="134" applyNumberFormat="0" applyFont="0" applyAlignment="0" applyProtection="0"/>
    <xf numFmtId="0" fontId="34" fillId="0" borderId="138">
      <alignment horizontal="left" vertical="center" wrapText="1" indent="2"/>
    </xf>
    <xf numFmtId="4" fontId="34" fillId="32" borderId="135"/>
    <xf numFmtId="49" fontId="33" fillId="0" borderId="135" applyNumberFormat="0" applyFill="0" applyBorder="0" applyProtection="0">
      <alignment horizontal="left" vertical="center"/>
    </xf>
    <xf numFmtId="0" fontId="34" fillId="0" borderId="135">
      <alignment horizontal="right" vertical="center"/>
    </xf>
    <xf numFmtId="4" fontId="32" fillId="33" borderId="137">
      <alignment horizontal="right" vertical="center"/>
    </xf>
    <xf numFmtId="4" fontId="32" fillId="33" borderId="135">
      <alignment horizontal="right" vertical="center"/>
    </xf>
    <xf numFmtId="4" fontId="32" fillId="33" borderId="135">
      <alignment horizontal="right" vertical="center"/>
    </xf>
    <xf numFmtId="0" fontId="36" fillId="31" borderId="135">
      <alignment horizontal="right" vertical="center"/>
    </xf>
    <xf numFmtId="0" fontId="32" fillId="31" borderId="135">
      <alignment horizontal="right" vertical="center"/>
    </xf>
    <xf numFmtId="49" fontId="34" fillId="0" borderId="135" applyNumberFormat="0" applyFont="0" applyFill="0" applyBorder="0" applyProtection="0">
      <alignment horizontal="left" vertical="center" indent="2"/>
    </xf>
    <xf numFmtId="0" fontId="58" fillId="42" borderId="132" applyNumberFormat="0" applyAlignment="0" applyProtection="0"/>
    <xf numFmtId="0" fontId="43" fillId="55" borderId="131" applyNumberFormat="0" applyAlignment="0" applyProtection="0"/>
    <xf numFmtId="49" fontId="34" fillId="0" borderId="135" applyNumberFormat="0" applyFont="0" applyFill="0" applyBorder="0" applyProtection="0">
      <alignment horizontal="left" vertical="center" indent="2"/>
    </xf>
    <xf numFmtId="0" fontId="49" fillId="42" borderId="132" applyNumberFormat="0" applyAlignment="0" applyProtection="0"/>
    <xf numFmtId="4" fontId="34" fillId="0" borderId="135" applyFill="0" applyBorder="0" applyProtection="0">
      <alignment horizontal="right" vertical="center"/>
    </xf>
    <xf numFmtId="0" fontId="46" fillId="55" borderId="132" applyNumberFormat="0" applyAlignment="0" applyProtection="0"/>
    <xf numFmtId="0" fontId="65" fillId="0" borderId="133" applyNumberFormat="0" applyFill="0" applyAlignment="0" applyProtection="0"/>
    <xf numFmtId="0" fontId="62" fillId="55" borderId="131" applyNumberFormat="0" applyAlignment="0" applyProtection="0"/>
    <xf numFmtId="0" fontId="34" fillId="0" borderId="135" applyNumberFormat="0" applyFill="0" applyAlignment="0" applyProtection="0"/>
    <xf numFmtId="4" fontId="34" fillId="0" borderId="135">
      <alignment horizontal="right" vertical="center"/>
    </xf>
    <xf numFmtId="0" fontId="34" fillId="0" borderId="135">
      <alignment horizontal="right" vertical="center"/>
    </xf>
    <xf numFmtId="0" fontId="58" fillId="42" borderId="132" applyNumberFormat="0" applyAlignment="0" applyProtection="0"/>
    <xf numFmtId="0" fontId="43" fillId="55" borderId="131" applyNumberFormat="0" applyAlignment="0" applyProtection="0"/>
    <xf numFmtId="0" fontId="45" fillId="55" borderId="132" applyNumberFormat="0" applyAlignment="0" applyProtection="0"/>
    <xf numFmtId="0" fontId="34" fillId="33" borderId="138">
      <alignment horizontal="left" vertical="center" wrapText="1" indent="2"/>
    </xf>
    <xf numFmtId="0" fontId="46" fillId="55" borderId="132" applyNumberFormat="0" applyAlignment="0" applyProtection="0"/>
    <xf numFmtId="0" fontId="46" fillId="55" borderId="132" applyNumberFormat="0" applyAlignment="0" applyProtection="0"/>
    <xf numFmtId="4" fontId="32" fillId="33" borderId="136">
      <alignment horizontal="right" vertical="center"/>
    </xf>
    <xf numFmtId="0" fontId="32" fillId="33" borderId="136">
      <alignment horizontal="right" vertical="center"/>
    </xf>
    <xf numFmtId="0" fontId="32" fillId="33" borderId="135">
      <alignment horizontal="right" vertical="center"/>
    </xf>
    <xf numFmtId="4" fontId="36" fillId="31" borderId="135">
      <alignment horizontal="right" vertical="center"/>
    </xf>
    <xf numFmtId="0" fontId="49" fillId="42" borderId="132" applyNumberFormat="0" applyAlignment="0" applyProtection="0"/>
    <xf numFmtId="0" fontId="50" fillId="0" borderId="133" applyNumberFormat="0" applyFill="0" applyAlignment="0" applyProtection="0"/>
    <xf numFmtId="0" fontId="65" fillId="0" borderId="133" applyNumberFormat="0" applyFill="0" applyAlignment="0" applyProtection="0"/>
    <xf numFmtId="0" fontId="40" fillId="58" borderId="134" applyNumberFormat="0" applyFont="0" applyAlignment="0" applyProtection="0"/>
    <xf numFmtId="0" fontId="58" fillId="42" borderId="132" applyNumberFormat="0" applyAlignment="0" applyProtection="0"/>
    <xf numFmtId="49" fontId="33" fillId="0" borderId="135" applyNumberFormat="0" applyFill="0" applyBorder="0" applyProtection="0">
      <alignment horizontal="left" vertical="center"/>
    </xf>
    <xf numFmtId="0" fontId="34" fillId="33" borderId="138">
      <alignment horizontal="left" vertical="center" wrapText="1" indent="2"/>
    </xf>
    <xf numFmtId="0" fontId="46" fillId="55" borderId="132" applyNumberFormat="0" applyAlignment="0" applyProtection="0"/>
    <xf numFmtId="0" fontId="34" fillId="0" borderId="138">
      <alignment horizontal="left" vertical="center" wrapText="1" indent="2"/>
    </xf>
    <xf numFmtId="0" fontId="40" fillId="58" borderId="134" applyNumberFormat="0" applyFont="0" applyAlignment="0" applyProtection="0"/>
    <xf numFmtId="0" fontId="5" fillId="58" borderId="134" applyNumberFormat="0" applyFont="0" applyAlignment="0" applyProtection="0"/>
    <xf numFmtId="0" fontId="62" fillId="55" borderId="131" applyNumberFormat="0" applyAlignment="0" applyProtection="0"/>
    <xf numFmtId="0" fontId="65" fillId="0" borderId="133" applyNumberFormat="0" applyFill="0" applyAlignment="0" applyProtection="0"/>
    <xf numFmtId="4" fontId="34" fillId="32" borderId="135"/>
    <xf numFmtId="0" fontId="32" fillId="33" borderId="135">
      <alignment horizontal="right" vertical="center"/>
    </xf>
    <xf numFmtId="0" fontId="65" fillId="0" borderId="133" applyNumberFormat="0" applyFill="0" applyAlignment="0" applyProtection="0"/>
    <xf numFmtId="4" fontId="32" fillId="33" borderId="137">
      <alignment horizontal="right" vertical="center"/>
    </xf>
    <xf numFmtId="0" fontId="45" fillId="55" borderId="132" applyNumberFormat="0" applyAlignment="0" applyProtection="0"/>
    <xf numFmtId="0" fontId="32" fillId="33" borderId="136">
      <alignment horizontal="right" vertical="center"/>
    </xf>
    <xf numFmtId="0" fontId="46" fillId="55" borderId="132" applyNumberFormat="0" applyAlignment="0" applyProtection="0"/>
    <xf numFmtId="0" fontId="50" fillId="0" borderId="133" applyNumberFormat="0" applyFill="0" applyAlignment="0" applyProtection="0"/>
    <xf numFmtId="0" fontId="40" fillId="58" borderId="134" applyNumberFormat="0" applyFont="0" applyAlignment="0" applyProtection="0"/>
    <xf numFmtId="4" fontId="32" fillId="33" borderId="136">
      <alignment horizontal="right" vertical="center"/>
    </xf>
    <xf numFmtId="0" fontId="34" fillId="33" borderId="138">
      <alignment horizontal="left" vertical="center" wrapText="1" indent="2"/>
    </xf>
    <xf numFmtId="0" fontId="34" fillId="32" borderId="135"/>
    <xf numFmtId="173" fontId="34" fillId="59" borderId="135" applyNumberFormat="0" applyFont="0" applyBorder="0" applyAlignment="0" applyProtection="0">
      <alignment horizontal="right" vertical="center"/>
    </xf>
    <xf numFmtId="0" fontId="34" fillId="0" borderId="135" applyNumberFormat="0" applyFill="0" applyAlignment="0" applyProtection="0"/>
    <xf numFmtId="4" fontId="34" fillId="0" borderId="135" applyFill="0" applyBorder="0" applyProtection="0">
      <alignment horizontal="right" vertical="center"/>
    </xf>
    <xf numFmtId="4" fontId="32" fillId="31" borderId="135">
      <alignment horizontal="right" vertical="center"/>
    </xf>
    <xf numFmtId="0" fontId="50" fillId="0" borderId="133" applyNumberFormat="0" applyFill="0" applyAlignment="0" applyProtection="0"/>
    <xf numFmtId="49" fontId="33" fillId="0" borderId="135" applyNumberFormat="0" applyFill="0" applyBorder="0" applyProtection="0">
      <alignment horizontal="left" vertical="center"/>
    </xf>
    <xf numFmtId="49" fontId="34" fillId="0" borderId="136" applyNumberFormat="0" applyFont="0" applyFill="0" applyBorder="0" applyProtection="0">
      <alignment horizontal="left" vertical="center" indent="5"/>
    </xf>
    <xf numFmtId="0" fontId="34" fillId="31" borderId="136">
      <alignment horizontal="left" vertical="center"/>
    </xf>
    <xf numFmtId="0" fontId="46" fillId="55" borderId="132" applyNumberFormat="0" applyAlignment="0" applyProtection="0"/>
    <xf numFmtId="4" fontId="32" fillId="33" borderId="137">
      <alignment horizontal="right" vertical="center"/>
    </xf>
    <xf numFmtId="0" fontId="58" fillId="42" borderId="132" applyNumberFormat="0" applyAlignment="0" applyProtection="0"/>
    <xf numFmtId="0" fontId="58" fillId="42" borderId="132" applyNumberFormat="0" applyAlignment="0" applyProtection="0"/>
    <xf numFmtId="0" fontId="40" fillId="58" borderId="134" applyNumberFormat="0" applyFont="0" applyAlignment="0" applyProtection="0"/>
    <xf numFmtId="0" fontId="62" fillId="55" borderId="131" applyNumberFormat="0" applyAlignment="0" applyProtection="0"/>
    <xf numFmtId="0" fontId="65" fillId="0" borderId="133" applyNumberFormat="0" applyFill="0" applyAlignment="0" applyProtection="0"/>
    <xf numFmtId="0" fontId="32" fillId="33" borderId="135">
      <alignment horizontal="right" vertical="center"/>
    </xf>
    <xf numFmtId="0" fontId="5" fillId="58" borderId="134" applyNumberFormat="0" applyFont="0" applyAlignment="0" applyProtection="0"/>
    <xf numFmtId="4" fontId="34" fillId="0" borderId="135">
      <alignment horizontal="right" vertical="center"/>
    </xf>
    <xf numFmtId="0" fontId="65" fillId="0" borderId="133" applyNumberFormat="0" applyFill="0" applyAlignment="0" applyProtection="0"/>
    <xf numFmtId="0" fontId="32" fillId="33" borderId="135">
      <alignment horizontal="right" vertical="center"/>
    </xf>
    <xf numFmtId="0" fontId="32" fillId="33" borderId="135">
      <alignment horizontal="right" vertical="center"/>
    </xf>
    <xf numFmtId="4" fontId="36" fillId="31" borderId="135">
      <alignment horizontal="right" vertical="center"/>
    </xf>
    <xf numFmtId="0" fontId="32" fillId="31" borderId="135">
      <alignment horizontal="right" vertical="center"/>
    </xf>
    <xf numFmtId="4" fontId="32" fillId="31" borderId="135">
      <alignment horizontal="right" vertical="center"/>
    </xf>
    <xf numFmtId="0" fontId="36" fillId="31" borderId="135">
      <alignment horizontal="right" vertical="center"/>
    </xf>
    <xf numFmtId="4" fontId="36" fillId="31" borderId="135">
      <alignment horizontal="right" vertical="center"/>
    </xf>
    <xf numFmtId="0" fontId="32" fillId="33" borderId="135">
      <alignment horizontal="right" vertical="center"/>
    </xf>
    <xf numFmtId="4" fontId="32" fillId="33" borderId="135">
      <alignment horizontal="right" vertical="center"/>
    </xf>
    <xf numFmtId="0" fontId="32" fillId="33" borderId="135">
      <alignment horizontal="right" vertical="center"/>
    </xf>
    <xf numFmtId="4" fontId="32" fillId="33" borderId="135">
      <alignment horizontal="right" vertical="center"/>
    </xf>
    <xf numFmtId="0" fontId="32" fillId="33" borderId="136">
      <alignment horizontal="right" vertical="center"/>
    </xf>
    <xf numFmtId="4" fontId="32" fillId="33" borderId="136">
      <alignment horizontal="right" vertical="center"/>
    </xf>
    <xf numFmtId="0" fontId="32" fillId="33" borderId="137">
      <alignment horizontal="right" vertical="center"/>
    </xf>
    <xf numFmtId="4" fontId="32" fillId="33" borderId="137">
      <alignment horizontal="right" vertical="center"/>
    </xf>
    <xf numFmtId="0" fontId="46" fillId="55" borderId="132" applyNumberFormat="0" applyAlignment="0" applyProtection="0"/>
    <xf numFmtId="0" fontId="34" fillId="33" borderId="138">
      <alignment horizontal="left" vertical="center" wrapText="1" indent="2"/>
    </xf>
    <xf numFmtId="0" fontId="34" fillId="0" borderId="138">
      <alignment horizontal="left" vertical="center" wrapText="1" indent="2"/>
    </xf>
    <xf numFmtId="0" fontId="34" fillId="31" borderId="136">
      <alignment horizontal="left" vertical="center"/>
    </xf>
    <xf numFmtId="0" fontId="58" fillId="42" borderId="132" applyNumberFormat="0" applyAlignment="0" applyProtection="0"/>
    <xf numFmtId="0" fontId="34" fillId="0" borderId="135">
      <alignment horizontal="right" vertical="center"/>
    </xf>
    <xf numFmtId="4" fontId="34" fillId="0" borderId="135">
      <alignment horizontal="right" vertical="center"/>
    </xf>
    <xf numFmtId="0" fontId="34" fillId="0" borderId="135" applyNumberFormat="0" applyFill="0" applyAlignment="0" applyProtection="0"/>
    <xf numFmtId="0" fontId="62" fillId="55" borderId="131" applyNumberFormat="0" applyAlignment="0" applyProtection="0"/>
    <xf numFmtId="173" fontId="34" fillId="59" borderId="135" applyNumberFormat="0" applyFont="0" applyBorder="0" applyAlignment="0" applyProtection="0">
      <alignment horizontal="right" vertical="center"/>
    </xf>
    <xf numFmtId="0" fontId="34" fillId="32" borderId="135"/>
    <xf numFmtId="4" fontId="34" fillId="32" borderId="135"/>
    <xf numFmtId="0" fontId="65" fillId="0" borderId="133" applyNumberFormat="0" applyFill="0" applyAlignment="0" applyProtection="0"/>
    <xf numFmtId="0" fontId="5" fillId="58" borderId="134" applyNumberFormat="0" applyFont="0" applyAlignment="0" applyProtection="0"/>
    <xf numFmtId="0" fontId="40" fillId="58" borderId="134" applyNumberFormat="0" applyFont="0" applyAlignment="0" applyProtection="0"/>
    <xf numFmtId="0" fontId="34" fillId="0" borderId="135" applyNumberFormat="0" applyFill="0" applyAlignment="0" applyProtection="0"/>
    <xf numFmtId="0" fontId="50" fillId="0" borderId="133" applyNumberFormat="0" applyFill="0" applyAlignment="0" applyProtection="0"/>
    <xf numFmtId="0" fontId="65" fillId="0" borderId="133" applyNumberFormat="0" applyFill="0" applyAlignment="0" applyProtection="0"/>
    <xf numFmtId="0" fontId="49" fillId="42" borderId="132" applyNumberFormat="0" applyAlignment="0" applyProtection="0"/>
    <xf numFmtId="0" fontId="46" fillId="55" borderId="132" applyNumberFormat="0" applyAlignment="0" applyProtection="0"/>
    <xf numFmtId="4" fontId="36" fillId="31" borderId="135">
      <alignment horizontal="right" vertical="center"/>
    </xf>
    <xf numFmtId="0" fontId="32" fillId="31" borderId="135">
      <alignment horizontal="right" vertical="center"/>
    </xf>
    <xf numFmtId="173" fontId="34" fillId="59" borderId="135" applyNumberFormat="0" applyFont="0" applyBorder="0" applyAlignment="0" applyProtection="0">
      <alignment horizontal="right" vertical="center"/>
    </xf>
    <xf numFmtId="0" fontId="50" fillId="0" borderId="133" applyNumberFormat="0" applyFill="0" applyAlignment="0" applyProtection="0"/>
    <xf numFmtId="49" fontId="34" fillId="0" borderId="135" applyNumberFormat="0" applyFont="0" applyFill="0" applyBorder="0" applyProtection="0">
      <alignment horizontal="left" vertical="center" indent="2"/>
    </xf>
    <xf numFmtId="49" fontId="34" fillId="0" borderId="136" applyNumberFormat="0" applyFont="0" applyFill="0" applyBorder="0" applyProtection="0">
      <alignment horizontal="left" vertical="center" indent="5"/>
    </xf>
    <xf numFmtId="49" fontId="34" fillId="0" borderId="135" applyNumberFormat="0" applyFont="0" applyFill="0" applyBorder="0" applyProtection="0">
      <alignment horizontal="left" vertical="center" indent="2"/>
    </xf>
    <xf numFmtId="4" fontId="34" fillId="0" borderId="135" applyFill="0" applyBorder="0" applyProtection="0">
      <alignment horizontal="right" vertical="center"/>
    </xf>
    <xf numFmtId="49" fontId="33" fillId="0" borderId="135" applyNumberFormat="0" applyFill="0" applyBorder="0" applyProtection="0">
      <alignment horizontal="left" vertical="center"/>
    </xf>
    <xf numFmtId="0" fontId="34" fillId="0" borderId="138">
      <alignment horizontal="left" vertical="center" wrapText="1" indent="2"/>
    </xf>
    <xf numFmtId="0" fontId="62" fillId="55" borderId="131" applyNumberFormat="0" applyAlignment="0" applyProtection="0"/>
    <xf numFmtId="0" fontId="32" fillId="33" borderId="137">
      <alignment horizontal="right" vertical="center"/>
    </xf>
    <xf numFmtId="0" fontId="49" fillId="42" borderId="132" applyNumberFormat="0" applyAlignment="0" applyProtection="0"/>
    <xf numFmtId="0" fontId="32" fillId="33" borderId="137">
      <alignment horizontal="right" vertical="center"/>
    </xf>
    <xf numFmtId="4" fontId="32" fillId="33" borderId="135">
      <alignment horizontal="right" vertical="center"/>
    </xf>
    <xf numFmtId="0" fontId="32" fillId="33" borderId="135">
      <alignment horizontal="right" vertical="center"/>
    </xf>
    <xf numFmtId="0" fontId="43" fillId="55" borderId="131" applyNumberFormat="0" applyAlignment="0" applyProtection="0"/>
    <xf numFmtId="0" fontId="45" fillId="55" borderId="132" applyNumberFormat="0" applyAlignment="0" applyProtection="0"/>
    <xf numFmtId="0" fontId="50" fillId="0" borderId="133" applyNumberFormat="0" applyFill="0" applyAlignment="0" applyProtection="0"/>
    <xf numFmtId="0" fontId="34" fillId="32" borderId="135"/>
    <xf numFmtId="4" fontId="34" fillId="32" borderId="135"/>
    <xf numFmtId="4" fontId="32" fillId="33" borderId="135">
      <alignment horizontal="right" vertical="center"/>
    </xf>
    <xf numFmtId="0" fontId="36" fillId="31" borderId="135">
      <alignment horizontal="right" vertical="center"/>
    </xf>
    <xf numFmtId="0" fontId="49" fillId="42" borderId="132" applyNumberFormat="0" applyAlignment="0" applyProtection="0"/>
    <xf numFmtId="0" fontId="46" fillId="55" borderId="132" applyNumberFormat="0" applyAlignment="0" applyProtection="0"/>
    <xf numFmtId="4" fontId="34" fillId="0" borderId="135">
      <alignment horizontal="right" vertical="center"/>
    </xf>
    <xf numFmtId="0" fontId="34" fillId="33" borderId="138">
      <alignment horizontal="left" vertical="center" wrapText="1" indent="2"/>
    </xf>
    <xf numFmtId="0" fontId="34" fillId="0" borderId="138">
      <alignment horizontal="left" vertical="center" wrapText="1" indent="2"/>
    </xf>
    <xf numFmtId="0" fontId="62" fillId="55" borderId="131" applyNumberFormat="0" applyAlignment="0" applyProtection="0"/>
    <xf numFmtId="0" fontId="58" fillId="42" borderId="132" applyNumberFormat="0" applyAlignment="0" applyProtection="0"/>
    <xf numFmtId="0" fontId="45" fillId="55" borderId="132" applyNumberFormat="0" applyAlignment="0" applyProtection="0"/>
    <xf numFmtId="0" fontId="43" fillId="55" borderId="131" applyNumberFormat="0" applyAlignment="0" applyProtection="0"/>
    <xf numFmtId="0" fontId="32" fillId="33" borderId="137">
      <alignment horizontal="right" vertical="center"/>
    </xf>
    <xf numFmtId="0" fontId="36" fillId="31" borderId="135">
      <alignment horizontal="right" vertical="center"/>
    </xf>
    <xf numFmtId="4" fontId="32" fillId="31" borderId="135">
      <alignment horizontal="right" vertical="center"/>
    </xf>
    <xf numFmtId="4" fontId="32" fillId="33" borderId="135">
      <alignment horizontal="right" vertical="center"/>
    </xf>
    <xf numFmtId="49" fontId="34" fillId="0" borderId="136" applyNumberFormat="0" applyFont="0" applyFill="0" applyBorder="0" applyProtection="0">
      <alignment horizontal="left" vertical="center" indent="5"/>
    </xf>
    <xf numFmtId="4" fontId="34" fillId="0" borderId="135" applyFill="0" applyBorder="0" applyProtection="0">
      <alignment horizontal="right" vertical="center"/>
    </xf>
    <xf numFmtId="4" fontId="32" fillId="31" borderId="135">
      <alignment horizontal="right" vertical="center"/>
    </xf>
    <xf numFmtId="0" fontId="58" fillId="42" borderId="132" applyNumberFormat="0" applyAlignment="0" applyProtection="0"/>
    <xf numFmtId="0" fontId="49" fillId="42" borderId="132" applyNumberFormat="0" applyAlignment="0" applyProtection="0"/>
    <xf numFmtId="0" fontId="45" fillId="55" borderId="132" applyNumberFormat="0" applyAlignment="0" applyProtection="0"/>
    <xf numFmtId="0" fontId="34" fillId="33" borderId="138">
      <alignment horizontal="left" vertical="center" wrapText="1" indent="2"/>
    </xf>
    <xf numFmtId="0" fontId="34" fillId="0" borderId="138">
      <alignment horizontal="left" vertical="center" wrapText="1" indent="2"/>
    </xf>
    <xf numFmtId="0" fontId="34" fillId="33" borderId="138">
      <alignment horizontal="left" vertical="center" wrapText="1" indent="2"/>
    </xf>
    <xf numFmtId="0" fontId="34" fillId="0" borderId="138">
      <alignment horizontal="left" vertical="center" wrapText="1" indent="2"/>
    </xf>
    <xf numFmtId="0" fontId="26" fillId="22" borderId="0" applyNumberFormat="0" applyBorder="0" applyAlignment="0" applyProtection="0"/>
    <xf numFmtId="0" fontId="26" fillId="14" borderId="0" applyNumberFormat="0" applyBorder="0" applyAlignment="0" applyProtection="0"/>
    <xf numFmtId="0" fontId="26" fillId="25" borderId="0" applyNumberFormat="0" applyBorder="0" applyAlignment="0" applyProtection="0"/>
    <xf numFmtId="0" fontId="26" fillId="28" borderId="0" applyNumberFormat="0" applyBorder="0" applyAlignment="0" applyProtection="0"/>
    <xf numFmtId="0" fontId="34" fillId="32" borderId="151"/>
    <xf numFmtId="0" fontId="28" fillId="12" borderId="11" applyNumberFormat="0" applyAlignment="0" applyProtection="0"/>
    <xf numFmtId="0" fontId="34" fillId="31" borderId="144">
      <alignment horizontal="left" vertical="center"/>
    </xf>
    <xf numFmtId="0" fontId="34" fillId="0" borderId="154">
      <alignment horizontal="left" vertical="center" wrapText="1" indent="2"/>
    </xf>
    <xf numFmtId="0" fontId="40" fillId="58" borderId="142" applyNumberFormat="0" applyFont="0" applyAlignment="0" applyProtection="0"/>
    <xf numFmtId="0" fontId="40" fillId="58" borderId="150" applyNumberFormat="0" applyFont="0" applyAlignment="0" applyProtection="0"/>
    <xf numFmtId="0" fontId="26" fillId="28"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4" fontId="34" fillId="32" borderId="151"/>
    <xf numFmtId="49" fontId="34" fillId="0" borderId="152" applyNumberFormat="0" applyFont="0" applyFill="0" applyBorder="0" applyProtection="0">
      <alignment horizontal="left" vertical="center" indent="5"/>
    </xf>
    <xf numFmtId="0" fontId="26" fillId="25" borderId="0" applyNumberFormat="0" applyBorder="0" applyAlignment="0" applyProtection="0"/>
    <xf numFmtId="0" fontId="26" fillId="16" borderId="0" applyNumberFormat="0" applyBorder="0" applyAlignment="0" applyProtection="0"/>
    <xf numFmtId="0" fontId="26" fillId="29"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62" fillId="55" borderId="147" applyNumberFormat="0" applyAlignment="0" applyProtection="0"/>
    <xf numFmtId="0" fontId="34" fillId="33" borderId="146">
      <alignment horizontal="left" vertical="center" wrapText="1" indent="2"/>
    </xf>
    <xf numFmtId="0" fontId="62" fillId="55" borderId="139" applyNumberFormat="0" applyAlignment="0" applyProtection="0"/>
    <xf numFmtId="4" fontId="34" fillId="32" borderId="143"/>
    <xf numFmtId="0" fontId="65" fillId="0" borderId="141" applyNumberFormat="0" applyFill="0" applyAlignment="0" applyProtection="0"/>
    <xf numFmtId="173" fontId="34" fillId="59" borderId="143" applyNumberFormat="0" applyFont="0" applyBorder="0" applyAlignment="0" applyProtection="0">
      <alignment horizontal="right" vertical="center"/>
    </xf>
    <xf numFmtId="0" fontId="34" fillId="0" borderId="143">
      <alignment horizontal="right" vertical="center"/>
    </xf>
    <xf numFmtId="4" fontId="34" fillId="0" borderId="143">
      <alignment horizontal="right" vertical="center"/>
    </xf>
    <xf numFmtId="0" fontId="12" fillId="27" borderId="0" applyNumberFormat="0" applyBorder="0" applyAlignment="0" applyProtection="0"/>
    <xf numFmtId="0" fontId="34" fillId="0" borderId="146">
      <alignment horizontal="left" vertical="center" wrapText="1" indent="2"/>
    </xf>
    <xf numFmtId="4" fontId="32" fillId="33" borderId="143">
      <alignment horizontal="right" vertical="center"/>
    </xf>
    <xf numFmtId="0" fontId="32" fillId="33" borderId="144">
      <alignment horizontal="right" vertical="center"/>
    </xf>
    <xf numFmtId="4" fontId="32" fillId="33" borderId="144">
      <alignment horizontal="right" vertical="center"/>
    </xf>
    <xf numFmtId="0" fontId="32" fillId="33" borderId="143">
      <alignment horizontal="right" vertical="center"/>
    </xf>
    <xf numFmtId="4" fontId="32" fillId="31" borderId="143">
      <alignment horizontal="right" vertical="center"/>
    </xf>
    <xf numFmtId="0" fontId="36" fillId="31" borderId="143">
      <alignment horizontal="right" vertical="center"/>
    </xf>
    <xf numFmtId="0" fontId="65" fillId="0" borderId="156" applyNumberFormat="0" applyFill="0" applyAlignment="0" applyProtection="0"/>
    <xf numFmtId="0" fontId="12" fillId="21"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34" fillId="0" borderId="154">
      <alignment horizontal="left" vertical="center" wrapText="1" indent="2"/>
    </xf>
    <xf numFmtId="0" fontId="12" fillId="15" borderId="0" applyNumberFormat="0" applyBorder="0" applyAlignment="0" applyProtection="0"/>
    <xf numFmtId="0" fontId="40" fillId="58" borderId="150" applyNumberFormat="0" applyFont="0" applyAlignment="0" applyProtection="0"/>
    <xf numFmtId="0" fontId="65" fillId="0" borderId="141" applyNumberFormat="0" applyFill="0" applyAlignment="0" applyProtection="0"/>
    <xf numFmtId="0" fontId="26" fillId="14" borderId="0" applyNumberFormat="0" applyBorder="0" applyAlignment="0" applyProtection="0"/>
    <xf numFmtId="0" fontId="62" fillId="55" borderId="139" applyNumberFormat="0" applyAlignment="0" applyProtection="0"/>
    <xf numFmtId="0" fontId="26" fillId="16" borderId="0" applyNumberFormat="0" applyBorder="0" applyAlignment="0" applyProtection="0"/>
    <xf numFmtId="0" fontId="2" fillId="0" borderId="12" applyNumberFormat="0" applyFill="0" applyAlignment="0" applyProtection="0"/>
    <xf numFmtId="0" fontId="29" fillId="12" borderId="10" applyNumberFormat="0" applyAlignment="0" applyProtection="0"/>
    <xf numFmtId="0" fontId="62" fillId="55" borderId="147" applyNumberFormat="0" applyAlignment="0" applyProtection="0"/>
    <xf numFmtId="0" fontId="12" fillId="30" borderId="0" applyNumberFormat="0" applyBorder="0" applyAlignment="0" applyProtection="0"/>
    <xf numFmtId="0" fontId="12" fillId="30" borderId="0" applyNumberFormat="0" applyBorder="0" applyAlignment="0" applyProtection="0"/>
    <xf numFmtId="0" fontId="30" fillId="0" borderId="0" applyNumberFormat="0" applyFill="0" applyBorder="0" applyAlignment="0" applyProtection="0"/>
    <xf numFmtId="0" fontId="26" fillId="14" borderId="0" applyNumberFormat="0" applyBorder="0" applyAlignment="0" applyProtection="0"/>
    <xf numFmtId="4" fontId="36" fillId="31" borderId="158">
      <alignment horizontal="right" vertical="center"/>
    </xf>
    <xf numFmtId="0" fontId="1" fillId="0" borderId="0" applyNumberFormat="0" applyFill="0" applyBorder="0" applyAlignment="0" applyProtection="0"/>
    <xf numFmtId="0" fontId="34" fillId="0" borderId="154">
      <alignment horizontal="left" vertical="center" wrapText="1" indent="2"/>
    </xf>
    <xf numFmtId="4" fontId="32" fillId="33" borderId="152">
      <alignment horizontal="right" vertical="center"/>
    </xf>
    <xf numFmtId="0" fontId="26" fillId="23" borderId="0" applyNumberFormat="0" applyBorder="0" applyAlignment="0" applyProtection="0"/>
    <xf numFmtId="0" fontId="26" fillId="14" borderId="0" applyNumberFormat="0" applyBorder="0" applyAlignment="0" applyProtection="0"/>
    <xf numFmtId="0" fontId="32" fillId="33" borderId="152">
      <alignment horizontal="right" vertical="center"/>
    </xf>
    <xf numFmtId="0" fontId="34" fillId="33" borderId="154">
      <alignment horizontal="left" vertical="center" wrapText="1" indent="2"/>
    </xf>
    <xf numFmtId="0" fontId="26" fillId="25" borderId="0" applyNumberFormat="0" applyBorder="0" applyAlignment="0" applyProtection="0"/>
    <xf numFmtId="0" fontId="43" fillId="55" borderId="147" applyNumberFormat="0" applyAlignment="0" applyProtection="0"/>
    <xf numFmtId="0" fontId="46" fillId="55" borderId="148" applyNumberFormat="0" applyAlignment="0" applyProtection="0"/>
    <xf numFmtId="0" fontId="46" fillId="55" borderId="155" applyNumberFormat="0" applyAlignment="0" applyProtection="0"/>
    <xf numFmtId="0" fontId="49" fillId="42" borderId="148" applyNumberFormat="0" applyAlignment="0" applyProtection="0"/>
    <xf numFmtId="0" fontId="26" fillId="26" borderId="0" applyNumberFormat="0" applyBorder="0" applyAlignment="0" applyProtection="0"/>
    <xf numFmtId="0" fontId="30" fillId="0" borderId="0" applyNumberFormat="0" applyFill="0" applyBorder="0" applyAlignment="0" applyProtection="0"/>
    <xf numFmtId="0" fontId="12" fillId="15" borderId="0" applyNumberFormat="0" applyBorder="0" applyAlignment="0" applyProtection="0"/>
    <xf numFmtId="0" fontId="65" fillId="0" borderId="141" applyNumberFormat="0" applyFill="0" applyAlignment="0" applyProtection="0"/>
    <xf numFmtId="0" fontId="40" fillId="58" borderId="142" applyNumberFormat="0" applyFont="0" applyAlignment="0" applyProtection="0"/>
    <xf numFmtId="0" fontId="26" fillId="22" borderId="0" applyNumberFormat="0" applyBorder="0" applyAlignment="0" applyProtection="0"/>
    <xf numFmtId="0" fontId="5" fillId="58" borderId="142" applyNumberFormat="0" applyFont="0" applyAlignment="0" applyProtection="0"/>
    <xf numFmtId="49" fontId="34" fillId="0" borderId="151" applyNumberFormat="0" applyFont="0" applyFill="0" applyBorder="0" applyProtection="0">
      <alignment horizontal="left" vertical="center" indent="2"/>
    </xf>
    <xf numFmtId="0" fontId="36" fillId="31" borderId="158">
      <alignment horizontal="right" vertical="center"/>
    </xf>
    <xf numFmtId="0" fontId="12" fillId="15" borderId="0" applyNumberFormat="0" applyBorder="0" applyAlignment="0" applyProtection="0"/>
    <xf numFmtId="0" fontId="26" fillId="17" borderId="0" applyNumberFormat="0" applyBorder="0" applyAlignment="0" applyProtection="0"/>
    <xf numFmtId="4" fontId="34" fillId="32" borderId="158"/>
    <xf numFmtId="4" fontId="32" fillId="31" borderId="158">
      <alignment horizontal="right" vertical="center"/>
    </xf>
    <xf numFmtId="0" fontId="12" fillId="15" borderId="0" applyNumberFormat="0" applyBorder="0" applyAlignment="0" applyProtection="0"/>
    <xf numFmtId="0" fontId="34" fillId="33" borderId="154">
      <alignment horizontal="left" vertical="center" wrapText="1" indent="2"/>
    </xf>
    <xf numFmtId="0" fontId="26" fillId="23" borderId="0" applyNumberFormat="0" applyBorder="0" applyAlignment="0" applyProtection="0"/>
    <xf numFmtId="0" fontId="58" fillId="42" borderId="140" applyNumberFormat="0" applyAlignment="0" applyProtection="0"/>
    <xf numFmtId="0" fontId="12" fillId="24" borderId="0" applyNumberFormat="0" applyBorder="0" applyAlignment="0" applyProtection="0"/>
    <xf numFmtId="0" fontId="34" fillId="33" borderId="146">
      <alignment horizontal="left" vertical="center" wrapText="1" indent="2"/>
    </xf>
    <xf numFmtId="4" fontId="36" fillId="31" borderId="143">
      <alignment horizontal="right" vertical="center"/>
    </xf>
    <xf numFmtId="173" fontId="34" fillId="59" borderId="158" applyNumberFormat="0" applyFont="0" applyBorder="0" applyAlignment="0" applyProtection="0">
      <alignment horizontal="right" vertical="center"/>
    </xf>
    <xf numFmtId="0" fontId="34" fillId="33" borderId="154">
      <alignment horizontal="left" vertical="center" wrapText="1" indent="2"/>
    </xf>
    <xf numFmtId="0" fontId="26" fillId="28" borderId="0" applyNumberFormat="0" applyBorder="0" applyAlignment="0" applyProtection="0"/>
    <xf numFmtId="0" fontId="1" fillId="0" borderId="0" applyNumberFormat="0" applyFill="0" applyBorder="0" applyAlignment="0" applyProtection="0"/>
    <xf numFmtId="0" fontId="26" fillId="20" borderId="0" applyNumberFormat="0" applyBorder="0" applyAlignment="0" applyProtection="0"/>
    <xf numFmtId="0" fontId="46" fillId="55" borderId="155" applyNumberFormat="0" applyAlignment="0" applyProtection="0"/>
    <xf numFmtId="0" fontId="26" fillId="19" borderId="0" applyNumberFormat="0" applyBorder="0" applyAlignment="0" applyProtection="0"/>
    <xf numFmtId="0" fontId="2" fillId="0" borderId="12" applyNumberFormat="0" applyFill="0" applyAlignment="0" applyProtection="0"/>
    <xf numFmtId="0" fontId="26" fillId="26" borderId="0" applyNumberFormat="0" applyBorder="0" applyAlignment="0" applyProtection="0"/>
    <xf numFmtId="4" fontId="36" fillId="31" borderId="143">
      <alignment horizontal="right" vertical="center"/>
    </xf>
    <xf numFmtId="4" fontId="32" fillId="31" borderId="143">
      <alignment horizontal="right" vertical="center"/>
    </xf>
    <xf numFmtId="0" fontId="34" fillId="0" borderId="146">
      <alignment horizontal="left" vertical="center" wrapText="1" indent="2"/>
    </xf>
    <xf numFmtId="0" fontId="62" fillId="55" borderId="139" applyNumberFormat="0" applyAlignment="0" applyProtection="0"/>
    <xf numFmtId="0" fontId="34" fillId="0" borderId="143">
      <alignment horizontal="right" vertical="center"/>
    </xf>
    <xf numFmtId="0" fontId="65" fillId="0" borderId="141" applyNumberFormat="0" applyFill="0" applyAlignment="0" applyProtection="0"/>
    <xf numFmtId="49" fontId="33" fillId="0" borderId="143" applyNumberFormat="0" applyFill="0" applyBorder="0" applyProtection="0">
      <alignment horizontal="left" vertical="center"/>
    </xf>
    <xf numFmtId="4" fontId="34" fillId="32" borderId="143"/>
    <xf numFmtId="0" fontId="58" fillId="42" borderId="140" applyNumberFormat="0" applyAlignment="0" applyProtection="0"/>
    <xf numFmtId="173" fontId="34" fillId="59" borderId="151" applyNumberFormat="0" applyFont="0" applyBorder="0" applyAlignment="0" applyProtection="0">
      <alignment horizontal="right" vertical="center"/>
    </xf>
    <xf numFmtId="0" fontId="46" fillId="55" borderId="155" applyNumberFormat="0" applyAlignment="0" applyProtection="0"/>
    <xf numFmtId="173" fontId="34" fillId="59" borderId="143" applyNumberFormat="0" applyFont="0" applyBorder="0" applyAlignment="0" applyProtection="0">
      <alignment horizontal="right" vertical="center"/>
    </xf>
    <xf numFmtId="0" fontId="65" fillId="0" borderId="156" applyNumberFormat="0" applyFill="0" applyAlignment="0" applyProtection="0"/>
    <xf numFmtId="0" fontId="46" fillId="55" borderId="140" applyNumberFormat="0" applyAlignment="0" applyProtection="0"/>
    <xf numFmtId="0" fontId="65" fillId="0" borderId="156" applyNumberFormat="0" applyFill="0" applyAlignment="0" applyProtection="0"/>
    <xf numFmtId="0" fontId="1" fillId="0" borderId="0" applyNumberFormat="0" applyFill="0" applyBorder="0" applyAlignment="0" applyProtection="0"/>
    <xf numFmtId="0" fontId="12" fillId="21" borderId="0" applyNumberFormat="0" applyBorder="0" applyAlignment="0" applyProtection="0"/>
    <xf numFmtId="0" fontId="34" fillId="0" borderId="154">
      <alignment horizontal="left" vertical="center" wrapText="1" indent="2"/>
    </xf>
    <xf numFmtId="0" fontId="58" fillId="42" borderId="140" applyNumberFormat="0" applyAlignment="0" applyProtection="0"/>
    <xf numFmtId="0" fontId="43" fillId="55" borderId="139" applyNumberFormat="0" applyAlignment="0" applyProtection="0"/>
    <xf numFmtId="0" fontId="50" fillId="0" borderId="156" applyNumberFormat="0" applyFill="0" applyAlignment="0" applyProtection="0"/>
    <xf numFmtId="49" fontId="33" fillId="0" borderId="143" applyNumberFormat="0" applyFill="0" applyBorder="0" applyProtection="0">
      <alignment horizontal="left" vertical="center"/>
    </xf>
    <xf numFmtId="0" fontId="65" fillId="0" borderId="141" applyNumberFormat="0" applyFill="0" applyAlignment="0" applyProtection="0"/>
    <xf numFmtId="0" fontId="34" fillId="0" borderId="143">
      <alignment horizontal="right" vertical="center"/>
    </xf>
    <xf numFmtId="0" fontId="32" fillId="33" borderId="144">
      <alignment horizontal="right" vertical="center"/>
    </xf>
    <xf numFmtId="0" fontId="65" fillId="0" borderId="141" applyNumberFormat="0" applyFill="0" applyAlignment="0" applyProtection="0"/>
    <xf numFmtId="4" fontId="34" fillId="32" borderId="158"/>
    <xf numFmtId="0" fontId="26" fillId="17"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65" fillId="0" borderId="149" applyNumberFormat="0" applyFill="0" applyAlignment="0" applyProtection="0"/>
    <xf numFmtId="0" fontId="26" fillId="19" borderId="0" applyNumberFormat="0" applyBorder="0" applyAlignment="0" applyProtection="0"/>
    <xf numFmtId="0" fontId="32" fillId="33" borderId="151">
      <alignment horizontal="right" vertical="center"/>
    </xf>
    <xf numFmtId="0" fontId="46" fillId="55" borderId="148" applyNumberFormat="0" applyAlignment="0" applyProtection="0"/>
    <xf numFmtId="4" fontId="34" fillId="0" borderId="143" applyFill="0" applyBorder="0" applyProtection="0">
      <alignment horizontal="right" vertical="center"/>
    </xf>
    <xf numFmtId="0" fontId="5" fillId="58" borderId="157" applyNumberFormat="0" applyFont="0" applyAlignment="0" applyProtection="0"/>
    <xf numFmtId="0" fontId="34" fillId="32" borderId="151"/>
    <xf numFmtId="0" fontId="30" fillId="0" borderId="0" applyNumberFormat="0" applyFill="0" applyBorder="0" applyAlignment="0" applyProtection="0"/>
    <xf numFmtId="0" fontId="26" fillId="19" borderId="0" applyNumberFormat="0" applyBorder="0" applyAlignment="0" applyProtection="0"/>
    <xf numFmtId="0" fontId="34" fillId="0" borderId="146">
      <alignment horizontal="left" vertical="center" wrapText="1" indent="2"/>
    </xf>
    <xf numFmtId="0" fontId="12" fillId="30" borderId="0" applyNumberFormat="0" applyBorder="0" applyAlignment="0" applyProtection="0"/>
    <xf numFmtId="0" fontId="65" fillId="0" borderId="141" applyNumberFormat="0" applyFill="0" applyAlignment="0" applyProtection="0"/>
    <xf numFmtId="0" fontId="43" fillId="55" borderId="139" applyNumberFormat="0" applyAlignment="0" applyProtection="0"/>
    <xf numFmtId="0" fontId="32" fillId="33" borderId="143">
      <alignment horizontal="right" vertical="center"/>
    </xf>
    <xf numFmtId="0" fontId="45" fillId="55" borderId="140" applyNumberFormat="0" applyAlignment="0" applyProtection="0"/>
    <xf numFmtId="4" fontId="34" fillId="0" borderId="151">
      <alignment horizontal="right" vertical="center"/>
    </xf>
    <xf numFmtId="0" fontId="26" fillId="16" borderId="0" applyNumberFormat="0" applyBorder="0" applyAlignment="0" applyProtection="0"/>
    <xf numFmtId="0" fontId="34" fillId="31" borderId="144">
      <alignment horizontal="left" vertical="center"/>
    </xf>
    <xf numFmtId="0" fontId="58" fillId="42" borderId="155" applyNumberFormat="0" applyAlignment="0" applyProtection="0"/>
    <xf numFmtId="4" fontId="32" fillId="33" borderId="152">
      <alignment horizontal="right" vertical="center"/>
    </xf>
    <xf numFmtId="0" fontId="1" fillId="0" borderId="0" applyNumberFormat="0" applyFill="0" applyBorder="0" applyAlignment="0" applyProtection="0"/>
    <xf numFmtId="0" fontId="26" fillId="25" borderId="0" applyNumberFormat="0" applyBorder="0" applyAlignment="0" applyProtection="0"/>
    <xf numFmtId="0" fontId="50" fillId="0" borderId="149" applyNumberFormat="0" applyFill="0" applyAlignment="0" applyProtection="0"/>
    <xf numFmtId="0" fontId="32" fillId="31" borderId="143">
      <alignment horizontal="right" vertical="center"/>
    </xf>
    <xf numFmtId="0" fontId="26" fillId="23" borderId="0" applyNumberFormat="0" applyBorder="0" applyAlignment="0" applyProtection="0"/>
    <xf numFmtId="0" fontId="5" fillId="58" borderId="150" applyNumberFormat="0" applyFont="0" applyAlignment="0" applyProtection="0"/>
    <xf numFmtId="0" fontId="50" fillId="0" borderId="141" applyNumberFormat="0" applyFill="0" applyAlignment="0" applyProtection="0"/>
    <xf numFmtId="0" fontId="50" fillId="0" borderId="149" applyNumberFormat="0" applyFill="0" applyAlignment="0" applyProtection="0"/>
    <xf numFmtId="0" fontId="34" fillId="0" borderId="143">
      <alignment horizontal="right" vertical="center"/>
    </xf>
    <xf numFmtId="0" fontId="5" fillId="58" borderId="142" applyNumberFormat="0" applyFont="0" applyAlignment="0" applyProtection="0"/>
    <xf numFmtId="0" fontId="2" fillId="0" borderId="12" applyNumberFormat="0" applyFill="0" applyAlignment="0" applyProtection="0"/>
    <xf numFmtId="0" fontId="26" fillId="16" borderId="0" applyNumberFormat="0" applyBorder="0" applyAlignment="0" applyProtection="0"/>
    <xf numFmtId="0" fontId="58" fillId="42" borderId="148" applyNumberFormat="0" applyAlignment="0" applyProtection="0"/>
    <xf numFmtId="0" fontId="12" fillId="30" borderId="0" applyNumberFormat="0" applyBorder="0" applyAlignment="0" applyProtection="0"/>
    <xf numFmtId="0" fontId="28" fillId="12" borderId="11" applyNumberFormat="0" applyAlignment="0" applyProtection="0"/>
    <xf numFmtId="0" fontId="58" fillId="42" borderId="140" applyNumberFormat="0" applyAlignment="0" applyProtection="0"/>
    <xf numFmtId="49" fontId="34" fillId="0" borderId="144" applyNumberFormat="0" applyFont="0" applyFill="0" applyBorder="0" applyProtection="0">
      <alignment horizontal="left" vertical="center" indent="5"/>
    </xf>
    <xf numFmtId="0" fontId="26" fillId="19" borderId="0" applyNumberFormat="0" applyBorder="0" applyAlignment="0" applyProtection="0"/>
    <xf numFmtId="0" fontId="34" fillId="0" borderId="143" applyNumberFormat="0" applyFill="0" applyAlignment="0" applyProtection="0"/>
    <xf numFmtId="0" fontId="50" fillId="0" borderId="141" applyNumberFormat="0" applyFill="0" applyAlignment="0" applyProtection="0"/>
    <xf numFmtId="0" fontId="62" fillId="55" borderId="139" applyNumberFormat="0" applyAlignment="0" applyProtection="0"/>
    <xf numFmtId="4" fontId="32" fillId="33" borderId="143">
      <alignment horizontal="right" vertical="center"/>
    </xf>
    <xf numFmtId="4" fontId="34" fillId="32" borderId="143"/>
    <xf numFmtId="0" fontId="65" fillId="0" borderId="141" applyNumberFormat="0" applyFill="0" applyAlignment="0" applyProtection="0"/>
    <xf numFmtId="0" fontId="28" fillId="12" borderId="11" applyNumberFormat="0" applyAlignment="0" applyProtection="0"/>
    <xf numFmtId="0" fontId="43" fillId="55" borderId="139" applyNumberFormat="0" applyAlignment="0" applyProtection="0"/>
    <xf numFmtId="0" fontId="45" fillId="55" borderId="140" applyNumberFormat="0" applyAlignment="0" applyProtection="0"/>
    <xf numFmtId="0" fontId="46" fillId="55" borderId="140" applyNumberFormat="0" applyAlignment="0" applyProtection="0"/>
    <xf numFmtId="0" fontId="62" fillId="55" borderId="139" applyNumberFormat="0" applyAlignment="0" applyProtection="0"/>
    <xf numFmtId="0" fontId="32" fillId="33" borderId="145">
      <alignment horizontal="right" vertical="center"/>
    </xf>
    <xf numFmtId="0" fontId="34" fillId="0" borderId="143" applyNumberFormat="0" applyFill="0" applyAlignment="0" applyProtection="0"/>
    <xf numFmtId="49" fontId="34" fillId="0" borderId="144" applyNumberFormat="0" applyFont="0" applyFill="0" applyBorder="0" applyProtection="0">
      <alignment horizontal="left" vertical="center" indent="5"/>
    </xf>
    <xf numFmtId="0" fontId="65" fillId="0" borderId="141" applyNumberFormat="0" applyFill="0" applyAlignment="0" applyProtection="0"/>
    <xf numFmtId="0" fontId="34" fillId="0" borderId="143" applyNumberFormat="0" applyFill="0" applyAlignment="0" applyProtection="0"/>
    <xf numFmtId="4" fontId="34" fillId="0" borderId="151" applyFill="0" applyBorder="0" applyProtection="0">
      <alignment horizontal="right" vertical="center"/>
    </xf>
    <xf numFmtId="0" fontId="12" fillId="27" borderId="0" applyNumberFormat="0" applyBorder="0" applyAlignment="0" applyProtection="0"/>
    <xf numFmtId="0" fontId="26" fillId="13" borderId="0" applyNumberFormat="0" applyBorder="0" applyAlignment="0" applyProtection="0"/>
    <xf numFmtId="0" fontId="26" fillId="20" borderId="0" applyNumberFormat="0" applyBorder="0" applyAlignment="0" applyProtection="0"/>
    <xf numFmtId="0" fontId="26" fillId="28" borderId="0" applyNumberFormat="0" applyBorder="0" applyAlignment="0" applyProtection="0"/>
    <xf numFmtId="0" fontId="40" fillId="58" borderId="142" applyNumberFormat="0" applyFont="0" applyAlignment="0" applyProtection="0"/>
    <xf numFmtId="0" fontId="49" fillId="42" borderId="155" applyNumberFormat="0" applyAlignment="0" applyProtection="0"/>
    <xf numFmtId="0" fontId="26" fillId="19" borderId="0" applyNumberFormat="0" applyBorder="0" applyAlignment="0" applyProtection="0"/>
    <xf numFmtId="0" fontId="28" fillId="12" borderId="11" applyNumberFormat="0" applyAlignment="0" applyProtection="0"/>
    <xf numFmtId="173" fontId="34" fillId="59" borderId="158" applyNumberFormat="0" applyFont="0" applyBorder="0" applyAlignment="0" applyProtection="0">
      <alignment horizontal="right" vertical="center"/>
    </xf>
    <xf numFmtId="0" fontId="40" fillId="58" borderId="157" applyNumberFormat="0" applyFont="0" applyAlignment="0" applyProtection="0"/>
    <xf numFmtId="4" fontId="32" fillId="33" borderId="160">
      <alignment horizontal="right" vertical="center"/>
    </xf>
    <xf numFmtId="0" fontId="26" fillId="19" borderId="0" applyNumberFormat="0" applyBorder="0" applyAlignment="0" applyProtection="0"/>
    <xf numFmtId="0" fontId="32" fillId="33" borderId="151">
      <alignment horizontal="right" vertical="center"/>
    </xf>
    <xf numFmtId="0" fontId="30" fillId="0" borderId="0" applyNumberFormat="0" applyFill="0" applyBorder="0" applyAlignment="0" applyProtection="0"/>
    <xf numFmtId="0" fontId="34" fillId="33" borderId="154">
      <alignment horizontal="left" vertical="center" wrapText="1" indent="2"/>
    </xf>
    <xf numFmtId="0" fontId="34" fillId="0" borderId="146">
      <alignment horizontal="left" vertical="center" wrapText="1" indent="2"/>
    </xf>
    <xf numFmtId="0" fontId="45" fillId="55" borderId="155" applyNumberFormat="0" applyAlignment="0" applyProtection="0"/>
    <xf numFmtId="4" fontId="32" fillId="31" borderId="143">
      <alignment horizontal="right" vertical="center"/>
    </xf>
    <xf numFmtId="0" fontId="1" fillId="0" borderId="0" applyNumberFormat="0" applyFill="0" applyBorder="0" applyAlignment="0" applyProtection="0"/>
    <xf numFmtId="0" fontId="26" fillId="16" borderId="0" applyNumberFormat="0" applyBorder="0" applyAlignment="0" applyProtection="0"/>
    <xf numFmtId="0" fontId="62" fillId="55" borderId="139" applyNumberFormat="0" applyAlignment="0" applyProtection="0"/>
    <xf numFmtId="49" fontId="34" fillId="0" borderId="144" applyNumberFormat="0" applyFont="0" applyFill="0" applyBorder="0" applyProtection="0">
      <alignment horizontal="left" vertical="center" indent="5"/>
    </xf>
    <xf numFmtId="4" fontId="34" fillId="0" borderId="143">
      <alignment horizontal="right" vertical="center"/>
    </xf>
    <xf numFmtId="0" fontId="65" fillId="0" borderId="149" applyNumberFormat="0" applyFill="0" applyAlignment="0" applyProtection="0"/>
    <xf numFmtId="0" fontId="45" fillId="55" borderId="155" applyNumberFormat="0" applyAlignment="0" applyProtection="0"/>
    <xf numFmtId="0" fontId="12" fillId="21" borderId="0" applyNumberFormat="0" applyBorder="0" applyAlignment="0" applyProtection="0"/>
    <xf numFmtId="0" fontId="26" fillId="28" borderId="0" applyNumberFormat="0" applyBorder="0" applyAlignment="0" applyProtection="0"/>
    <xf numFmtId="0" fontId="50" fillId="0" borderId="141" applyNumberFormat="0" applyFill="0" applyAlignment="0" applyProtection="0"/>
    <xf numFmtId="0" fontId="32" fillId="33" borderId="152">
      <alignment horizontal="right" vertical="center"/>
    </xf>
    <xf numFmtId="4" fontId="32" fillId="33" borderId="145">
      <alignment horizontal="right" vertical="center"/>
    </xf>
    <xf numFmtId="4" fontId="32" fillId="33" borderId="143">
      <alignment horizontal="right" vertical="center"/>
    </xf>
    <xf numFmtId="4" fontId="32" fillId="33" borderId="143">
      <alignment horizontal="right" vertical="center"/>
    </xf>
    <xf numFmtId="0" fontId="65" fillId="0" borderId="141" applyNumberFormat="0" applyFill="0" applyAlignment="0" applyProtection="0"/>
    <xf numFmtId="0" fontId="46" fillId="55" borderId="140" applyNumberFormat="0" applyAlignment="0" applyProtection="0"/>
    <xf numFmtId="0" fontId="49" fillId="42" borderId="140" applyNumberFormat="0" applyAlignment="0" applyProtection="0"/>
    <xf numFmtId="0" fontId="65" fillId="0" borderId="149" applyNumberFormat="0" applyFill="0" applyAlignment="0" applyProtection="0"/>
    <xf numFmtId="0" fontId="29" fillId="12" borderId="10" applyNumberFormat="0" applyAlignment="0" applyProtection="0"/>
    <xf numFmtId="49" fontId="33" fillId="0" borderId="143" applyNumberFormat="0" applyFill="0" applyBorder="0" applyProtection="0">
      <alignment horizontal="left" vertical="center"/>
    </xf>
    <xf numFmtId="0" fontId="5" fillId="58" borderId="142" applyNumberFormat="0" applyFont="0" applyAlignment="0" applyProtection="0"/>
    <xf numFmtId="4" fontId="32" fillId="33" borderId="151">
      <alignment horizontal="right" vertical="center"/>
    </xf>
    <xf numFmtId="4" fontId="32" fillId="33" borderId="143">
      <alignment horizontal="right" vertical="center"/>
    </xf>
    <xf numFmtId="0" fontId="26" fillId="22" borderId="0" applyNumberFormat="0" applyBorder="0" applyAlignment="0" applyProtection="0"/>
    <xf numFmtId="0" fontId="26" fillId="16" borderId="0" applyNumberFormat="0" applyBorder="0" applyAlignment="0" applyProtection="0"/>
    <xf numFmtId="49" fontId="34" fillId="0" borderId="152" applyNumberFormat="0" applyFont="0" applyFill="0" applyBorder="0" applyProtection="0">
      <alignment horizontal="left" vertical="center" indent="5"/>
    </xf>
    <xf numFmtId="4" fontId="32" fillId="33" borderId="152">
      <alignment horizontal="right" vertical="center"/>
    </xf>
    <xf numFmtId="0" fontId="26" fillId="17" borderId="0" applyNumberFormat="0" applyBorder="0" applyAlignment="0" applyProtection="0"/>
    <xf numFmtId="49" fontId="34" fillId="0" borderId="143" applyNumberFormat="0" applyFont="0" applyFill="0" applyBorder="0" applyProtection="0">
      <alignment horizontal="left" vertical="center" indent="2"/>
    </xf>
    <xf numFmtId="0" fontId="65" fillId="0" borderId="141" applyNumberFormat="0" applyFill="0" applyAlignment="0" applyProtection="0"/>
    <xf numFmtId="4" fontId="34" fillId="0" borderId="143" applyFill="0" applyBorder="0" applyProtection="0">
      <alignment horizontal="right" vertical="center"/>
    </xf>
    <xf numFmtId="0" fontId="58" fillId="42" borderId="140" applyNumberFormat="0" applyAlignment="0" applyProtection="0"/>
    <xf numFmtId="49" fontId="33" fillId="0" borderId="143" applyNumberFormat="0" applyFill="0" applyBorder="0" applyProtection="0">
      <alignment horizontal="left" vertical="center"/>
    </xf>
    <xf numFmtId="49" fontId="34" fillId="0" borderId="143" applyNumberFormat="0" applyFont="0" applyFill="0" applyBorder="0" applyProtection="0">
      <alignment horizontal="left" vertical="center" indent="2"/>
    </xf>
    <xf numFmtId="4" fontId="34" fillId="0" borderId="143" applyFill="0" applyBorder="0" applyProtection="0">
      <alignment horizontal="right" vertical="center"/>
    </xf>
    <xf numFmtId="4" fontId="32" fillId="33" borderId="153">
      <alignment horizontal="right" vertical="center"/>
    </xf>
    <xf numFmtId="173" fontId="34" fillId="59" borderId="143" applyNumberFormat="0" applyFont="0" applyBorder="0" applyAlignment="0" applyProtection="0">
      <alignment horizontal="right" vertical="center"/>
    </xf>
    <xf numFmtId="0" fontId="5" fillId="58" borderId="150" applyNumberFormat="0" applyFont="0" applyAlignment="0" applyProtection="0"/>
    <xf numFmtId="0" fontId="45" fillId="55" borderId="148" applyNumberFormat="0" applyAlignment="0" applyProtection="0"/>
    <xf numFmtId="0" fontId="34" fillId="0" borderId="154">
      <alignment horizontal="left" vertical="center" wrapText="1" indent="2"/>
    </xf>
    <xf numFmtId="0" fontId="36" fillId="31" borderId="143">
      <alignment horizontal="right" vertical="center"/>
    </xf>
    <xf numFmtId="4" fontId="34" fillId="32" borderId="151"/>
    <xf numFmtId="0" fontId="12" fillId="30" borderId="0" applyNumberFormat="0" applyBorder="0" applyAlignment="0" applyProtection="0"/>
    <xf numFmtId="49" fontId="34" fillId="0" borderId="152" applyNumberFormat="0" applyFont="0" applyFill="0" applyBorder="0" applyProtection="0">
      <alignment horizontal="left" vertical="center" indent="5"/>
    </xf>
    <xf numFmtId="0" fontId="49" fillId="42" borderId="140" applyNumberFormat="0" applyAlignment="0" applyProtection="0"/>
    <xf numFmtId="4" fontId="32" fillId="33" borderId="143">
      <alignment horizontal="right" vertical="center"/>
    </xf>
    <xf numFmtId="0" fontId="34" fillId="31" borderId="144">
      <alignment horizontal="left" vertical="center"/>
    </xf>
    <xf numFmtId="0" fontId="26" fillId="25" borderId="0" applyNumberFormat="0" applyBorder="0" applyAlignment="0" applyProtection="0"/>
    <xf numFmtId="0" fontId="26" fillId="16" borderId="0" applyNumberFormat="0" applyBorder="0" applyAlignment="0" applyProtection="0"/>
    <xf numFmtId="0" fontId="29" fillId="12" borderId="10" applyNumberFormat="0" applyAlignment="0" applyProtection="0"/>
    <xf numFmtId="0" fontId="28" fillId="12" borderId="11" applyNumberFormat="0" applyAlignment="0" applyProtection="0"/>
    <xf numFmtId="0" fontId="12" fillId="15" borderId="0" applyNumberFormat="0" applyBorder="0" applyAlignment="0" applyProtection="0"/>
    <xf numFmtId="0" fontId="32" fillId="31" borderId="151">
      <alignment horizontal="right" vertical="center"/>
    </xf>
    <xf numFmtId="0" fontId="26" fillId="20" borderId="0" applyNumberFormat="0" applyBorder="0" applyAlignment="0" applyProtection="0"/>
    <xf numFmtId="4" fontId="34" fillId="0" borderId="151">
      <alignment horizontal="right" vertical="center"/>
    </xf>
    <xf numFmtId="0" fontId="26" fillId="19" borderId="0" applyNumberFormat="0" applyBorder="0" applyAlignment="0" applyProtection="0"/>
    <xf numFmtId="0" fontId="12" fillId="27" borderId="0" applyNumberFormat="0" applyBorder="0" applyAlignment="0" applyProtection="0"/>
    <xf numFmtId="0" fontId="32" fillId="33" borderId="143">
      <alignment horizontal="right" vertical="center"/>
    </xf>
    <xf numFmtId="0" fontId="34" fillId="33" borderId="146">
      <alignment horizontal="left" vertical="center" wrapText="1" indent="2"/>
    </xf>
    <xf numFmtId="173" fontId="34" fillId="59" borderId="143" applyNumberFormat="0" applyFont="0" applyBorder="0" applyAlignment="0" applyProtection="0">
      <alignment horizontal="right" vertical="center"/>
    </xf>
    <xf numFmtId="0" fontId="40" fillId="58" borderId="142" applyNumberFormat="0" applyFont="0" applyAlignment="0" applyProtection="0"/>
    <xf numFmtId="49" fontId="34" fillId="0" borderId="143" applyNumberFormat="0" applyFont="0" applyFill="0" applyBorder="0" applyProtection="0">
      <alignment horizontal="left" vertical="center" indent="2"/>
    </xf>
    <xf numFmtId="4" fontId="36" fillId="31" borderId="151">
      <alignment horizontal="right" vertical="center"/>
    </xf>
    <xf numFmtId="0" fontId="12" fillId="18" borderId="0" applyNumberFormat="0" applyBorder="0" applyAlignment="0" applyProtection="0"/>
    <xf numFmtId="49" fontId="34" fillId="0" borderId="158" applyNumberFormat="0" applyFont="0" applyFill="0" applyBorder="0" applyProtection="0">
      <alignment horizontal="left" vertical="center" indent="2"/>
    </xf>
    <xf numFmtId="0" fontId="34" fillId="33" borderId="161">
      <alignment horizontal="left" vertical="center" wrapText="1" indent="2"/>
    </xf>
    <xf numFmtId="49" fontId="33" fillId="0" borderId="143" applyNumberFormat="0" applyFill="0" applyBorder="0" applyProtection="0">
      <alignment horizontal="left" vertical="center"/>
    </xf>
    <xf numFmtId="0" fontId="34" fillId="0" borderId="158">
      <alignment horizontal="right" vertical="center"/>
    </xf>
    <xf numFmtId="173" fontId="34" fillId="59" borderId="143" applyNumberFormat="0" applyFont="0" applyBorder="0" applyAlignment="0" applyProtection="0">
      <alignment horizontal="right" vertical="center"/>
    </xf>
    <xf numFmtId="0" fontId="62" fillId="55" borderId="139" applyNumberFormat="0" applyAlignment="0" applyProtection="0"/>
    <xf numFmtId="0" fontId="34" fillId="0" borderId="143">
      <alignment horizontal="right" vertical="center"/>
    </xf>
    <xf numFmtId="0" fontId="43" fillId="55" borderId="147" applyNumberFormat="0" applyAlignment="0" applyProtection="0"/>
    <xf numFmtId="0" fontId="34" fillId="32" borderId="143"/>
    <xf numFmtId="4" fontId="32" fillId="33" borderId="143">
      <alignment horizontal="right" vertical="center"/>
    </xf>
    <xf numFmtId="0" fontId="34" fillId="32" borderId="143"/>
    <xf numFmtId="0" fontId="58" fillId="42" borderId="140" applyNumberFormat="0" applyAlignment="0" applyProtection="0"/>
    <xf numFmtId="49" fontId="33" fillId="0" borderId="151" applyNumberFormat="0" applyFill="0" applyBorder="0" applyProtection="0">
      <alignment horizontal="left" vertical="center"/>
    </xf>
    <xf numFmtId="0" fontId="36" fillId="31" borderId="143">
      <alignment horizontal="right" vertical="center"/>
    </xf>
    <xf numFmtId="0" fontId="34" fillId="0" borderId="146">
      <alignment horizontal="left" vertical="center" wrapText="1" indent="2"/>
    </xf>
    <xf numFmtId="0" fontId="32" fillId="31" borderId="143">
      <alignment horizontal="right" vertical="center"/>
    </xf>
    <xf numFmtId="0" fontId="49" fillId="42" borderId="140" applyNumberFormat="0" applyAlignment="0" applyProtection="0"/>
    <xf numFmtId="0" fontId="34" fillId="33" borderId="146">
      <alignment horizontal="left" vertical="center" wrapText="1" indent="2"/>
    </xf>
    <xf numFmtId="0" fontId="62" fillId="55" borderId="162" applyNumberFormat="0" applyAlignment="0" applyProtection="0"/>
    <xf numFmtId="0" fontId="26" fillId="28" borderId="0" applyNumberFormat="0" applyBorder="0" applyAlignment="0" applyProtection="0"/>
    <xf numFmtId="0" fontId="29" fillId="12" borderId="10" applyNumberFormat="0" applyAlignment="0" applyProtection="0"/>
    <xf numFmtId="0" fontId="26" fillId="13" borderId="0" applyNumberFormat="0" applyBorder="0" applyAlignment="0" applyProtection="0"/>
    <xf numFmtId="0" fontId="30" fillId="0" borderId="0" applyNumberFormat="0" applyFill="0" applyBorder="0" applyAlignment="0" applyProtection="0"/>
    <xf numFmtId="0" fontId="26" fillId="23" borderId="0" applyNumberFormat="0" applyBorder="0" applyAlignment="0" applyProtection="0"/>
    <xf numFmtId="0" fontId="50" fillId="0" borderId="149" applyNumberFormat="0" applyFill="0" applyAlignment="0" applyProtection="0"/>
    <xf numFmtId="4" fontId="34" fillId="0" borderId="151" applyFill="0" applyBorder="0" applyProtection="0">
      <alignment horizontal="right" vertical="center"/>
    </xf>
    <xf numFmtId="0" fontId="34" fillId="0" borderId="151" applyNumberFormat="0" applyFill="0" applyAlignment="0" applyProtection="0"/>
    <xf numFmtId="0" fontId="26" fillId="25" borderId="0" applyNumberFormat="0" applyBorder="0" applyAlignment="0" applyProtection="0"/>
    <xf numFmtId="0" fontId="45" fillId="55" borderId="140" applyNumberFormat="0" applyAlignment="0" applyProtection="0"/>
    <xf numFmtId="0" fontId="36" fillId="31" borderId="143">
      <alignment horizontal="right" vertical="center"/>
    </xf>
    <xf numFmtId="0" fontId="30" fillId="0" borderId="0" applyNumberFormat="0" applyFill="0" applyBorder="0" applyAlignment="0" applyProtection="0"/>
    <xf numFmtId="0" fontId="32" fillId="33" borderId="151">
      <alignment horizontal="right" vertical="center"/>
    </xf>
    <xf numFmtId="49" fontId="33" fillId="0" borderId="158" applyNumberFormat="0" applyFill="0" applyBorder="0" applyProtection="0">
      <alignment horizontal="left" vertical="center"/>
    </xf>
    <xf numFmtId="0" fontId="28" fillId="12" borderId="11" applyNumberFormat="0" applyAlignment="0" applyProtection="0"/>
    <xf numFmtId="0" fontId="26" fillId="19" borderId="0" applyNumberFormat="0" applyBorder="0" applyAlignment="0" applyProtection="0"/>
    <xf numFmtId="0" fontId="45" fillId="55" borderId="155" applyNumberFormat="0" applyAlignment="0" applyProtection="0"/>
    <xf numFmtId="0" fontId="49" fillId="42" borderId="148" applyNumberFormat="0" applyAlignment="0" applyProtection="0"/>
    <xf numFmtId="0" fontId="30" fillId="0" borderId="0" applyNumberFormat="0" applyFill="0" applyBorder="0" applyAlignment="0" applyProtection="0"/>
    <xf numFmtId="0" fontId="32" fillId="33" borderId="158">
      <alignment horizontal="right" vertical="center"/>
    </xf>
    <xf numFmtId="0" fontId="32" fillId="33" borderId="143">
      <alignment horizontal="right" vertical="center"/>
    </xf>
    <xf numFmtId="4" fontId="34" fillId="0" borderId="143" applyFill="0" applyBorder="0" applyProtection="0">
      <alignment horizontal="right" vertical="center"/>
    </xf>
    <xf numFmtId="0" fontId="34" fillId="33" borderId="146">
      <alignment horizontal="left" vertical="center" wrapText="1" indent="2"/>
    </xf>
    <xf numFmtId="0" fontId="40" fillId="58" borderId="142" applyNumberFormat="0" applyFont="0" applyAlignment="0" applyProtection="0"/>
    <xf numFmtId="0" fontId="49" fillId="42" borderId="140" applyNumberFormat="0" applyAlignment="0" applyProtection="0"/>
    <xf numFmtId="4" fontId="34" fillId="32" borderId="143"/>
    <xf numFmtId="4" fontId="34" fillId="0" borderId="143" applyFill="0" applyBorder="0" applyProtection="0">
      <alignment horizontal="right" vertical="center"/>
    </xf>
    <xf numFmtId="0" fontId="65" fillId="0" borderId="141" applyNumberFormat="0" applyFill="0" applyAlignment="0" applyProtection="0"/>
    <xf numFmtId="0" fontId="34" fillId="31" borderId="144">
      <alignment horizontal="left" vertical="center"/>
    </xf>
    <xf numFmtId="0" fontId="34" fillId="0" borderId="146">
      <alignment horizontal="left" vertical="center" wrapText="1" indent="2"/>
    </xf>
    <xf numFmtId="0" fontId="58" fillId="42" borderId="148" applyNumberFormat="0" applyAlignment="0" applyProtection="0"/>
    <xf numFmtId="0" fontId="58" fillId="42" borderId="140" applyNumberFormat="0" applyAlignment="0" applyProtection="0"/>
    <xf numFmtId="0" fontId="26" fillId="14" borderId="0" applyNumberFormat="0" applyBorder="0" applyAlignment="0" applyProtection="0"/>
    <xf numFmtId="0" fontId="34" fillId="33" borderId="146">
      <alignment horizontal="left" vertical="center" wrapText="1" indent="2"/>
    </xf>
    <xf numFmtId="0" fontId="40" fillId="58" borderId="150" applyNumberFormat="0" applyFont="0" applyAlignment="0" applyProtection="0"/>
    <xf numFmtId="0" fontId="26" fillId="14" borderId="0" applyNumberFormat="0" applyBorder="0" applyAlignment="0" applyProtection="0"/>
    <xf numFmtId="4" fontId="36" fillId="31" borderId="158">
      <alignment horizontal="right" vertical="center"/>
    </xf>
    <xf numFmtId="0" fontId="26" fillId="16" borderId="0" applyNumberFormat="0" applyBorder="0" applyAlignment="0" applyProtection="0"/>
    <xf numFmtId="0" fontId="40" fillId="58" borderId="142" applyNumberFormat="0" applyFont="0" applyAlignment="0" applyProtection="0"/>
    <xf numFmtId="0" fontId="58" fillId="42" borderId="140" applyNumberFormat="0" applyAlignment="0" applyProtection="0"/>
    <xf numFmtId="0" fontId="45" fillId="55" borderId="155" applyNumberFormat="0" applyAlignment="0" applyProtection="0"/>
    <xf numFmtId="4" fontId="34" fillId="32" borderId="143"/>
    <xf numFmtId="0" fontId="46" fillId="55" borderId="140" applyNumberFormat="0" applyAlignment="0" applyProtection="0"/>
    <xf numFmtId="0" fontId="58" fillId="42" borderId="140" applyNumberFormat="0" applyAlignment="0" applyProtection="0"/>
    <xf numFmtId="4" fontId="32" fillId="33" borderId="143">
      <alignment horizontal="right" vertical="center"/>
    </xf>
    <xf numFmtId="0" fontId="50" fillId="0" borderId="141" applyNumberFormat="0" applyFill="0" applyAlignment="0" applyProtection="0"/>
    <xf numFmtId="0" fontId="58" fillId="42" borderId="148" applyNumberFormat="0" applyAlignment="0" applyProtection="0"/>
    <xf numFmtId="0" fontId="12" fillId="15" borderId="0" applyNumberFormat="0" applyBorder="0" applyAlignment="0" applyProtection="0"/>
    <xf numFmtId="0" fontId="45" fillId="55" borderId="155" applyNumberFormat="0" applyAlignment="0" applyProtection="0"/>
    <xf numFmtId="0" fontId="34" fillId="0" borderId="161">
      <alignment horizontal="left" vertical="center" wrapText="1" indent="2"/>
    </xf>
    <xf numFmtId="4" fontId="36" fillId="31" borderId="151">
      <alignment horizontal="right" vertical="center"/>
    </xf>
    <xf numFmtId="0" fontId="46" fillId="55" borderId="140" applyNumberFormat="0" applyAlignment="0" applyProtection="0"/>
    <xf numFmtId="0" fontId="26" fillId="16" borderId="0" applyNumberFormat="0" applyBorder="0" applyAlignment="0" applyProtection="0"/>
    <xf numFmtId="0" fontId="49" fillId="42" borderId="140" applyNumberFormat="0" applyAlignment="0" applyProtection="0"/>
    <xf numFmtId="0" fontId="26" fillId="13" borderId="0" applyNumberFormat="0" applyBorder="0" applyAlignment="0" applyProtection="0"/>
    <xf numFmtId="0" fontId="26" fillId="16" borderId="0" applyNumberFormat="0" applyBorder="0" applyAlignment="0" applyProtection="0"/>
    <xf numFmtId="0" fontId="50" fillId="0" borderId="149" applyNumberFormat="0" applyFill="0" applyAlignment="0" applyProtection="0"/>
    <xf numFmtId="0" fontId="32" fillId="31" borderId="151">
      <alignment horizontal="right" vertical="center"/>
    </xf>
    <xf numFmtId="0" fontId="34" fillId="33" borderId="146">
      <alignment horizontal="left" vertical="center" wrapText="1" indent="2"/>
    </xf>
    <xf numFmtId="0" fontId="34" fillId="0" borderId="158" applyNumberFormat="0" applyFill="0" applyAlignment="0" applyProtection="0"/>
    <xf numFmtId="0" fontId="62" fillId="55" borderId="139" applyNumberFormat="0" applyAlignment="0" applyProtection="0"/>
    <xf numFmtId="0" fontId="58" fillId="42" borderId="140" applyNumberFormat="0" applyAlignment="0" applyProtection="0"/>
    <xf numFmtId="4" fontId="32" fillId="33" borderId="143">
      <alignment horizontal="right" vertical="center"/>
    </xf>
    <xf numFmtId="0" fontId="34" fillId="32" borderId="143"/>
    <xf numFmtId="4" fontId="34" fillId="0" borderId="158">
      <alignment horizontal="right" vertical="center"/>
    </xf>
    <xf numFmtId="0" fontId="26" fillId="23" borderId="0" applyNumberFormat="0" applyBorder="0" applyAlignment="0" applyProtection="0"/>
    <xf numFmtId="0" fontId="34" fillId="0" borderId="146">
      <alignment horizontal="left" vertical="center" wrapText="1" indent="2"/>
    </xf>
    <xf numFmtId="0" fontId="12" fillId="21" borderId="0" applyNumberFormat="0" applyBorder="0" applyAlignment="0" applyProtection="0"/>
    <xf numFmtId="4" fontId="34" fillId="32" borderId="151"/>
    <xf numFmtId="0" fontId="12" fillId="24" borderId="0" applyNumberFormat="0" applyBorder="0" applyAlignment="0" applyProtection="0"/>
    <xf numFmtId="0" fontId="45" fillId="55" borderId="148" applyNumberFormat="0" applyAlignment="0" applyProtection="0"/>
    <xf numFmtId="0" fontId="45" fillId="55" borderId="140" applyNumberFormat="0" applyAlignment="0" applyProtection="0"/>
    <xf numFmtId="4" fontId="32" fillId="31" borderId="143">
      <alignment horizontal="right" vertical="center"/>
    </xf>
    <xf numFmtId="0" fontId="26" fillId="17" borderId="0" applyNumberFormat="0" applyBorder="0" applyAlignment="0" applyProtection="0"/>
    <xf numFmtId="0" fontId="32" fillId="31" borderId="143">
      <alignment horizontal="right" vertical="center"/>
    </xf>
    <xf numFmtId="0" fontId="32" fillId="33" borderId="143">
      <alignment horizontal="right" vertical="center"/>
    </xf>
    <xf numFmtId="0" fontId="65" fillId="0" borderId="149" applyNumberFormat="0" applyFill="0" applyAlignment="0" applyProtection="0"/>
    <xf numFmtId="0" fontId="58" fillId="42" borderId="148" applyNumberFormat="0" applyAlignment="0" applyProtection="0"/>
    <xf numFmtId="0" fontId="26" fillId="29" borderId="0" applyNumberFormat="0" applyBorder="0" applyAlignment="0" applyProtection="0"/>
    <xf numFmtId="0" fontId="26" fillId="28" borderId="0" applyNumberFormat="0" applyBorder="0" applyAlignment="0" applyProtection="0"/>
    <xf numFmtId="0" fontId="62" fillId="55" borderId="139" applyNumberFormat="0" applyAlignment="0" applyProtection="0"/>
    <xf numFmtId="4" fontId="34" fillId="0" borderId="151">
      <alignment horizontal="right" vertical="center"/>
    </xf>
    <xf numFmtId="49" fontId="34" fillId="0" borderId="143" applyNumberFormat="0" applyFont="0" applyFill="0" applyBorder="0" applyProtection="0">
      <alignment horizontal="left" vertical="center" indent="2"/>
    </xf>
    <xf numFmtId="0" fontId="32" fillId="33" borderId="160">
      <alignment horizontal="right" vertical="center"/>
    </xf>
    <xf numFmtId="0" fontId="40" fillId="58" borderId="142" applyNumberFormat="0" applyFont="0" applyAlignment="0" applyProtection="0"/>
    <xf numFmtId="173" fontId="34" fillId="59" borderId="143" applyNumberFormat="0" applyFont="0" applyBorder="0" applyAlignment="0" applyProtection="0">
      <alignment horizontal="right" vertical="center"/>
    </xf>
    <xf numFmtId="0" fontId="58" fillId="42" borderId="140" applyNumberFormat="0" applyAlignment="0" applyProtection="0"/>
    <xf numFmtId="0" fontId="32" fillId="33" borderId="143">
      <alignment horizontal="right" vertical="center"/>
    </xf>
    <xf numFmtId="0" fontId="34" fillId="32" borderId="143"/>
    <xf numFmtId="0" fontId="62" fillId="55" borderId="139" applyNumberFormat="0" applyAlignment="0" applyProtection="0"/>
    <xf numFmtId="0" fontId="46" fillId="55" borderId="140" applyNumberFormat="0" applyAlignment="0" applyProtection="0"/>
    <xf numFmtId="0" fontId="45" fillId="55" borderId="140" applyNumberFormat="0" applyAlignment="0" applyProtection="0"/>
    <xf numFmtId="0" fontId="49" fillId="42" borderId="140" applyNumberFormat="0" applyAlignment="0" applyProtection="0"/>
    <xf numFmtId="0" fontId="49" fillId="42" borderId="140" applyNumberFormat="0" applyAlignment="0" applyProtection="0"/>
    <xf numFmtId="0" fontId="34" fillId="0" borderId="146">
      <alignment horizontal="left" vertical="center" wrapText="1" indent="2"/>
    </xf>
    <xf numFmtId="4" fontId="32" fillId="33" borderId="144">
      <alignment horizontal="right" vertical="center"/>
    </xf>
    <xf numFmtId="4" fontId="34" fillId="0" borderId="143">
      <alignment horizontal="right" vertical="center"/>
    </xf>
    <xf numFmtId="49" fontId="33" fillId="0" borderId="143" applyNumberFormat="0" applyFill="0" applyBorder="0" applyProtection="0">
      <alignment horizontal="left" vertical="center"/>
    </xf>
    <xf numFmtId="4" fontId="34" fillId="0" borderId="143">
      <alignment horizontal="right" vertical="center"/>
    </xf>
    <xf numFmtId="0" fontId="62" fillId="55" borderId="139" applyNumberFormat="0" applyAlignment="0" applyProtection="0"/>
    <xf numFmtId="0" fontId="36" fillId="31" borderId="151">
      <alignment horizontal="right" vertical="center"/>
    </xf>
    <xf numFmtId="0" fontId="26" fillId="13" borderId="0" applyNumberFormat="0" applyBorder="0" applyAlignment="0" applyProtection="0"/>
    <xf numFmtId="0" fontId="34" fillId="0" borderId="161">
      <alignment horizontal="left" vertical="center" wrapText="1" indent="2"/>
    </xf>
    <xf numFmtId="0" fontId="26" fillId="19" borderId="0" applyNumberFormat="0" applyBorder="0" applyAlignment="0" applyProtection="0"/>
    <xf numFmtId="0" fontId="1" fillId="0" borderId="0" applyNumberFormat="0" applyFill="0" applyBorder="0" applyAlignment="0" applyProtection="0"/>
    <xf numFmtId="0" fontId="34" fillId="0" borderId="146">
      <alignment horizontal="left" vertical="center" wrapText="1" indent="2"/>
    </xf>
    <xf numFmtId="0" fontId="12" fillId="21" borderId="0" applyNumberFormat="0" applyBorder="0" applyAlignment="0" applyProtection="0"/>
    <xf numFmtId="0" fontId="26" fillId="20" borderId="0" applyNumberFormat="0" applyBorder="0" applyAlignment="0" applyProtection="0"/>
    <xf numFmtId="0" fontId="46" fillId="55" borderId="155" applyNumberFormat="0" applyAlignment="0" applyProtection="0"/>
    <xf numFmtId="0" fontId="12" fillId="30" borderId="0" applyNumberFormat="0" applyBorder="0" applyAlignment="0" applyProtection="0"/>
    <xf numFmtId="0" fontId="34" fillId="31" borderId="152">
      <alignment horizontal="left" vertical="center"/>
    </xf>
    <xf numFmtId="0" fontId="32" fillId="33" borderId="151">
      <alignment horizontal="right" vertical="center"/>
    </xf>
    <xf numFmtId="0" fontId="12" fillId="21" borderId="0" applyNumberFormat="0" applyBorder="0" applyAlignment="0" applyProtection="0"/>
    <xf numFmtId="0" fontId="32" fillId="33" borderId="151">
      <alignment horizontal="right" vertical="center"/>
    </xf>
    <xf numFmtId="0" fontId="12" fillId="27" borderId="0" applyNumberFormat="0" applyBorder="0" applyAlignment="0" applyProtection="0"/>
    <xf numFmtId="0" fontId="40" fillId="58" borderId="142" applyNumberFormat="0" applyFont="0" applyAlignment="0" applyProtection="0"/>
    <xf numFmtId="0" fontId="34" fillId="32" borderId="158"/>
    <xf numFmtId="0" fontId="32" fillId="31" borderId="143">
      <alignment horizontal="right" vertical="center"/>
    </xf>
    <xf numFmtId="0" fontId="12" fillId="18" borderId="0" applyNumberFormat="0" applyBorder="0" applyAlignment="0" applyProtection="0"/>
    <xf numFmtId="0" fontId="49" fillId="42" borderId="148" applyNumberFormat="0" applyAlignment="0" applyProtection="0"/>
    <xf numFmtId="0" fontId="34" fillId="0" borderId="143" applyNumberFormat="0" applyFill="0" applyAlignment="0" applyProtection="0"/>
    <xf numFmtId="49" fontId="33" fillId="0" borderId="143" applyNumberFormat="0" applyFill="0" applyBorder="0" applyProtection="0">
      <alignment horizontal="left" vertical="center"/>
    </xf>
    <xf numFmtId="0" fontId="34" fillId="0" borderId="143">
      <alignment horizontal="right" vertical="center"/>
    </xf>
    <xf numFmtId="0" fontId="26" fillId="28" borderId="0" applyNumberFormat="0" applyBorder="0" applyAlignment="0" applyProtection="0"/>
    <xf numFmtId="0" fontId="34" fillId="31" borderId="152">
      <alignment horizontal="left" vertical="center"/>
    </xf>
    <xf numFmtId="0" fontId="46" fillId="55" borderId="148" applyNumberFormat="0" applyAlignment="0" applyProtection="0"/>
    <xf numFmtId="4" fontId="32" fillId="31" borderId="143">
      <alignment horizontal="right" vertical="center"/>
    </xf>
    <xf numFmtId="0" fontId="26" fillId="20" borderId="0" applyNumberFormat="0" applyBorder="0" applyAlignment="0" applyProtection="0"/>
    <xf numFmtId="0" fontId="46" fillId="55" borderId="140" applyNumberFormat="0" applyAlignment="0" applyProtection="0"/>
    <xf numFmtId="0" fontId="32" fillId="33" borderId="145">
      <alignment horizontal="right" vertical="center"/>
    </xf>
    <xf numFmtId="4" fontId="32" fillId="31" borderId="143">
      <alignment horizontal="right" vertical="center"/>
    </xf>
    <xf numFmtId="0" fontId="32" fillId="33" borderId="143">
      <alignment horizontal="right" vertical="center"/>
    </xf>
    <xf numFmtId="0" fontId="46" fillId="55" borderId="140" applyNumberFormat="0" applyAlignment="0" applyProtection="0"/>
    <xf numFmtId="4" fontId="32" fillId="31" borderId="158">
      <alignment horizontal="right" vertical="center"/>
    </xf>
    <xf numFmtId="0" fontId="28" fillId="12" borderId="11" applyNumberFormat="0" applyAlignment="0" applyProtection="0"/>
    <xf numFmtId="4" fontId="34" fillId="0" borderId="143" applyFill="0" applyBorder="0" applyProtection="0">
      <alignment horizontal="right" vertical="center"/>
    </xf>
    <xf numFmtId="0" fontId="40" fillId="58" borderId="142" applyNumberFormat="0" applyFont="0" applyAlignment="0" applyProtection="0"/>
    <xf numFmtId="0" fontId="62" fillId="55" borderId="162" applyNumberFormat="0" applyAlignment="0" applyProtection="0"/>
    <xf numFmtId="0" fontId="2" fillId="0" borderId="12" applyNumberFormat="0" applyFill="0" applyAlignment="0" applyProtection="0"/>
    <xf numFmtId="0" fontId="32" fillId="33" borderId="151">
      <alignment horizontal="right" vertical="center"/>
    </xf>
    <xf numFmtId="0" fontId="12" fillId="18" borderId="0" applyNumberFormat="0" applyBorder="0" applyAlignment="0" applyProtection="0"/>
    <xf numFmtId="0" fontId="40" fillId="58" borderId="150" applyNumberFormat="0" applyFont="0" applyAlignment="0" applyProtection="0"/>
    <xf numFmtId="0" fontId="58" fillId="42" borderId="148" applyNumberFormat="0" applyAlignment="0" applyProtection="0"/>
    <xf numFmtId="0" fontId="43" fillId="55" borderId="162" applyNumberFormat="0" applyAlignment="0" applyProtection="0"/>
    <xf numFmtId="0" fontId="32" fillId="31" borderId="143">
      <alignment horizontal="right" vertical="center"/>
    </xf>
    <xf numFmtId="0" fontId="50" fillId="0" borderId="141" applyNumberFormat="0" applyFill="0" applyAlignment="0" applyProtection="0"/>
    <xf numFmtId="0" fontId="34" fillId="0" borderId="143" applyNumberFormat="0" applyFill="0" applyAlignment="0" applyProtection="0"/>
    <xf numFmtId="0" fontId="50" fillId="0" borderId="141" applyNumberFormat="0" applyFill="0" applyAlignment="0" applyProtection="0"/>
    <xf numFmtId="4" fontId="34" fillId="0" borderId="143" applyFill="0" applyBorder="0" applyProtection="0">
      <alignment horizontal="right" vertical="center"/>
    </xf>
    <xf numFmtId="49" fontId="34" fillId="0" borderId="144" applyNumberFormat="0" applyFont="0" applyFill="0" applyBorder="0" applyProtection="0">
      <alignment horizontal="left" vertical="center" indent="5"/>
    </xf>
    <xf numFmtId="0" fontId="34" fillId="0" borderId="143" applyNumberFormat="0" applyFill="0" applyAlignment="0" applyProtection="0"/>
    <xf numFmtId="49" fontId="34" fillId="0" borderId="151" applyNumberFormat="0" applyFont="0" applyFill="0" applyBorder="0" applyProtection="0">
      <alignment horizontal="left" vertical="center" indent="2"/>
    </xf>
    <xf numFmtId="0" fontId="34" fillId="0" borderId="143" applyNumberFormat="0" applyFill="0" applyAlignment="0" applyProtection="0"/>
    <xf numFmtId="0" fontId="58" fillId="42" borderId="148" applyNumberFormat="0" applyAlignment="0" applyProtection="0"/>
    <xf numFmtId="4" fontId="32" fillId="33" borderId="143">
      <alignment horizontal="right" vertical="center"/>
    </xf>
    <xf numFmtId="4" fontId="32" fillId="33" borderId="153">
      <alignment horizontal="right" vertical="center"/>
    </xf>
    <xf numFmtId="0" fontId="30" fillId="0" borderId="0" applyNumberFormat="0" applyFill="0" applyBorder="0" applyAlignment="0" applyProtection="0"/>
    <xf numFmtId="0" fontId="12" fillId="18" borderId="0" applyNumberFormat="0" applyBorder="0" applyAlignment="0" applyProtection="0"/>
    <xf numFmtId="0" fontId="26" fillId="25" borderId="0" applyNumberFormat="0" applyBorder="0" applyAlignment="0" applyProtection="0"/>
    <xf numFmtId="0" fontId="49" fillId="42" borderId="140" applyNumberFormat="0" applyAlignment="0" applyProtection="0"/>
    <xf numFmtId="0" fontId="46" fillId="55" borderId="140" applyNumberFormat="0" applyAlignment="0" applyProtection="0"/>
    <xf numFmtId="4" fontId="34" fillId="0" borderId="143">
      <alignment horizontal="right" vertical="center"/>
    </xf>
    <xf numFmtId="0" fontId="34" fillId="33" borderId="146">
      <alignment horizontal="left" vertical="center" wrapText="1" indent="2"/>
    </xf>
    <xf numFmtId="0" fontId="34" fillId="0" borderId="146">
      <alignment horizontal="left" vertical="center" wrapText="1" indent="2"/>
    </xf>
    <xf numFmtId="0" fontId="62" fillId="55" borderId="139" applyNumberFormat="0" applyAlignment="0" applyProtection="0"/>
    <xf numFmtId="0" fontId="58" fillId="42" borderId="140" applyNumberFormat="0" applyAlignment="0" applyProtection="0"/>
    <xf numFmtId="0" fontId="45" fillId="55" borderId="140" applyNumberFormat="0" applyAlignment="0" applyProtection="0"/>
    <xf numFmtId="0" fontId="43" fillId="55" borderId="139" applyNumberFormat="0" applyAlignment="0" applyProtection="0"/>
    <xf numFmtId="0" fontId="32" fillId="33" borderId="145">
      <alignment horizontal="right" vertical="center"/>
    </xf>
    <xf numFmtId="0" fontId="36" fillId="31" borderId="143">
      <alignment horizontal="right" vertical="center"/>
    </xf>
    <xf numFmtId="4" fontId="32" fillId="31" borderId="143">
      <alignment horizontal="right" vertical="center"/>
    </xf>
    <xf numFmtId="4" fontId="32" fillId="33" borderId="143">
      <alignment horizontal="right" vertical="center"/>
    </xf>
    <xf numFmtId="49" fontId="34" fillId="0" borderId="144" applyNumberFormat="0" applyFont="0" applyFill="0" applyBorder="0" applyProtection="0">
      <alignment horizontal="left" vertical="center" indent="5"/>
    </xf>
    <xf numFmtId="4" fontId="34" fillId="0" borderId="143" applyFill="0" applyBorder="0" applyProtection="0">
      <alignment horizontal="right" vertical="center"/>
    </xf>
    <xf numFmtId="4" fontId="32" fillId="31" borderId="143">
      <alignment horizontal="right" vertical="center"/>
    </xf>
    <xf numFmtId="0" fontId="58" fillId="42" borderId="140" applyNumberFormat="0" applyAlignment="0" applyProtection="0"/>
    <xf numFmtId="0" fontId="49" fillId="42" borderId="140" applyNumberFormat="0" applyAlignment="0" applyProtection="0"/>
    <xf numFmtId="0" fontId="45" fillId="55" borderId="140" applyNumberFormat="0" applyAlignment="0" applyProtection="0"/>
    <xf numFmtId="0" fontId="34" fillId="33" borderId="146">
      <alignment horizontal="left" vertical="center" wrapText="1" indent="2"/>
    </xf>
    <xf numFmtId="0" fontId="34" fillId="0" borderId="146">
      <alignment horizontal="left" vertical="center" wrapText="1" indent="2"/>
    </xf>
    <xf numFmtId="0" fontId="34" fillId="33" borderId="146">
      <alignment horizontal="left" vertical="center" wrapText="1" indent="2"/>
    </xf>
    <xf numFmtId="0" fontId="34" fillId="0" borderId="146">
      <alignment horizontal="left" vertical="center" wrapText="1" indent="2"/>
    </xf>
    <xf numFmtId="0" fontId="29" fillId="12" borderId="10" applyNumberFormat="0" applyAlignment="0" applyProtection="0"/>
    <xf numFmtId="0" fontId="12" fillId="27" borderId="0" applyNumberFormat="0" applyBorder="0" applyAlignment="0" applyProtection="0"/>
    <xf numFmtId="0" fontId="30" fillId="0" borderId="0" applyNumberFormat="0" applyFill="0" applyBorder="0" applyAlignment="0" applyProtection="0"/>
    <xf numFmtId="0" fontId="34" fillId="0" borderId="151" applyNumberFormat="0" applyFill="0" applyAlignment="0" applyProtection="0"/>
    <xf numFmtId="0" fontId="26" fillId="25" borderId="0" applyNumberFormat="0" applyBorder="0" applyAlignment="0" applyProtection="0"/>
    <xf numFmtId="0" fontId="34" fillId="0" borderId="154">
      <alignment horizontal="left" vertical="center" wrapText="1" indent="2"/>
    </xf>
    <xf numFmtId="0" fontId="43" fillId="55" borderId="147" applyNumberFormat="0" applyAlignment="0" applyProtection="0"/>
    <xf numFmtId="0" fontId="46" fillId="55" borderId="148" applyNumberFormat="0" applyAlignment="0" applyProtection="0"/>
    <xf numFmtId="0" fontId="58" fillId="42" borderId="155" applyNumberFormat="0" applyAlignment="0" applyProtection="0"/>
    <xf numFmtId="0" fontId="34" fillId="33" borderId="154">
      <alignment horizontal="left" vertical="center" wrapText="1" indent="2"/>
    </xf>
    <xf numFmtId="0" fontId="26" fillId="25" borderId="0" applyNumberFormat="0" applyBorder="0" applyAlignment="0" applyProtection="0"/>
    <xf numFmtId="4" fontId="32" fillId="31" borderId="151">
      <alignment horizontal="right" vertical="center"/>
    </xf>
    <xf numFmtId="0" fontId="26" fillId="13" borderId="0" applyNumberFormat="0" applyBorder="0" applyAlignment="0" applyProtection="0"/>
    <xf numFmtId="0" fontId="12" fillId="30" borderId="0" applyNumberFormat="0" applyBorder="0" applyAlignment="0" applyProtection="0"/>
    <xf numFmtId="0" fontId="2" fillId="0" borderId="12" applyNumberFormat="0" applyFill="0" applyAlignment="0" applyProtection="0"/>
    <xf numFmtId="0" fontId="32" fillId="33" borderId="151">
      <alignment horizontal="right" vertical="center"/>
    </xf>
    <xf numFmtId="0" fontId="12" fillId="24" borderId="0" applyNumberFormat="0" applyBorder="0" applyAlignment="0" applyProtection="0"/>
    <xf numFmtId="0" fontId="26" fillId="19" borderId="0" applyNumberFormat="0" applyBorder="0" applyAlignment="0" applyProtection="0"/>
    <xf numFmtId="49" fontId="33" fillId="0" borderId="151" applyNumberFormat="0" applyFill="0" applyBorder="0" applyProtection="0">
      <alignment horizontal="left" vertical="center"/>
    </xf>
    <xf numFmtId="0" fontId="62" fillId="55" borderId="147" applyNumberFormat="0" applyAlignment="0" applyProtection="0"/>
    <xf numFmtId="0" fontId="36" fillId="31" borderId="158">
      <alignment horizontal="right" vertical="center"/>
    </xf>
    <xf numFmtId="0" fontId="12" fillId="21" borderId="0" applyNumberFormat="0" applyBorder="0" applyAlignment="0" applyProtection="0"/>
    <xf numFmtId="0" fontId="49" fillId="42" borderId="148" applyNumberFormat="0" applyAlignment="0" applyProtection="0"/>
    <xf numFmtId="0" fontId="26" fillId="23" borderId="0" applyNumberFormat="0" applyBorder="0" applyAlignment="0" applyProtection="0"/>
    <xf numFmtId="0" fontId="26" fillId="13" borderId="0" applyNumberFormat="0" applyBorder="0" applyAlignment="0" applyProtection="0"/>
    <xf numFmtId="0" fontId="34" fillId="31" borderId="159">
      <alignment horizontal="left" vertical="center"/>
    </xf>
    <xf numFmtId="0" fontId="12" fillId="30" borderId="0" applyNumberFormat="0" applyBorder="0" applyAlignment="0" applyProtection="0"/>
    <xf numFmtId="0" fontId="46" fillId="55" borderId="148" applyNumberFormat="0" applyAlignment="0" applyProtection="0"/>
    <xf numFmtId="0" fontId="65" fillId="0" borderId="149" applyNumberFormat="0" applyFill="0" applyAlignment="0" applyProtection="0"/>
    <xf numFmtId="0" fontId="46" fillId="55" borderId="148" applyNumberFormat="0" applyAlignment="0" applyProtection="0"/>
    <xf numFmtId="0" fontId="34" fillId="0" borderId="151">
      <alignment horizontal="right" vertical="center"/>
    </xf>
    <xf numFmtId="0" fontId="34" fillId="0" borderId="158" applyNumberFormat="0" applyFill="0" applyAlignment="0" applyProtection="0"/>
    <xf numFmtId="0" fontId="26" fillId="17" borderId="0" applyNumberFormat="0" applyBorder="0" applyAlignment="0" applyProtection="0"/>
    <xf numFmtId="4" fontId="32" fillId="33" borderId="151">
      <alignment horizontal="right" vertical="center"/>
    </xf>
    <xf numFmtId="0" fontId="45" fillId="55" borderId="148" applyNumberFormat="0" applyAlignment="0" applyProtection="0"/>
    <xf numFmtId="0" fontId="12" fillId="18" borderId="0" applyNumberFormat="0" applyBorder="0" applyAlignment="0" applyProtection="0"/>
    <xf numFmtId="0" fontId="26" fillId="25" borderId="0" applyNumberFormat="0" applyBorder="0" applyAlignment="0" applyProtection="0"/>
    <xf numFmtId="0" fontId="26" fillId="16" borderId="0" applyNumberFormat="0" applyBorder="0" applyAlignment="0" applyProtection="0"/>
    <xf numFmtId="0" fontId="36" fillId="31" borderId="158">
      <alignment horizontal="right" vertical="center"/>
    </xf>
    <xf numFmtId="0" fontId="43" fillId="55" borderId="147" applyNumberFormat="0" applyAlignment="0" applyProtection="0"/>
    <xf numFmtId="0" fontId="2" fillId="0" borderId="12" applyNumberFormat="0" applyFill="0" applyAlignment="0" applyProtection="0"/>
    <xf numFmtId="4" fontId="32" fillId="31" borderId="151">
      <alignment horizontal="right" vertical="center"/>
    </xf>
    <xf numFmtId="0" fontId="62" fillId="55" borderId="147" applyNumberFormat="0" applyAlignment="0" applyProtection="0"/>
    <xf numFmtId="173" fontId="34" fillId="59" borderId="158" applyNumberFormat="0" applyFont="0" applyBorder="0" applyAlignment="0" applyProtection="0">
      <alignment horizontal="right" vertical="center"/>
    </xf>
    <xf numFmtId="0" fontId="34" fillId="0" borderId="151" applyNumberFormat="0" applyFill="0" applyAlignment="0" applyProtection="0"/>
    <xf numFmtId="0" fontId="26" fillId="16" borderId="0" applyNumberFormat="0" applyBorder="0" applyAlignment="0" applyProtection="0"/>
    <xf numFmtId="0" fontId="2" fillId="0" borderId="12" applyNumberFormat="0" applyFill="0" applyAlignment="0" applyProtection="0"/>
    <xf numFmtId="4" fontId="32" fillId="31" borderId="151">
      <alignment horizontal="right" vertical="center"/>
    </xf>
    <xf numFmtId="49" fontId="34" fillId="0" borderId="158" applyNumberFormat="0" applyFont="0" applyFill="0" applyBorder="0" applyProtection="0">
      <alignment horizontal="left" vertical="center" indent="2"/>
    </xf>
    <xf numFmtId="0" fontId="26" fillId="20" borderId="0" applyNumberFormat="0" applyBorder="0" applyAlignment="0" applyProtection="0"/>
    <xf numFmtId="0" fontId="26" fillId="29" borderId="0" applyNumberFormat="0" applyBorder="0" applyAlignment="0" applyProtection="0"/>
    <xf numFmtId="0" fontId="1" fillId="0" borderId="0" applyNumberFormat="0" applyFill="0" applyBorder="0" applyAlignment="0" applyProtection="0"/>
    <xf numFmtId="0" fontId="2" fillId="0" borderId="12" applyNumberFormat="0" applyFill="0" applyAlignment="0" applyProtection="0"/>
    <xf numFmtId="0" fontId="26" fillId="25" borderId="0" applyNumberFormat="0" applyBorder="0" applyAlignment="0" applyProtection="0"/>
    <xf numFmtId="0" fontId="28" fillId="12" borderId="11" applyNumberFormat="0" applyAlignment="0" applyProtection="0"/>
    <xf numFmtId="0" fontId="32" fillId="31" borderId="151">
      <alignment horizontal="right" vertical="center"/>
    </xf>
    <xf numFmtId="0" fontId="12" fillId="24" borderId="0" applyNumberFormat="0" applyBorder="0" applyAlignment="0" applyProtection="0"/>
    <xf numFmtId="0" fontId="26" fillId="26" borderId="0" applyNumberFormat="0" applyBorder="0" applyAlignment="0" applyProtection="0"/>
    <xf numFmtId="4" fontId="34" fillId="0" borderId="151">
      <alignment horizontal="right" vertical="center"/>
    </xf>
    <xf numFmtId="0" fontId="43" fillId="55" borderId="162" applyNumberFormat="0" applyAlignment="0" applyProtection="0"/>
    <xf numFmtId="0" fontId="26" fillId="26" borderId="0" applyNumberFormat="0" applyBorder="0" applyAlignment="0" applyProtection="0"/>
    <xf numFmtId="4" fontId="34" fillId="0" borderId="158">
      <alignment horizontal="right" vertical="center"/>
    </xf>
    <xf numFmtId="0" fontId="26" fillId="25" borderId="0" applyNumberFormat="0" applyBorder="0" applyAlignment="0" applyProtection="0"/>
    <xf numFmtId="0" fontId="34" fillId="0" borderId="161">
      <alignment horizontal="left" vertical="center" wrapText="1" indent="2"/>
    </xf>
    <xf numFmtId="0" fontId="26" fillId="19" borderId="0" applyNumberFormat="0" applyBorder="0" applyAlignment="0" applyProtection="0"/>
    <xf numFmtId="0" fontId="26" fillId="13" borderId="0" applyNumberFormat="0" applyBorder="0" applyAlignment="0" applyProtection="0"/>
    <xf numFmtId="0" fontId="65" fillId="0" borderId="149" applyNumberFormat="0" applyFill="0" applyAlignment="0" applyProtection="0"/>
    <xf numFmtId="0" fontId="46" fillId="55" borderId="148" applyNumberFormat="0" applyAlignment="0" applyProtection="0"/>
    <xf numFmtId="0" fontId="34" fillId="0" borderId="151">
      <alignment horizontal="right" vertical="center"/>
    </xf>
    <xf numFmtId="0" fontId="34" fillId="32" borderId="151"/>
    <xf numFmtId="0" fontId="34" fillId="31" borderId="159">
      <alignment horizontal="left" vertical="center"/>
    </xf>
    <xf numFmtId="0" fontId="12" fillId="21" borderId="0" applyNumberFormat="0" applyBorder="0" applyAlignment="0" applyProtection="0"/>
    <xf numFmtId="0" fontId="32" fillId="33" borderId="158">
      <alignment horizontal="right" vertical="center"/>
    </xf>
    <xf numFmtId="0" fontId="28" fillId="12" borderId="11" applyNumberFormat="0" applyAlignment="0" applyProtection="0"/>
    <xf numFmtId="0" fontId="34" fillId="0" borderId="151">
      <alignment horizontal="right" vertical="center"/>
    </xf>
    <xf numFmtId="0" fontId="2" fillId="0" borderId="12" applyNumberFormat="0" applyFill="0" applyAlignment="0" applyProtection="0"/>
    <xf numFmtId="0" fontId="28" fillId="12" borderId="11" applyNumberFormat="0" applyAlignment="0" applyProtection="0"/>
    <xf numFmtId="49" fontId="34" fillId="0" borderId="152" applyNumberFormat="0" applyFont="0" applyFill="0" applyBorder="0" applyProtection="0">
      <alignment horizontal="left" vertical="center" indent="5"/>
    </xf>
    <xf numFmtId="0" fontId="32" fillId="33" borderId="151">
      <alignment horizontal="right" vertical="center"/>
    </xf>
    <xf numFmtId="0" fontId="34" fillId="0" borderId="151">
      <alignment horizontal="right" vertical="center"/>
    </xf>
    <xf numFmtId="0" fontId="30" fillId="0" borderId="0" applyNumberFormat="0" applyFill="0" applyBorder="0" applyAlignment="0" applyProtection="0"/>
    <xf numFmtId="0" fontId="12" fillId="30" borderId="0" applyNumberFormat="0" applyBorder="0" applyAlignment="0" applyProtection="0"/>
    <xf numFmtId="0" fontId="32" fillId="33" borderId="143">
      <alignment horizontal="right" vertical="center"/>
    </xf>
    <xf numFmtId="0" fontId="62" fillId="55" borderId="147" applyNumberFormat="0" applyAlignment="0" applyProtection="0"/>
    <xf numFmtId="4" fontId="34" fillId="0" borderId="151">
      <alignment horizontal="right" vertical="center"/>
    </xf>
    <xf numFmtId="0" fontId="34" fillId="0" borderId="151">
      <alignment horizontal="right" vertical="center"/>
    </xf>
    <xf numFmtId="0" fontId="26" fillId="23" borderId="0" applyNumberFormat="0" applyBorder="0" applyAlignment="0" applyProtection="0"/>
    <xf numFmtId="0" fontId="26" fillId="17" borderId="0" applyNumberFormat="0" applyBorder="0" applyAlignment="0" applyProtection="0"/>
    <xf numFmtId="4" fontId="32" fillId="31" borderId="158">
      <alignment horizontal="right" vertical="center"/>
    </xf>
    <xf numFmtId="0" fontId="26" fillId="22" borderId="0" applyNumberFormat="0" applyBorder="0" applyAlignment="0" applyProtection="0"/>
    <xf numFmtId="0" fontId="28" fillId="12" borderId="11" applyNumberFormat="0" applyAlignment="0" applyProtection="0"/>
    <xf numFmtId="4" fontId="32" fillId="33" borderId="151">
      <alignment horizontal="right" vertical="center"/>
    </xf>
    <xf numFmtId="0" fontId="62" fillId="55" borderId="147" applyNumberFormat="0" applyAlignment="0" applyProtection="0"/>
    <xf numFmtId="4" fontId="36" fillId="31" borderId="151">
      <alignment horizontal="right" vertical="center"/>
    </xf>
    <xf numFmtId="4" fontId="36" fillId="31" borderId="151">
      <alignment horizontal="right" vertical="center"/>
    </xf>
    <xf numFmtId="0" fontId="26" fillId="29" borderId="0" applyNumberFormat="0" applyBorder="0" applyAlignment="0" applyProtection="0"/>
    <xf numFmtId="0" fontId="46" fillId="55" borderId="148" applyNumberFormat="0" applyAlignment="0" applyProtection="0"/>
    <xf numFmtId="0" fontId="30" fillId="0" borderId="0" applyNumberFormat="0" applyFill="0" applyBorder="0" applyAlignment="0" applyProtection="0"/>
    <xf numFmtId="49" fontId="34" fillId="0" borderId="151" applyNumberFormat="0" applyFont="0" applyFill="0" applyBorder="0" applyProtection="0">
      <alignment horizontal="left" vertical="center" indent="2"/>
    </xf>
    <xf numFmtId="0" fontId="28" fillId="12" borderId="11" applyNumberFormat="0" applyAlignment="0" applyProtection="0"/>
    <xf numFmtId="0" fontId="12" fillId="30" borderId="0" applyNumberFormat="0" applyBorder="0" applyAlignment="0" applyProtection="0"/>
    <xf numFmtId="0" fontId="1" fillId="0" borderId="0" applyNumberFormat="0" applyFill="0" applyBorder="0" applyAlignment="0" applyProtection="0"/>
    <xf numFmtId="4" fontId="32" fillId="33" borderId="153">
      <alignment horizontal="right" vertical="center"/>
    </xf>
    <xf numFmtId="0" fontId="26" fillId="23" borderId="0" applyNumberFormat="0" applyBorder="0" applyAlignment="0" applyProtection="0"/>
    <xf numFmtId="0" fontId="40" fillId="58" borderId="150" applyNumberFormat="0" applyFont="0" applyAlignment="0" applyProtection="0"/>
    <xf numFmtId="0" fontId="40" fillId="58" borderId="150" applyNumberFormat="0" applyFont="0" applyAlignment="0" applyProtection="0"/>
    <xf numFmtId="0" fontId="1" fillId="0" borderId="0" applyNumberFormat="0" applyFill="0" applyBorder="0" applyAlignment="0" applyProtection="0"/>
    <xf numFmtId="0" fontId="29" fillId="12" borderId="10" applyNumberFormat="0" applyAlignment="0" applyProtection="0"/>
    <xf numFmtId="173" fontId="34" fillId="59" borderId="151" applyNumberFormat="0" applyFont="0" applyBorder="0" applyAlignment="0" applyProtection="0">
      <alignment horizontal="right" vertical="center"/>
    </xf>
    <xf numFmtId="0" fontId="40" fillId="58" borderId="150" applyNumberFormat="0" applyFont="0" applyAlignment="0" applyProtection="0"/>
    <xf numFmtId="0" fontId="58" fillId="42" borderId="155" applyNumberFormat="0" applyAlignment="0" applyProtection="0"/>
    <xf numFmtId="0" fontId="28" fillId="12" borderId="11" applyNumberFormat="0" applyAlignment="0" applyProtection="0"/>
    <xf numFmtId="0" fontId="49" fillId="42" borderId="155" applyNumberFormat="0" applyAlignment="0" applyProtection="0"/>
    <xf numFmtId="0" fontId="26" fillId="20" borderId="0" applyNumberFormat="0" applyBorder="0" applyAlignment="0" applyProtection="0"/>
    <xf numFmtId="0" fontId="26" fillId="20" borderId="0" applyNumberFormat="0" applyBorder="0" applyAlignment="0" applyProtection="0"/>
    <xf numFmtId="0" fontId="26" fillId="13" borderId="0" applyNumberFormat="0" applyBorder="0" applyAlignment="0" applyProtection="0"/>
    <xf numFmtId="0" fontId="32" fillId="33" borderId="160">
      <alignment horizontal="right" vertical="center"/>
    </xf>
    <xf numFmtId="0" fontId="34" fillId="33" borderId="154">
      <alignment horizontal="left" vertical="center" wrapText="1" indent="2"/>
    </xf>
    <xf numFmtId="0" fontId="34" fillId="0" borderId="161">
      <alignment horizontal="left" vertical="center" wrapText="1" indent="2"/>
    </xf>
    <xf numFmtId="0" fontId="26" fillId="20" borderId="0" applyNumberFormat="0" applyBorder="0" applyAlignment="0" applyProtection="0"/>
    <xf numFmtId="0" fontId="26" fillId="25" borderId="0" applyNumberFormat="0" applyBorder="0" applyAlignment="0" applyProtection="0"/>
    <xf numFmtId="0" fontId="45" fillId="55" borderId="155" applyNumberFormat="0" applyAlignment="0" applyProtection="0"/>
    <xf numFmtId="0" fontId="26" fillId="25" borderId="0" applyNumberFormat="0" applyBorder="0" applyAlignment="0" applyProtection="0"/>
    <xf numFmtId="0" fontId="62" fillId="55" borderId="147" applyNumberFormat="0" applyAlignment="0" applyProtection="0"/>
    <xf numFmtId="0" fontId="34" fillId="0" borderId="151" applyNumberFormat="0" applyFill="0" applyAlignment="0" applyProtection="0"/>
    <xf numFmtId="4" fontId="32" fillId="33" borderId="153">
      <alignment horizontal="right" vertical="center"/>
    </xf>
    <xf numFmtId="49" fontId="33" fillId="0" borderId="158" applyNumberFormat="0" applyFill="0" applyBorder="0" applyProtection="0">
      <alignment horizontal="left" vertical="center"/>
    </xf>
    <xf numFmtId="0" fontId="32" fillId="33" borderId="153">
      <alignment horizontal="right" vertical="center"/>
    </xf>
    <xf numFmtId="0" fontId="50" fillId="0" borderId="149" applyNumberFormat="0" applyFill="0" applyAlignment="0" applyProtection="0"/>
    <xf numFmtId="49" fontId="33" fillId="0" borderId="158" applyNumberFormat="0" applyFill="0" applyBorder="0" applyProtection="0">
      <alignment horizontal="left" vertical="center"/>
    </xf>
    <xf numFmtId="0" fontId="49" fillId="42" borderId="155" applyNumberFormat="0" applyAlignment="0" applyProtection="0"/>
    <xf numFmtId="0" fontId="26" fillId="20" borderId="0" applyNumberFormat="0" applyBorder="0" applyAlignment="0" applyProtection="0"/>
    <xf numFmtId="0" fontId="32" fillId="33" borderId="151">
      <alignment horizontal="right" vertical="center"/>
    </xf>
    <xf numFmtId="0" fontId="34" fillId="33" borderId="154">
      <alignment horizontal="left" vertical="center" wrapText="1" indent="2"/>
    </xf>
    <xf numFmtId="4" fontId="36" fillId="31" borderId="151">
      <alignment horizontal="right" vertical="center"/>
    </xf>
    <xf numFmtId="0" fontId="26" fillId="14" borderId="0" applyNumberFormat="0" applyBorder="0" applyAlignment="0" applyProtection="0"/>
    <xf numFmtId="0" fontId="12" fillId="18" borderId="0" applyNumberFormat="0" applyBorder="0" applyAlignment="0" applyProtection="0"/>
    <xf numFmtId="0" fontId="1" fillId="0" borderId="0" applyNumberFormat="0" applyFill="0" applyBorder="0" applyAlignment="0" applyProtection="0"/>
    <xf numFmtId="0" fontId="34" fillId="0" borderId="151" applyNumberFormat="0" applyFill="0" applyAlignment="0" applyProtection="0"/>
    <xf numFmtId="0" fontId="12" fillId="27" borderId="0" applyNumberFormat="0" applyBorder="0" applyAlignment="0" applyProtection="0"/>
    <xf numFmtId="4" fontId="36" fillId="31" borderId="151">
      <alignment horizontal="right" vertical="center"/>
    </xf>
    <xf numFmtId="0" fontId="65" fillId="0" borderId="149" applyNumberFormat="0" applyFill="0" applyAlignment="0" applyProtection="0"/>
    <xf numFmtId="0" fontId="26" fillId="28" borderId="0" applyNumberFormat="0" applyBorder="0" applyAlignment="0" applyProtection="0"/>
    <xf numFmtId="4" fontId="32" fillId="33" borderId="151">
      <alignment horizontal="right" vertical="center"/>
    </xf>
    <xf numFmtId="0" fontId="12" fillId="27" borderId="0" applyNumberFormat="0" applyBorder="0" applyAlignment="0" applyProtection="0"/>
    <xf numFmtId="0" fontId="65" fillId="0" borderId="149" applyNumberFormat="0" applyFill="0" applyAlignment="0" applyProtection="0"/>
    <xf numFmtId="0" fontId="50" fillId="0" borderId="156" applyNumberFormat="0" applyFill="0" applyAlignment="0" applyProtection="0"/>
    <xf numFmtId="0" fontId="26" fillId="17" borderId="0" applyNumberFormat="0" applyBorder="0" applyAlignment="0" applyProtection="0"/>
    <xf numFmtId="49" fontId="34" fillId="0" borderId="152" applyNumberFormat="0" applyFont="0" applyFill="0" applyBorder="0" applyProtection="0">
      <alignment horizontal="left" vertical="center" indent="5"/>
    </xf>
    <xf numFmtId="0" fontId="26" fillId="20" borderId="0" applyNumberFormat="0" applyBorder="0" applyAlignment="0" applyProtection="0"/>
    <xf numFmtId="0" fontId="32" fillId="33" borderId="158">
      <alignment horizontal="right" vertical="center"/>
    </xf>
    <xf numFmtId="0" fontId="29" fillId="12" borderId="10" applyNumberFormat="0" applyAlignment="0" applyProtection="0"/>
    <xf numFmtId="0" fontId="34" fillId="0" borderId="151" applyNumberFormat="0" applyFill="0" applyAlignment="0" applyProtection="0"/>
    <xf numFmtId="0" fontId="43" fillId="55" borderId="147" applyNumberFormat="0" applyAlignment="0" applyProtection="0"/>
    <xf numFmtId="0" fontId="1" fillId="0" borderId="0" applyNumberFormat="0" applyFill="0" applyBorder="0" applyAlignment="0" applyProtection="0"/>
    <xf numFmtId="0" fontId="50" fillId="0" borderId="156" applyNumberFormat="0" applyFill="0" applyAlignment="0" applyProtection="0"/>
    <xf numFmtId="0" fontId="32" fillId="33" borderId="153">
      <alignment horizontal="right" vertical="center"/>
    </xf>
    <xf numFmtId="0" fontId="32" fillId="33" borderId="153">
      <alignment horizontal="right" vertical="center"/>
    </xf>
    <xf numFmtId="0" fontId="58" fillId="42" borderId="155" applyNumberFormat="0" applyAlignment="0" applyProtection="0"/>
    <xf numFmtId="0" fontId="26" fillId="13" borderId="0" applyNumberFormat="0" applyBorder="0" applyAlignment="0" applyProtection="0"/>
    <xf numFmtId="4" fontId="32" fillId="33" borderId="151">
      <alignment horizontal="right" vertical="center"/>
    </xf>
    <xf numFmtId="0" fontId="1" fillId="0" borderId="0" applyNumberFormat="0" applyFill="0" applyBorder="0" applyAlignment="0" applyProtection="0"/>
    <xf numFmtId="0" fontId="32" fillId="31" borderId="151">
      <alignment horizontal="right" vertical="center"/>
    </xf>
    <xf numFmtId="0" fontId="12" fillId="21" borderId="0" applyNumberFormat="0" applyBorder="0" applyAlignment="0" applyProtection="0"/>
    <xf numFmtId="0" fontId="34" fillId="33" borderId="154">
      <alignment horizontal="left" vertical="center" wrapText="1" indent="2"/>
    </xf>
    <xf numFmtId="173" fontId="34" fillId="59" borderId="151" applyNumberFormat="0" applyFont="0" applyBorder="0" applyAlignment="0" applyProtection="0">
      <alignment horizontal="right" vertical="center"/>
    </xf>
    <xf numFmtId="0" fontId="26" fillId="22" borderId="0" applyNumberFormat="0" applyBorder="0" applyAlignment="0" applyProtection="0"/>
    <xf numFmtId="0" fontId="65" fillId="0" borderId="156" applyNumberFormat="0" applyFill="0" applyAlignment="0" applyProtection="0"/>
    <xf numFmtId="0" fontId="30" fillId="0" borderId="0" applyNumberFormat="0" applyFill="0" applyBorder="0" applyAlignment="0" applyProtection="0"/>
    <xf numFmtId="0" fontId="26" fillId="16" borderId="0" applyNumberFormat="0" applyBorder="0" applyAlignment="0" applyProtection="0"/>
    <xf numFmtId="0" fontId="12" fillId="30" borderId="0" applyNumberFormat="0" applyBorder="0" applyAlignment="0" applyProtection="0"/>
    <xf numFmtId="4" fontId="32" fillId="31" borderId="158">
      <alignment horizontal="right" vertical="center"/>
    </xf>
    <xf numFmtId="0" fontId="49" fillId="42" borderId="148" applyNumberFormat="0" applyAlignment="0" applyProtection="0"/>
    <xf numFmtId="0" fontId="34" fillId="31" borderId="152">
      <alignment horizontal="left" vertical="center"/>
    </xf>
    <xf numFmtId="0" fontId="12" fillId="27" borderId="0" applyNumberFormat="0" applyBorder="0" applyAlignment="0" applyProtection="0"/>
    <xf numFmtId="0" fontId="26" fillId="25" borderId="0" applyNumberFormat="0" applyBorder="0" applyAlignment="0" applyProtection="0"/>
    <xf numFmtId="0" fontId="34" fillId="0" borderId="158">
      <alignment horizontal="right" vertical="center"/>
    </xf>
    <xf numFmtId="0" fontId="32" fillId="33" borderId="160">
      <alignment horizontal="right" vertical="center"/>
    </xf>
    <xf numFmtId="0" fontId="62" fillId="55" borderId="147" applyNumberFormat="0" applyAlignment="0" applyProtection="0"/>
    <xf numFmtId="0" fontId="12" fillId="21" borderId="0" applyNumberFormat="0" applyBorder="0" applyAlignment="0" applyProtection="0"/>
    <xf numFmtId="0" fontId="62" fillId="55" borderId="147" applyNumberFormat="0" applyAlignment="0" applyProtection="0"/>
    <xf numFmtId="0" fontId="34" fillId="32" borderId="151"/>
    <xf numFmtId="0" fontId="12" fillId="18" borderId="0" applyNumberFormat="0" applyBorder="0" applyAlignment="0" applyProtection="0"/>
    <xf numFmtId="173" fontId="34" fillId="59" borderId="151" applyNumberFormat="0" applyFont="0" applyBorder="0" applyAlignment="0" applyProtection="0">
      <alignment horizontal="right" vertical="center"/>
    </xf>
    <xf numFmtId="0" fontId="12" fillId="27" borderId="0" applyNumberFormat="0" applyBorder="0" applyAlignment="0" applyProtection="0"/>
    <xf numFmtId="4" fontId="34" fillId="32" borderId="158"/>
    <xf numFmtId="0" fontId="46" fillId="55" borderId="148" applyNumberFormat="0" applyAlignment="0" applyProtection="0"/>
    <xf numFmtId="0" fontId="12" fillId="18" borderId="0" applyNumberFormat="0" applyBorder="0" applyAlignment="0" applyProtection="0"/>
    <xf numFmtId="0" fontId="12" fillId="24" borderId="0" applyNumberFormat="0" applyBorder="0" applyAlignment="0" applyProtection="0"/>
    <xf numFmtId="0" fontId="30" fillId="0" borderId="0" applyNumberFormat="0" applyFill="0" applyBorder="0" applyAlignment="0" applyProtection="0"/>
    <xf numFmtId="0" fontId="29" fillId="12" borderId="10" applyNumberFormat="0" applyAlignment="0" applyProtection="0"/>
    <xf numFmtId="0" fontId="50" fillId="0" borderId="156" applyNumberFormat="0" applyFill="0" applyAlignment="0" applyProtection="0"/>
    <xf numFmtId="0" fontId="12" fillId="27" borderId="0" applyNumberFormat="0" applyBorder="0" applyAlignment="0" applyProtection="0"/>
    <xf numFmtId="0" fontId="26" fillId="23" borderId="0" applyNumberFormat="0" applyBorder="0" applyAlignment="0" applyProtection="0"/>
    <xf numFmtId="0" fontId="26" fillId="22" borderId="0" applyNumberFormat="0" applyBorder="0" applyAlignment="0" applyProtection="0"/>
    <xf numFmtId="0" fontId="40" fillId="58" borderId="150" applyNumberFormat="0" applyFont="0" applyAlignment="0" applyProtection="0"/>
    <xf numFmtId="4" fontId="34" fillId="0" borderId="158">
      <alignment horizontal="right" vertical="center"/>
    </xf>
    <xf numFmtId="0" fontId="26" fillId="29" borderId="0" applyNumberFormat="0" applyBorder="0" applyAlignment="0" applyProtection="0"/>
    <xf numFmtId="0" fontId="34" fillId="0" borderId="161">
      <alignment horizontal="left" vertical="center" wrapText="1" indent="2"/>
    </xf>
    <xf numFmtId="49" fontId="34" fillId="0" borderId="158" applyNumberFormat="0" applyFont="0" applyFill="0" applyBorder="0" applyProtection="0">
      <alignment horizontal="left" vertical="center" indent="2"/>
    </xf>
    <xf numFmtId="0" fontId="36" fillId="31" borderId="151">
      <alignment horizontal="right" vertical="center"/>
    </xf>
    <xf numFmtId="0" fontId="12" fillId="30" borderId="0" applyNumberFormat="0" applyBorder="0" applyAlignment="0" applyProtection="0"/>
    <xf numFmtId="0" fontId="26" fillId="13" borderId="0" applyNumberFormat="0" applyBorder="0" applyAlignment="0" applyProtection="0"/>
    <xf numFmtId="0" fontId="26" fillId="22" borderId="0" applyNumberFormat="0" applyBorder="0" applyAlignment="0" applyProtection="0"/>
    <xf numFmtId="0" fontId="32" fillId="33" borderId="159">
      <alignment horizontal="right" vertical="center"/>
    </xf>
    <xf numFmtId="4" fontId="36" fillId="31" borderId="158">
      <alignment horizontal="right" vertical="center"/>
    </xf>
    <xf numFmtId="0" fontId="46" fillId="55" borderId="148" applyNumberFormat="0" applyAlignment="0" applyProtection="0"/>
    <xf numFmtId="0" fontId="34" fillId="32" borderId="158"/>
    <xf numFmtId="0" fontId="26" fillId="23" borderId="0" applyNumberFormat="0" applyBorder="0" applyAlignment="0" applyProtection="0"/>
    <xf numFmtId="0" fontId="65" fillId="0" borderId="149" applyNumberFormat="0" applyFill="0" applyAlignment="0" applyProtection="0"/>
    <xf numFmtId="0" fontId="32" fillId="31" borderId="151">
      <alignment horizontal="right" vertical="center"/>
    </xf>
    <xf numFmtId="4" fontId="36" fillId="31" borderId="151">
      <alignment horizontal="right" vertical="center"/>
    </xf>
    <xf numFmtId="0" fontId="62" fillId="55" borderId="162" applyNumberFormat="0" applyAlignment="0" applyProtection="0"/>
    <xf numFmtId="0" fontId="62" fillId="55" borderId="147" applyNumberFormat="0" applyAlignment="0" applyProtection="0"/>
    <xf numFmtId="0" fontId="2" fillId="0" borderId="12" applyNumberFormat="0" applyFill="0" applyAlignment="0" applyProtection="0"/>
    <xf numFmtId="4" fontId="34" fillId="32" borderId="151"/>
    <xf numFmtId="0" fontId="26" fillId="26" borderId="0" applyNumberFormat="0" applyBorder="0" applyAlignment="0" applyProtection="0"/>
    <xf numFmtId="0" fontId="45" fillId="55" borderId="155" applyNumberFormat="0" applyAlignment="0" applyProtection="0"/>
    <xf numFmtId="0" fontId="26" fillId="19" borderId="0" applyNumberFormat="0" applyBorder="0" applyAlignment="0" applyProtection="0"/>
    <xf numFmtId="0" fontId="46" fillId="55" borderId="148" applyNumberFormat="0" applyAlignment="0" applyProtection="0"/>
    <xf numFmtId="0" fontId="30" fillId="0" borderId="0" applyNumberFormat="0" applyFill="0" applyBorder="0" applyAlignment="0" applyProtection="0"/>
    <xf numFmtId="0" fontId="32" fillId="33" borderId="151">
      <alignment horizontal="right" vertical="center"/>
    </xf>
    <xf numFmtId="0" fontId="32" fillId="33" borderId="158">
      <alignment horizontal="right" vertical="center"/>
    </xf>
    <xf numFmtId="0" fontId="65" fillId="0" borderId="149" applyNumberFormat="0" applyFill="0" applyAlignment="0" applyProtection="0"/>
    <xf numFmtId="49" fontId="34" fillId="0" borderId="158" applyNumberFormat="0" applyFont="0" applyFill="0" applyBorder="0" applyProtection="0">
      <alignment horizontal="left" vertical="center" indent="2"/>
    </xf>
    <xf numFmtId="0" fontId="29" fillId="12" borderId="10" applyNumberFormat="0" applyAlignment="0" applyProtection="0"/>
    <xf numFmtId="0" fontId="26" fillId="29" borderId="0" applyNumberFormat="0" applyBorder="0" applyAlignment="0" applyProtection="0"/>
    <xf numFmtId="0" fontId="1" fillId="0" borderId="0" applyNumberFormat="0" applyFill="0" applyBorder="0" applyAlignment="0" applyProtection="0"/>
    <xf numFmtId="0" fontId="2" fillId="0" borderId="12" applyNumberFormat="0" applyFill="0" applyAlignment="0" applyProtection="0"/>
    <xf numFmtId="0" fontId="26" fillId="28" borderId="0" applyNumberFormat="0" applyBorder="0" applyAlignment="0" applyProtection="0"/>
    <xf numFmtId="0" fontId="26" fillId="25" borderId="0" applyNumberFormat="0" applyBorder="0" applyAlignment="0" applyProtection="0"/>
    <xf numFmtId="0" fontId="26" fillId="19" borderId="0" applyNumberFormat="0" applyBorder="0" applyAlignment="0" applyProtection="0"/>
    <xf numFmtId="4" fontId="34" fillId="0" borderId="151" applyFill="0" applyBorder="0" applyProtection="0">
      <alignment horizontal="right" vertical="center"/>
    </xf>
    <xf numFmtId="0" fontId="40" fillId="58" borderId="157" applyNumberFormat="0" applyFont="0" applyAlignment="0" applyProtection="0"/>
    <xf numFmtId="4" fontId="32" fillId="33" borderId="159">
      <alignment horizontal="right" vertical="center"/>
    </xf>
    <xf numFmtId="4" fontId="34" fillId="0" borderId="158" applyFill="0" applyBorder="0" applyProtection="0">
      <alignment horizontal="right" vertical="center"/>
    </xf>
    <xf numFmtId="0" fontId="26" fillId="23" borderId="0" applyNumberFormat="0" applyBorder="0" applyAlignment="0" applyProtection="0"/>
    <xf numFmtId="0" fontId="46" fillId="55" borderId="148" applyNumberFormat="0" applyAlignment="0" applyProtection="0"/>
    <xf numFmtId="0" fontId="28" fillId="12" borderId="11" applyNumberFormat="0" applyAlignment="0" applyProtection="0"/>
    <xf numFmtId="0" fontId="30" fillId="0" borderId="0" applyNumberFormat="0" applyFill="0" applyBorder="0" applyAlignment="0" applyProtection="0"/>
    <xf numFmtId="0" fontId="40" fillId="58" borderId="157" applyNumberFormat="0" applyFont="0" applyAlignment="0" applyProtection="0"/>
    <xf numFmtId="0" fontId="26" fillId="16" borderId="0" applyNumberFormat="0" applyBorder="0" applyAlignment="0" applyProtection="0"/>
    <xf numFmtId="4" fontId="34" fillId="32" borderId="151"/>
    <xf numFmtId="0" fontId="26" fillId="22" borderId="0" applyNumberFormat="0" applyBorder="0" applyAlignment="0" applyProtection="0"/>
    <xf numFmtId="0" fontId="26" fillId="17" borderId="0" applyNumberFormat="0" applyBorder="0" applyAlignment="0" applyProtection="0"/>
    <xf numFmtId="0" fontId="46" fillId="55" borderId="155" applyNumberFormat="0" applyAlignment="0" applyProtection="0"/>
    <xf numFmtId="0" fontId="1" fillId="0" borderId="0" applyNumberFormat="0" applyFill="0" applyBorder="0" applyAlignment="0" applyProtection="0"/>
    <xf numFmtId="0" fontId="26" fillId="29" borderId="0" applyNumberFormat="0" applyBorder="0" applyAlignment="0" applyProtection="0"/>
    <xf numFmtId="0" fontId="34" fillId="32" borderId="158"/>
    <xf numFmtId="0" fontId="26" fillId="16" borderId="0" applyNumberFormat="0" applyBorder="0" applyAlignment="0" applyProtection="0"/>
    <xf numFmtId="0" fontId="12" fillId="21" borderId="0" applyNumberFormat="0" applyBorder="0" applyAlignment="0" applyProtection="0"/>
    <xf numFmtId="4" fontId="32" fillId="31" borderId="151">
      <alignment horizontal="right" vertical="center"/>
    </xf>
    <xf numFmtId="0" fontId="43" fillId="55" borderId="147" applyNumberFormat="0" applyAlignment="0" applyProtection="0"/>
    <xf numFmtId="4" fontId="34" fillId="0" borderId="158" applyFill="0" applyBorder="0" applyProtection="0">
      <alignment horizontal="right" vertical="center"/>
    </xf>
    <xf numFmtId="4" fontId="32" fillId="33" borderId="158">
      <alignment horizontal="right" vertical="center"/>
    </xf>
    <xf numFmtId="0" fontId="32" fillId="31" borderId="151">
      <alignment horizontal="right" vertical="center"/>
    </xf>
    <xf numFmtId="0" fontId="26" fillId="29" borderId="0" applyNumberFormat="0" applyBorder="0" applyAlignment="0" applyProtection="0"/>
    <xf numFmtId="0" fontId="34" fillId="0" borderId="154">
      <alignment horizontal="left" vertical="center" wrapText="1" indent="2"/>
    </xf>
    <xf numFmtId="0" fontId="29" fillId="12" borderId="10" applyNumberFormat="0" applyAlignment="0" applyProtection="0"/>
    <xf numFmtId="0" fontId="12" fillId="30" borderId="0" applyNumberFormat="0" applyBorder="0" applyAlignment="0" applyProtection="0"/>
    <xf numFmtId="0" fontId="62" fillId="55" borderId="162" applyNumberFormat="0" applyAlignment="0" applyProtection="0"/>
    <xf numFmtId="4" fontId="34" fillId="0" borderId="158" applyFill="0" applyBorder="0" applyProtection="0">
      <alignment horizontal="right" vertical="center"/>
    </xf>
    <xf numFmtId="0" fontId="26" fillId="14" borderId="0" applyNumberFormat="0" applyBorder="0" applyAlignment="0" applyProtection="0"/>
    <xf numFmtId="0" fontId="26" fillId="22" borderId="0" applyNumberFormat="0" applyBorder="0" applyAlignment="0" applyProtection="0"/>
    <xf numFmtId="0" fontId="12" fillId="24" borderId="0" applyNumberFormat="0" applyBorder="0" applyAlignment="0" applyProtection="0"/>
    <xf numFmtId="0" fontId="65" fillId="0" borderId="149" applyNumberFormat="0" applyFill="0" applyAlignment="0" applyProtection="0"/>
    <xf numFmtId="0" fontId="46" fillId="55" borderId="148" applyNumberFormat="0" applyAlignment="0" applyProtection="0"/>
    <xf numFmtId="0" fontId="26" fillId="20" borderId="0" applyNumberFormat="0" applyBorder="0" applyAlignment="0" applyProtection="0"/>
    <xf numFmtId="0" fontId="29" fillId="12" borderId="10" applyNumberFormat="0" applyAlignment="0" applyProtection="0"/>
    <xf numFmtId="0" fontId="45" fillId="55" borderId="148" applyNumberFormat="0" applyAlignment="0" applyProtection="0"/>
    <xf numFmtId="0" fontId="29" fillId="12" borderId="10" applyNumberFormat="0" applyAlignment="0" applyProtection="0"/>
    <xf numFmtId="0" fontId="28" fillId="12" borderId="11" applyNumberFormat="0" applyAlignment="0" applyProtection="0"/>
    <xf numFmtId="0" fontId="50" fillId="0" borderId="149" applyNumberFormat="0" applyFill="0" applyAlignment="0" applyProtection="0"/>
    <xf numFmtId="0" fontId="62" fillId="55" borderId="147" applyNumberFormat="0" applyAlignment="0" applyProtection="0"/>
    <xf numFmtId="4" fontId="34" fillId="32" borderId="151"/>
    <xf numFmtId="0" fontId="26" fillId="29" borderId="0" applyNumberFormat="0" applyBorder="0" applyAlignment="0" applyProtection="0"/>
    <xf numFmtId="0" fontId="2" fillId="0" borderId="12" applyNumberFormat="0" applyFill="0" applyAlignment="0" applyProtection="0"/>
    <xf numFmtId="4" fontId="32" fillId="33" borderId="151">
      <alignment horizontal="right" vertical="center"/>
    </xf>
    <xf numFmtId="173" fontId="34" fillId="59" borderId="158" applyNumberFormat="0" applyFont="0" applyBorder="0" applyAlignment="0" applyProtection="0">
      <alignment horizontal="right" vertical="center"/>
    </xf>
    <xf numFmtId="0" fontId="49" fillId="42" borderId="148" applyNumberFormat="0" applyAlignment="0" applyProtection="0"/>
    <xf numFmtId="4" fontId="32" fillId="33" borderId="151">
      <alignment horizontal="right" vertical="center"/>
    </xf>
    <xf numFmtId="0" fontId="32" fillId="33" borderId="151">
      <alignment horizontal="right" vertical="center"/>
    </xf>
    <xf numFmtId="0" fontId="12" fillId="18" borderId="0" applyNumberFormat="0" applyBorder="0" applyAlignment="0" applyProtection="0"/>
    <xf numFmtId="0" fontId="12" fillId="27" borderId="0" applyNumberFormat="0" applyBorder="0" applyAlignment="0" applyProtection="0"/>
    <xf numFmtId="0" fontId="26" fillId="22" borderId="0" applyNumberFormat="0" applyBorder="0" applyAlignment="0" applyProtection="0"/>
    <xf numFmtId="0" fontId="12" fillId="24" borderId="0" applyNumberFormat="0" applyBorder="0" applyAlignment="0" applyProtection="0"/>
    <xf numFmtId="0" fontId="26" fillId="22" borderId="0" applyNumberFormat="0" applyBorder="0" applyAlignment="0" applyProtection="0"/>
    <xf numFmtId="0" fontId="26" fillId="17" borderId="0" applyNumberFormat="0" applyBorder="0" applyAlignment="0" applyProtection="0"/>
    <xf numFmtId="0" fontId="46" fillId="55" borderId="148" applyNumberFormat="0" applyAlignment="0" applyProtection="0"/>
    <xf numFmtId="0" fontId="45" fillId="55" borderId="148" applyNumberFormat="0" applyAlignment="0" applyProtection="0"/>
    <xf numFmtId="0" fontId="26" fillId="19" borderId="0" applyNumberFormat="0" applyBorder="0" applyAlignment="0" applyProtection="0"/>
    <xf numFmtId="0" fontId="58" fillId="42" borderId="155" applyNumberFormat="0" applyAlignment="0" applyProtection="0"/>
    <xf numFmtId="0" fontId="12" fillId="21" borderId="0" applyNumberFormat="0" applyBorder="0" applyAlignment="0" applyProtection="0"/>
    <xf numFmtId="0" fontId="28" fillId="12" borderId="11" applyNumberFormat="0" applyAlignment="0" applyProtection="0"/>
    <xf numFmtId="0" fontId="34" fillId="33" borderId="154">
      <alignment horizontal="left" vertical="center" wrapText="1" indent="2"/>
    </xf>
    <xf numFmtId="0" fontId="36" fillId="31" borderId="158">
      <alignment horizontal="right" vertical="center"/>
    </xf>
    <xf numFmtId="4" fontId="32" fillId="33" borderId="158">
      <alignment horizontal="right" vertical="center"/>
    </xf>
    <xf numFmtId="0" fontId="34" fillId="0" borderId="154">
      <alignment horizontal="left" vertical="center" wrapText="1" indent="2"/>
    </xf>
    <xf numFmtId="0" fontId="30" fillId="0" borderId="0" applyNumberFormat="0" applyFill="0" applyBorder="0" applyAlignment="0" applyProtection="0"/>
    <xf numFmtId="4" fontId="34" fillId="0" borderId="151" applyFill="0" applyBorder="0" applyProtection="0">
      <alignment horizontal="right" vertical="center"/>
    </xf>
    <xf numFmtId="0" fontId="12" fillId="27" borderId="0" applyNumberFormat="0" applyBorder="0" applyAlignment="0" applyProtection="0"/>
    <xf numFmtId="0" fontId="12" fillId="21" borderId="0" applyNumberFormat="0" applyBorder="0" applyAlignment="0" applyProtection="0"/>
    <xf numFmtId="0" fontId="34" fillId="0" borderId="154">
      <alignment horizontal="left" vertical="center" wrapText="1" indent="2"/>
    </xf>
    <xf numFmtId="4" fontId="34" fillId="0" borderId="151" applyFill="0" applyBorder="0" applyProtection="0">
      <alignment horizontal="right" vertical="center"/>
    </xf>
    <xf numFmtId="0" fontId="32" fillId="33" borderId="153">
      <alignment horizontal="right" vertical="center"/>
    </xf>
    <xf numFmtId="0" fontId="12" fillId="15" borderId="0" applyNumberFormat="0" applyBorder="0" applyAlignment="0" applyProtection="0"/>
    <xf numFmtId="0" fontId="34" fillId="33" borderId="154">
      <alignment horizontal="left" vertical="center" wrapText="1" indent="2"/>
    </xf>
    <xf numFmtId="0" fontId="58" fillId="42" borderId="155" applyNumberFormat="0" applyAlignment="0" applyProtection="0"/>
    <xf numFmtId="0" fontId="26" fillId="23" borderId="0" applyNumberFormat="0" applyBorder="0" applyAlignment="0" applyProtection="0"/>
    <xf numFmtId="0" fontId="26" fillId="19" borderId="0" applyNumberFormat="0" applyBorder="0" applyAlignment="0" applyProtection="0"/>
    <xf numFmtId="0" fontId="34" fillId="0" borderId="161">
      <alignment horizontal="left" vertical="center" wrapText="1" indent="2"/>
    </xf>
    <xf numFmtId="0" fontId="12" fillId="18" borderId="0" applyNumberFormat="0" applyBorder="0" applyAlignment="0" applyProtection="0"/>
    <xf numFmtId="0" fontId="32" fillId="33" borderId="158">
      <alignment horizontal="right" vertical="center"/>
    </xf>
    <xf numFmtId="49" fontId="34" fillId="0" borderId="158" applyNumberFormat="0" applyFont="0" applyFill="0" applyBorder="0" applyProtection="0">
      <alignment horizontal="left" vertical="center" indent="2"/>
    </xf>
    <xf numFmtId="4" fontId="34" fillId="0" borderId="151" applyFill="0" applyBorder="0" applyProtection="0">
      <alignment horizontal="right" vertical="center"/>
    </xf>
    <xf numFmtId="0" fontId="26" fillId="16" borderId="0" applyNumberFormat="0" applyBorder="0" applyAlignment="0" applyProtection="0"/>
    <xf numFmtId="0" fontId="34" fillId="32" borderId="151"/>
    <xf numFmtId="4" fontId="32" fillId="33" borderId="153">
      <alignment horizontal="right" vertical="center"/>
    </xf>
    <xf numFmtId="0" fontId="62" fillId="55" borderId="162" applyNumberFormat="0" applyAlignment="0" applyProtection="0"/>
    <xf numFmtId="0" fontId="26" fillId="22" borderId="0" applyNumberFormat="0" applyBorder="0" applyAlignment="0" applyProtection="0"/>
    <xf numFmtId="0" fontId="36" fillId="31" borderId="151">
      <alignment horizontal="right" vertical="center"/>
    </xf>
    <xf numFmtId="0" fontId="2" fillId="0" borderId="12" applyNumberFormat="0" applyFill="0" applyAlignment="0" applyProtection="0"/>
    <xf numFmtId="4" fontId="36" fillId="31" borderId="151">
      <alignment horizontal="right" vertical="center"/>
    </xf>
    <xf numFmtId="0" fontId="40" fillId="58" borderId="150" applyNumberFormat="0" applyFont="0" applyAlignment="0" applyProtection="0"/>
    <xf numFmtId="0" fontId="28" fillId="12" borderId="11" applyNumberFormat="0" applyAlignment="0" applyProtection="0"/>
    <xf numFmtId="0" fontId="50" fillId="0" borderId="149" applyNumberFormat="0" applyFill="0" applyAlignment="0" applyProtection="0"/>
    <xf numFmtId="0" fontId="26" fillId="22"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4" fontId="34" fillId="0" borderId="151" applyFill="0" applyBorder="0" applyProtection="0">
      <alignment horizontal="right" vertical="center"/>
    </xf>
    <xf numFmtId="0" fontId="58" fillId="42" borderId="148" applyNumberFormat="0" applyAlignment="0" applyProtection="0"/>
    <xf numFmtId="0" fontId="26" fillId="25" borderId="0" applyNumberFormat="0" applyBorder="0" applyAlignment="0" applyProtection="0"/>
    <xf numFmtId="0" fontId="43" fillId="55" borderId="147" applyNumberFormat="0" applyAlignment="0" applyProtection="0"/>
    <xf numFmtId="0" fontId="62" fillId="55" borderId="147" applyNumberFormat="0" applyAlignment="0" applyProtection="0"/>
    <xf numFmtId="0" fontId="26" fillId="26" borderId="0" applyNumberFormat="0" applyBorder="0" applyAlignment="0" applyProtection="0"/>
    <xf numFmtId="49" fontId="33" fillId="0" borderId="158" applyNumberFormat="0" applyFill="0" applyBorder="0" applyProtection="0">
      <alignment horizontal="left" vertical="center"/>
    </xf>
    <xf numFmtId="4" fontId="32" fillId="33" borderId="158">
      <alignment horizontal="right" vertical="center"/>
    </xf>
    <xf numFmtId="0" fontId="12" fillId="18" borderId="0" applyNumberFormat="0" applyBorder="0" applyAlignment="0" applyProtection="0"/>
    <xf numFmtId="0" fontId="58" fillId="42" borderId="148" applyNumberFormat="0" applyAlignment="0" applyProtection="0"/>
    <xf numFmtId="0" fontId="26" fillId="29" borderId="0" applyNumberFormat="0" applyBorder="0" applyAlignment="0" applyProtection="0"/>
    <xf numFmtId="0" fontId="26" fillId="14" borderId="0" applyNumberFormat="0" applyBorder="0" applyAlignment="0" applyProtection="0"/>
    <xf numFmtId="0" fontId="26" fillId="22" borderId="0" applyNumberFormat="0" applyBorder="0" applyAlignment="0" applyProtection="0"/>
    <xf numFmtId="0" fontId="62" fillId="55" borderId="162" applyNumberFormat="0" applyAlignment="0" applyProtection="0"/>
    <xf numFmtId="0" fontId="40" fillId="58" borderId="150" applyNumberFormat="0" applyFont="0" applyAlignment="0" applyProtection="0"/>
    <xf numFmtId="0" fontId="12" fillId="30" borderId="0" applyNumberFormat="0" applyBorder="0" applyAlignment="0" applyProtection="0"/>
    <xf numFmtId="0" fontId="2" fillId="0" borderId="12" applyNumberFormat="0" applyFill="0" applyAlignment="0" applyProtection="0"/>
    <xf numFmtId="0" fontId="36" fillId="31" borderId="151">
      <alignment horizontal="right" vertical="center"/>
    </xf>
    <xf numFmtId="0" fontId="32" fillId="33" borderId="158">
      <alignment horizontal="right" vertical="center"/>
    </xf>
    <xf numFmtId="4" fontId="32" fillId="33" borderId="158">
      <alignment horizontal="right" vertical="center"/>
    </xf>
    <xf numFmtId="0" fontId="45" fillId="55" borderId="148" applyNumberFormat="0" applyAlignment="0" applyProtection="0"/>
    <xf numFmtId="49" fontId="34" fillId="0" borderId="151" applyNumberFormat="0" applyFont="0" applyFill="0" applyBorder="0" applyProtection="0">
      <alignment horizontal="left" vertical="center" indent="2"/>
    </xf>
    <xf numFmtId="0" fontId="12" fillId="27" borderId="0" applyNumberFormat="0" applyBorder="0" applyAlignment="0" applyProtection="0"/>
    <xf numFmtId="0" fontId="34" fillId="0" borderId="154">
      <alignment horizontal="left" vertical="center" wrapText="1" indent="2"/>
    </xf>
    <xf numFmtId="0" fontId="34" fillId="31" borderId="152">
      <alignment horizontal="left" vertical="center"/>
    </xf>
    <xf numFmtId="0" fontId="12" fillId="24" borderId="0" applyNumberFormat="0" applyBorder="0" applyAlignment="0" applyProtection="0"/>
    <xf numFmtId="0" fontId="26" fillId="26" borderId="0" applyNumberFormat="0" applyBorder="0" applyAlignment="0" applyProtection="0"/>
    <xf numFmtId="4" fontId="32" fillId="33" borderId="158">
      <alignment horizontal="right" vertical="center"/>
    </xf>
    <xf numFmtId="0" fontId="34" fillId="0" borderId="158">
      <alignment horizontal="right" vertical="center"/>
    </xf>
    <xf numFmtId="0" fontId="26" fillId="23" borderId="0" applyNumberFormat="0" applyBorder="0" applyAlignment="0" applyProtection="0"/>
    <xf numFmtId="0" fontId="50" fillId="0" borderId="149" applyNumberFormat="0" applyFill="0" applyAlignment="0" applyProtection="0"/>
    <xf numFmtId="0" fontId="26" fillId="14" borderId="0" applyNumberFormat="0" applyBorder="0" applyAlignment="0" applyProtection="0"/>
    <xf numFmtId="0" fontId="26" fillId="13" borderId="0" applyNumberFormat="0" applyBorder="0" applyAlignment="0" applyProtection="0"/>
    <xf numFmtId="0" fontId="58" fillId="42" borderId="148" applyNumberFormat="0" applyAlignment="0" applyProtection="0"/>
    <xf numFmtId="0" fontId="5" fillId="58" borderId="150" applyNumberFormat="0" applyFont="0" applyAlignment="0" applyProtection="0"/>
    <xf numFmtId="0" fontId="12" fillId="15" borderId="0" applyNumberFormat="0" applyBorder="0" applyAlignment="0" applyProtection="0"/>
    <xf numFmtId="4" fontId="32" fillId="33" borderId="152">
      <alignment horizontal="right" vertical="center"/>
    </xf>
    <xf numFmtId="49" fontId="33" fillId="0" borderId="158" applyNumberFormat="0" applyFill="0" applyBorder="0" applyProtection="0">
      <alignment horizontal="left" vertical="center"/>
    </xf>
    <xf numFmtId="0" fontId="26" fillId="17" borderId="0" applyNumberFormat="0" applyBorder="0" applyAlignment="0" applyProtection="0"/>
    <xf numFmtId="0" fontId="62" fillId="55" borderId="147" applyNumberFormat="0" applyAlignment="0" applyProtection="0"/>
    <xf numFmtId="0" fontId="46" fillId="55" borderId="148" applyNumberFormat="0" applyAlignment="0" applyProtection="0"/>
    <xf numFmtId="0" fontId="26" fillId="22" borderId="0" applyNumberFormat="0" applyBorder="0" applyAlignment="0" applyProtection="0"/>
    <xf numFmtId="0" fontId="36" fillId="31" borderId="151">
      <alignment horizontal="right" vertical="center"/>
    </xf>
    <xf numFmtId="0" fontId="12" fillId="15" borderId="0" applyNumberFormat="0" applyBorder="0" applyAlignment="0" applyProtection="0"/>
    <xf numFmtId="0" fontId="5" fillId="58" borderId="157" applyNumberFormat="0" applyFont="0" applyAlignment="0" applyProtection="0"/>
    <xf numFmtId="0" fontId="32" fillId="33" borderId="151">
      <alignment horizontal="right" vertical="center"/>
    </xf>
    <xf numFmtId="4" fontId="32" fillId="33" borderId="153">
      <alignment horizontal="right" vertical="center"/>
    </xf>
    <xf numFmtId="0" fontId="58" fillId="42" borderId="148" applyNumberFormat="0" applyAlignment="0" applyProtection="0"/>
    <xf numFmtId="0" fontId="65" fillId="0" borderId="149" applyNumberFormat="0" applyFill="0" applyAlignment="0" applyProtection="0"/>
    <xf numFmtId="4" fontId="32" fillId="33" borderId="159">
      <alignment horizontal="right" vertical="center"/>
    </xf>
    <xf numFmtId="0" fontId="65" fillId="0" borderId="156" applyNumberFormat="0" applyFill="0" applyAlignment="0" applyProtection="0"/>
    <xf numFmtId="0" fontId="12" fillId="24" borderId="0" applyNumberFormat="0" applyBorder="0" applyAlignment="0" applyProtection="0"/>
    <xf numFmtId="0" fontId="65" fillId="0" borderId="149" applyNumberFormat="0" applyFill="0" applyAlignment="0" applyProtection="0"/>
    <xf numFmtId="0" fontId="12" fillId="15" borderId="0" applyNumberFormat="0" applyBorder="0" applyAlignment="0" applyProtection="0"/>
    <xf numFmtId="173" fontId="34" fillId="59" borderId="151" applyNumberFormat="0" applyFont="0" applyBorder="0" applyAlignment="0" applyProtection="0">
      <alignment horizontal="right" vertical="center"/>
    </xf>
    <xf numFmtId="0" fontId="5" fillId="58" borderId="157" applyNumberFormat="0" applyFont="0" applyAlignment="0" applyProtection="0"/>
    <xf numFmtId="0" fontId="26" fillId="17" borderId="0" applyNumberFormat="0" applyBorder="0" applyAlignment="0" applyProtection="0"/>
    <xf numFmtId="0" fontId="26" fillId="17" borderId="0" applyNumberFormat="0" applyBorder="0" applyAlignment="0" applyProtection="0"/>
    <xf numFmtId="0" fontId="32" fillId="33" borderId="158">
      <alignment horizontal="right" vertical="center"/>
    </xf>
    <xf numFmtId="0" fontId="32" fillId="33" borderId="151">
      <alignment horizontal="right" vertical="center"/>
    </xf>
    <xf numFmtId="0" fontId="36" fillId="31" borderId="151">
      <alignment horizontal="right" vertical="center"/>
    </xf>
    <xf numFmtId="0" fontId="26" fillId="22" borderId="0" applyNumberFormat="0" applyBorder="0" applyAlignment="0" applyProtection="0"/>
    <xf numFmtId="4" fontId="32" fillId="33" borderId="151">
      <alignment horizontal="right" vertical="center"/>
    </xf>
    <xf numFmtId="0" fontId="50" fillId="0" borderId="156" applyNumberFormat="0" applyFill="0" applyAlignment="0" applyProtection="0"/>
    <xf numFmtId="0" fontId="12" fillId="15" borderId="0" applyNumberFormat="0" applyBorder="0" applyAlignment="0" applyProtection="0"/>
    <xf numFmtId="0" fontId="65" fillId="0" borderId="156" applyNumberFormat="0" applyFill="0" applyAlignment="0" applyProtection="0"/>
    <xf numFmtId="0" fontId="34" fillId="33" borderId="161">
      <alignment horizontal="left" vertical="center" wrapText="1" indent="2"/>
    </xf>
    <xf numFmtId="0" fontId="58" fillId="42" borderId="148" applyNumberFormat="0" applyAlignment="0" applyProtection="0"/>
    <xf numFmtId="0" fontId="34" fillId="0" borderId="151" applyNumberFormat="0" applyFill="0" applyAlignment="0" applyProtection="0"/>
    <xf numFmtId="0" fontId="12" fillId="24" borderId="0" applyNumberFormat="0" applyBorder="0" applyAlignment="0" applyProtection="0"/>
    <xf numFmtId="0" fontId="5" fillId="58" borderId="150" applyNumberFormat="0" applyFont="0" applyAlignment="0" applyProtection="0"/>
    <xf numFmtId="0" fontId="12" fillId="15" borderId="0" applyNumberFormat="0" applyBorder="0" applyAlignment="0" applyProtection="0"/>
    <xf numFmtId="0" fontId="50" fillId="0" borderId="149" applyNumberFormat="0" applyFill="0" applyAlignment="0" applyProtection="0"/>
    <xf numFmtId="0" fontId="34" fillId="0" borderId="151" applyNumberFormat="0" applyFill="0" applyAlignment="0" applyProtection="0"/>
    <xf numFmtId="4" fontId="32" fillId="33" borderId="153">
      <alignment horizontal="right" vertical="center"/>
    </xf>
    <xf numFmtId="4" fontId="34" fillId="0" borderId="158" applyFill="0" applyBorder="0" applyProtection="0">
      <alignment horizontal="right" vertical="center"/>
    </xf>
    <xf numFmtId="0" fontId="26" fillId="16" borderId="0" applyNumberFormat="0" applyBorder="0" applyAlignment="0" applyProtection="0"/>
    <xf numFmtId="0" fontId="26" fillId="19" borderId="0" applyNumberFormat="0" applyBorder="0" applyAlignment="0" applyProtection="0"/>
    <xf numFmtId="0" fontId="32" fillId="31" borderId="143">
      <alignment horizontal="right" vertical="center"/>
    </xf>
    <xf numFmtId="0" fontId="26" fillId="22" borderId="0" applyNumberFormat="0" applyBorder="0" applyAlignment="0" applyProtection="0"/>
    <xf numFmtId="4" fontId="32" fillId="33" borderId="160">
      <alignment horizontal="right" vertical="center"/>
    </xf>
    <xf numFmtId="0" fontId="2" fillId="0" borderId="12" applyNumberFormat="0" applyFill="0" applyAlignment="0" applyProtection="0"/>
    <xf numFmtId="0" fontId="26" fillId="14" borderId="0" applyNumberFormat="0" applyBorder="0" applyAlignment="0" applyProtection="0"/>
    <xf numFmtId="4" fontId="34" fillId="32" borderId="151"/>
    <xf numFmtId="0" fontId="26" fillId="29" borderId="0" applyNumberFormat="0" applyBorder="0" applyAlignment="0" applyProtection="0"/>
    <xf numFmtId="0" fontId="34" fillId="0" borderId="151">
      <alignment horizontal="right" vertical="center"/>
    </xf>
    <xf numFmtId="0" fontId="65" fillId="0" borderId="149" applyNumberFormat="0" applyFill="0" applyAlignment="0" applyProtection="0"/>
    <xf numFmtId="0" fontId="32" fillId="33" borderId="158">
      <alignment horizontal="right" vertical="center"/>
    </xf>
    <xf numFmtId="0" fontId="12" fillId="21" borderId="0" applyNumberFormat="0" applyBorder="0" applyAlignment="0" applyProtection="0"/>
    <xf numFmtId="0" fontId="12" fillId="24" borderId="0" applyNumberFormat="0" applyBorder="0" applyAlignment="0" applyProtection="0"/>
    <xf numFmtId="4" fontId="34" fillId="0" borderId="158" applyFill="0" applyBorder="0" applyProtection="0">
      <alignment horizontal="right" vertical="center"/>
    </xf>
    <xf numFmtId="0" fontId="26" fillId="29" borderId="0" applyNumberFormat="0" applyBorder="0" applyAlignment="0" applyProtection="0"/>
    <xf numFmtId="0" fontId="12" fillId="15" borderId="0" applyNumberFormat="0" applyBorder="0" applyAlignment="0" applyProtection="0"/>
    <xf numFmtId="0" fontId="34" fillId="32" borderId="143"/>
    <xf numFmtId="0" fontId="43" fillId="55" borderId="147" applyNumberFormat="0" applyAlignment="0" applyProtection="0"/>
    <xf numFmtId="0" fontId="50" fillId="0" borderId="149" applyNumberFormat="0" applyFill="0" applyAlignment="0" applyProtection="0"/>
    <xf numFmtId="173" fontId="34" fillId="59" borderId="158" applyNumberFormat="0" applyFont="0" applyBorder="0" applyAlignment="0" applyProtection="0">
      <alignment horizontal="right" vertical="center"/>
    </xf>
    <xf numFmtId="0" fontId="32" fillId="33" borderId="151">
      <alignment horizontal="right" vertical="center"/>
    </xf>
    <xf numFmtId="0" fontId="26" fillId="26" borderId="0" applyNumberFormat="0" applyBorder="0" applyAlignment="0" applyProtection="0"/>
    <xf numFmtId="0" fontId="58" fillId="42" borderId="155" applyNumberFormat="0" applyAlignment="0" applyProtection="0"/>
    <xf numFmtId="0" fontId="58" fillId="42" borderId="155" applyNumberFormat="0" applyAlignment="0" applyProtection="0"/>
    <xf numFmtId="0" fontId="49" fillId="42" borderId="155" applyNumberFormat="0" applyAlignment="0" applyProtection="0"/>
    <xf numFmtId="0" fontId="45" fillId="55" borderId="155" applyNumberFormat="0" applyAlignment="0" applyProtection="0"/>
    <xf numFmtId="4" fontId="36" fillId="31" borderId="151">
      <alignment horizontal="right" vertical="center"/>
    </xf>
    <xf numFmtId="0" fontId="32" fillId="33" borderId="152">
      <alignment horizontal="right" vertical="center"/>
    </xf>
    <xf numFmtId="4" fontId="32" fillId="33" borderId="151">
      <alignment horizontal="right" vertical="center"/>
    </xf>
    <xf numFmtId="0" fontId="40" fillId="58" borderId="157" applyNumberFormat="0" applyFont="0" applyAlignment="0" applyProtection="0"/>
    <xf numFmtId="0" fontId="50" fillId="0" borderId="149" applyNumberFormat="0" applyFill="0" applyAlignment="0" applyProtection="0"/>
    <xf numFmtId="0" fontId="12" fillId="24" borderId="0" applyNumberFormat="0" applyBorder="0" applyAlignment="0" applyProtection="0"/>
    <xf numFmtId="0" fontId="65" fillId="0" borderId="149" applyNumberFormat="0" applyFill="0" applyAlignment="0" applyProtection="0"/>
    <xf numFmtId="0" fontId="45" fillId="55" borderId="148" applyNumberFormat="0" applyAlignment="0" applyProtection="0"/>
    <xf numFmtId="0" fontId="12" fillId="15" borderId="0" applyNumberFormat="0" applyBorder="0" applyAlignment="0" applyProtection="0"/>
    <xf numFmtId="0" fontId="32" fillId="33" borderId="151">
      <alignment horizontal="right" vertical="center"/>
    </xf>
    <xf numFmtId="4" fontId="36" fillId="31" borderId="151">
      <alignment horizontal="right" vertical="center"/>
    </xf>
    <xf numFmtId="173" fontId="34" fillId="59" borderId="151" applyNumberFormat="0" applyFont="0" applyBorder="0" applyAlignment="0" applyProtection="0">
      <alignment horizontal="right" vertical="center"/>
    </xf>
    <xf numFmtId="49" fontId="34" fillId="0" borderId="151" applyNumberFormat="0" applyFont="0" applyFill="0" applyBorder="0" applyProtection="0">
      <alignment horizontal="left" vertical="center" indent="2"/>
    </xf>
    <xf numFmtId="0" fontId="12" fillId="24" borderId="0" applyNumberFormat="0" applyBorder="0" applyAlignment="0" applyProtection="0"/>
    <xf numFmtId="0" fontId="50" fillId="0" borderId="149" applyNumberFormat="0" applyFill="0" applyAlignment="0" applyProtection="0"/>
    <xf numFmtId="49" fontId="34" fillId="0" borderId="151" applyNumberFormat="0" applyFont="0" applyFill="0" applyBorder="0" applyProtection="0">
      <alignment horizontal="left" vertical="center" indent="2"/>
    </xf>
    <xf numFmtId="0" fontId="46" fillId="55" borderId="148" applyNumberFormat="0" applyAlignment="0" applyProtection="0"/>
    <xf numFmtId="0" fontId="62" fillId="55" borderId="147" applyNumberFormat="0" applyAlignment="0" applyProtection="0"/>
    <xf numFmtId="0" fontId="46" fillId="55" borderId="148" applyNumberFormat="0" applyAlignment="0" applyProtection="0"/>
    <xf numFmtId="0" fontId="34" fillId="0" borderId="158">
      <alignment horizontal="right" vertical="center"/>
    </xf>
    <xf numFmtId="0" fontId="65" fillId="0" borderId="149" applyNumberFormat="0" applyFill="0" applyAlignment="0" applyProtection="0"/>
    <xf numFmtId="4" fontId="34" fillId="0" borderId="151">
      <alignment horizontal="right" vertical="center"/>
    </xf>
    <xf numFmtId="0" fontId="50" fillId="0" borderId="156" applyNumberFormat="0" applyFill="0" applyAlignment="0" applyProtection="0"/>
    <xf numFmtId="0" fontId="46" fillId="55" borderId="148" applyNumberFormat="0" applyAlignment="0" applyProtection="0"/>
    <xf numFmtId="0" fontId="12" fillId="24" borderId="0" applyNumberFormat="0" applyBorder="0" applyAlignment="0" applyProtection="0"/>
    <xf numFmtId="0" fontId="58" fillId="42" borderId="148" applyNumberFormat="0" applyAlignment="0" applyProtection="0"/>
    <xf numFmtId="0" fontId="34" fillId="33" borderId="161">
      <alignment horizontal="left" vertical="center" wrapText="1" indent="2"/>
    </xf>
    <xf numFmtId="0" fontId="12" fillId="15" borderId="0" applyNumberFormat="0" applyBorder="0" applyAlignment="0" applyProtection="0"/>
    <xf numFmtId="0" fontId="34" fillId="0" borderId="158" applyNumberFormat="0" applyFill="0" applyAlignment="0" applyProtection="0"/>
    <xf numFmtId="4" fontId="32" fillId="33" borderId="158">
      <alignment horizontal="right" vertical="center"/>
    </xf>
    <xf numFmtId="0" fontId="58" fillId="42" borderId="155" applyNumberFormat="0" applyAlignment="0" applyProtection="0"/>
    <xf numFmtId="0" fontId="50" fillId="0" borderId="156" applyNumberFormat="0" applyFill="0" applyAlignment="0" applyProtection="0"/>
    <xf numFmtId="0" fontId="26" fillId="14" borderId="0" applyNumberFormat="0" applyBorder="0" applyAlignment="0" applyProtection="0"/>
    <xf numFmtId="4" fontId="32" fillId="33" borderId="152">
      <alignment horizontal="right" vertical="center"/>
    </xf>
    <xf numFmtId="4" fontId="34" fillId="32" borderId="151"/>
    <xf numFmtId="0" fontId="49" fillId="42" borderId="148" applyNumberFormat="0" applyAlignment="0" applyProtection="0"/>
    <xf numFmtId="0" fontId="65" fillId="0" borderId="149" applyNumberFormat="0" applyFill="0" applyAlignment="0" applyProtection="0"/>
    <xf numFmtId="0" fontId="2" fillId="0" borderId="12" applyNumberFormat="0" applyFill="0" applyAlignment="0" applyProtection="0"/>
    <xf numFmtId="0" fontId="32" fillId="33" borderId="158">
      <alignment horizontal="right" vertical="center"/>
    </xf>
    <xf numFmtId="0" fontId="32" fillId="33" borderId="153">
      <alignment horizontal="right" vertical="center"/>
    </xf>
    <xf numFmtId="0" fontId="26" fillId="26" borderId="0" applyNumberFormat="0" applyBorder="0" applyAlignment="0" applyProtection="0"/>
    <xf numFmtId="0" fontId="34" fillId="0" borderId="143">
      <alignment horizontal="right" vertical="center"/>
    </xf>
    <xf numFmtId="4" fontId="34" fillId="0" borderId="151">
      <alignment horizontal="right" vertical="center"/>
    </xf>
    <xf numFmtId="0" fontId="26" fillId="23" borderId="0" applyNumberFormat="0" applyBorder="0" applyAlignment="0" applyProtection="0"/>
    <xf numFmtId="173" fontId="34" fillId="59" borderId="158" applyNumberFormat="0" applyFont="0" applyBorder="0" applyAlignment="0" applyProtection="0">
      <alignment horizontal="right" vertical="center"/>
    </xf>
    <xf numFmtId="0" fontId="12" fillId="15" borderId="0" applyNumberFormat="0" applyBorder="0" applyAlignment="0" applyProtection="0"/>
    <xf numFmtId="173" fontId="34" fillId="59" borderId="151" applyNumberFormat="0" applyFont="0" applyBorder="0" applyAlignment="0" applyProtection="0">
      <alignment horizontal="right" vertical="center"/>
    </xf>
    <xf numFmtId="0" fontId="62" fillId="55" borderId="162" applyNumberFormat="0" applyAlignment="0" applyProtection="0"/>
    <xf numFmtId="0" fontId="62" fillId="55" borderId="147" applyNumberFormat="0" applyAlignment="0" applyProtection="0"/>
    <xf numFmtId="0" fontId="40" fillId="58" borderId="150" applyNumberFormat="0" applyFont="0" applyAlignment="0" applyProtection="0"/>
    <xf numFmtId="0" fontId="40" fillId="58" borderId="157" applyNumberFormat="0" applyFont="0" applyAlignment="0" applyProtection="0"/>
    <xf numFmtId="0" fontId="34" fillId="0" borderId="158" applyNumberFormat="0" applyFill="0" applyAlignment="0" applyProtection="0"/>
    <xf numFmtId="0" fontId="32" fillId="33" borderId="153">
      <alignment horizontal="right" vertical="center"/>
    </xf>
    <xf numFmtId="4" fontId="32" fillId="33" borderId="158">
      <alignment horizontal="right" vertical="center"/>
    </xf>
    <xf numFmtId="0" fontId="58" fillId="42" borderId="148" applyNumberFormat="0" applyAlignment="0" applyProtection="0"/>
    <xf numFmtId="0" fontId="40" fillId="58" borderId="150" applyNumberFormat="0" applyFont="0" applyAlignment="0" applyProtection="0"/>
    <xf numFmtId="4" fontId="32" fillId="33" borderId="151">
      <alignment horizontal="right" vertical="center"/>
    </xf>
    <xf numFmtId="4" fontId="32" fillId="31" borderId="151">
      <alignment horizontal="right" vertical="center"/>
    </xf>
    <xf numFmtId="0" fontId="34" fillId="0" borderId="158">
      <alignment horizontal="right" vertical="center"/>
    </xf>
    <xf numFmtId="0" fontId="58" fillId="42" borderId="148" applyNumberFormat="0" applyAlignment="0" applyProtection="0"/>
    <xf numFmtId="0" fontId="5" fillId="58" borderId="150" applyNumberFormat="0" applyFont="0" applyAlignment="0" applyProtection="0"/>
    <xf numFmtId="0" fontId="32" fillId="33" borderId="152">
      <alignment horizontal="right" vertical="center"/>
    </xf>
    <xf numFmtId="0" fontId="34" fillId="32" borderId="151"/>
    <xf numFmtId="0" fontId="26" fillId="16" borderId="0" applyNumberFormat="0" applyBorder="0" applyAlignment="0" applyProtection="0"/>
    <xf numFmtId="0" fontId="34" fillId="0" borderId="151">
      <alignment horizontal="right" vertical="center"/>
    </xf>
    <xf numFmtId="0" fontId="12" fillId="15" borderId="0" applyNumberFormat="0" applyBorder="0" applyAlignment="0" applyProtection="0"/>
    <xf numFmtId="4" fontId="32" fillId="33" borderId="151">
      <alignment horizontal="right" vertical="center"/>
    </xf>
    <xf numFmtId="0" fontId="34" fillId="0" borderId="151" applyNumberFormat="0" applyFill="0" applyAlignment="0" applyProtection="0"/>
    <xf numFmtId="173" fontId="34" fillId="59" borderId="158" applyNumberFormat="0" applyFont="0" applyBorder="0" applyAlignment="0" applyProtection="0">
      <alignment horizontal="right" vertical="center"/>
    </xf>
    <xf numFmtId="0" fontId="40" fillId="58" borderId="157" applyNumberFormat="0" applyFont="0" applyAlignment="0" applyProtection="0"/>
    <xf numFmtId="0" fontId="40" fillId="58" borderId="150" applyNumberFormat="0" applyFont="0" applyAlignment="0" applyProtection="0"/>
    <xf numFmtId="0" fontId="1" fillId="0" borderId="0" applyNumberFormat="0" applyFill="0" applyBorder="0" applyAlignment="0" applyProtection="0"/>
    <xf numFmtId="0" fontId="43" fillId="55" borderId="147" applyNumberFormat="0" applyAlignment="0" applyProtection="0"/>
    <xf numFmtId="0" fontId="49" fillId="42" borderId="148" applyNumberFormat="0" applyAlignment="0" applyProtection="0"/>
    <xf numFmtId="0" fontId="45" fillId="55" borderId="148" applyNumberFormat="0" applyAlignment="0" applyProtection="0"/>
    <xf numFmtId="4" fontId="34" fillId="32" borderId="151"/>
    <xf numFmtId="0" fontId="58" fillId="42" borderId="155" applyNumberFormat="0" applyAlignment="0" applyProtection="0"/>
    <xf numFmtId="0" fontId="46" fillId="55" borderId="155" applyNumberFormat="0" applyAlignment="0" applyProtection="0"/>
    <xf numFmtId="4" fontId="32" fillId="33" borderId="151">
      <alignment horizontal="right" vertical="center"/>
    </xf>
    <xf numFmtId="0" fontId="65" fillId="0" borderId="149" applyNumberFormat="0" applyFill="0" applyAlignment="0" applyProtection="0"/>
    <xf numFmtId="0" fontId="12" fillId="15" borderId="0" applyNumberFormat="0" applyBorder="0" applyAlignment="0" applyProtection="0"/>
    <xf numFmtId="0" fontId="40" fillId="58" borderId="157" applyNumberFormat="0" applyFont="0" applyAlignment="0" applyProtection="0"/>
    <xf numFmtId="0" fontId="32" fillId="33" borderId="152">
      <alignment horizontal="right" vertical="center"/>
    </xf>
    <xf numFmtId="4" fontId="34" fillId="0" borderId="158" applyFill="0" applyBorder="0" applyProtection="0">
      <alignment horizontal="right" vertical="center"/>
    </xf>
    <xf numFmtId="0" fontId="32" fillId="33" borderId="159">
      <alignment horizontal="right" vertical="center"/>
    </xf>
    <xf numFmtId="0" fontId="58" fillId="42" borderId="148" applyNumberFormat="0" applyAlignment="0" applyProtection="0"/>
    <xf numFmtId="0" fontId="58" fillId="42" borderId="155" applyNumberFormat="0" applyAlignment="0" applyProtection="0"/>
    <xf numFmtId="173" fontId="34" fillId="59" borderId="151" applyNumberFormat="0" applyFont="0" applyBorder="0" applyAlignment="0" applyProtection="0">
      <alignment horizontal="right" vertical="center"/>
    </xf>
    <xf numFmtId="0" fontId="34" fillId="32" borderId="151"/>
    <xf numFmtId="4" fontId="32" fillId="33" borderId="151">
      <alignment horizontal="right" vertical="center"/>
    </xf>
    <xf numFmtId="0" fontId="65" fillId="0" borderId="149" applyNumberFormat="0" applyFill="0" applyAlignment="0" applyProtection="0"/>
    <xf numFmtId="0" fontId="34" fillId="32" borderId="151"/>
    <xf numFmtId="49" fontId="34" fillId="0" borderId="152" applyNumberFormat="0" applyFont="0" applyFill="0" applyBorder="0" applyProtection="0">
      <alignment horizontal="left" vertical="center" indent="5"/>
    </xf>
    <xf numFmtId="0" fontId="32" fillId="31" borderId="151">
      <alignment horizontal="right" vertical="center"/>
    </xf>
    <xf numFmtId="0" fontId="45" fillId="55" borderId="155" applyNumberFormat="0" applyAlignment="0" applyProtection="0"/>
    <xf numFmtId="0" fontId="45" fillId="55" borderId="148" applyNumberFormat="0" applyAlignment="0" applyProtection="0"/>
    <xf numFmtId="0" fontId="49" fillId="42" borderId="148" applyNumberFormat="0" applyAlignment="0" applyProtection="0"/>
    <xf numFmtId="0" fontId="5" fillId="58" borderId="157" applyNumberFormat="0" applyFont="0" applyAlignment="0" applyProtection="0"/>
    <xf numFmtId="0" fontId="26" fillId="14" borderId="0" applyNumberFormat="0" applyBorder="0" applyAlignment="0" applyProtection="0"/>
    <xf numFmtId="49" fontId="33" fillId="0" borderId="151" applyNumberFormat="0" applyFill="0" applyBorder="0" applyProtection="0">
      <alignment horizontal="left" vertical="center"/>
    </xf>
    <xf numFmtId="0" fontId="26" fillId="25" borderId="0" applyNumberFormat="0" applyBorder="0" applyAlignment="0" applyProtection="0"/>
    <xf numFmtId="0" fontId="36" fillId="31" borderId="151">
      <alignment horizontal="right" vertical="center"/>
    </xf>
    <xf numFmtId="173" fontId="34" fillId="59" borderId="158" applyNumberFormat="0" applyFont="0" applyBorder="0" applyAlignment="0" applyProtection="0">
      <alignment horizontal="right" vertical="center"/>
    </xf>
    <xf numFmtId="0" fontId="32" fillId="31" borderId="151">
      <alignment horizontal="right" vertical="center"/>
    </xf>
    <xf numFmtId="4" fontId="32" fillId="33" borderId="153">
      <alignment horizontal="right" vertical="center"/>
    </xf>
    <xf numFmtId="0" fontId="40" fillId="58" borderId="157" applyNumberFormat="0" applyFont="0" applyAlignment="0" applyProtection="0"/>
    <xf numFmtId="0" fontId="34" fillId="32" borderId="158"/>
    <xf numFmtId="4" fontId="34" fillId="0" borderId="151" applyFill="0" applyBorder="0" applyProtection="0">
      <alignment horizontal="right" vertical="center"/>
    </xf>
    <xf numFmtId="0" fontId="45" fillId="55" borderId="148" applyNumberFormat="0" applyAlignment="0" applyProtection="0"/>
    <xf numFmtId="4" fontId="32" fillId="33" borderId="160">
      <alignment horizontal="right" vertical="center"/>
    </xf>
    <xf numFmtId="0" fontId="32" fillId="33" borderId="152">
      <alignment horizontal="right" vertical="center"/>
    </xf>
    <xf numFmtId="4" fontId="32" fillId="33" borderId="152">
      <alignment horizontal="right" vertical="center"/>
    </xf>
    <xf numFmtId="0" fontId="65" fillId="0" borderId="156" applyNumberFormat="0" applyFill="0" applyAlignment="0" applyProtection="0"/>
    <xf numFmtId="0" fontId="46" fillId="55" borderId="155" applyNumberFormat="0" applyAlignment="0" applyProtection="0"/>
    <xf numFmtId="0" fontId="32" fillId="33" borderId="160">
      <alignment horizontal="right" vertical="center"/>
    </xf>
    <xf numFmtId="0" fontId="45" fillId="55" borderId="148" applyNumberFormat="0" applyAlignment="0" applyProtection="0"/>
    <xf numFmtId="0" fontId="12" fillId="30" borderId="0" applyNumberFormat="0" applyBorder="0" applyAlignment="0" applyProtection="0"/>
    <xf numFmtId="0" fontId="46" fillId="55" borderId="148" applyNumberFormat="0" applyAlignment="0" applyProtection="0"/>
    <xf numFmtId="0" fontId="29" fillId="12" borderId="10" applyNumberFormat="0" applyAlignment="0" applyProtection="0"/>
    <xf numFmtId="0" fontId="46" fillId="55" borderId="148" applyNumberFormat="0" applyAlignment="0" applyProtection="0"/>
    <xf numFmtId="0" fontId="46" fillId="55" borderId="155" applyNumberFormat="0" applyAlignment="0" applyProtection="0"/>
    <xf numFmtId="0" fontId="49" fillId="42" borderId="148" applyNumberFormat="0" applyAlignment="0" applyProtection="0"/>
    <xf numFmtId="4" fontId="34" fillId="0" borderId="158">
      <alignment horizontal="right" vertical="center"/>
    </xf>
    <xf numFmtId="49" fontId="33" fillId="0" borderId="151" applyNumberFormat="0" applyFill="0" applyBorder="0" applyProtection="0">
      <alignment horizontal="left" vertical="center"/>
    </xf>
    <xf numFmtId="0" fontId="34" fillId="0" borderId="158" applyNumberFormat="0" applyFill="0" applyAlignment="0" applyProtection="0"/>
    <xf numFmtId="4" fontId="32" fillId="33" borderId="158">
      <alignment horizontal="right" vertical="center"/>
    </xf>
    <xf numFmtId="4" fontId="32" fillId="33" borderId="160">
      <alignment horizontal="right" vertical="center"/>
    </xf>
    <xf numFmtId="0" fontId="34" fillId="0" borderId="154">
      <alignment horizontal="left" vertical="center" wrapText="1" indent="2"/>
    </xf>
    <xf numFmtId="0" fontId="34" fillId="33" borderId="154">
      <alignment horizontal="left" vertical="center" wrapText="1" indent="2"/>
    </xf>
    <xf numFmtId="0" fontId="34" fillId="33" borderId="161">
      <alignment horizontal="left" vertical="center" wrapText="1" indent="2"/>
    </xf>
    <xf numFmtId="0" fontId="34" fillId="31" borderId="159">
      <alignment horizontal="left" vertical="center"/>
    </xf>
    <xf numFmtId="4" fontId="34" fillId="0" borderId="143" applyFill="0" applyBorder="0" applyProtection="0">
      <alignment horizontal="right" vertical="center"/>
    </xf>
    <xf numFmtId="0" fontId="40" fillId="58" borderId="150" applyNumberFormat="0" applyFont="0" applyAlignment="0" applyProtection="0"/>
    <xf numFmtId="0" fontId="65" fillId="0" borderId="156" applyNumberFormat="0" applyFill="0" applyAlignment="0" applyProtection="0"/>
    <xf numFmtId="0" fontId="34" fillId="32" borderId="158"/>
    <xf numFmtId="0" fontId="26" fillId="23" borderId="0" applyNumberFormat="0" applyBorder="0" applyAlignment="0" applyProtection="0"/>
    <xf numFmtId="0" fontId="12" fillId="24" borderId="0" applyNumberFormat="0" applyBorder="0" applyAlignment="0" applyProtection="0"/>
    <xf numFmtId="0" fontId="32" fillId="33" borderId="143">
      <alignment horizontal="right" vertical="center"/>
    </xf>
    <xf numFmtId="0" fontId="12" fillId="21" borderId="0" applyNumberFormat="0" applyBorder="0" applyAlignment="0" applyProtection="0"/>
    <xf numFmtId="0" fontId="36" fillId="31" borderId="151">
      <alignment horizontal="right" vertical="center"/>
    </xf>
    <xf numFmtId="0" fontId="49" fillId="42" borderId="148" applyNumberFormat="0" applyAlignment="0" applyProtection="0"/>
    <xf numFmtId="173" fontId="34" fillId="59" borderId="151" applyNumberFormat="0" applyFont="0" applyBorder="0" applyAlignment="0" applyProtection="0">
      <alignment horizontal="right" vertical="center"/>
    </xf>
    <xf numFmtId="0" fontId="49" fillId="42" borderId="148" applyNumberFormat="0" applyAlignment="0" applyProtection="0"/>
    <xf numFmtId="4" fontId="34" fillId="0" borderId="151">
      <alignment horizontal="right" vertical="center"/>
    </xf>
    <xf numFmtId="49" fontId="34" fillId="0" borderId="151" applyNumberFormat="0" applyFont="0" applyFill="0" applyBorder="0" applyProtection="0">
      <alignment horizontal="left" vertical="center" indent="2"/>
    </xf>
    <xf numFmtId="173" fontId="34" fillId="59" borderId="151" applyNumberFormat="0" applyFont="0" applyBorder="0" applyAlignment="0" applyProtection="0">
      <alignment horizontal="right" vertical="center"/>
    </xf>
    <xf numFmtId="0" fontId="58" fillId="42" borderId="148" applyNumberFormat="0" applyAlignment="0" applyProtection="0"/>
    <xf numFmtId="49" fontId="33" fillId="0" borderId="151" applyNumberFormat="0" applyFill="0" applyBorder="0" applyProtection="0">
      <alignment horizontal="left" vertical="center"/>
    </xf>
    <xf numFmtId="0" fontId="26" fillId="13" borderId="0" applyNumberFormat="0" applyBorder="0" applyAlignment="0" applyProtection="0"/>
    <xf numFmtId="4" fontId="32" fillId="33" borderId="151">
      <alignment horizontal="right" vertical="center"/>
    </xf>
    <xf numFmtId="0" fontId="26" fillId="17" borderId="0" applyNumberFormat="0" applyBorder="0" applyAlignment="0" applyProtection="0"/>
    <xf numFmtId="0" fontId="5" fillId="58" borderId="157" applyNumberFormat="0" applyFont="0" applyAlignment="0" applyProtection="0"/>
    <xf numFmtId="0" fontId="32" fillId="31" borderId="158">
      <alignment horizontal="right" vertical="center"/>
    </xf>
    <xf numFmtId="0" fontId="36" fillId="31" borderId="151">
      <alignment horizontal="right" vertical="center"/>
    </xf>
    <xf numFmtId="0" fontId="49" fillId="42" borderId="148" applyNumberFormat="0" applyAlignment="0" applyProtection="0"/>
    <xf numFmtId="0" fontId="46" fillId="55" borderId="148" applyNumberFormat="0" applyAlignment="0" applyProtection="0"/>
    <xf numFmtId="4" fontId="34" fillId="0" borderId="151">
      <alignment horizontal="right" vertical="center"/>
    </xf>
    <xf numFmtId="0" fontId="34" fillId="33" borderId="154">
      <alignment horizontal="left" vertical="center" wrapText="1" indent="2"/>
    </xf>
    <xf numFmtId="0" fontId="34" fillId="0" borderId="154">
      <alignment horizontal="left" vertical="center" wrapText="1" indent="2"/>
    </xf>
    <xf numFmtId="0" fontId="62" fillId="55" borderId="147" applyNumberFormat="0" applyAlignment="0" applyProtection="0"/>
    <xf numFmtId="0" fontId="58" fillId="42" borderId="148" applyNumberFormat="0" applyAlignment="0" applyProtection="0"/>
    <xf numFmtId="0" fontId="45" fillId="55" borderId="148" applyNumberFormat="0" applyAlignment="0" applyProtection="0"/>
    <xf numFmtId="0" fontId="43" fillId="55" borderId="147" applyNumberFormat="0" applyAlignment="0" applyProtection="0"/>
    <xf numFmtId="0" fontId="32" fillId="33" borderId="153">
      <alignment horizontal="right" vertical="center"/>
    </xf>
    <xf numFmtId="0" fontId="36" fillId="31" borderId="151">
      <alignment horizontal="right" vertical="center"/>
    </xf>
    <xf numFmtId="4" fontId="32" fillId="31" borderId="151">
      <alignment horizontal="right" vertical="center"/>
    </xf>
    <xf numFmtId="4" fontId="32" fillId="33" borderId="151">
      <alignment horizontal="right" vertical="center"/>
    </xf>
    <xf numFmtId="49" fontId="34" fillId="0" borderId="152" applyNumberFormat="0" applyFont="0" applyFill="0" applyBorder="0" applyProtection="0">
      <alignment horizontal="left" vertical="center" indent="5"/>
    </xf>
    <xf numFmtId="4" fontId="34" fillId="0" borderId="151" applyFill="0" applyBorder="0" applyProtection="0">
      <alignment horizontal="right" vertical="center"/>
    </xf>
    <xf numFmtId="4" fontId="32" fillId="31" borderId="151">
      <alignment horizontal="right" vertical="center"/>
    </xf>
    <xf numFmtId="0" fontId="58" fillId="42" borderId="148" applyNumberFormat="0" applyAlignment="0" applyProtection="0"/>
    <xf numFmtId="0" fontId="49" fillId="42" borderId="148" applyNumberFormat="0" applyAlignment="0" applyProtection="0"/>
    <xf numFmtId="0" fontId="45" fillId="55" borderId="148" applyNumberFormat="0" applyAlignment="0" applyProtection="0"/>
    <xf numFmtId="0" fontId="34" fillId="33" borderId="154">
      <alignment horizontal="left" vertical="center" wrapText="1" indent="2"/>
    </xf>
    <xf numFmtId="0" fontId="34" fillId="0" borderId="154">
      <alignment horizontal="left" vertical="center" wrapText="1" indent="2"/>
    </xf>
    <xf numFmtId="0" fontId="34" fillId="33" borderId="154">
      <alignment horizontal="left" vertical="center" wrapText="1" indent="2"/>
    </xf>
    <xf numFmtId="0" fontId="1" fillId="0" borderId="0" applyNumberFormat="0" applyFill="0" applyBorder="0" applyAlignment="0" applyProtection="0"/>
    <xf numFmtId="173" fontId="34" fillId="59" borderId="158" applyNumberFormat="0" applyFont="0" applyBorder="0" applyAlignment="0" applyProtection="0">
      <alignment horizontal="right" vertical="center"/>
    </xf>
    <xf numFmtId="0" fontId="26" fillId="22" borderId="0" applyNumberFormat="0" applyBorder="0" applyAlignment="0" applyProtection="0"/>
    <xf numFmtId="0" fontId="65" fillId="0" borderId="156" applyNumberFormat="0" applyFill="0" applyAlignment="0" applyProtection="0"/>
    <xf numFmtId="0" fontId="40" fillId="58" borderId="157" applyNumberFormat="0" applyFont="0" applyAlignment="0" applyProtection="0"/>
    <xf numFmtId="0" fontId="49" fillId="42" borderId="155" applyNumberFormat="0" applyAlignment="0" applyProtection="0"/>
    <xf numFmtId="0" fontId="46" fillId="55" borderId="155" applyNumberFormat="0" applyAlignment="0" applyProtection="0"/>
    <xf numFmtId="0" fontId="32" fillId="33" borderId="158">
      <alignment horizontal="right" vertical="center"/>
    </xf>
    <xf numFmtId="4" fontId="34" fillId="32" borderId="158"/>
    <xf numFmtId="0" fontId="26" fillId="14" borderId="0" applyNumberFormat="0" applyBorder="0" applyAlignment="0" applyProtection="0"/>
    <xf numFmtId="0" fontId="46" fillId="55" borderId="155" applyNumberFormat="0" applyAlignment="0" applyProtection="0"/>
    <xf numFmtId="0" fontId="46" fillId="55" borderId="155" applyNumberFormat="0" applyAlignment="0" applyProtection="0"/>
    <xf numFmtId="0" fontId="32" fillId="33" borderId="158">
      <alignment horizontal="right" vertical="center"/>
    </xf>
    <xf numFmtId="0" fontId="34" fillId="33" borderId="161">
      <alignment horizontal="left" vertical="center" wrapText="1" indent="2"/>
    </xf>
    <xf numFmtId="0" fontId="58" fillId="42" borderId="155" applyNumberFormat="0" applyAlignment="0" applyProtection="0"/>
    <xf numFmtId="0" fontId="26" fillId="29" borderId="0" applyNumberFormat="0" applyBorder="0" applyAlignment="0" applyProtection="0"/>
    <xf numFmtId="0" fontId="58" fillId="42" borderId="155" applyNumberFormat="0" applyAlignment="0" applyProtection="0"/>
    <xf numFmtId="0" fontId="40" fillId="58" borderId="157" applyNumberFormat="0" applyFont="0" applyAlignment="0" applyProtection="0"/>
    <xf numFmtId="0" fontId="12" fillId="18" borderId="0" applyNumberFormat="0" applyBorder="0" applyAlignment="0" applyProtection="0"/>
    <xf numFmtId="0" fontId="34" fillId="0" borderId="158">
      <alignment horizontal="right" vertical="center"/>
    </xf>
    <xf numFmtId="0" fontId="36" fillId="31" borderId="158">
      <alignment horizontal="right" vertical="center"/>
    </xf>
    <xf numFmtId="0" fontId="43" fillId="55" borderId="162" applyNumberFormat="0" applyAlignment="0" applyProtection="0"/>
    <xf numFmtId="0" fontId="50" fillId="0" borderId="156" applyNumberFormat="0" applyFill="0" applyAlignment="0" applyProtection="0"/>
    <xf numFmtId="0" fontId="34" fillId="31" borderId="159">
      <alignment horizontal="left" vertical="center"/>
    </xf>
    <xf numFmtId="0" fontId="58" fillId="42" borderId="155" applyNumberFormat="0" applyAlignment="0" applyProtection="0"/>
    <xf numFmtId="0" fontId="40" fillId="58" borderId="157" applyNumberFormat="0" applyFont="0" applyAlignment="0" applyProtection="0"/>
    <xf numFmtId="0" fontId="26" fillId="26" borderId="0" applyNumberFormat="0" applyBorder="0" applyAlignment="0" applyProtection="0"/>
    <xf numFmtId="0" fontId="26" fillId="17" borderId="0" applyNumberFormat="0" applyBorder="0" applyAlignment="0" applyProtection="0"/>
    <xf numFmtId="0" fontId="50" fillId="0" borderId="156" applyNumberFormat="0" applyFill="0" applyAlignment="0" applyProtection="0"/>
    <xf numFmtId="49" fontId="34" fillId="0" borderId="158" applyNumberFormat="0" applyFont="0" applyFill="0" applyBorder="0" applyProtection="0">
      <alignment horizontal="left" vertical="center" indent="2"/>
    </xf>
    <xf numFmtId="0" fontId="46" fillId="55" borderId="155" applyNumberFormat="0" applyAlignment="0" applyProtection="0"/>
    <xf numFmtId="0" fontId="34" fillId="0" borderId="161">
      <alignment horizontal="left" vertical="center" wrapText="1" indent="2"/>
    </xf>
    <xf numFmtId="0" fontId="34" fillId="33" borderId="161">
      <alignment horizontal="left" vertical="center" wrapText="1" indent="2"/>
    </xf>
    <xf numFmtId="0" fontId="50" fillId="0" borderId="156" applyNumberFormat="0" applyFill="0" applyAlignment="0" applyProtection="0"/>
    <xf numFmtId="0" fontId="32" fillId="33" borderId="158">
      <alignment horizontal="right" vertical="center"/>
    </xf>
    <xf numFmtId="0" fontId="49" fillId="42" borderId="155" applyNumberFormat="0" applyAlignment="0" applyProtection="0"/>
    <xf numFmtId="0" fontId="26" fillId="20" borderId="0" applyNumberFormat="0" applyBorder="0" applyAlignment="0" applyProtection="0"/>
    <xf numFmtId="0" fontId="26" fillId="13" borderId="0" applyNumberFormat="0" applyBorder="0" applyAlignment="0" applyProtection="0"/>
    <xf numFmtId="0" fontId="2" fillId="0" borderId="12" applyNumberFormat="0" applyFill="0" applyAlignment="0" applyProtection="0"/>
    <xf numFmtId="0" fontId="65" fillId="0" borderId="156" applyNumberFormat="0" applyFill="0" applyAlignment="0" applyProtection="0"/>
    <xf numFmtId="4" fontId="34" fillId="0" borderId="158">
      <alignment horizontal="right" vertical="center"/>
    </xf>
    <xf numFmtId="4" fontId="32" fillId="33" borderId="159">
      <alignment horizontal="right" vertical="center"/>
    </xf>
    <xf numFmtId="4" fontId="36" fillId="31" borderId="158">
      <alignment horizontal="right" vertical="center"/>
    </xf>
    <xf numFmtId="49" fontId="34" fillId="0" borderId="159" applyNumberFormat="0" applyFont="0" applyFill="0" applyBorder="0" applyProtection="0">
      <alignment horizontal="left" vertical="center" indent="5"/>
    </xf>
    <xf numFmtId="0" fontId="65" fillId="0" borderId="156" applyNumberFormat="0" applyFill="0" applyAlignment="0" applyProtection="0"/>
    <xf numFmtId="0" fontId="34" fillId="0" borderId="161">
      <alignment horizontal="left" vertical="center" wrapText="1" indent="2"/>
    </xf>
    <xf numFmtId="4" fontId="34" fillId="0" borderId="158" applyFill="0" applyBorder="0" applyProtection="0">
      <alignment horizontal="right" vertical="center"/>
    </xf>
    <xf numFmtId="4" fontId="34" fillId="32" borderId="158"/>
    <xf numFmtId="0" fontId="32" fillId="33" borderId="158">
      <alignment horizontal="right" vertical="center"/>
    </xf>
    <xf numFmtId="4" fontId="36" fillId="31" borderId="158">
      <alignment horizontal="right" vertical="center"/>
    </xf>
    <xf numFmtId="4" fontId="34" fillId="32" borderId="158"/>
    <xf numFmtId="4" fontId="36" fillId="31" borderId="158">
      <alignment horizontal="right" vertical="center"/>
    </xf>
    <xf numFmtId="0" fontId="32" fillId="33" borderId="158">
      <alignment horizontal="right" vertical="center"/>
    </xf>
    <xf numFmtId="0" fontId="34" fillId="0" borderId="161">
      <alignment horizontal="left" vertical="center" wrapText="1" indent="2"/>
    </xf>
    <xf numFmtId="0" fontId="43" fillId="55" borderId="162" applyNumberFormat="0" applyAlignment="0" applyProtection="0"/>
    <xf numFmtId="0" fontId="43" fillId="55" borderId="162" applyNumberFormat="0" applyAlignment="0" applyProtection="0"/>
    <xf numFmtId="0" fontId="32" fillId="31" borderId="158">
      <alignment horizontal="right" vertical="center"/>
    </xf>
    <xf numFmtId="0" fontId="32" fillId="31" borderId="158">
      <alignment horizontal="right" vertical="center"/>
    </xf>
    <xf numFmtId="0" fontId="58" fillId="42" borderId="155" applyNumberFormat="0" applyAlignment="0" applyProtection="0"/>
    <xf numFmtId="4" fontId="36" fillId="31" borderId="158">
      <alignment horizontal="right" vertical="center"/>
    </xf>
    <xf numFmtId="49" fontId="33" fillId="0" borderId="158" applyNumberFormat="0" applyFill="0" applyBorder="0" applyProtection="0">
      <alignment horizontal="left" vertical="center"/>
    </xf>
    <xf numFmtId="0" fontId="58" fillId="42" borderId="155" applyNumberFormat="0" applyAlignment="0" applyProtection="0"/>
    <xf numFmtId="0" fontId="49" fillId="42" borderId="155" applyNumberFormat="0" applyAlignment="0" applyProtection="0"/>
    <xf numFmtId="0" fontId="32" fillId="31" borderId="158">
      <alignment horizontal="right" vertical="center"/>
    </xf>
    <xf numFmtId="0" fontId="65" fillId="0" borderId="156" applyNumberFormat="0" applyFill="0" applyAlignment="0" applyProtection="0"/>
    <xf numFmtId="4" fontId="34" fillId="32" borderId="158"/>
    <xf numFmtId="0" fontId="65" fillId="0" borderId="156" applyNumberFormat="0" applyFill="0" applyAlignment="0" applyProtection="0"/>
    <xf numFmtId="0" fontId="43" fillId="55" borderId="162" applyNumberFormat="0" applyAlignment="0" applyProtection="0"/>
    <xf numFmtId="0" fontId="34" fillId="32" borderId="158"/>
    <xf numFmtId="0" fontId="32" fillId="33" borderId="159">
      <alignment horizontal="right" vertical="center"/>
    </xf>
    <xf numFmtId="0" fontId="32" fillId="33" borderId="158">
      <alignment horizontal="right" vertical="center"/>
    </xf>
    <xf numFmtId="0" fontId="12" fillId="30" borderId="0" applyNumberFormat="0" applyBorder="0" applyAlignment="0" applyProtection="0"/>
    <xf numFmtId="0" fontId="34" fillId="0" borderId="161">
      <alignment horizontal="left" vertical="center" wrapText="1" indent="2"/>
    </xf>
    <xf numFmtId="0" fontId="34" fillId="32" borderId="158"/>
    <xf numFmtId="0" fontId="65" fillId="0" borderId="156" applyNumberFormat="0" applyFill="0" applyAlignment="0" applyProtection="0"/>
    <xf numFmtId="0" fontId="34" fillId="33" borderId="161">
      <alignment horizontal="left" vertical="center" wrapText="1" indent="2"/>
    </xf>
    <xf numFmtId="49" fontId="34" fillId="0" borderId="159" applyNumberFormat="0" applyFont="0" applyFill="0" applyBorder="0" applyProtection="0">
      <alignment horizontal="left" vertical="center" indent="5"/>
    </xf>
    <xf numFmtId="4" fontId="36" fillId="31" borderId="158">
      <alignment horizontal="right" vertical="center"/>
    </xf>
    <xf numFmtId="49" fontId="34" fillId="0" borderId="158" applyNumberFormat="0" applyFont="0" applyFill="0" applyBorder="0" applyProtection="0">
      <alignment horizontal="left" vertical="center" indent="2"/>
    </xf>
    <xf numFmtId="0" fontId="49" fillId="42" borderId="155" applyNumberFormat="0" applyAlignment="0" applyProtection="0"/>
    <xf numFmtId="0" fontId="62" fillId="55" borderId="162" applyNumberFormat="0" applyAlignment="0" applyProtection="0"/>
    <xf numFmtId="4" fontId="32" fillId="33" borderId="160">
      <alignment horizontal="right" vertical="center"/>
    </xf>
    <xf numFmtId="0" fontId="26" fillId="25" borderId="0" applyNumberFormat="0" applyBorder="0" applyAlignment="0" applyProtection="0"/>
    <xf numFmtId="0" fontId="65" fillId="0" borderId="156" applyNumberFormat="0" applyFill="0" applyAlignment="0" applyProtection="0"/>
    <xf numFmtId="0" fontId="58" fillId="42" borderId="155" applyNumberFormat="0" applyAlignment="0" applyProtection="0"/>
    <xf numFmtId="0" fontId="62" fillId="55" borderId="162" applyNumberFormat="0" applyAlignment="0" applyProtection="0"/>
    <xf numFmtId="0" fontId="65" fillId="0" borderId="156" applyNumberFormat="0" applyFill="0" applyAlignment="0" applyProtection="0"/>
    <xf numFmtId="4" fontId="32" fillId="33" borderId="159">
      <alignment horizontal="right" vertical="center"/>
    </xf>
    <xf numFmtId="0" fontId="26" fillId="20" borderId="0" applyNumberFormat="0" applyBorder="0" applyAlignment="0" applyProtection="0"/>
    <xf numFmtId="0" fontId="12" fillId="27" borderId="0" applyNumberFormat="0" applyBorder="0" applyAlignment="0" applyProtection="0"/>
    <xf numFmtId="4" fontId="32" fillId="33" borderId="158">
      <alignment horizontal="right" vertical="center"/>
    </xf>
    <xf numFmtId="4" fontId="32" fillId="33" borderId="159">
      <alignment horizontal="right" vertical="center"/>
    </xf>
    <xf numFmtId="0" fontId="32" fillId="33" borderId="159">
      <alignment horizontal="right" vertical="center"/>
    </xf>
    <xf numFmtId="4" fontId="32" fillId="33" borderId="158">
      <alignment horizontal="right" vertical="center"/>
    </xf>
    <xf numFmtId="0" fontId="50" fillId="0" borderId="156" applyNumberFormat="0" applyFill="0" applyAlignment="0" applyProtection="0"/>
    <xf numFmtId="0" fontId="26" fillId="28" borderId="0" applyNumberFormat="0" applyBorder="0" applyAlignment="0" applyProtection="0"/>
    <xf numFmtId="0" fontId="32" fillId="33" borderId="159">
      <alignment horizontal="right" vertical="center"/>
    </xf>
    <xf numFmtId="0" fontId="45" fillId="55" borderId="155" applyNumberFormat="0" applyAlignment="0" applyProtection="0"/>
    <xf numFmtId="0" fontId="29" fillId="12" borderId="10" applyNumberFormat="0" applyAlignment="0" applyProtection="0"/>
    <xf numFmtId="4" fontId="32" fillId="33" borderId="160">
      <alignment horizontal="right" vertical="center"/>
    </xf>
    <xf numFmtId="0" fontId="34" fillId="32" borderId="158"/>
    <xf numFmtId="0" fontId="12" fillId="27" borderId="0" applyNumberFormat="0" applyBorder="0" applyAlignment="0" applyProtection="0"/>
    <xf numFmtId="0" fontId="26" fillId="14" borderId="0" applyNumberFormat="0" applyBorder="0" applyAlignment="0" applyProtection="0"/>
    <xf numFmtId="0" fontId="34" fillId="0" borderId="161">
      <alignment horizontal="left" vertical="center" wrapText="1" indent="2"/>
    </xf>
    <xf numFmtId="4" fontId="34" fillId="0" borderId="158">
      <alignment horizontal="right" vertical="center"/>
    </xf>
    <xf numFmtId="0" fontId="49" fillId="42" borderId="155" applyNumberFormat="0" applyAlignment="0" applyProtection="0"/>
    <xf numFmtId="0" fontId="32" fillId="33" borderId="160">
      <alignment horizontal="right" vertical="center"/>
    </xf>
    <xf numFmtId="173" fontId="34" fillId="59" borderId="158" applyNumberFormat="0" applyFont="0" applyBorder="0" applyAlignment="0" applyProtection="0">
      <alignment horizontal="right" vertical="center"/>
    </xf>
    <xf numFmtId="49" fontId="34" fillId="0" borderId="158" applyNumberFormat="0" applyFont="0" applyFill="0" applyBorder="0" applyProtection="0">
      <alignment horizontal="left" vertical="center" indent="2"/>
    </xf>
    <xf numFmtId="0" fontId="32" fillId="33" borderId="158">
      <alignment horizontal="right" vertical="center"/>
    </xf>
    <xf numFmtId="0" fontId="36" fillId="31" borderId="158">
      <alignment horizontal="right" vertical="center"/>
    </xf>
    <xf numFmtId="4" fontId="32" fillId="33" borderId="159">
      <alignment horizontal="right" vertical="center"/>
    </xf>
    <xf numFmtId="0" fontId="32" fillId="31" borderId="158">
      <alignment horizontal="right" vertical="center"/>
    </xf>
    <xf numFmtId="0" fontId="12" fillId="27" borderId="0" applyNumberFormat="0" applyBorder="0" applyAlignment="0" applyProtection="0"/>
    <xf numFmtId="0" fontId="32" fillId="33" borderId="159">
      <alignment horizontal="right" vertical="center"/>
    </xf>
    <xf numFmtId="0" fontId="62" fillId="55" borderId="162" applyNumberFormat="0" applyAlignment="0" applyProtection="0"/>
    <xf numFmtId="0" fontId="65" fillId="0" borderId="156" applyNumberFormat="0" applyFill="0" applyAlignment="0" applyProtection="0"/>
    <xf numFmtId="0" fontId="26" fillId="22" borderId="0" applyNumberFormat="0" applyBorder="0" applyAlignment="0" applyProtection="0"/>
    <xf numFmtId="0" fontId="40" fillId="58" borderId="157" applyNumberFormat="0" applyFont="0" applyAlignment="0" applyProtection="0"/>
    <xf numFmtId="0" fontId="26" fillId="20" borderId="0" applyNumberFormat="0" applyBorder="0" applyAlignment="0" applyProtection="0"/>
    <xf numFmtId="0" fontId="32" fillId="31" borderId="158">
      <alignment horizontal="right" vertical="center"/>
    </xf>
    <xf numFmtId="0" fontId="62" fillId="55" borderId="162" applyNumberFormat="0" applyAlignment="0" applyProtection="0"/>
    <xf numFmtId="4" fontId="32" fillId="31" borderId="158">
      <alignment horizontal="right" vertical="center"/>
    </xf>
    <xf numFmtId="0" fontId="34" fillId="0" borderId="158" applyNumberFormat="0" applyFill="0" applyAlignment="0" applyProtection="0"/>
    <xf numFmtId="0" fontId="26" fillId="23" borderId="0" applyNumberFormat="0" applyBorder="0" applyAlignment="0" applyProtection="0"/>
    <xf numFmtId="0" fontId="5" fillId="58" borderId="157" applyNumberFormat="0" applyFont="0" applyAlignment="0" applyProtection="0"/>
    <xf numFmtId="0" fontId="58" fillId="42" borderId="155" applyNumberFormat="0" applyAlignment="0" applyProtection="0"/>
    <xf numFmtId="0" fontId="65" fillId="0" borderId="156" applyNumberFormat="0" applyFill="0" applyAlignment="0" applyProtection="0"/>
    <xf numFmtId="0" fontId="26" fillId="28" borderId="0" applyNumberFormat="0" applyBorder="0" applyAlignment="0" applyProtection="0"/>
    <xf numFmtId="0" fontId="26" fillId="19" borderId="0" applyNumberFormat="0" applyBorder="0" applyAlignment="0" applyProtection="0"/>
    <xf numFmtId="0" fontId="34" fillId="32" borderId="158"/>
    <xf numFmtId="0" fontId="45" fillId="55" borderId="155" applyNumberFormat="0" applyAlignment="0" applyProtection="0"/>
    <xf numFmtId="0" fontId="26" fillId="23" borderId="0" applyNumberFormat="0" applyBorder="0" applyAlignment="0" applyProtection="0"/>
    <xf numFmtId="4" fontId="32" fillId="33" borderId="160">
      <alignment horizontal="right" vertical="center"/>
    </xf>
    <xf numFmtId="0" fontId="26" fillId="25" borderId="0" applyNumberFormat="0" applyBorder="0" applyAlignment="0" applyProtection="0"/>
    <xf numFmtId="0" fontId="58" fillId="42" borderId="155" applyNumberFormat="0" applyAlignment="0" applyProtection="0"/>
    <xf numFmtId="0" fontId="34" fillId="0" borderId="158">
      <alignment horizontal="right" vertical="center"/>
    </xf>
    <xf numFmtId="0" fontId="5" fillId="58" borderId="157" applyNumberFormat="0" applyFont="0" applyAlignment="0" applyProtection="0"/>
    <xf numFmtId="0" fontId="26" fillId="19" borderId="0" applyNumberFormat="0" applyBorder="0" applyAlignment="0" applyProtection="0"/>
    <xf numFmtId="0" fontId="30" fillId="0" borderId="0" applyNumberFormat="0" applyFill="0" applyBorder="0" applyAlignment="0" applyProtection="0"/>
    <xf numFmtId="4" fontId="32" fillId="33" borderId="159">
      <alignment horizontal="right" vertical="center"/>
    </xf>
    <xf numFmtId="0" fontId="65" fillId="0" borderId="156" applyNumberFormat="0" applyFill="0" applyAlignment="0" applyProtection="0"/>
    <xf numFmtId="0" fontId="62" fillId="55" borderId="162" applyNumberFormat="0" applyAlignment="0" applyProtection="0"/>
    <xf numFmtId="0" fontId="58" fillId="42" borderId="155" applyNumberFormat="0" applyAlignment="0" applyProtection="0"/>
    <xf numFmtId="49" fontId="33" fillId="0" borderId="158" applyNumberFormat="0" applyFill="0" applyBorder="0" applyProtection="0">
      <alignment horizontal="left" vertical="center"/>
    </xf>
    <xf numFmtId="0" fontId="32" fillId="33" borderId="158">
      <alignment horizontal="right" vertical="center"/>
    </xf>
    <xf numFmtId="49" fontId="34" fillId="0" borderId="159" applyNumberFormat="0" applyFont="0" applyFill="0" applyBorder="0" applyProtection="0">
      <alignment horizontal="left" vertical="center" indent="5"/>
    </xf>
    <xf numFmtId="0" fontId="46" fillId="55" borderId="155" applyNumberFormat="0" applyAlignment="0" applyProtection="0"/>
    <xf numFmtId="0" fontId="50" fillId="0" borderId="156" applyNumberFormat="0" applyFill="0" applyAlignment="0" applyProtection="0"/>
    <xf numFmtId="4" fontId="32" fillId="33" borderId="158">
      <alignment horizontal="right" vertical="center"/>
    </xf>
    <xf numFmtId="0" fontId="12" fillId="15" borderId="0" applyNumberFormat="0" applyBorder="0" applyAlignment="0" applyProtection="0"/>
    <xf numFmtId="0" fontId="34" fillId="0" borderId="158">
      <alignment horizontal="right" vertical="center"/>
    </xf>
    <xf numFmtId="0" fontId="5" fillId="58" borderId="157" applyNumberFormat="0" applyFont="0" applyAlignment="0" applyProtection="0"/>
    <xf numFmtId="0" fontId="65" fillId="0" borderId="156" applyNumberFormat="0" applyFill="0" applyAlignment="0" applyProtection="0"/>
    <xf numFmtId="0" fontId="12" fillId="30" borderId="0" applyNumberFormat="0" applyBorder="0" applyAlignment="0" applyProtection="0"/>
    <xf numFmtId="0" fontId="65" fillId="0" borderId="156" applyNumberFormat="0" applyFill="0" applyAlignment="0" applyProtection="0"/>
    <xf numFmtId="0" fontId="36" fillId="31" borderId="158">
      <alignment horizontal="right" vertical="center"/>
    </xf>
    <xf numFmtId="0" fontId="58" fillId="42" borderId="155" applyNumberFormat="0" applyAlignment="0" applyProtection="0"/>
    <xf numFmtId="4" fontId="32" fillId="33" borderId="158">
      <alignment horizontal="right" vertical="center"/>
    </xf>
    <xf numFmtId="0" fontId="49" fillId="42" borderId="155" applyNumberFormat="0" applyAlignment="0" applyProtection="0"/>
    <xf numFmtId="0" fontId="34" fillId="33" borderId="161">
      <alignment horizontal="left" vertical="center" wrapText="1" indent="2"/>
    </xf>
    <xf numFmtId="4" fontId="32" fillId="33" borderId="158">
      <alignment horizontal="right" vertical="center"/>
    </xf>
    <xf numFmtId="0" fontId="32" fillId="33" borderId="158">
      <alignment horizontal="right" vertical="center"/>
    </xf>
    <xf numFmtId="0" fontId="26" fillId="26" borderId="0" applyNumberFormat="0" applyBorder="0" applyAlignment="0" applyProtection="0"/>
    <xf numFmtId="0" fontId="36" fillId="31" borderId="158">
      <alignment horizontal="right" vertical="center"/>
    </xf>
    <xf numFmtId="0" fontId="40" fillId="58" borderId="157" applyNumberFormat="0" applyFont="0" applyAlignment="0" applyProtection="0"/>
    <xf numFmtId="0" fontId="12" fillId="24" borderId="0" applyNumberFormat="0" applyBorder="0" applyAlignment="0" applyProtection="0"/>
    <xf numFmtId="0" fontId="32" fillId="33" borderId="158">
      <alignment horizontal="right" vertical="center"/>
    </xf>
    <xf numFmtId="0" fontId="46" fillId="55" borderId="155" applyNumberFormat="0" applyAlignment="0" applyProtection="0"/>
    <xf numFmtId="4" fontId="32" fillId="33" borderId="158">
      <alignment horizontal="right" vertical="center"/>
    </xf>
    <xf numFmtId="0" fontId="12" fillId="30" borderId="0" applyNumberFormat="0" applyBorder="0" applyAlignment="0" applyProtection="0"/>
    <xf numFmtId="49" fontId="34" fillId="0" borderId="158" applyNumberFormat="0" applyFont="0" applyFill="0" applyBorder="0" applyProtection="0">
      <alignment horizontal="left" vertical="center" indent="2"/>
    </xf>
    <xf numFmtId="0" fontId="62" fillId="55" borderId="162" applyNumberFormat="0" applyAlignment="0" applyProtection="0"/>
    <xf numFmtId="0" fontId="26" fillId="29" borderId="0" applyNumberFormat="0" applyBorder="0" applyAlignment="0" applyProtection="0"/>
    <xf numFmtId="4" fontId="36" fillId="31" borderId="158">
      <alignment horizontal="right" vertical="center"/>
    </xf>
    <xf numFmtId="0" fontId="34" fillId="32" borderId="158"/>
    <xf numFmtId="0" fontId="65" fillId="0" borderId="156" applyNumberFormat="0" applyFill="0" applyAlignment="0" applyProtection="0"/>
    <xf numFmtId="0" fontId="46" fillId="55" borderId="155" applyNumberFormat="0" applyAlignment="0" applyProtection="0"/>
    <xf numFmtId="0" fontId="46" fillId="55" borderId="155" applyNumberFormat="0" applyAlignment="0" applyProtection="0"/>
    <xf numFmtId="0" fontId="34" fillId="33" borderId="161">
      <alignment horizontal="left" vertical="center" wrapText="1" indent="2"/>
    </xf>
    <xf numFmtId="0" fontId="49" fillId="42" borderId="155" applyNumberFormat="0" applyAlignment="0" applyProtection="0"/>
    <xf numFmtId="0" fontId="26" fillId="23" borderId="0" applyNumberFormat="0" applyBorder="0" applyAlignment="0" applyProtection="0"/>
    <xf numFmtId="0" fontId="46" fillId="55" borderId="155" applyNumberFormat="0" applyAlignment="0" applyProtection="0"/>
    <xf numFmtId="0" fontId="26" fillId="28" borderId="0" applyNumberFormat="0" applyBorder="0" applyAlignment="0" applyProtection="0"/>
    <xf numFmtId="0" fontId="36" fillId="31" borderId="158">
      <alignment horizontal="right" vertical="center"/>
    </xf>
    <xf numFmtId="0" fontId="26" fillId="20" borderId="0" applyNumberFormat="0" applyBorder="0" applyAlignment="0" applyProtection="0"/>
    <xf numFmtId="0" fontId="32" fillId="33" borderId="158">
      <alignment horizontal="right" vertical="center"/>
    </xf>
    <xf numFmtId="0" fontId="49" fillId="42" borderId="155" applyNumberFormat="0" applyAlignment="0" applyProtection="0"/>
    <xf numFmtId="0" fontId="34" fillId="33" borderId="161">
      <alignment horizontal="left" vertical="center" wrapText="1" indent="2"/>
    </xf>
    <xf numFmtId="0" fontId="34" fillId="33" borderId="161">
      <alignment horizontal="left" vertical="center" wrapText="1" indent="2"/>
    </xf>
    <xf numFmtId="0" fontId="34" fillId="0" borderId="161">
      <alignment horizontal="left" vertical="center" wrapText="1" indent="2"/>
    </xf>
    <xf numFmtId="0" fontId="34" fillId="31" borderId="159">
      <alignment horizontal="left" vertical="center"/>
    </xf>
    <xf numFmtId="0" fontId="12" fillId="21" borderId="0" applyNumberFormat="0" applyBorder="0" applyAlignment="0" applyProtection="0"/>
    <xf numFmtId="0" fontId="49" fillId="42" borderId="155" applyNumberFormat="0" applyAlignment="0" applyProtection="0"/>
    <xf numFmtId="4" fontId="32" fillId="33" borderId="158">
      <alignment horizontal="right" vertical="center"/>
    </xf>
    <xf numFmtId="49" fontId="33" fillId="0" borderId="158" applyNumberFormat="0" applyFill="0" applyBorder="0" applyProtection="0">
      <alignment horizontal="left" vertical="center"/>
    </xf>
    <xf numFmtId="0" fontId="50" fillId="0" borderId="156" applyNumberFormat="0" applyFill="0" applyAlignment="0" applyProtection="0"/>
    <xf numFmtId="0" fontId="32" fillId="31" borderId="158">
      <alignment horizontal="right" vertical="center"/>
    </xf>
    <xf numFmtId="0" fontId="12" fillId="18" borderId="0" applyNumberFormat="0" applyBorder="0" applyAlignment="0" applyProtection="0"/>
    <xf numFmtId="4" fontId="32" fillId="33" borderId="158">
      <alignment horizontal="right" vertical="center"/>
    </xf>
    <xf numFmtId="0" fontId="12" fillId="24" borderId="0" applyNumberFormat="0" applyBorder="0" applyAlignment="0" applyProtection="0"/>
    <xf numFmtId="0" fontId="46" fillId="55" borderId="155" applyNumberFormat="0" applyAlignment="0" applyProtection="0"/>
    <xf numFmtId="0" fontId="45" fillId="55" borderId="155" applyNumberFormat="0" applyAlignment="0" applyProtection="0"/>
    <xf numFmtId="49" fontId="34" fillId="0" borderId="159" applyNumberFormat="0" applyFont="0" applyFill="0" applyBorder="0" applyProtection="0">
      <alignment horizontal="left" vertical="center" indent="5"/>
    </xf>
    <xf numFmtId="4" fontId="34" fillId="32" borderId="158"/>
    <xf numFmtId="0" fontId="40" fillId="58" borderId="157" applyNumberFormat="0" applyFont="0" applyAlignment="0" applyProtection="0"/>
    <xf numFmtId="0" fontId="28" fillId="12" borderId="11" applyNumberFormat="0" applyAlignment="0" applyProtection="0"/>
    <xf numFmtId="4" fontId="32" fillId="31" borderId="158">
      <alignment horizontal="right" vertical="center"/>
    </xf>
    <xf numFmtId="0" fontId="46" fillId="55" borderId="155" applyNumberFormat="0" applyAlignment="0" applyProtection="0"/>
    <xf numFmtId="0" fontId="12" fillId="24" borderId="0" applyNumberFormat="0" applyBorder="0" applyAlignment="0" applyProtection="0"/>
    <xf numFmtId="0" fontId="32" fillId="33" borderId="160">
      <alignment horizontal="right" vertical="center"/>
    </xf>
    <xf numFmtId="0" fontId="40" fillId="58" borderId="157" applyNumberFormat="0" applyFont="0" applyAlignment="0" applyProtection="0"/>
    <xf numFmtId="4" fontId="32" fillId="31" borderId="158">
      <alignment horizontal="right" vertical="center"/>
    </xf>
    <xf numFmtId="0" fontId="46" fillId="55" borderId="155" applyNumberFormat="0" applyAlignment="0" applyProtection="0"/>
    <xf numFmtId="0" fontId="46" fillId="55" borderId="155" applyNumberFormat="0" applyAlignment="0" applyProtection="0"/>
    <xf numFmtId="0" fontId="62" fillId="55" borderId="162" applyNumberFormat="0" applyAlignment="0" applyProtection="0"/>
    <xf numFmtId="0" fontId="34" fillId="0" borderId="158">
      <alignment horizontal="right" vertical="center"/>
    </xf>
    <xf numFmtId="49" fontId="34" fillId="0" borderId="158" applyNumberFormat="0" applyFont="0" applyFill="0" applyBorder="0" applyProtection="0">
      <alignment horizontal="left" vertical="center" indent="2"/>
    </xf>
    <xf numFmtId="0" fontId="28" fillId="12" borderId="11" applyNumberFormat="0" applyAlignment="0" applyProtection="0"/>
    <xf numFmtId="0" fontId="34" fillId="33" borderId="161">
      <alignment horizontal="left" vertical="center" wrapText="1" indent="2"/>
    </xf>
    <xf numFmtId="4" fontId="34" fillId="0" borderId="158">
      <alignment horizontal="right" vertical="center"/>
    </xf>
    <xf numFmtId="0" fontId="34" fillId="0" borderId="158">
      <alignment horizontal="right" vertical="center"/>
    </xf>
    <xf numFmtId="49" fontId="34" fillId="0" borderId="159" applyNumberFormat="0" applyFont="0" applyFill="0" applyBorder="0" applyProtection="0">
      <alignment horizontal="left" vertical="center" indent="5"/>
    </xf>
    <xf numFmtId="0" fontId="34" fillId="31" borderId="159">
      <alignment horizontal="left" vertical="center"/>
    </xf>
    <xf numFmtId="0" fontId="34" fillId="0" borderId="161">
      <alignment horizontal="left" vertical="center" wrapText="1" indent="2"/>
    </xf>
    <xf numFmtId="0" fontId="1" fillId="0" borderId="0" applyNumberFormat="0" applyFill="0" applyBorder="0" applyAlignment="0" applyProtection="0"/>
    <xf numFmtId="0" fontId="26" fillId="29" borderId="0" applyNumberFormat="0" applyBorder="0" applyAlignment="0" applyProtection="0"/>
    <xf numFmtId="0" fontId="32" fillId="31" borderId="158">
      <alignment horizontal="right" vertical="center"/>
    </xf>
    <xf numFmtId="0" fontId="50" fillId="0" borderId="156" applyNumberFormat="0" applyFill="0" applyAlignment="0" applyProtection="0"/>
    <xf numFmtId="0" fontId="34" fillId="0" borderId="158" applyNumberFormat="0" applyFill="0" applyAlignment="0" applyProtection="0"/>
    <xf numFmtId="0" fontId="50" fillId="0" borderId="156" applyNumberFormat="0" applyFill="0" applyAlignment="0" applyProtection="0"/>
    <xf numFmtId="4" fontId="34" fillId="0" borderId="158" applyFill="0" applyBorder="0" applyProtection="0">
      <alignment horizontal="right" vertical="center"/>
    </xf>
    <xf numFmtId="49" fontId="34" fillId="0" borderId="159" applyNumberFormat="0" applyFont="0" applyFill="0" applyBorder="0" applyProtection="0">
      <alignment horizontal="left" vertical="center" indent="5"/>
    </xf>
    <xf numFmtId="0" fontId="34" fillId="0" borderId="158" applyNumberFormat="0" applyFill="0" applyAlignment="0" applyProtection="0"/>
    <xf numFmtId="0" fontId="34" fillId="0" borderId="158" applyNumberFormat="0" applyFill="0" applyAlignment="0" applyProtection="0"/>
    <xf numFmtId="4" fontId="32" fillId="33" borderId="158">
      <alignment horizontal="right" vertical="center"/>
    </xf>
    <xf numFmtId="0" fontId="26" fillId="19" borderId="0" applyNumberFormat="0" applyBorder="0" applyAlignment="0" applyProtection="0"/>
    <xf numFmtId="0" fontId="49" fillId="42" borderId="155" applyNumberFormat="0" applyAlignment="0" applyProtection="0"/>
    <xf numFmtId="0" fontId="46" fillId="55" borderId="155" applyNumberFormat="0" applyAlignment="0" applyProtection="0"/>
    <xf numFmtId="4" fontId="34" fillId="0" borderId="158">
      <alignment horizontal="right" vertical="center"/>
    </xf>
    <xf numFmtId="0" fontId="34" fillId="33" borderId="161">
      <alignment horizontal="left" vertical="center" wrapText="1" indent="2"/>
    </xf>
    <xf numFmtId="0" fontId="34" fillId="0" borderId="161">
      <alignment horizontal="left" vertical="center" wrapText="1" indent="2"/>
    </xf>
    <xf numFmtId="0" fontId="62" fillId="55" borderId="162" applyNumberFormat="0" applyAlignment="0" applyProtection="0"/>
    <xf numFmtId="0" fontId="58" fillId="42" borderId="155" applyNumberFormat="0" applyAlignment="0" applyProtection="0"/>
    <xf numFmtId="0" fontId="45" fillId="55" borderId="155" applyNumberFormat="0" applyAlignment="0" applyProtection="0"/>
    <xf numFmtId="0" fontId="43" fillId="55" borderId="162" applyNumberFormat="0" applyAlignment="0" applyProtection="0"/>
    <xf numFmtId="0" fontId="32" fillId="33" borderId="160">
      <alignment horizontal="right" vertical="center"/>
    </xf>
    <xf numFmtId="0" fontId="36" fillId="31" borderId="158">
      <alignment horizontal="right" vertical="center"/>
    </xf>
    <xf numFmtId="4" fontId="32" fillId="31" borderId="158">
      <alignment horizontal="right" vertical="center"/>
    </xf>
    <xf numFmtId="4" fontId="32" fillId="33" borderId="158">
      <alignment horizontal="right" vertical="center"/>
    </xf>
    <xf numFmtId="49" fontId="34" fillId="0" borderId="159" applyNumberFormat="0" applyFont="0" applyFill="0" applyBorder="0" applyProtection="0">
      <alignment horizontal="left" vertical="center" indent="5"/>
    </xf>
    <xf numFmtId="4" fontId="34" fillId="0" borderId="158" applyFill="0" applyBorder="0" applyProtection="0">
      <alignment horizontal="right" vertical="center"/>
    </xf>
    <xf numFmtId="4" fontId="32" fillId="31" borderId="158">
      <alignment horizontal="right" vertical="center"/>
    </xf>
    <xf numFmtId="0" fontId="58" fillId="42" borderId="155" applyNumberFormat="0" applyAlignment="0" applyProtection="0"/>
    <xf numFmtId="0" fontId="49" fillId="42" borderId="155" applyNumberFormat="0" applyAlignment="0" applyProtection="0"/>
    <xf numFmtId="0" fontId="45" fillId="55" borderId="155" applyNumberFormat="0" applyAlignment="0" applyProtection="0"/>
    <xf numFmtId="0" fontId="34" fillId="33" borderId="161">
      <alignment horizontal="left" vertical="center" wrapText="1" indent="2"/>
    </xf>
    <xf numFmtId="0" fontId="34" fillId="0" borderId="161">
      <alignment horizontal="left" vertical="center" wrapText="1" indent="2"/>
    </xf>
    <xf numFmtId="0" fontId="34" fillId="33" borderId="161">
      <alignment horizontal="left" vertical="center" wrapText="1" indent="2"/>
    </xf>
    <xf numFmtId="0" fontId="34" fillId="32" borderId="175"/>
    <xf numFmtId="0" fontId="2" fillId="0" borderId="12" applyNumberFormat="0" applyFill="0" applyAlignment="0" applyProtection="0"/>
    <xf numFmtId="0" fontId="34" fillId="0" borderId="178">
      <alignment horizontal="left" vertical="center" wrapText="1" indent="2"/>
    </xf>
    <xf numFmtId="4" fontId="32" fillId="33" borderId="175">
      <alignment horizontal="right" vertical="center"/>
    </xf>
    <xf numFmtId="4" fontId="32" fillId="33" borderId="198">
      <alignment horizontal="right" vertical="center"/>
    </xf>
    <xf numFmtId="0" fontId="2" fillId="0" borderId="12" applyNumberFormat="0" applyFill="0" applyAlignment="0" applyProtection="0"/>
    <xf numFmtId="0" fontId="46" fillId="55" borderId="193" applyNumberFormat="0" applyAlignment="0" applyProtection="0"/>
    <xf numFmtId="0" fontId="26" fillId="17" borderId="0" applyNumberFormat="0" applyBorder="0" applyAlignment="0" applyProtection="0"/>
    <xf numFmtId="4" fontId="32" fillId="33" borderId="176">
      <alignment horizontal="right" vertical="center"/>
    </xf>
    <xf numFmtId="0" fontId="32" fillId="33" borderId="175">
      <alignment horizontal="right" vertical="center"/>
    </xf>
    <xf numFmtId="0" fontId="32" fillId="33" borderId="176">
      <alignment horizontal="right" vertical="center"/>
    </xf>
    <xf numFmtId="0" fontId="40" fillId="58" borderId="187" applyNumberFormat="0" applyFont="0" applyAlignment="0" applyProtection="0"/>
    <xf numFmtId="0" fontId="65" fillId="0" borderId="186" applyNumberFormat="0" applyFill="0" applyAlignment="0" applyProtection="0"/>
    <xf numFmtId="0" fontId="45" fillId="55" borderId="185" applyNumberFormat="0" applyAlignment="0" applyProtection="0"/>
    <xf numFmtId="0" fontId="32" fillId="33" borderId="180">
      <alignment horizontal="right" vertical="center"/>
    </xf>
    <xf numFmtId="4" fontId="32" fillId="33" borderId="175">
      <alignment horizontal="right" vertical="center"/>
    </xf>
    <xf numFmtId="4" fontId="34" fillId="0" borderId="198">
      <alignment horizontal="right" vertical="center"/>
    </xf>
    <xf numFmtId="0" fontId="49" fillId="42" borderId="172" applyNumberFormat="0" applyAlignment="0" applyProtection="0"/>
    <xf numFmtId="0" fontId="32" fillId="31" borderId="198">
      <alignment horizontal="right" vertical="center"/>
    </xf>
    <xf numFmtId="0" fontId="26" fillId="14" borderId="0" applyNumberFormat="0" applyBorder="0" applyAlignment="0" applyProtection="0"/>
    <xf numFmtId="4" fontId="34" fillId="32" borderId="175"/>
    <xf numFmtId="0" fontId="34" fillId="0" borderId="175" applyNumberFormat="0" applyFill="0" applyAlignment="0" applyProtection="0"/>
    <xf numFmtId="4" fontId="32" fillId="33" borderId="188">
      <alignment horizontal="right" vertical="center"/>
    </xf>
    <xf numFmtId="49" fontId="34" fillId="0" borderId="175" applyNumberFormat="0" applyFont="0" applyFill="0" applyBorder="0" applyProtection="0">
      <alignment horizontal="left" vertical="center" indent="2"/>
    </xf>
    <xf numFmtId="0" fontId="32" fillId="31" borderId="175">
      <alignment horizontal="right" vertical="center"/>
    </xf>
    <xf numFmtId="0" fontId="26" fillId="22" borderId="0" applyNumberFormat="0" applyBorder="0" applyAlignment="0" applyProtection="0"/>
    <xf numFmtId="0" fontId="1" fillId="0" borderId="0" applyNumberFormat="0" applyFill="0" applyBorder="0" applyAlignment="0" applyProtection="0"/>
    <xf numFmtId="0" fontId="5" fillId="58" borderId="174" applyNumberFormat="0" applyFont="0" applyAlignment="0" applyProtection="0"/>
    <xf numFmtId="0" fontId="32" fillId="33" borderId="177">
      <alignment horizontal="right" vertical="center"/>
    </xf>
    <xf numFmtId="0" fontId="40" fillId="58" borderId="187" applyNumberFormat="0" applyFont="0" applyAlignment="0" applyProtection="0"/>
    <xf numFmtId="0" fontId="32" fillId="33" borderId="180">
      <alignment horizontal="right" vertical="center"/>
    </xf>
    <xf numFmtId="0" fontId="34" fillId="33" borderId="201">
      <alignment horizontal="left" vertical="center" wrapText="1" indent="2"/>
    </xf>
    <xf numFmtId="0" fontId="30" fillId="0" borderId="0" applyNumberFormat="0" applyFill="0" applyBorder="0" applyAlignment="0" applyProtection="0"/>
    <xf numFmtId="0" fontId="58" fillId="42" borderId="193" applyNumberFormat="0" applyAlignment="0" applyProtection="0"/>
    <xf numFmtId="0" fontId="2" fillId="0" borderId="12" applyNumberFormat="0" applyFill="0" applyAlignment="0" applyProtection="0"/>
    <xf numFmtId="0" fontId="12" fillId="15" borderId="0" applyNumberFormat="0" applyBorder="0" applyAlignment="0" applyProtection="0"/>
    <xf numFmtId="0" fontId="34" fillId="32" borderId="180"/>
    <xf numFmtId="0" fontId="5" fillId="58" borderId="174" applyNumberFormat="0" applyFont="0" applyAlignment="0" applyProtection="0"/>
    <xf numFmtId="0" fontId="46" fillId="55" borderId="172" applyNumberFormat="0" applyAlignment="0" applyProtection="0"/>
    <xf numFmtId="0" fontId="34" fillId="31" borderId="176">
      <alignment horizontal="left" vertical="center"/>
    </xf>
    <xf numFmtId="0" fontId="45" fillId="55" borderId="193" applyNumberFormat="0" applyAlignment="0" applyProtection="0"/>
    <xf numFmtId="0" fontId="40" fillId="58" borderId="174" applyNumberFormat="0" applyFont="0" applyAlignment="0" applyProtection="0"/>
    <xf numFmtId="0" fontId="65" fillId="0" borderId="196" applyNumberFormat="0" applyFill="0" applyAlignment="0" applyProtection="0"/>
    <xf numFmtId="0" fontId="46" fillId="55" borderId="185" applyNumberFormat="0" applyAlignment="0" applyProtection="0"/>
    <xf numFmtId="0" fontId="43" fillId="55" borderId="202" applyNumberFormat="0" applyAlignment="0" applyProtection="0"/>
    <xf numFmtId="0" fontId="26" fillId="28" borderId="0" applyNumberFormat="0" applyBorder="0" applyAlignment="0" applyProtection="0"/>
    <xf numFmtId="4" fontId="34" fillId="32" borderId="175"/>
    <xf numFmtId="0" fontId="65" fillId="0" borderId="173" applyNumberFormat="0" applyFill="0" applyAlignment="0" applyProtection="0"/>
    <xf numFmtId="0" fontId="28" fillId="12" borderId="11" applyNumberFormat="0" applyAlignment="0" applyProtection="0"/>
    <xf numFmtId="0" fontId="29" fillId="12" borderId="10" applyNumberFormat="0" applyAlignment="0" applyProtection="0"/>
    <xf numFmtId="0" fontId="34" fillId="0" borderId="180">
      <alignment horizontal="right" vertical="center"/>
    </xf>
    <xf numFmtId="0" fontId="58" fillId="42" borderId="172" applyNumberFormat="0" applyAlignment="0" applyProtection="0"/>
    <xf numFmtId="0" fontId="1" fillId="0" borderId="0" applyNumberFormat="0" applyFill="0" applyBorder="0" applyAlignment="0" applyProtection="0"/>
    <xf numFmtId="4" fontId="32" fillId="33" borderId="175">
      <alignment horizontal="right" vertical="center"/>
    </xf>
    <xf numFmtId="0" fontId="30" fillId="0" borderId="0" applyNumberFormat="0" applyFill="0" applyBorder="0" applyAlignment="0" applyProtection="0"/>
    <xf numFmtId="0" fontId="2" fillId="0" borderId="12" applyNumberFormat="0" applyFill="0" applyAlignment="0" applyProtection="0"/>
    <xf numFmtId="4" fontId="32" fillId="33" borderId="190">
      <alignment horizontal="right" vertical="center"/>
    </xf>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4" fontId="32" fillId="31" borderId="180">
      <alignment horizontal="right" vertical="center"/>
    </xf>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23"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26" fillId="26"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43" fillId="55" borderId="192" applyNumberFormat="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49" fontId="33" fillId="0" borderId="198" applyNumberFormat="0" applyFill="0" applyBorder="0" applyProtection="0">
      <alignment horizontal="left" vertical="center"/>
    </xf>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158" applyNumberFormat="0" applyFill="0" applyAlignment="0" applyProtection="0"/>
    <xf numFmtId="0" fontId="32" fillId="33" borderId="158">
      <alignment horizontal="right" vertical="center"/>
    </xf>
    <xf numFmtId="0" fontId="32" fillId="33" borderId="158">
      <alignment horizontal="right" vertical="center"/>
    </xf>
    <xf numFmtId="0" fontId="34" fillId="33" borderId="183">
      <alignment horizontal="left" vertical="center" wrapText="1" indent="2"/>
    </xf>
    <xf numFmtId="4" fontId="32" fillId="33" borderId="177">
      <alignment horizontal="right" vertical="center"/>
    </xf>
    <xf numFmtId="0" fontId="34" fillId="0" borderId="158">
      <alignment horizontal="right" vertical="center"/>
    </xf>
    <xf numFmtId="0" fontId="36" fillId="31" borderId="158">
      <alignment horizontal="right" vertical="center"/>
    </xf>
    <xf numFmtId="0" fontId="34" fillId="32" borderId="158"/>
    <xf numFmtId="0" fontId="32" fillId="31" borderId="158">
      <alignment horizontal="right" vertical="center"/>
    </xf>
    <xf numFmtId="0" fontId="32" fillId="31" borderId="180">
      <alignment horizontal="right" vertical="center"/>
    </xf>
    <xf numFmtId="0" fontId="36" fillId="31" borderId="175">
      <alignment horizontal="right" vertical="center"/>
    </xf>
    <xf numFmtId="0" fontId="65" fillId="0" borderId="173" applyNumberFormat="0" applyFill="0" applyAlignment="0" applyProtection="0"/>
    <xf numFmtId="4" fontId="34" fillId="0" borderId="175">
      <alignment horizontal="right" vertical="center"/>
    </xf>
    <xf numFmtId="0" fontId="5" fillId="58" borderId="174" applyNumberFormat="0" applyFont="0" applyAlignment="0" applyProtection="0"/>
    <xf numFmtId="0" fontId="46" fillId="55" borderId="193" applyNumberFormat="0" applyAlignment="0" applyProtection="0"/>
    <xf numFmtId="0" fontId="46" fillId="55" borderId="193" applyNumberFormat="0" applyAlignment="0" applyProtection="0"/>
    <xf numFmtId="4" fontId="32" fillId="33" borderId="180">
      <alignment horizontal="right" vertical="center"/>
    </xf>
    <xf numFmtId="4" fontId="32" fillId="33" borderId="177">
      <alignment horizontal="right" vertical="center"/>
    </xf>
    <xf numFmtId="4" fontId="34" fillId="32" borderId="175"/>
    <xf numFmtId="0" fontId="65" fillId="0" borderId="173" applyNumberFormat="0" applyFill="0" applyAlignment="0" applyProtection="0"/>
    <xf numFmtId="0" fontId="45" fillId="55" borderId="172" applyNumberFormat="0" applyAlignment="0" applyProtection="0"/>
    <xf numFmtId="4" fontId="32" fillId="33" borderId="175">
      <alignment horizontal="right" vertical="center"/>
    </xf>
    <xf numFmtId="4" fontId="32" fillId="33" borderId="188">
      <alignment horizontal="right" vertical="center"/>
    </xf>
    <xf numFmtId="0" fontId="65" fillId="0" borderId="186" applyNumberFormat="0" applyFill="0" applyAlignment="0" applyProtection="0"/>
    <xf numFmtId="0" fontId="32" fillId="31" borderId="180">
      <alignment horizontal="right" vertical="center"/>
    </xf>
    <xf numFmtId="173" fontId="34" fillId="59" borderId="180" applyNumberFormat="0" applyFont="0" applyBorder="0" applyAlignment="0" applyProtection="0">
      <alignment horizontal="right" vertical="center"/>
    </xf>
    <xf numFmtId="4" fontId="32" fillId="33" borderId="182">
      <alignment horizontal="right" vertical="center"/>
    </xf>
    <xf numFmtId="4" fontId="32" fillId="31" borderId="180">
      <alignment horizontal="right" vertical="center"/>
    </xf>
    <xf numFmtId="49" fontId="33" fillId="0" borderId="175" applyNumberFormat="0" applyFill="0" applyBorder="0" applyProtection="0">
      <alignment horizontal="left" vertical="center"/>
    </xf>
    <xf numFmtId="49" fontId="33" fillId="0" borderId="188" applyNumberFormat="0" applyFill="0" applyBorder="0" applyProtection="0">
      <alignment horizontal="left" vertical="center"/>
    </xf>
    <xf numFmtId="0" fontId="45" fillId="55" borderId="185" applyNumberFormat="0" applyAlignment="0" applyProtection="0"/>
    <xf numFmtId="0" fontId="26" fillId="17" borderId="0" applyNumberFormat="0" applyBorder="0" applyAlignment="0" applyProtection="0"/>
    <xf numFmtId="0" fontId="28" fillId="12" borderId="11" applyNumberFormat="0" applyAlignment="0" applyProtection="0"/>
    <xf numFmtId="4" fontId="32" fillId="33" borderId="182">
      <alignment horizontal="right" vertical="center"/>
    </xf>
    <xf numFmtId="0" fontId="5" fillId="58" borderId="187" applyNumberFormat="0" applyFont="0" applyAlignment="0" applyProtection="0"/>
    <xf numFmtId="0" fontId="32" fillId="33" borderId="177">
      <alignment horizontal="right" vertical="center"/>
    </xf>
    <xf numFmtId="0" fontId="12" fillId="30" borderId="0" applyNumberFormat="0" applyBorder="0" applyAlignment="0" applyProtection="0"/>
    <xf numFmtId="0" fontId="32" fillId="31" borderId="175">
      <alignment horizontal="right" vertical="center"/>
    </xf>
    <xf numFmtId="0" fontId="32" fillId="33" borderId="188">
      <alignment horizontal="right" vertical="center"/>
    </xf>
    <xf numFmtId="0" fontId="46" fillId="55" borderId="195" applyNumberFormat="0" applyAlignment="0" applyProtection="0"/>
    <xf numFmtId="0" fontId="50" fillId="0" borderId="194" applyNumberFormat="0" applyFill="0" applyAlignment="0" applyProtection="0"/>
    <xf numFmtId="4" fontId="34" fillId="0" borderId="180">
      <alignment horizontal="right" vertical="center"/>
    </xf>
    <xf numFmtId="0" fontId="32" fillId="33" borderId="175">
      <alignment horizontal="right" vertical="center"/>
    </xf>
    <xf numFmtId="0" fontId="34" fillId="32" borderId="180"/>
    <xf numFmtId="0" fontId="32" fillId="33" borderId="180">
      <alignment horizontal="right" vertical="center"/>
    </xf>
    <xf numFmtId="0" fontId="32" fillId="31" borderId="188">
      <alignment horizontal="right" vertical="center"/>
    </xf>
    <xf numFmtId="0" fontId="34" fillId="0" borderId="180">
      <alignment horizontal="right" vertical="center"/>
    </xf>
    <xf numFmtId="4" fontId="36" fillId="31" borderId="175">
      <alignment horizontal="right" vertical="center"/>
    </xf>
    <xf numFmtId="0" fontId="34" fillId="33" borderId="178">
      <alignment horizontal="left" vertical="center" wrapText="1" indent="2"/>
    </xf>
    <xf numFmtId="0" fontId="32" fillId="33" borderId="177">
      <alignment horizontal="right" vertical="center"/>
    </xf>
    <xf numFmtId="0" fontId="65" fillId="0" borderId="186" applyNumberFormat="0" applyFill="0" applyAlignment="0" applyProtection="0"/>
    <xf numFmtId="0" fontId="46" fillId="55" borderId="172" applyNumberFormat="0" applyAlignment="0" applyProtection="0"/>
    <xf numFmtId="4" fontId="32" fillId="33" borderId="175">
      <alignment horizontal="right" vertical="center"/>
    </xf>
    <xf numFmtId="0" fontId="32" fillId="33" borderId="175">
      <alignment horizontal="right" vertical="center"/>
    </xf>
    <xf numFmtId="4" fontId="32" fillId="33" borderId="177">
      <alignment horizontal="right" vertical="center"/>
    </xf>
    <xf numFmtId="0" fontId="46" fillId="55" borderId="164" applyNumberFormat="0" applyAlignment="0" applyProtection="0"/>
    <xf numFmtId="0" fontId="32" fillId="33" borderId="176">
      <alignment horizontal="right" vertical="center"/>
    </xf>
    <xf numFmtId="43" fontId="37" fillId="0" borderId="0" applyFont="0" applyFill="0" applyBorder="0" applyAlignment="0" applyProtection="0"/>
    <xf numFmtId="4" fontId="36" fillId="31" borderId="175">
      <alignment horizontal="right" vertical="center"/>
    </xf>
    <xf numFmtId="43" fontId="37" fillId="0" borderId="0" applyFont="0" applyFill="0" applyBorder="0" applyAlignment="0" applyProtection="0"/>
    <xf numFmtId="4" fontId="32" fillId="33" borderId="177">
      <alignment horizontal="right" vertical="center"/>
    </xf>
    <xf numFmtId="0" fontId="40" fillId="58" borderId="187" applyNumberFormat="0" applyFont="0" applyAlignment="0" applyProtection="0"/>
    <xf numFmtId="0" fontId="40" fillId="58" borderId="179" applyNumberFormat="0" applyFont="0" applyAlignment="0" applyProtection="0"/>
    <xf numFmtId="0" fontId="46" fillId="55" borderId="185" applyNumberFormat="0" applyAlignment="0" applyProtection="0"/>
    <xf numFmtId="0" fontId="65" fillId="0" borderId="173" applyNumberFormat="0" applyFill="0" applyAlignment="0" applyProtection="0"/>
    <xf numFmtId="0" fontId="62" fillId="55" borderId="171" applyNumberFormat="0" applyAlignment="0" applyProtection="0"/>
    <xf numFmtId="0" fontId="46" fillId="55" borderId="172" applyNumberFormat="0" applyAlignment="0" applyProtection="0"/>
    <xf numFmtId="0" fontId="65" fillId="0" borderId="173" applyNumberFormat="0" applyFill="0" applyAlignment="0" applyProtection="0"/>
    <xf numFmtId="0" fontId="58" fillId="42" borderId="164" applyNumberFormat="0" applyAlignment="0" applyProtection="0"/>
    <xf numFmtId="4" fontId="34" fillId="0" borderId="175">
      <alignment horizontal="right" vertical="center"/>
    </xf>
    <xf numFmtId="4" fontId="32" fillId="31" borderId="175">
      <alignment horizontal="right" vertical="center"/>
    </xf>
    <xf numFmtId="4" fontId="36" fillId="31" borderId="175">
      <alignment horizontal="right" vertical="center"/>
    </xf>
    <xf numFmtId="49" fontId="33" fillId="0" borderId="175" applyNumberFormat="0" applyFill="0" applyBorder="0" applyProtection="0">
      <alignment horizontal="left" vertical="center"/>
    </xf>
    <xf numFmtId="0" fontId="34" fillId="0" borderId="180">
      <alignment horizontal="right" vertical="center"/>
    </xf>
    <xf numFmtId="4" fontId="32" fillId="33" borderId="181">
      <alignment horizontal="right" vertical="center"/>
    </xf>
    <xf numFmtId="0" fontId="40" fillId="58" borderId="174" applyNumberFormat="0" applyFont="0" applyAlignment="0" applyProtection="0"/>
    <xf numFmtId="0" fontId="34" fillId="0" borderId="175">
      <alignment horizontal="right" vertical="center"/>
    </xf>
    <xf numFmtId="0" fontId="65" fillId="0" borderId="186" applyNumberFormat="0" applyFill="0" applyAlignment="0" applyProtection="0"/>
    <xf numFmtId="0" fontId="30" fillId="0" borderId="0" applyNumberFormat="0" applyFill="0" applyBorder="0" applyAlignment="0" applyProtection="0"/>
    <xf numFmtId="0" fontId="34" fillId="33" borderId="191">
      <alignment horizontal="left" vertical="center" wrapText="1" indent="2"/>
    </xf>
    <xf numFmtId="0" fontId="26" fillId="13" borderId="0" applyNumberFormat="0" applyBorder="0" applyAlignment="0" applyProtection="0"/>
    <xf numFmtId="4" fontId="36" fillId="31" borderId="180">
      <alignment horizontal="right" vertical="center"/>
    </xf>
    <xf numFmtId="0" fontId="34" fillId="33" borderId="191">
      <alignment horizontal="left" vertical="center" wrapText="1" indent="2"/>
    </xf>
    <xf numFmtId="0" fontId="32" fillId="33" borderId="180">
      <alignment horizontal="right" vertical="center"/>
    </xf>
    <xf numFmtId="173" fontId="34" fillId="59" borderId="180" applyNumberFormat="0" applyFont="0" applyBorder="0" applyAlignment="0" applyProtection="0">
      <alignment horizontal="right" vertical="center"/>
    </xf>
    <xf numFmtId="0" fontId="26" fillId="19" borderId="0" applyNumberFormat="0" applyBorder="0" applyAlignment="0" applyProtection="0"/>
    <xf numFmtId="4" fontId="32" fillId="33" borderId="182">
      <alignment horizontal="right" vertical="center"/>
    </xf>
    <xf numFmtId="4" fontId="34" fillId="0" borderId="158" applyFill="0" applyBorder="0" applyProtection="0">
      <alignment horizontal="right" vertical="center"/>
    </xf>
    <xf numFmtId="0" fontId="58" fillId="42" borderId="172" applyNumberFormat="0" applyAlignment="0" applyProtection="0"/>
    <xf numFmtId="0" fontId="28" fillId="12" borderId="11" applyNumberFormat="0" applyAlignment="0" applyProtection="0"/>
    <xf numFmtId="0" fontId="36" fillId="31" borderId="175">
      <alignment horizontal="right" vertical="center"/>
    </xf>
    <xf numFmtId="0" fontId="12" fillId="15" borderId="0" applyNumberFormat="0" applyBorder="0" applyAlignment="0" applyProtection="0"/>
    <xf numFmtId="4" fontId="32" fillId="33" borderId="175">
      <alignment horizontal="right" vertical="center"/>
    </xf>
    <xf numFmtId="0" fontId="36" fillId="31" borderId="175">
      <alignment horizontal="right" vertical="center"/>
    </xf>
    <xf numFmtId="4" fontId="32" fillId="33" borderId="181">
      <alignment horizontal="right" vertical="center"/>
    </xf>
    <xf numFmtId="0" fontId="40" fillId="58" borderId="166" applyNumberFormat="0" applyFont="0" applyAlignment="0" applyProtection="0"/>
    <xf numFmtId="0" fontId="5" fillId="58" borderId="166" applyNumberFormat="0" applyFont="0" applyAlignment="0" applyProtection="0"/>
    <xf numFmtId="0" fontId="62" fillId="55" borderId="163" applyNumberFormat="0" applyAlignment="0" applyProtection="0"/>
    <xf numFmtId="49" fontId="33" fillId="0" borderId="188" applyNumberFormat="0" applyFill="0" applyBorder="0" applyProtection="0">
      <alignment horizontal="left" vertical="center"/>
    </xf>
    <xf numFmtId="4" fontId="34" fillId="0" borderId="198" applyFill="0" applyBorder="0" applyProtection="0">
      <alignment horizontal="right" vertical="center"/>
    </xf>
    <xf numFmtId="0" fontId="32" fillId="33" borderId="181">
      <alignment horizontal="right" vertical="center"/>
    </xf>
    <xf numFmtId="0" fontId="34" fillId="32" borderId="175"/>
    <xf numFmtId="0" fontId="65" fillId="0" borderId="173" applyNumberFormat="0" applyFill="0" applyAlignment="0" applyProtection="0"/>
    <xf numFmtId="0" fontId="46" fillId="55" borderId="185" applyNumberFormat="0" applyAlignment="0" applyProtection="0"/>
    <xf numFmtId="0" fontId="65" fillId="0" borderId="165" applyNumberFormat="0" applyFill="0" applyAlignment="0" applyProtection="0"/>
    <xf numFmtId="0" fontId="34" fillId="31" borderId="176">
      <alignment horizontal="left" vertical="center"/>
    </xf>
    <xf numFmtId="0" fontId="45" fillId="55" borderId="172" applyNumberFormat="0" applyAlignment="0" applyProtection="0"/>
    <xf numFmtId="4" fontId="32" fillId="33" borderId="175">
      <alignment horizontal="right" vertical="center"/>
    </xf>
    <xf numFmtId="0" fontId="34" fillId="0" borderId="188" applyNumberFormat="0" applyFill="0" applyAlignment="0" applyProtection="0"/>
    <xf numFmtId="0" fontId="32" fillId="33" borderId="182">
      <alignment horizontal="right" vertical="center"/>
    </xf>
    <xf numFmtId="0" fontId="26" fillId="14" borderId="0" applyNumberFormat="0" applyBorder="0" applyAlignment="0" applyProtection="0"/>
    <xf numFmtId="4" fontId="32" fillId="33" borderId="188">
      <alignment horizontal="right" vertical="center"/>
    </xf>
    <xf numFmtId="0" fontId="49" fillId="42" borderId="172" applyNumberFormat="0" applyAlignment="0" applyProtection="0"/>
    <xf numFmtId="0" fontId="36" fillId="31" borderId="175">
      <alignment horizontal="right" vertical="center"/>
    </xf>
    <xf numFmtId="0" fontId="40" fillId="58" borderId="179" applyNumberFormat="0" applyFont="0" applyAlignment="0" applyProtection="0"/>
    <xf numFmtId="0" fontId="32" fillId="31" borderId="180">
      <alignment horizontal="right" vertical="center"/>
    </xf>
    <xf numFmtId="0" fontId="40" fillId="58" borderId="187" applyNumberFormat="0" applyFont="0" applyAlignment="0" applyProtection="0"/>
    <xf numFmtId="0" fontId="5" fillId="58" borderId="179" applyNumberFormat="0" applyFont="0" applyAlignment="0" applyProtection="0"/>
    <xf numFmtId="0" fontId="32" fillId="33" borderId="175">
      <alignment horizontal="right" vertical="center"/>
    </xf>
    <xf numFmtId="0" fontId="26" fillId="17" borderId="0" applyNumberFormat="0" applyBorder="0" applyAlignment="0" applyProtection="0"/>
    <xf numFmtId="0" fontId="65" fillId="0" borderId="186" applyNumberFormat="0" applyFill="0" applyAlignment="0" applyProtection="0"/>
    <xf numFmtId="0" fontId="26" fillId="29" borderId="0" applyNumberFormat="0" applyBorder="0" applyAlignment="0" applyProtection="0"/>
    <xf numFmtId="0" fontId="46" fillId="55" borderId="172" applyNumberFormat="0" applyAlignment="0" applyProtection="0"/>
    <xf numFmtId="0" fontId="34" fillId="0" borderId="175">
      <alignment horizontal="right" vertical="center"/>
    </xf>
    <xf numFmtId="0" fontId="46" fillId="55" borderId="172" applyNumberFormat="0" applyAlignment="0" applyProtection="0"/>
    <xf numFmtId="0" fontId="50" fillId="0" borderId="186" applyNumberFormat="0" applyFill="0" applyAlignment="0" applyProtection="0"/>
    <xf numFmtId="0" fontId="34" fillId="0" borderId="183">
      <alignment horizontal="left" vertical="center" wrapText="1" indent="2"/>
    </xf>
    <xf numFmtId="4" fontId="32" fillId="31" borderId="188">
      <alignment horizontal="right" vertical="center"/>
    </xf>
    <xf numFmtId="0" fontId="32" fillId="33" borderId="180">
      <alignment horizontal="right" vertical="center"/>
    </xf>
    <xf numFmtId="0" fontId="34" fillId="32" borderId="175"/>
    <xf numFmtId="0" fontId="26" fillId="26" borderId="0" applyNumberFormat="0" applyBorder="0" applyAlignment="0" applyProtection="0"/>
    <xf numFmtId="0" fontId="32" fillId="31" borderId="180">
      <alignment horizontal="right" vertical="center"/>
    </xf>
    <xf numFmtId="173" fontId="34" fillId="59" borderId="188" applyNumberFormat="0" applyFont="0" applyBorder="0" applyAlignment="0" applyProtection="0">
      <alignment horizontal="right" vertical="center"/>
    </xf>
    <xf numFmtId="0" fontId="26" fillId="28" borderId="0" applyNumberFormat="0" applyBorder="0" applyAlignment="0" applyProtection="0"/>
    <xf numFmtId="0" fontId="45" fillId="55" borderId="185" applyNumberFormat="0" applyAlignment="0" applyProtection="0"/>
    <xf numFmtId="0" fontId="32" fillId="33" borderId="190">
      <alignment horizontal="right" vertical="center"/>
    </xf>
    <xf numFmtId="0" fontId="58" fillId="42" borderId="195" applyNumberFormat="0" applyAlignment="0" applyProtection="0"/>
    <xf numFmtId="0" fontId="62" fillId="55" borderId="171" applyNumberFormat="0" applyAlignment="0" applyProtection="0"/>
    <xf numFmtId="4" fontId="34" fillId="0" borderId="180">
      <alignment horizontal="right" vertical="center"/>
    </xf>
    <xf numFmtId="0" fontId="45" fillId="55" borderId="185" applyNumberFormat="0" applyAlignment="0" applyProtection="0"/>
    <xf numFmtId="0" fontId="50" fillId="0" borderId="186" applyNumberFormat="0" applyFill="0" applyAlignment="0" applyProtection="0"/>
    <xf numFmtId="4" fontId="32" fillId="33" borderId="189">
      <alignment horizontal="right" vertical="center"/>
    </xf>
    <xf numFmtId="49" fontId="34" fillId="0" borderId="180" applyNumberFormat="0" applyFont="0" applyFill="0" applyBorder="0" applyProtection="0">
      <alignment horizontal="left" vertical="center" indent="2"/>
    </xf>
    <xf numFmtId="4" fontId="32" fillId="33" borderId="175">
      <alignment horizontal="right" vertical="center"/>
    </xf>
    <xf numFmtId="0" fontId="34" fillId="32" borderId="175"/>
    <xf numFmtId="0" fontId="65" fillId="0" borderId="173" applyNumberFormat="0" applyFill="0" applyAlignment="0" applyProtection="0"/>
    <xf numFmtId="0" fontId="46" fillId="55" borderId="164" applyNumberFormat="0" applyAlignment="0" applyProtection="0"/>
    <xf numFmtId="0" fontId="50" fillId="0" borderId="173" applyNumberFormat="0" applyFill="0" applyAlignment="0" applyProtection="0"/>
    <xf numFmtId="173" fontId="34" fillId="59" borderId="180" applyNumberFormat="0" applyFont="0" applyBorder="0" applyAlignment="0" applyProtection="0">
      <alignment horizontal="right" vertical="center"/>
    </xf>
    <xf numFmtId="0" fontId="43" fillId="55" borderId="171" applyNumberFormat="0" applyAlignment="0" applyProtection="0"/>
    <xf numFmtId="0" fontId="32" fillId="33" borderId="175">
      <alignment horizontal="right" vertical="center"/>
    </xf>
    <xf numFmtId="0" fontId="34" fillId="0" borderId="175">
      <alignment horizontal="right" vertical="center"/>
    </xf>
    <xf numFmtId="0" fontId="32" fillId="33" borderId="175">
      <alignment horizontal="right" vertical="center"/>
    </xf>
    <xf numFmtId="0" fontId="58" fillId="42" borderId="172" applyNumberFormat="0" applyAlignment="0" applyProtection="0"/>
    <xf numFmtId="0" fontId="58" fillId="42" borderId="164" applyNumberFormat="0" applyAlignment="0" applyProtection="0"/>
    <xf numFmtId="0" fontId="34" fillId="31" borderId="181">
      <alignment horizontal="left" vertical="center"/>
    </xf>
    <xf numFmtId="0" fontId="29" fillId="12" borderId="10" applyNumberFormat="0" applyAlignment="0" applyProtection="0"/>
    <xf numFmtId="0" fontId="40" fillId="58" borderId="166" applyNumberFormat="0" applyFont="0" applyAlignment="0" applyProtection="0"/>
    <xf numFmtId="0" fontId="62" fillId="55" borderId="163" applyNumberFormat="0" applyAlignment="0" applyProtection="0"/>
    <xf numFmtId="0" fontId="50" fillId="0" borderId="173" applyNumberFormat="0" applyFill="0" applyAlignment="0" applyProtection="0"/>
    <xf numFmtId="0" fontId="65" fillId="0" borderId="165" applyNumberFormat="0" applyFill="0" applyAlignment="0" applyProtection="0"/>
    <xf numFmtId="0" fontId="46" fillId="55" borderId="195" applyNumberFormat="0" applyAlignment="0" applyProtection="0"/>
    <xf numFmtId="4" fontId="32" fillId="33" borderId="176">
      <alignment horizontal="right" vertical="center"/>
    </xf>
    <xf numFmtId="0" fontId="12" fillId="24" borderId="0" applyNumberFormat="0" applyBorder="0" applyAlignment="0" applyProtection="0"/>
    <xf numFmtId="0" fontId="32" fillId="31" borderId="175">
      <alignment horizontal="right" vertical="center"/>
    </xf>
    <xf numFmtId="173" fontId="34" fillId="59" borderId="175" applyNumberFormat="0" applyFont="0" applyBorder="0" applyAlignment="0" applyProtection="0">
      <alignment horizontal="right" vertical="center"/>
    </xf>
    <xf numFmtId="0" fontId="32" fillId="33" borderId="175">
      <alignment horizontal="right" vertical="center"/>
    </xf>
    <xf numFmtId="0" fontId="43" fillId="55" borderId="171" applyNumberFormat="0" applyAlignment="0" applyProtection="0"/>
    <xf numFmtId="0" fontId="65" fillId="0" borderId="173" applyNumberFormat="0" applyFill="0" applyAlignment="0" applyProtection="0"/>
    <xf numFmtId="0" fontId="40" fillId="58" borderId="174" applyNumberFormat="0" applyFont="0" applyAlignment="0" applyProtection="0"/>
    <xf numFmtId="0" fontId="32" fillId="33" borderId="175">
      <alignment horizontal="right" vertical="center"/>
    </xf>
    <xf numFmtId="0" fontId="32" fillId="33" borderId="176">
      <alignment horizontal="right" vertical="center"/>
    </xf>
    <xf numFmtId="0" fontId="46" fillId="55" borderId="172" applyNumberFormat="0" applyAlignment="0" applyProtection="0"/>
    <xf numFmtId="0" fontId="32" fillId="33" borderId="177">
      <alignment horizontal="right" vertical="center"/>
    </xf>
    <xf numFmtId="0" fontId="32" fillId="33" borderId="175">
      <alignment horizontal="right" vertical="center"/>
    </xf>
    <xf numFmtId="0" fontId="49" fillId="42" borderId="172" applyNumberFormat="0" applyAlignment="0" applyProtection="0"/>
    <xf numFmtId="4" fontId="34" fillId="0" borderId="175">
      <alignment horizontal="right" vertical="center"/>
    </xf>
    <xf numFmtId="0" fontId="46" fillId="55" borderId="172" applyNumberFormat="0" applyAlignment="0" applyProtection="0"/>
    <xf numFmtId="0" fontId="34" fillId="31" borderId="176">
      <alignment horizontal="left" vertical="center"/>
    </xf>
    <xf numFmtId="0" fontId="29" fillId="12" borderId="10" applyNumberFormat="0" applyAlignment="0" applyProtection="0"/>
    <xf numFmtId="173" fontId="34" fillId="59" borderId="175" applyNumberFormat="0" applyFont="0" applyBorder="0" applyAlignment="0" applyProtection="0">
      <alignment horizontal="right" vertical="center"/>
    </xf>
    <xf numFmtId="0" fontId="32" fillId="31" borderId="167">
      <alignment horizontal="right" vertical="center"/>
    </xf>
    <xf numFmtId="4" fontId="32" fillId="31" borderId="167">
      <alignment horizontal="right" vertical="center"/>
    </xf>
    <xf numFmtId="0" fontId="36" fillId="31" borderId="167">
      <alignment horizontal="right" vertical="center"/>
    </xf>
    <xf numFmtId="4" fontId="36" fillId="31" borderId="167">
      <alignment horizontal="right" vertical="center"/>
    </xf>
    <xf numFmtId="0" fontId="32" fillId="33" borderId="167">
      <alignment horizontal="right" vertical="center"/>
    </xf>
    <xf numFmtId="4" fontId="32" fillId="33" borderId="167">
      <alignment horizontal="right" vertical="center"/>
    </xf>
    <xf numFmtId="0" fontId="32" fillId="33" borderId="167">
      <alignment horizontal="right" vertical="center"/>
    </xf>
    <xf numFmtId="4" fontId="32" fillId="33" borderId="167">
      <alignment horizontal="right" vertical="center"/>
    </xf>
    <xf numFmtId="0" fontId="32" fillId="33" borderId="168">
      <alignment horizontal="right" vertical="center"/>
    </xf>
    <xf numFmtId="4" fontId="32" fillId="33" borderId="168">
      <alignment horizontal="right" vertical="center"/>
    </xf>
    <xf numFmtId="0" fontId="32" fillId="33" borderId="169">
      <alignment horizontal="right" vertical="center"/>
    </xf>
    <xf numFmtId="4" fontId="32" fillId="33" borderId="169">
      <alignment horizontal="right" vertical="center"/>
    </xf>
    <xf numFmtId="0" fontId="46" fillId="55" borderId="164" applyNumberFormat="0" applyAlignment="0" applyProtection="0"/>
    <xf numFmtId="0" fontId="34" fillId="33" borderId="170">
      <alignment horizontal="left" vertical="center" wrapText="1" indent="2"/>
    </xf>
    <xf numFmtId="0" fontId="34" fillId="0" borderId="170">
      <alignment horizontal="left" vertical="center" wrapText="1" indent="2"/>
    </xf>
    <xf numFmtId="0" fontId="34" fillId="31" borderId="168">
      <alignment horizontal="left" vertical="center"/>
    </xf>
    <xf numFmtId="0" fontId="58" fillId="42" borderId="164" applyNumberFormat="0" applyAlignment="0" applyProtection="0"/>
    <xf numFmtId="0" fontId="34" fillId="0" borderId="167">
      <alignment horizontal="right" vertical="center"/>
    </xf>
    <xf numFmtId="4" fontId="34" fillId="0" borderId="167">
      <alignment horizontal="right" vertical="center"/>
    </xf>
    <xf numFmtId="0" fontId="12" fillId="21" borderId="0" applyNumberFormat="0" applyBorder="0" applyAlignment="0" applyProtection="0"/>
    <xf numFmtId="0" fontId="34" fillId="0" borderId="167" applyNumberFormat="0" applyFill="0" applyAlignment="0" applyProtection="0"/>
    <xf numFmtId="0" fontId="62" fillId="55" borderId="163" applyNumberFormat="0" applyAlignment="0" applyProtection="0"/>
    <xf numFmtId="173" fontId="34" fillId="59" borderId="167" applyNumberFormat="0" applyFont="0" applyBorder="0" applyAlignment="0" applyProtection="0">
      <alignment horizontal="right" vertical="center"/>
    </xf>
    <xf numFmtId="0" fontId="34" fillId="32" borderId="167"/>
    <xf numFmtId="4" fontId="34" fillId="32" borderId="167"/>
    <xf numFmtId="0" fontId="65" fillId="0" borderId="165" applyNumberFormat="0" applyFill="0" applyAlignment="0" applyProtection="0"/>
    <xf numFmtId="0" fontId="34" fillId="33" borderId="201">
      <alignment horizontal="left" vertical="center" wrapText="1" indent="2"/>
    </xf>
    <xf numFmtId="49" fontId="34" fillId="0" borderId="199" applyNumberFormat="0" applyFont="0" applyFill="0" applyBorder="0" applyProtection="0">
      <alignment horizontal="left" vertical="center" indent="5"/>
    </xf>
    <xf numFmtId="0" fontId="34" fillId="33" borderId="191">
      <alignment horizontal="left" vertical="center" wrapText="1" indent="2"/>
    </xf>
    <xf numFmtId="4" fontId="32" fillId="33" borderId="177">
      <alignment horizontal="right" vertical="center"/>
    </xf>
    <xf numFmtId="0" fontId="34" fillId="32" borderId="175"/>
    <xf numFmtId="49" fontId="34" fillId="0" borderId="175" applyNumberFormat="0" applyFont="0" applyFill="0" applyBorder="0" applyProtection="0">
      <alignment horizontal="left" vertical="center" indent="2"/>
    </xf>
    <xf numFmtId="0" fontId="65" fillId="0" borderId="173" applyNumberFormat="0" applyFill="0" applyAlignment="0" applyProtection="0"/>
    <xf numFmtId="0" fontId="26" fillId="20" borderId="0" applyNumberFormat="0" applyBorder="0" applyAlignment="0" applyProtection="0"/>
    <xf numFmtId="4" fontId="36" fillId="31" borderId="175">
      <alignment horizontal="right" vertical="center"/>
    </xf>
    <xf numFmtId="0" fontId="34" fillId="31" borderId="199">
      <alignment horizontal="left" vertical="center"/>
    </xf>
    <xf numFmtId="0" fontId="46" fillId="55" borderId="172" applyNumberFormat="0" applyAlignment="0" applyProtection="0"/>
    <xf numFmtId="0" fontId="12" fillId="27" borderId="0" applyNumberFormat="0" applyBorder="0" applyAlignment="0" applyProtection="0"/>
    <xf numFmtId="0" fontId="26" fillId="29" borderId="0" applyNumberFormat="0" applyBorder="0" applyAlignment="0" applyProtection="0"/>
    <xf numFmtId="0" fontId="29" fillId="12" borderId="10" applyNumberFormat="0" applyAlignment="0" applyProtection="0"/>
    <xf numFmtId="0" fontId="65" fillId="0" borderId="186" applyNumberFormat="0" applyFill="0" applyAlignment="0" applyProtection="0"/>
    <xf numFmtId="0" fontId="50" fillId="0" borderId="173" applyNumberFormat="0" applyFill="0" applyAlignment="0" applyProtection="0"/>
    <xf numFmtId="0" fontId="34" fillId="32" borderId="175"/>
    <xf numFmtId="0" fontId="45" fillId="55" borderId="172" applyNumberFormat="0" applyAlignment="0" applyProtection="0"/>
    <xf numFmtId="49" fontId="33" fillId="0" borderId="175" applyNumberFormat="0" applyFill="0" applyBorder="0" applyProtection="0">
      <alignment horizontal="left" vertical="center"/>
    </xf>
    <xf numFmtId="0" fontId="34" fillId="0" borderId="175" applyNumberFormat="0" applyFill="0" applyAlignment="0" applyProtection="0"/>
    <xf numFmtId="0" fontId="5" fillId="58" borderId="174" applyNumberFormat="0" applyFont="0" applyAlignment="0" applyProtection="0"/>
    <xf numFmtId="0" fontId="26" fillId="14" borderId="0" applyNumberFormat="0" applyBorder="0" applyAlignment="0" applyProtection="0"/>
    <xf numFmtId="0" fontId="12" fillId="27" borderId="0" applyNumberFormat="0" applyBorder="0" applyAlignment="0" applyProtection="0"/>
    <xf numFmtId="4" fontId="34" fillId="0" borderId="175">
      <alignment horizontal="right" vertical="center"/>
    </xf>
    <xf numFmtId="0" fontId="26" fillId="19" borderId="0" applyNumberFormat="0" applyBorder="0" applyAlignment="0" applyProtection="0"/>
    <xf numFmtId="0" fontId="45" fillId="55" borderId="172" applyNumberFormat="0" applyAlignment="0" applyProtection="0"/>
    <xf numFmtId="0" fontId="26" fillId="16" borderId="0" applyNumberFormat="0" applyBorder="0" applyAlignment="0" applyProtection="0"/>
    <xf numFmtId="0" fontId="65" fillId="0" borderId="194" applyNumberFormat="0" applyFill="0" applyAlignment="0" applyProtection="0"/>
    <xf numFmtId="0" fontId="26" fillId="16" borderId="0" applyNumberFormat="0" applyBorder="0" applyAlignment="0" applyProtection="0"/>
    <xf numFmtId="0" fontId="26" fillId="13" borderId="0" applyNumberFormat="0" applyBorder="0" applyAlignment="0" applyProtection="0"/>
    <xf numFmtId="4" fontId="34" fillId="32" borderId="180"/>
    <xf numFmtId="0" fontId="34" fillId="0" borderId="188">
      <alignment horizontal="right" vertical="center"/>
    </xf>
    <xf numFmtId="4" fontId="34" fillId="32" borderId="180"/>
    <xf numFmtId="49" fontId="34" fillId="0" borderId="176" applyNumberFormat="0" applyFont="0" applyFill="0" applyBorder="0" applyProtection="0">
      <alignment horizontal="left" vertical="center" indent="5"/>
    </xf>
    <xf numFmtId="0" fontId="65" fillId="0" borderId="173" applyNumberFormat="0" applyFill="0" applyAlignment="0" applyProtection="0"/>
    <xf numFmtId="0" fontId="40" fillId="58" borderId="174" applyNumberFormat="0" applyFont="0" applyAlignment="0" applyProtection="0"/>
    <xf numFmtId="0" fontId="32" fillId="33" borderId="176">
      <alignment horizontal="right" vertical="center"/>
    </xf>
    <xf numFmtId="0" fontId="43" fillId="55" borderId="171" applyNumberFormat="0" applyAlignment="0" applyProtection="0"/>
    <xf numFmtId="4" fontId="32" fillId="33" borderId="177">
      <alignment horizontal="right" vertical="center"/>
    </xf>
    <xf numFmtId="4" fontId="36" fillId="31" borderId="175">
      <alignment horizontal="right" vertical="center"/>
    </xf>
    <xf numFmtId="0" fontId="58" fillId="42" borderId="172" applyNumberFormat="0" applyAlignment="0" applyProtection="0"/>
    <xf numFmtId="0" fontId="46" fillId="55" borderId="172" applyNumberFormat="0" applyAlignment="0" applyProtection="0"/>
    <xf numFmtId="0" fontId="36" fillId="31" borderId="175">
      <alignment horizontal="right" vertical="center"/>
    </xf>
    <xf numFmtId="0" fontId="65" fillId="0" borderId="173" applyNumberFormat="0" applyFill="0" applyAlignment="0" applyProtection="0"/>
    <xf numFmtId="0" fontId="46" fillId="55" borderId="172" applyNumberFormat="0" applyAlignment="0" applyProtection="0"/>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5" fillId="58" borderId="174" applyNumberFormat="0" applyFont="0" applyAlignment="0" applyProtection="0"/>
    <xf numFmtId="0" fontId="26" fillId="26" borderId="0" applyNumberFormat="0" applyBorder="0" applyAlignment="0" applyProtection="0"/>
    <xf numFmtId="0" fontId="26" fillId="16" borderId="0" applyNumberFormat="0" applyBorder="0" applyAlignment="0" applyProtection="0"/>
    <xf numFmtId="0" fontId="46" fillId="55" borderId="193" applyNumberFormat="0" applyAlignment="0" applyProtection="0"/>
    <xf numFmtId="0" fontId="26" fillId="13" borderId="0" applyNumberFormat="0" applyBorder="0" applyAlignment="0" applyProtection="0"/>
    <xf numFmtId="0" fontId="32" fillId="31" borderId="198">
      <alignment horizontal="right" vertical="center"/>
    </xf>
    <xf numFmtId="0" fontId="62" fillId="55" borderId="171" applyNumberFormat="0" applyAlignment="0" applyProtection="0"/>
    <xf numFmtId="0" fontId="46" fillId="55" borderId="172" applyNumberFormat="0" applyAlignment="0" applyProtection="0"/>
    <xf numFmtId="4" fontId="32" fillId="33" borderId="177">
      <alignment horizontal="right" vertical="center"/>
    </xf>
    <xf numFmtId="4" fontId="36" fillId="31" borderId="175">
      <alignment horizontal="right" vertical="center"/>
    </xf>
    <xf numFmtId="0" fontId="1" fillId="0" borderId="0" applyNumberFormat="0" applyFill="0" applyBorder="0" applyAlignment="0" applyProtection="0"/>
    <xf numFmtId="49" fontId="34" fillId="0" borderId="167" applyNumberFormat="0" applyFont="0" applyFill="0" applyBorder="0" applyProtection="0">
      <alignment horizontal="left" vertical="center" indent="2"/>
    </xf>
    <xf numFmtId="49" fontId="34" fillId="0" borderId="168" applyNumberFormat="0" applyFont="0" applyFill="0" applyBorder="0" applyProtection="0">
      <alignment horizontal="left" vertical="center" indent="5"/>
    </xf>
    <xf numFmtId="0" fontId="65" fillId="0" borderId="194" applyNumberFormat="0" applyFill="0" applyAlignment="0" applyProtection="0"/>
    <xf numFmtId="0" fontId="43" fillId="55" borderId="192" applyNumberFormat="0" applyAlignment="0" applyProtection="0"/>
    <xf numFmtId="0" fontId="34" fillId="33" borderId="183">
      <alignment horizontal="left" vertical="center" wrapText="1" indent="2"/>
    </xf>
    <xf numFmtId="4" fontId="36" fillId="31" borderId="175">
      <alignment horizontal="right" vertical="center"/>
    </xf>
    <xf numFmtId="4" fontId="32" fillId="33" borderId="199">
      <alignment horizontal="right" vertical="center"/>
    </xf>
    <xf numFmtId="0" fontId="58" fillId="42" borderId="172" applyNumberFormat="0" applyAlignment="0" applyProtection="0"/>
    <xf numFmtId="0" fontId="50" fillId="0" borderId="173" applyNumberFormat="0" applyFill="0" applyAlignment="0" applyProtection="0"/>
    <xf numFmtId="0" fontId="26" fillId="26" borderId="0" applyNumberFormat="0" applyBorder="0" applyAlignment="0" applyProtection="0"/>
    <xf numFmtId="0" fontId="49" fillId="42" borderId="193" applyNumberFormat="0" applyAlignment="0" applyProtection="0"/>
    <xf numFmtId="0" fontId="34" fillId="0" borderId="178">
      <alignment horizontal="left" vertical="center" wrapText="1" indent="2"/>
    </xf>
    <xf numFmtId="4" fontId="34" fillId="0" borderId="167" applyFill="0" applyBorder="0" applyProtection="0">
      <alignment horizontal="right" vertical="center"/>
    </xf>
    <xf numFmtId="49" fontId="33" fillId="0" borderId="167" applyNumberFormat="0" applyFill="0" applyBorder="0" applyProtection="0">
      <alignment horizontal="left" vertical="center"/>
    </xf>
    <xf numFmtId="0" fontId="32" fillId="33" borderId="175">
      <alignment horizontal="right" vertical="center"/>
    </xf>
    <xf numFmtId="4" fontId="34" fillId="0" borderId="175" applyFill="0" applyBorder="0" applyProtection="0">
      <alignment horizontal="right" vertical="center"/>
    </xf>
    <xf numFmtId="0" fontId="45" fillId="55" borderId="172" applyNumberFormat="0" applyAlignment="0" applyProtection="0"/>
    <xf numFmtId="0" fontId="49" fillId="42" borderId="172" applyNumberFormat="0" applyAlignment="0" applyProtection="0"/>
    <xf numFmtId="0" fontId="34" fillId="33" borderId="178">
      <alignment horizontal="left" vertical="center" wrapText="1" indent="2"/>
    </xf>
    <xf numFmtId="0" fontId="49" fillId="42" borderId="193" applyNumberFormat="0" applyAlignment="0" applyProtection="0"/>
    <xf numFmtId="4" fontId="32" fillId="33" borderId="176">
      <alignment horizontal="right" vertical="center"/>
    </xf>
    <xf numFmtId="0" fontId="45" fillId="55" borderId="172" applyNumberFormat="0" applyAlignment="0" applyProtection="0"/>
    <xf numFmtId="0" fontId="58" fillId="42" borderId="185" applyNumberFormat="0" applyAlignment="0" applyProtection="0"/>
    <xf numFmtId="4" fontId="32" fillId="33" borderId="188">
      <alignment horizontal="right" vertical="center"/>
    </xf>
    <xf numFmtId="0" fontId="40" fillId="58" borderId="179" applyNumberFormat="0" applyFont="0" applyAlignment="0" applyProtection="0"/>
    <xf numFmtId="0" fontId="46" fillId="55" borderId="193" applyNumberFormat="0" applyAlignment="0" applyProtection="0"/>
    <xf numFmtId="0" fontId="58" fillId="42" borderId="172" applyNumberFormat="0" applyAlignment="0" applyProtection="0"/>
    <xf numFmtId="0" fontId="46" fillId="55" borderId="172" applyNumberFormat="0" applyAlignment="0" applyProtection="0"/>
    <xf numFmtId="49" fontId="34" fillId="0" borderId="175" applyNumberFormat="0" applyFont="0" applyFill="0" applyBorder="0" applyProtection="0">
      <alignment horizontal="left" vertical="center" indent="2"/>
    </xf>
    <xf numFmtId="49" fontId="34" fillId="0" borderId="176" applyNumberFormat="0" applyFont="0" applyFill="0" applyBorder="0" applyProtection="0">
      <alignment horizontal="left" vertical="center" indent="5"/>
    </xf>
    <xf numFmtId="0" fontId="46" fillId="55" borderId="172" applyNumberFormat="0" applyAlignment="0" applyProtection="0"/>
    <xf numFmtId="0" fontId="34" fillId="33" borderId="178">
      <alignment horizontal="left" vertical="center" wrapText="1" indent="2"/>
    </xf>
    <xf numFmtId="0" fontId="32" fillId="33" borderId="175">
      <alignment horizontal="right" vertical="center"/>
    </xf>
    <xf numFmtId="0" fontId="32" fillId="33" borderId="177">
      <alignment horizontal="right" vertical="center"/>
    </xf>
    <xf numFmtId="0" fontId="34" fillId="0" borderId="178">
      <alignment horizontal="left" vertical="center" wrapText="1" indent="2"/>
    </xf>
    <xf numFmtId="0" fontId="32" fillId="33" borderId="177">
      <alignment horizontal="right" vertical="center"/>
    </xf>
    <xf numFmtId="0" fontId="46" fillId="55" borderId="185" applyNumberFormat="0" applyAlignment="0" applyProtection="0"/>
    <xf numFmtId="0" fontId="65" fillId="0" borderId="173" applyNumberFormat="0" applyFill="0" applyAlignment="0" applyProtection="0"/>
    <xf numFmtId="0" fontId="43" fillId="55" borderId="171" applyNumberFormat="0" applyAlignment="0" applyProtection="0"/>
    <xf numFmtId="0" fontId="32" fillId="33" borderId="176">
      <alignment horizontal="right" vertical="center"/>
    </xf>
    <xf numFmtId="173" fontId="34" fillId="59" borderId="175" applyNumberFormat="0" applyFont="0" applyBorder="0" applyAlignment="0" applyProtection="0">
      <alignment horizontal="right" vertical="center"/>
    </xf>
    <xf numFmtId="0" fontId="43" fillId="55" borderId="184" applyNumberFormat="0" applyAlignment="0" applyProtection="0"/>
    <xf numFmtId="0" fontId="43" fillId="55" borderId="163" applyNumberFormat="0" applyAlignment="0" applyProtection="0"/>
    <xf numFmtId="0" fontId="45" fillId="55" borderId="164" applyNumberFormat="0" applyAlignment="0" applyProtection="0"/>
    <xf numFmtId="0" fontId="50" fillId="0" borderId="165" applyNumberFormat="0" applyFill="0" applyAlignment="0" applyProtection="0"/>
    <xf numFmtId="0" fontId="34" fillId="33" borderId="191">
      <alignment horizontal="left" vertical="center" wrapText="1" indent="2"/>
    </xf>
    <xf numFmtId="4" fontId="36" fillId="31" borderId="175">
      <alignment horizontal="right" vertical="center"/>
    </xf>
    <xf numFmtId="0" fontId="43" fillId="55" borderId="171" applyNumberFormat="0" applyAlignment="0" applyProtection="0"/>
    <xf numFmtId="4" fontId="36" fillId="31" borderId="180">
      <alignment horizontal="right" vertical="center"/>
    </xf>
    <xf numFmtId="0" fontId="34" fillId="0" borderId="183">
      <alignment horizontal="left" vertical="center" wrapText="1" indent="2"/>
    </xf>
    <xf numFmtId="0" fontId="12" fillId="24" borderId="0" applyNumberFormat="0" applyBorder="0" applyAlignment="0" applyProtection="0"/>
    <xf numFmtId="0" fontId="45" fillId="55" borderId="172" applyNumberFormat="0" applyAlignment="0" applyProtection="0"/>
    <xf numFmtId="4" fontId="34" fillId="32" borderId="188"/>
    <xf numFmtId="0" fontId="65" fillId="0" borderId="196" applyNumberFormat="0" applyFill="0" applyAlignment="0" applyProtection="0"/>
    <xf numFmtId="0" fontId="58" fillId="42" borderId="172" applyNumberFormat="0" applyAlignment="0" applyProtection="0"/>
    <xf numFmtId="0" fontId="46" fillId="55" borderId="172" applyNumberFormat="0" applyAlignment="0" applyProtection="0"/>
    <xf numFmtId="0" fontId="50" fillId="0" borderId="196" applyNumberFormat="0" applyFill="0" applyAlignment="0" applyProtection="0"/>
    <xf numFmtId="4" fontId="34" fillId="0" borderId="188" applyFill="0" applyBorder="0" applyProtection="0">
      <alignment horizontal="right" vertical="center"/>
    </xf>
    <xf numFmtId="0" fontId="65" fillId="0" borderId="194" applyNumberFormat="0" applyFill="0" applyAlignment="0" applyProtection="0"/>
    <xf numFmtId="0" fontId="40" fillId="58" borderId="179" applyNumberFormat="0" applyFont="0" applyAlignment="0" applyProtection="0"/>
    <xf numFmtId="0" fontId="1" fillId="0" borderId="0" applyNumberFormat="0" applyFill="0" applyBorder="0" applyAlignment="0" applyProtection="0"/>
    <xf numFmtId="0" fontId="34" fillId="31" borderId="189">
      <alignment horizontal="left" vertical="center"/>
    </xf>
    <xf numFmtId="0" fontId="34" fillId="33" borderId="183">
      <alignment horizontal="left" vertical="center" wrapText="1" indent="2"/>
    </xf>
    <xf numFmtId="0" fontId="32" fillId="33" borderId="175">
      <alignment horizontal="right" vertical="center"/>
    </xf>
    <xf numFmtId="0" fontId="34" fillId="0" borderId="180" applyNumberFormat="0" applyFill="0" applyAlignment="0" applyProtection="0"/>
    <xf numFmtId="4" fontId="32" fillId="33" borderId="175">
      <alignment horizontal="right" vertical="center"/>
    </xf>
    <xf numFmtId="0" fontId="34" fillId="33" borderId="178">
      <alignment horizontal="left" vertical="center" wrapText="1" indent="2"/>
    </xf>
    <xf numFmtId="0" fontId="43" fillId="55" borderId="171" applyNumberFormat="0" applyAlignment="0" applyProtection="0"/>
    <xf numFmtId="0" fontId="50" fillId="0" borderId="194" applyNumberFormat="0" applyFill="0" applyAlignment="0" applyProtection="0"/>
    <xf numFmtId="0" fontId="49" fillId="42" borderId="164" applyNumberFormat="0" applyAlignment="0" applyProtection="0"/>
    <xf numFmtId="49" fontId="34" fillId="0" borderId="175" applyNumberFormat="0" applyFont="0" applyFill="0" applyBorder="0" applyProtection="0">
      <alignment horizontal="left" vertical="center" indent="2"/>
    </xf>
    <xf numFmtId="173" fontId="34" fillId="59" borderId="175" applyNumberFormat="0" applyFont="0" applyBorder="0" applyAlignment="0" applyProtection="0">
      <alignment horizontal="right" vertical="center"/>
    </xf>
    <xf numFmtId="0" fontId="34" fillId="32" borderId="188"/>
    <xf numFmtId="4" fontId="32" fillId="31" borderId="198">
      <alignment horizontal="right" vertical="center"/>
    </xf>
    <xf numFmtId="0" fontId="46" fillId="55" borderId="185" applyNumberFormat="0" applyAlignment="0" applyProtection="0"/>
    <xf numFmtId="4" fontId="32" fillId="33" borderId="182">
      <alignment horizontal="right" vertical="center"/>
    </xf>
    <xf numFmtId="0" fontId="26" fillId="13" borderId="0" applyNumberFormat="0" applyBorder="0" applyAlignment="0" applyProtection="0"/>
    <xf numFmtId="4" fontId="32" fillId="33" borderId="177">
      <alignment horizontal="right" vertical="center"/>
    </xf>
    <xf numFmtId="0" fontId="26" fillId="22" borderId="0" applyNumberFormat="0" applyBorder="0" applyAlignment="0" applyProtection="0"/>
    <xf numFmtId="0" fontId="40" fillId="58" borderId="179" applyNumberFormat="0" applyFont="0" applyAlignment="0" applyProtection="0"/>
    <xf numFmtId="0" fontId="28" fillId="12" borderId="11" applyNumberFormat="0" applyAlignment="0" applyProtection="0"/>
    <xf numFmtId="4" fontId="32" fillId="33" borderId="181">
      <alignment horizontal="right" vertical="center"/>
    </xf>
    <xf numFmtId="0" fontId="62" fillId="55" borderId="192" applyNumberFormat="0" applyAlignment="0" applyProtection="0"/>
    <xf numFmtId="0" fontId="45" fillId="55" borderId="193" applyNumberFormat="0" applyAlignment="0" applyProtection="0"/>
    <xf numFmtId="0" fontId="58" fillId="42" borderId="172" applyNumberFormat="0" applyAlignment="0" applyProtection="0"/>
    <xf numFmtId="0" fontId="34" fillId="33" borderId="178">
      <alignment horizontal="left" vertical="center" wrapText="1" indent="2"/>
    </xf>
    <xf numFmtId="0" fontId="50" fillId="0" borderId="173" applyNumberFormat="0" applyFill="0" applyAlignment="0" applyProtection="0"/>
    <xf numFmtId="4" fontId="34" fillId="32" borderId="175"/>
    <xf numFmtId="0" fontId="26" fillId="13" borderId="0" applyNumberFormat="0" applyBorder="0" applyAlignment="0" applyProtection="0"/>
    <xf numFmtId="0" fontId="34" fillId="33" borderId="170">
      <alignment horizontal="left" vertical="center" wrapText="1" indent="2"/>
    </xf>
    <xf numFmtId="0" fontId="34" fillId="0" borderId="170">
      <alignment horizontal="left" vertical="center" wrapText="1" indent="2"/>
    </xf>
    <xf numFmtId="4" fontId="32" fillId="33" borderId="180">
      <alignment horizontal="right" vertical="center"/>
    </xf>
    <xf numFmtId="0" fontId="46" fillId="55" borderId="185" applyNumberFormat="0" applyAlignment="0" applyProtection="0"/>
    <xf numFmtId="0" fontId="26" fillId="26" borderId="0" applyNumberFormat="0" applyBorder="0" applyAlignment="0" applyProtection="0"/>
    <xf numFmtId="0" fontId="26" fillId="17" borderId="0" applyNumberFormat="0" applyBorder="0" applyAlignment="0" applyProtection="0"/>
    <xf numFmtId="0" fontId="46" fillId="55" borderId="185" applyNumberFormat="0" applyAlignment="0" applyProtection="0"/>
    <xf numFmtId="0" fontId="58" fillId="42" borderId="172" applyNumberFormat="0" applyAlignment="0" applyProtection="0"/>
    <xf numFmtId="0" fontId="46" fillId="55" borderId="185" applyNumberFormat="0" applyAlignment="0" applyProtection="0"/>
    <xf numFmtId="0" fontId="45" fillId="55" borderId="193" applyNumberFormat="0" applyAlignment="0" applyProtection="0"/>
    <xf numFmtId="0" fontId="12" fillId="21" borderId="0" applyNumberFormat="0" applyBorder="0" applyAlignment="0" applyProtection="0"/>
    <xf numFmtId="0" fontId="58" fillId="42" borderId="195" applyNumberFormat="0" applyAlignment="0" applyProtection="0"/>
    <xf numFmtId="0" fontId="49" fillId="42" borderId="185" applyNumberFormat="0" applyAlignment="0" applyProtection="0"/>
    <xf numFmtId="49" fontId="33" fillId="0" borderId="198" applyNumberFormat="0" applyFill="0" applyBorder="0" applyProtection="0">
      <alignment horizontal="left" vertical="center"/>
    </xf>
    <xf numFmtId="0" fontId="34" fillId="0" borderId="180">
      <alignment horizontal="right" vertical="center"/>
    </xf>
    <xf numFmtId="0" fontId="32" fillId="33" borderId="181">
      <alignment horizontal="right" vertical="center"/>
    </xf>
    <xf numFmtId="0" fontId="32" fillId="33" borderId="180">
      <alignment horizontal="right" vertical="center"/>
    </xf>
    <xf numFmtId="0" fontId="34" fillId="33" borderId="183">
      <alignment horizontal="left" vertical="center" wrapText="1" indent="2"/>
    </xf>
    <xf numFmtId="0" fontId="34" fillId="0" borderId="175">
      <alignment horizontal="right" vertical="center"/>
    </xf>
    <xf numFmtId="0" fontId="34" fillId="33" borderId="183">
      <alignment horizontal="left" vertical="center" wrapText="1" indent="2"/>
    </xf>
    <xf numFmtId="0" fontId="43" fillId="55" borderId="171" applyNumberFormat="0" applyAlignment="0" applyProtection="0"/>
    <xf numFmtId="4" fontId="32" fillId="31" borderId="175">
      <alignment horizontal="right" vertical="center"/>
    </xf>
    <xf numFmtId="0" fontId="50" fillId="0" borderId="173" applyNumberFormat="0" applyFill="0" applyAlignment="0" applyProtection="0"/>
    <xf numFmtId="0" fontId="46" fillId="55" borderId="172" applyNumberFormat="0" applyAlignment="0" applyProtection="0"/>
    <xf numFmtId="4" fontId="32" fillId="33" borderId="176">
      <alignment horizontal="right" vertical="center"/>
    </xf>
    <xf numFmtId="4" fontId="32" fillId="33" borderId="181">
      <alignment horizontal="right" vertical="center"/>
    </xf>
    <xf numFmtId="0" fontId="45" fillId="55" borderId="172" applyNumberFormat="0" applyAlignment="0" applyProtection="0"/>
    <xf numFmtId="0" fontId="34" fillId="0" borderId="178">
      <alignment horizontal="left" vertical="center" wrapText="1" indent="2"/>
    </xf>
    <xf numFmtId="49" fontId="34" fillId="0" borderId="175" applyNumberFormat="0" applyFont="0" applyFill="0" applyBorder="0" applyProtection="0">
      <alignment horizontal="left" vertical="center" indent="2"/>
    </xf>
    <xf numFmtId="0" fontId="58" fillId="42" borderId="172" applyNumberFormat="0" applyAlignment="0" applyProtection="0"/>
    <xf numFmtId="0" fontId="40" fillId="58" borderId="174" applyNumberFormat="0" applyFont="0" applyAlignment="0" applyProtection="0"/>
    <xf numFmtId="4" fontId="32" fillId="33" borderId="176">
      <alignment horizontal="right" vertical="center"/>
    </xf>
    <xf numFmtId="0" fontId="34" fillId="33" borderId="178">
      <alignment horizontal="left" vertical="center" wrapText="1" indent="2"/>
    </xf>
    <xf numFmtId="0" fontId="50" fillId="0" borderId="173" applyNumberFormat="0" applyFill="0" applyAlignment="0" applyProtection="0"/>
    <xf numFmtId="0" fontId="62" fillId="55" borderId="171" applyNumberFormat="0" applyAlignment="0" applyProtection="0"/>
    <xf numFmtId="0" fontId="40" fillId="58" borderId="174" applyNumberFormat="0" applyFont="0" applyAlignment="0" applyProtection="0"/>
    <xf numFmtId="0" fontId="58" fillId="42" borderId="172" applyNumberFormat="0" applyAlignment="0" applyProtection="0"/>
    <xf numFmtId="0" fontId="34" fillId="0" borderId="175" applyNumberFormat="0" applyFill="0" applyAlignment="0" applyProtection="0"/>
    <xf numFmtId="0" fontId="32" fillId="31" borderId="175">
      <alignment horizontal="right" vertical="center"/>
    </xf>
    <xf numFmtId="0" fontId="32" fillId="33" borderId="175">
      <alignment horizontal="right" vertical="center"/>
    </xf>
    <xf numFmtId="0" fontId="40" fillId="58" borderId="174" applyNumberFormat="0" applyFont="0" applyAlignment="0" applyProtection="0"/>
    <xf numFmtId="0" fontId="50" fillId="0" borderId="173" applyNumberFormat="0" applyFill="0" applyAlignment="0" applyProtection="0"/>
    <xf numFmtId="0" fontId="32" fillId="31" borderId="175">
      <alignment horizontal="right" vertical="center"/>
    </xf>
    <xf numFmtId="4" fontId="34" fillId="0" borderId="175" applyFill="0" applyBorder="0" applyProtection="0">
      <alignment horizontal="right" vertical="center"/>
    </xf>
    <xf numFmtId="0" fontId="43" fillId="55" borderId="202" applyNumberFormat="0" applyAlignment="0" applyProtection="0"/>
    <xf numFmtId="49" fontId="34" fillId="0" borderId="175" applyNumberFormat="0" applyFont="0" applyFill="0" applyBorder="0" applyProtection="0">
      <alignment horizontal="left" vertical="center" indent="2"/>
    </xf>
    <xf numFmtId="0" fontId="49" fillId="42" borderId="172" applyNumberFormat="0" applyAlignment="0" applyProtection="0"/>
    <xf numFmtId="0" fontId="12" fillId="30" borderId="0" applyNumberFormat="0" applyBorder="0" applyAlignment="0" applyProtection="0"/>
    <xf numFmtId="0" fontId="12" fillId="21" borderId="0" applyNumberFormat="0" applyBorder="0" applyAlignment="0" applyProtection="0"/>
    <xf numFmtId="0" fontId="12" fillId="30" borderId="0" applyNumberFormat="0" applyBorder="0" applyAlignment="0" applyProtection="0"/>
    <xf numFmtId="0" fontId="34" fillId="33" borderId="191">
      <alignment horizontal="left" vertical="center" wrapText="1" indent="2"/>
    </xf>
    <xf numFmtId="0" fontId="26" fillId="28" borderId="0" applyNumberFormat="0" applyBorder="0" applyAlignment="0" applyProtection="0"/>
    <xf numFmtId="0" fontId="58" fillId="42" borderId="193" applyNumberFormat="0" applyAlignment="0" applyProtection="0"/>
    <xf numFmtId="0" fontId="26" fillId="25" borderId="0" applyNumberFormat="0" applyBorder="0" applyAlignment="0" applyProtection="0"/>
    <xf numFmtId="0" fontId="26" fillId="23" borderId="0" applyNumberFormat="0" applyBorder="0" applyAlignment="0" applyProtection="0"/>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62" fillId="55" borderId="184" applyNumberFormat="0" applyAlignment="0" applyProtection="0"/>
    <xf numFmtId="0" fontId="2" fillId="0" borderId="12" applyNumberFormat="0" applyFill="0" applyAlignment="0" applyProtection="0"/>
    <xf numFmtId="0" fontId="32" fillId="31" borderId="188">
      <alignment horizontal="right" vertical="center"/>
    </xf>
    <xf numFmtId="4" fontId="36" fillId="31" borderId="180">
      <alignment horizontal="right" vertical="center"/>
    </xf>
    <xf numFmtId="4" fontId="36" fillId="31" borderId="180">
      <alignment horizontal="right" vertical="center"/>
    </xf>
    <xf numFmtId="0" fontId="45" fillId="55" borderId="193" applyNumberFormat="0" applyAlignment="0" applyProtection="0"/>
    <xf numFmtId="4" fontId="32" fillId="33" borderId="188">
      <alignment horizontal="right" vertical="center"/>
    </xf>
    <xf numFmtId="0" fontId="62" fillId="55" borderId="171" applyNumberFormat="0" applyAlignment="0" applyProtection="0"/>
    <xf numFmtId="0" fontId="50" fillId="0" borderId="173" applyNumberFormat="0" applyFill="0" applyAlignment="0" applyProtection="0"/>
    <xf numFmtId="4" fontId="32" fillId="33" borderId="167">
      <alignment horizontal="right" vertical="center"/>
    </xf>
    <xf numFmtId="0" fontId="34" fillId="32" borderId="167"/>
    <xf numFmtId="0" fontId="45" fillId="55" borderId="164" applyNumberFormat="0" applyAlignment="0" applyProtection="0"/>
    <xf numFmtId="0" fontId="32" fillId="31" borderId="167">
      <alignment horizontal="right" vertical="center"/>
    </xf>
    <xf numFmtId="0" fontId="34" fillId="0" borderId="167">
      <alignment horizontal="right" vertical="center"/>
    </xf>
    <xf numFmtId="0" fontId="65" fillId="0" borderId="165" applyNumberFormat="0" applyFill="0" applyAlignment="0" applyProtection="0"/>
    <xf numFmtId="0" fontId="34" fillId="31" borderId="168">
      <alignment horizontal="left" vertical="center"/>
    </xf>
    <xf numFmtId="0" fontId="58" fillId="42" borderId="164" applyNumberFormat="0" applyAlignment="0" applyProtection="0"/>
    <xf numFmtId="173" fontId="34" fillId="59" borderId="167" applyNumberFormat="0" applyFont="0" applyBorder="0" applyAlignment="0" applyProtection="0">
      <alignment horizontal="right" vertical="center"/>
    </xf>
    <xf numFmtId="0" fontId="40" fillId="58" borderId="166" applyNumberFormat="0" applyFont="0" applyAlignment="0" applyProtection="0"/>
    <xf numFmtId="0" fontId="34" fillId="0" borderId="170">
      <alignment horizontal="left" vertical="center" wrapText="1" indent="2"/>
    </xf>
    <xf numFmtId="4" fontId="34" fillId="32" borderId="167"/>
    <xf numFmtId="49" fontId="33" fillId="0" borderId="167" applyNumberFormat="0" applyFill="0" applyBorder="0" applyProtection="0">
      <alignment horizontal="left" vertical="center"/>
    </xf>
    <xf numFmtId="0" fontId="34" fillId="0" borderId="167">
      <alignment horizontal="right" vertical="center"/>
    </xf>
    <xf numFmtId="4" fontId="32" fillId="33" borderId="169">
      <alignment horizontal="right" vertical="center"/>
    </xf>
    <xf numFmtId="4" fontId="32" fillId="33" borderId="167">
      <alignment horizontal="right" vertical="center"/>
    </xf>
    <xf numFmtId="4" fontId="32" fillId="33" borderId="167">
      <alignment horizontal="right" vertical="center"/>
    </xf>
    <xf numFmtId="0" fontId="36" fillId="31" borderId="167">
      <alignment horizontal="right" vertical="center"/>
    </xf>
    <xf numFmtId="0" fontId="32" fillId="31" borderId="167">
      <alignment horizontal="right" vertical="center"/>
    </xf>
    <xf numFmtId="49" fontId="34" fillId="0" borderId="167" applyNumberFormat="0" applyFont="0" applyFill="0" applyBorder="0" applyProtection="0">
      <alignment horizontal="left" vertical="center" indent="2"/>
    </xf>
    <xf numFmtId="0" fontId="58" fillId="42" borderId="164" applyNumberFormat="0" applyAlignment="0" applyProtection="0"/>
    <xf numFmtId="0" fontId="43" fillId="55" borderId="163" applyNumberFormat="0" applyAlignment="0" applyProtection="0"/>
    <xf numFmtId="49" fontId="34" fillId="0" borderId="167" applyNumberFormat="0" applyFont="0" applyFill="0" applyBorder="0" applyProtection="0">
      <alignment horizontal="left" vertical="center" indent="2"/>
    </xf>
    <xf numFmtId="0" fontId="49" fillId="42" borderId="164" applyNumberFormat="0" applyAlignment="0" applyProtection="0"/>
    <xf numFmtId="4" fontId="34" fillId="0" borderId="167" applyFill="0" applyBorder="0" applyProtection="0">
      <alignment horizontal="right" vertical="center"/>
    </xf>
    <xf numFmtId="0" fontId="46" fillId="55" borderId="164" applyNumberFormat="0" applyAlignment="0" applyProtection="0"/>
    <xf numFmtId="0" fontId="65" fillId="0" borderId="165" applyNumberFormat="0" applyFill="0" applyAlignment="0" applyProtection="0"/>
    <xf numFmtId="0" fontId="62" fillId="55" borderId="163" applyNumberFormat="0" applyAlignment="0" applyProtection="0"/>
    <xf numFmtId="0" fontId="34" fillId="0" borderId="167" applyNumberFormat="0" applyFill="0" applyAlignment="0" applyProtection="0"/>
    <xf numFmtId="4" fontId="34" fillId="0" borderId="167">
      <alignment horizontal="right" vertical="center"/>
    </xf>
    <xf numFmtId="0" fontId="34" fillId="0" borderId="167">
      <alignment horizontal="right" vertical="center"/>
    </xf>
    <xf numFmtId="0" fontId="58" fillId="42" borderId="164" applyNumberFormat="0" applyAlignment="0" applyProtection="0"/>
    <xf numFmtId="0" fontId="43" fillId="55" borderId="163" applyNumberFormat="0" applyAlignment="0" applyProtection="0"/>
    <xf numFmtId="0" fontId="45" fillId="55" borderId="164" applyNumberFormat="0" applyAlignment="0" applyProtection="0"/>
    <xf numFmtId="0" fontId="34" fillId="33" borderId="170">
      <alignment horizontal="left" vertical="center" wrapText="1" indent="2"/>
    </xf>
    <xf numFmtId="0" fontId="46" fillId="55" borderId="164" applyNumberFormat="0" applyAlignment="0" applyProtection="0"/>
    <xf numFmtId="0" fontId="46" fillId="55" borderId="164" applyNumberFormat="0" applyAlignment="0" applyProtection="0"/>
    <xf numFmtId="4" fontId="32" fillId="33" borderId="168">
      <alignment horizontal="right" vertical="center"/>
    </xf>
    <xf numFmtId="0" fontId="32" fillId="33" borderId="168">
      <alignment horizontal="right" vertical="center"/>
    </xf>
    <xf numFmtId="0" fontId="32" fillId="33" borderId="167">
      <alignment horizontal="right" vertical="center"/>
    </xf>
    <xf numFmtId="4" fontId="36" fillId="31" borderId="167">
      <alignment horizontal="right" vertical="center"/>
    </xf>
    <xf numFmtId="0" fontId="49" fillId="42" borderId="164" applyNumberFormat="0" applyAlignment="0" applyProtection="0"/>
    <xf numFmtId="0" fontId="50" fillId="0" borderId="165" applyNumberFormat="0" applyFill="0" applyAlignment="0" applyProtection="0"/>
    <xf numFmtId="0" fontId="65" fillId="0" borderId="165" applyNumberFormat="0" applyFill="0" applyAlignment="0" applyProtection="0"/>
    <xf numFmtId="0" fontId="40" fillId="58" borderId="166" applyNumberFormat="0" applyFont="0" applyAlignment="0" applyProtection="0"/>
    <xf numFmtId="0" fontId="58" fillId="42" borderId="164" applyNumberFormat="0" applyAlignment="0" applyProtection="0"/>
    <xf numFmtId="49" fontId="33" fillId="0" borderId="167" applyNumberFormat="0" applyFill="0" applyBorder="0" applyProtection="0">
      <alignment horizontal="left" vertical="center"/>
    </xf>
    <xf numFmtId="0" fontId="34" fillId="33" borderId="170">
      <alignment horizontal="left" vertical="center" wrapText="1" indent="2"/>
    </xf>
    <xf numFmtId="0" fontId="46" fillId="55" borderId="164" applyNumberFormat="0" applyAlignment="0" applyProtection="0"/>
    <xf numFmtId="0" fontId="34" fillId="0" borderId="170">
      <alignment horizontal="left" vertical="center" wrapText="1" indent="2"/>
    </xf>
    <xf numFmtId="0" fontId="40" fillId="58" borderId="166" applyNumberFormat="0" applyFont="0" applyAlignment="0" applyProtection="0"/>
    <xf numFmtId="0" fontId="5" fillId="58" borderId="166" applyNumberFormat="0" applyFont="0" applyAlignment="0" applyProtection="0"/>
    <xf numFmtId="0" fontId="62" fillId="55" borderId="163" applyNumberFormat="0" applyAlignment="0" applyProtection="0"/>
    <xf numFmtId="0" fontId="65" fillId="0" borderId="165" applyNumberFormat="0" applyFill="0" applyAlignment="0" applyProtection="0"/>
    <xf numFmtId="4" fontId="34" fillId="32" borderId="167"/>
    <xf numFmtId="0" fontId="32" fillId="33" borderId="167">
      <alignment horizontal="right" vertical="center"/>
    </xf>
    <xf numFmtId="0" fontId="65" fillId="0" borderId="165" applyNumberFormat="0" applyFill="0" applyAlignment="0" applyProtection="0"/>
    <xf numFmtId="4" fontId="32" fillId="33" borderId="169">
      <alignment horizontal="right" vertical="center"/>
    </xf>
    <xf numFmtId="0" fontId="45" fillId="55" borderId="164" applyNumberFormat="0" applyAlignment="0" applyProtection="0"/>
    <xf numFmtId="0" fontId="32" fillId="33" borderId="168">
      <alignment horizontal="right" vertical="center"/>
    </xf>
    <xf numFmtId="0" fontId="46" fillId="55" borderId="164" applyNumberFormat="0" applyAlignment="0" applyProtection="0"/>
    <xf numFmtId="0" fontId="50" fillId="0" borderId="165" applyNumberFormat="0" applyFill="0" applyAlignment="0" applyProtection="0"/>
    <xf numFmtId="0" fontId="40" fillId="58" borderId="166" applyNumberFormat="0" applyFont="0" applyAlignment="0" applyProtection="0"/>
    <xf numFmtId="4" fontId="32" fillId="33" borderId="168">
      <alignment horizontal="right" vertical="center"/>
    </xf>
    <xf numFmtId="0" fontId="34" fillId="33" borderId="170">
      <alignment horizontal="left" vertical="center" wrapText="1" indent="2"/>
    </xf>
    <xf numFmtId="0" fontId="34" fillId="32" borderId="167"/>
    <xf numFmtId="173" fontId="34" fillId="59" borderId="167" applyNumberFormat="0" applyFont="0" applyBorder="0" applyAlignment="0" applyProtection="0">
      <alignment horizontal="right" vertical="center"/>
    </xf>
    <xf numFmtId="0" fontId="34" fillId="0" borderId="167" applyNumberFormat="0" applyFill="0" applyAlignment="0" applyProtection="0"/>
    <xf numFmtId="4" fontId="34" fillId="0" borderId="167" applyFill="0" applyBorder="0" applyProtection="0">
      <alignment horizontal="right" vertical="center"/>
    </xf>
    <xf numFmtId="4" fontId="32" fillId="31" borderId="167">
      <alignment horizontal="right" vertical="center"/>
    </xf>
    <xf numFmtId="0" fontId="50" fillId="0" borderId="165" applyNumberFormat="0" applyFill="0" applyAlignment="0" applyProtection="0"/>
    <xf numFmtId="49" fontId="33" fillId="0" borderId="167" applyNumberFormat="0" applyFill="0" applyBorder="0" applyProtection="0">
      <alignment horizontal="left" vertical="center"/>
    </xf>
    <xf numFmtId="49" fontId="34" fillId="0" borderId="168" applyNumberFormat="0" applyFont="0" applyFill="0" applyBorder="0" applyProtection="0">
      <alignment horizontal="left" vertical="center" indent="5"/>
    </xf>
    <xf numFmtId="0" fontId="34" fillId="31" borderId="168">
      <alignment horizontal="left" vertical="center"/>
    </xf>
    <xf numFmtId="0" fontId="46" fillId="55" borderId="164" applyNumberFormat="0" applyAlignment="0" applyProtection="0"/>
    <xf numFmtId="4" fontId="32" fillId="33" borderId="169">
      <alignment horizontal="right" vertical="center"/>
    </xf>
    <xf numFmtId="0" fontId="58" fillId="42" borderId="164" applyNumberFormat="0" applyAlignment="0" applyProtection="0"/>
    <xf numFmtId="0" fontId="58" fillId="42" borderId="164" applyNumberFormat="0" applyAlignment="0" applyProtection="0"/>
    <xf numFmtId="0" fontId="40" fillId="58" borderId="166" applyNumberFormat="0" applyFont="0" applyAlignment="0" applyProtection="0"/>
    <xf numFmtId="0" fontId="62" fillId="55" borderId="163" applyNumberFormat="0" applyAlignment="0" applyProtection="0"/>
    <xf numFmtId="0" fontId="65" fillId="0" borderId="165" applyNumberFormat="0" applyFill="0" applyAlignment="0" applyProtection="0"/>
    <xf numFmtId="0" fontId="32" fillId="33" borderId="167">
      <alignment horizontal="right" vertical="center"/>
    </xf>
    <xf numFmtId="0" fontId="5" fillId="58" borderId="166" applyNumberFormat="0" applyFont="0" applyAlignment="0" applyProtection="0"/>
    <xf numFmtId="4" fontId="34" fillId="0" borderId="167">
      <alignment horizontal="right" vertical="center"/>
    </xf>
    <xf numFmtId="0" fontId="65" fillId="0" borderId="165" applyNumberFormat="0" applyFill="0" applyAlignment="0" applyProtection="0"/>
    <xf numFmtId="0" fontId="32" fillId="33" borderId="167">
      <alignment horizontal="right" vertical="center"/>
    </xf>
    <xf numFmtId="0" fontId="32" fillId="33" borderId="167">
      <alignment horizontal="right" vertical="center"/>
    </xf>
    <xf numFmtId="4" fontId="36" fillId="31" borderId="167">
      <alignment horizontal="right" vertical="center"/>
    </xf>
    <xf numFmtId="0" fontId="32" fillId="31" borderId="167">
      <alignment horizontal="right" vertical="center"/>
    </xf>
    <xf numFmtId="4" fontId="32" fillId="31" borderId="167">
      <alignment horizontal="right" vertical="center"/>
    </xf>
    <xf numFmtId="0" fontId="36" fillId="31" borderId="167">
      <alignment horizontal="right" vertical="center"/>
    </xf>
    <xf numFmtId="4" fontId="36" fillId="31" borderId="167">
      <alignment horizontal="right" vertical="center"/>
    </xf>
    <xf numFmtId="0" fontId="32" fillId="33" borderId="167">
      <alignment horizontal="right" vertical="center"/>
    </xf>
    <xf numFmtId="4" fontId="32" fillId="33" borderId="167">
      <alignment horizontal="right" vertical="center"/>
    </xf>
    <xf numFmtId="0" fontId="32" fillId="33" borderId="167">
      <alignment horizontal="right" vertical="center"/>
    </xf>
    <xf numFmtId="4" fontId="32" fillId="33" borderId="167">
      <alignment horizontal="right" vertical="center"/>
    </xf>
    <xf numFmtId="0" fontId="32" fillId="33" borderId="168">
      <alignment horizontal="right" vertical="center"/>
    </xf>
    <xf numFmtId="4" fontId="32" fillId="33" borderId="168">
      <alignment horizontal="right" vertical="center"/>
    </xf>
    <xf numFmtId="0" fontId="32" fillId="33" borderId="169">
      <alignment horizontal="right" vertical="center"/>
    </xf>
    <xf numFmtId="4" fontId="32" fillId="33" borderId="169">
      <alignment horizontal="right" vertical="center"/>
    </xf>
    <xf numFmtId="0" fontId="46" fillId="55" borderId="164" applyNumberFormat="0" applyAlignment="0" applyProtection="0"/>
    <xf numFmtId="0" fontId="34" fillId="33" borderId="170">
      <alignment horizontal="left" vertical="center" wrapText="1" indent="2"/>
    </xf>
    <xf numFmtId="0" fontId="34" fillId="0" borderId="170">
      <alignment horizontal="left" vertical="center" wrapText="1" indent="2"/>
    </xf>
    <xf numFmtId="0" fontId="34" fillId="31" borderId="168">
      <alignment horizontal="left" vertical="center"/>
    </xf>
    <xf numFmtId="0" fontId="58" fillId="42" borderId="164" applyNumberFormat="0" applyAlignment="0" applyProtection="0"/>
    <xf numFmtId="0" fontId="34" fillId="0" borderId="167">
      <alignment horizontal="right" vertical="center"/>
    </xf>
    <xf numFmtId="4" fontId="34" fillId="0" borderId="167">
      <alignment horizontal="right" vertical="center"/>
    </xf>
    <xf numFmtId="0" fontId="34" fillId="0" borderId="167" applyNumberFormat="0" applyFill="0" applyAlignment="0" applyProtection="0"/>
    <xf numFmtId="0" fontId="62" fillId="55" borderId="163" applyNumberFormat="0" applyAlignment="0" applyProtection="0"/>
    <xf numFmtId="173" fontId="34" fillId="59" borderId="167" applyNumberFormat="0" applyFont="0" applyBorder="0" applyAlignment="0" applyProtection="0">
      <alignment horizontal="right" vertical="center"/>
    </xf>
    <xf numFmtId="0" fontId="34" fillId="32" borderId="167"/>
    <xf numFmtId="4" fontId="34" fillId="32" borderId="167"/>
    <xf numFmtId="0" fontId="65" fillId="0" borderId="165" applyNumberFormat="0" applyFill="0" applyAlignment="0" applyProtection="0"/>
    <xf numFmtId="0" fontId="5" fillId="58" borderId="166" applyNumberFormat="0" applyFont="0" applyAlignment="0" applyProtection="0"/>
    <xf numFmtId="0" fontId="40" fillId="58" borderId="166" applyNumberFormat="0" applyFont="0" applyAlignment="0" applyProtection="0"/>
    <xf numFmtId="0" fontId="34" fillId="0" borderId="167" applyNumberFormat="0" applyFill="0" applyAlignment="0" applyProtection="0"/>
    <xf numFmtId="0" fontId="50" fillId="0" borderId="165" applyNumberFormat="0" applyFill="0" applyAlignment="0" applyProtection="0"/>
    <xf numFmtId="0" fontId="65" fillId="0" borderId="165" applyNumberFormat="0" applyFill="0" applyAlignment="0" applyProtection="0"/>
    <xf numFmtId="0" fontId="49" fillId="42" borderId="164" applyNumberFormat="0" applyAlignment="0" applyProtection="0"/>
    <xf numFmtId="0" fontId="46" fillId="55" borderId="164" applyNumberFormat="0" applyAlignment="0" applyProtection="0"/>
    <xf numFmtId="4" fontId="36" fillId="31" borderId="167">
      <alignment horizontal="right" vertical="center"/>
    </xf>
    <xf numFmtId="0" fontId="32" fillId="31" borderId="167">
      <alignment horizontal="right" vertical="center"/>
    </xf>
    <xf numFmtId="173" fontId="34" fillId="59" borderId="167" applyNumberFormat="0" applyFont="0" applyBorder="0" applyAlignment="0" applyProtection="0">
      <alignment horizontal="right" vertical="center"/>
    </xf>
    <xf numFmtId="0" fontId="50" fillId="0" borderId="165" applyNumberFormat="0" applyFill="0" applyAlignment="0" applyProtection="0"/>
    <xf numFmtId="49" fontId="34" fillId="0" borderId="167" applyNumberFormat="0" applyFont="0" applyFill="0" applyBorder="0" applyProtection="0">
      <alignment horizontal="left" vertical="center" indent="2"/>
    </xf>
    <xf numFmtId="49" fontId="34" fillId="0" borderId="168" applyNumberFormat="0" applyFont="0" applyFill="0" applyBorder="0" applyProtection="0">
      <alignment horizontal="left" vertical="center" indent="5"/>
    </xf>
    <xf numFmtId="49" fontId="34" fillId="0" borderId="167" applyNumberFormat="0" applyFont="0" applyFill="0" applyBorder="0" applyProtection="0">
      <alignment horizontal="left" vertical="center" indent="2"/>
    </xf>
    <xf numFmtId="4" fontId="34" fillId="0" borderId="167" applyFill="0" applyBorder="0" applyProtection="0">
      <alignment horizontal="right" vertical="center"/>
    </xf>
    <xf numFmtId="49" fontId="33" fillId="0" borderId="167" applyNumberFormat="0" applyFill="0" applyBorder="0" applyProtection="0">
      <alignment horizontal="left" vertical="center"/>
    </xf>
    <xf numFmtId="0" fontId="34" fillId="0" borderId="170">
      <alignment horizontal="left" vertical="center" wrapText="1" indent="2"/>
    </xf>
    <xf numFmtId="0" fontId="62" fillId="55" borderId="163" applyNumberFormat="0" applyAlignment="0" applyProtection="0"/>
    <xf numFmtId="0" fontId="32" fillId="33" borderId="169">
      <alignment horizontal="right" vertical="center"/>
    </xf>
    <xf numFmtId="0" fontId="49" fillId="42" borderId="164" applyNumberFormat="0" applyAlignment="0" applyProtection="0"/>
    <xf numFmtId="0" fontId="32" fillId="33" borderId="169">
      <alignment horizontal="right" vertical="center"/>
    </xf>
    <xf numFmtId="4" fontId="32" fillId="33" borderId="167">
      <alignment horizontal="right" vertical="center"/>
    </xf>
    <xf numFmtId="0" fontId="32" fillId="33" borderId="167">
      <alignment horizontal="right" vertical="center"/>
    </xf>
    <xf numFmtId="0" fontId="43" fillId="55" borderId="163" applyNumberFormat="0" applyAlignment="0" applyProtection="0"/>
    <xf numFmtId="0" fontId="45" fillId="55" borderId="164" applyNumberFormat="0" applyAlignment="0" applyProtection="0"/>
    <xf numFmtId="0" fontId="50" fillId="0" borderId="165" applyNumberFormat="0" applyFill="0" applyAlignment="0" applyProtection="0"/>
    <xf numFmtId="0" fontId="34" fillId="32" borderId="167"/>
    <xf numFmtId="4" fontId="34" fillId="32" borderId="167"/>
    <xf numFmtId="4" fontId="32" fillId="33" borderId="167">
      <alignment horizontal="right" vertical="center"/>
    </xf>
    <xf numFmtId="0" fontId="36" fillId="31" borderId="167">
      <alignment horizontal="right" vertical="center"/>
    </xf>
    <xf numFmtId="0" fontId="49" fillId="42" borderId="164" applyNumberFormat="0" applyAlignment="0" applyProtection="0"/>
    <xf numFmtId="0" fontId="46" fillId="55" borderId="164" applyNumberFormat="0" applyAlignment="0" applyProtection="0"/>
    <xf numFmtId="4" fontId="34" fillId="0" borderId="167">
      <alignment horizontal="right" vertical="center"/>
    </xf>
    <xf numFmtId="0" fontId="34" fillId="33" borderId="170">
      <alignment horizontal="left" vertical="center" wrapText="1" indent="2"/>
    </xf>
    <xf numFmtId="0" fontId="34" fillId="0" borderId="170">
      <alignment horizontal="left" vertical="center" wrapText="1" indent="2"/>
    </xf>
    <xf numFmtId="0" fontId="62" fillId="55" borderId="163" applyNumberFormat="0" applyAlignment="0" applyProtection="0"/>
    <xf numFmtId="0" fontId="58" fillId="42" borderId="164" applyNumberFormat="0" applyAlignment="0" applyProtection="0"/>
    <xf numFmtId="0" fontId="45" fillId="55" borderId="164" applyNumberFormat="0" applyAlignment="0" applyProtection="0"/>
    <xf numFmtId="0" fontId="43" fillId="55" borderId="163" applyNumberFormat="0" applyAlignment="0" applyProtection="0"/>
    <xf numFmtId="0" fontId="32" fillId="33" borderId="169">
      <alignment horizontal="right" vertical="center"/>
    </xf>
    <xf numFmtId="0" fontId="36" fillId="31" borderId="167">
      <alignment horizontal="right" vertical="center"/>
    </xf>
    <xf numFmtId="4" fontId="32" fillId="31" borderId="167">
      <alignment horizontal="right" vertical="center"/>
    </xf>
    <xf numFmtId="4" fontId="32" fillId="33" borderId="167">
      <alignment horizontal="right" vertical="center"/>
    </xf>
    <xf numFmtId="49" fontId="34" fillId="0" borderId="168" applyNumberFormat="0" applyFont="0" applyFill="0" applyBorder="0" applyProtection="0">
      <alignment horizontal="left" vertical="center" indent="5"/>
    </xf>
    <xf numFmtId="4" fontId="34" fillId="0" borderId="167" applyFill="0" applyBorder="0" applyProtection="0">
      <alignment horizontal="right" vertical="center"/>
    </xf>
    <xf numFmtId="4" fontId="32" fillId="31" borderId="167">
      <alignment horizontal="right" vertical="center"/>
    </xf>
    <xf numFmtId="0" fontId="34" fillId="32" borderId="188"/>
    <xf numFmtId="0" fontId="58" fillId="42" borderId="164" applyNumberFormat="0" applyAlignment="0" applyProtection="0"/>
    <xf numFmtId="0" fontId="49" fillId="42" borderId="164" applyNumberFormat="0" applyAlignment="0" applyProtection="0"/>
    <xf numFmtId="0" fontId="45" fillId="55" borderId="164" applyNumberFormat="0" applyAlignment="0" applyProtection="0"/>
    <xf numFmtId="0" fontId="34" fillId="33" borderId="170">
      <alignment horizontal="left" vertical="center" wrapText="1" indent="2"/>
    </xf>
    <xf numFmtId="0" fontId="34" fillId="0" borderId="170">
      <alignment horizontal="left" vertical="center" wrapText="1" indent="2"/>
    </xf>
    <xf numFmtId="0" fontId="34" fillId="33" borderId="170">
      <alignment horizontal="left" vertical="center" wrapText="1" indent="2"/>
    </xf>
    <xf numFmtId="0" fontId="34" fillId="0" borderId="170">
      <alignment horizontal="left" vertical="center" wrapText="1" indent="2"/>
    </xf>
    <xf numFmtId="0" fontId="43" fillId="55" borderId="163" applyNumberFormat="0" applyAlignment="0" applyProtection="0"/>
    <xf numFmtId="0" fontId="45" fillId="55" borderId="164" applyNumberFormat="0" applyAlignment="0" applyProtection="0"/>
    <xf numFmtId="0" fontId="46" fillId="55" borderId="164" applyNumberFormat="0" applyAlignment="0" applyProtection="0"/>
    <xf numFmtId="0" fontId="49" fillId="42" borderId="164" applyNumberFormat="0" applyAlignment="0" applyProtection="0"/>
    <xf numFmtId="0" fontId="50" fillId="0" borderId="165" applyNumberFormat="0" applyFill="0" applyAlignment="0" applyProtection="0"/>
    <xf numFmtId="0" fontId="58" fillId="42" borderId="164" applyNumberFormat="0" applyAlignment="0" applyProtection="0"/>
    <xf numFmtId="0" fontId="40" fillId="58" borderId="166" applyNumberFormat="0" applyFont="0" applyAlignment="0" applyProtection="0"/>
    <xf numFmtId="0" fontId="5" fillId="58" borderId="166" applyNumberFormat="0" applyFont="0" applyAlignment="0" applyProtection="0"/>
    <xf numFmtId="0" fontId="62" fillId="55" borderId="163" applyNumberFormat="0" applyAlignment="0" applyProtection="0"/>
    <xf numFmtId="0" fontId="65" fillId="0" borderId="165" applyNumberFormat="0" applyFill="0" applyAlignment="0" applyProtection="0"/>
    <xf numFmtId="0" fontId="46" fillId="55" borderId="164" applyNumberFormat="0" applyAlignment="0" applyProtection="0"/>
    <xf numFmtId="0" fontId="58" fillId="42" borderId="164" applyNumberFormat="0" applyAlignment="0" applyProtection="0"/>
    <xf numFmtId="0" fontId="40" fillId="58" borderId="166" applyNumberFormat="0" applyFont="0" applyAlignment="0" applyProtection="0"/>
    <xf numFmtId="0" fontId="62" fillId="55" borderId="163" applyNumberFormat="0" applyAlignment="0" applyProtection="0"/>
    <xf numFmtId="0" fontId="65" fillId="0" borderId="165" applyNumberFormat="0" applyFill="0" applyAlignment="0" applyProtection="0"/>
    <xf numFmtId="0" fontId="50" fillId="0" borderId="186" applyNumberFormat="0" applyFill="0" applyAlignment="0" applyProtection="0"/>
    <xf numFmtId="4" fontId="34" fillId="0" borderId="180" applyFill="0" applyBorder="0" applyProtection="0">
      <alignment horizontal="right" vertical="center"/>
    </xf>
    <xf numFmtId="0" fontId="62" fillId="55" borderId="171" applyNumberFormat="0" applyAlignment="0" applyProtection="0"/>
    <xf numFmtId="4" fontId="34" fillId="0" borderId="175">
      <alignment horizontal="right" vertical="center"/>
    </xf>
    <xf numFmtId="0" fontId="46" fillId="55" borderId="164" applyNumberFormat="0" applyAlignment="0" applyProtection="0"/>
    <xf numFmtId="0" fontId="49" fillId="42" borderId="172" applyNumberFormat="0" applyAlignment="0" applyProtection="0"/>
    <xf numFmtId="0" fontId="12" fillId="27" borderId="0" applyNumberFormat="0" applyBorder="0" applyAlignment="0" applyProtection="0"/>
    <xf numFmtId="4" fontId="36" fillId="31" borderId="188">
      <alignment horizontal="right" vertical="center"/>
    </xf>
    <xf numFmtId="0" fontId="58" fillId="42" borderId="164" applyNumberFormat="0" applyAlignment="0" applyProtection="0"/>
    <xf numFmtId="0" fontId="62" fillId="55" borderId="163" applyNumberFormat="0" applyAlignment="0" applyProtection="0"/>
    <xf numFmtId="0" fontId="65" fillId="0" borderId="165" applyNumberFormat="0" applyFill="0" applyAlignment="0" applyProtection="0"/>
    <xf numFmtId="0" fontId="32" fillId="33" borderId="182">
      <alignment horizontal="right" vertical="center"/>
    </xf>
    <xf numFmtId="0" fontId="43" fillId="55" borderId="163" applyNumberFormat="0" applyAlignment="0" applyProtection="0"/>
    <xf numFmtId="0" fontId="45" fillId="55" borderId="164" applyNumberFormat="0" applyAlignment="0" applyProtection="0"/>
    <xf numFmtId="0" fontId="50" fillId="0" borderId="165" applyNumberFormat="0" applyFill="0" applyAlignment="0" applyProtection="0"/>
    <xf numFmtId="49" fontId="34" fillId="0" borderId="167" applyNumberFormat="0" applyFont="0" applyFill="0" applyBorder="0" applyProtection="0">
      <alignment horizontal="left" vertical="center" indent="2"/>
    </xf>
    <xf numFmtId="0" fontId="32" fillId="31" borderId="167">
      <alignment horizontal="right" vertical="center"/>
    </xf>
    <xf numFmtId="4" fontId="32" fillId="31" borderId="167">
      <alignment horizontal="right" vertical="center"/>
    </xf>
    <xf numFmtId="0" fontId="36" fillId="31" borderId="167">
      <alignment horizontal="right" vertical="center"/>
    </xf>
    <xf numFmtId="4" fontId="36" fillId="31" borderId="167">
      <alignment horizontal="right" vertical="center"/>
    </xf>
    <xf numFmtId="0" fontId="32" fillId="33" borderId="167">
      <alignment horizontal="right" vertical="center"/>
    </xf>
    <xf numFmtId="4" fontId="32" fillId="33" borderId="167">
      <alignment horizontal="right" vertical="center"/>
    </xf>
    <xf numFmtId="0" fontId="32" fillId="33" borderId="167">
      <alignment horizontal="right" vertical="center"/>
    </xf>
    <xf numFmtId="4" fontId="32" fillId="33" borderId="167">
      <alignment horizontal="right" vertical="center"/>
    </xf>
    <xf numFmtId="0" fontId="49" fillId="42" borderId="164" applyNumberFormat="0" applyAlignment="0" applyProtection="0"/>
    <xf numFmtId="0" fontId="34" fillId="0" borderId="167">
      <alignment horizontal="right" vertical="center"/>
    </xf>
    <xf numFmtId="4" fontId="34" fillId="0" borderId="167">
      <alignment horizontal="right" vertical="center"/>
    </xf>
    <xf numFmtId="4" fontId="34" fillId="0" borderId="167" applyFill="0" applyBorder="0" applyProtection="0">
      <alignment horizontal="right" vertical="center"/>
    </xf>
    <xf numFmtId="49" fontId="33" fillId="0" borderId="167" applyNumberFormat="0" applyFill="0" applyBorder="0" applyProtection="0">
      <alignment horizontal="left" vertical="center"/>
    </xf>
    <xf numFmtId="0" fontId="34" fillId="0" borderId="167" applyNumberFormat="0" applyFill="0" applyAlignment="0" applyProtection="0"/>
    <xf numFmtId="173" fontId="34" fillId="59" borderId="167" applyNumberFormat="0" applyFont="0" applyBorder="0" applyAlignment="0" applyProtection="0">
      <alignment horizontal="right" vertical="center"/>
    </xf>
    <xf numFmtId="0" fontId="34" fillId="32" borderId="167"/>
    <xf numFmtId="4" fontId="34" fillId="32" borderId="167"/>
    <xf numFmtId="4" fontId="32" fillId="33" borderId="167">
      <alignment horizontal="right" vertical="center"/>
    </xf>
    <xf numFmtId="0" fontId="34" fillId="32" borderId="167"/>
    <xf numFmtId="0" fontId="45" fillId="55" borderId="164" applyNumberFormat="0" applyAlignment="0" applyProtection="0"/>
    <xf numFmtId="0" fontId="32" fillId="31" borderId="167">
      <alignment horizontal="right" vertical="center"/>
    </xf>
    <xf numFmtId="0" fontId="34" fillId="0" borderId="167">
      <alignment horizontal="right" vertical="center"/>
    </xf>
    <xf numFmtId="0" fontId="65" fillId="0" borderId="165" applyNumberFormat="0" applyFill="0" applyAlignment="0" applyProtection="0"/>
    <xf numFmtId="0" fontId="34" fillId="31" borderId="168">
      <alignment horizontal="left" vertical="center"/>
    </xf>
    <xf numFmtId="0" fontId="58" fillId="42" borderId="164" applyNumberFormat="0" applyAlignment="0" applyProtection="0"/>
    <xf numFmtId="173" fontId="34" fillId="59" borderId="167" applyNumberFormat="0" applyFont="0" applyBorder="0" applyAlignment="0" applyProtection="0">
      <alignment horizontal="right" vertical="center"/>
    </xf>
    <xf numFmtId="0" fontId="40" fillId="58" borderId="166" applyNumberFormat="0" applyFont="0" applyAlignment="0" applyProtection="0"/>
    <xf numFmtId="0" fontId="34" fillId="0" borderId="170">
      <alignment horizontal="left" vertical="center" wrapText="1" indent="2"/>
    </xf>
    <xf numFmtId="4" fontId="34" fillId="32" borderId="167"/>
    <xf numFmtId="49" fontId="33" fillId="0" borderId="167" applyNumberFormat="0" applyFill="0" applyBorder="0" applyProtection="0">
      <alignment horizontal="left" vertical="center"/>
    </xf>
    <xf numFmtId="0" fontId="34" fillId="0" borderId="167">
      <alignment horizontal="right" vertical="center"/>
    </xf>
    <xf numFmtId="4" fontId="32" fillId="33" borderId="169">
      <alignment horizontal="right" vertical="center"/>
    </xf>
    <xf numFmtId="4" fontId="32" fillId="33" borderId="167">
      <alignment horizontal="right" vertical="center"/>
    </xf>
    <xf numFmtId="4" fontId="32" fillId="33" borderId="167">
      <alignment horizontal="right" vertical="center"/>
    </xf>
    <xf numFmtId="0" fontId="36" fillId="31" borderId="167">
      <alignment horizontal="right" vertical="center"/>
    </xf>
    <xf numFmtId="0" fontId="32" fillId="31" borderId="167">
      <alignment horizontal="right" vertical="center"/>
    </xf>
    <xf numFmtId="49" fontId="34" fillId="0" borderId="167" applyNumberFormat="0" applyFont="0" applyFill="0" applyBorder="0" applyProtection="0">
      <alignment horizontal="left" vertical="center" indent="2"/>
    </xf>
    <xf numFmtId="0" fontId="58" fillId="42" borderId="164" applyNumberFormat="0" applyAlignment="0" applyProtection="0"/>
    <xf numFmtId="0" fontId="43" fillId="55" borderId="163" applyNumberFormat="0" applyAlignment="0" applyProtection="0"/>
    <xf numFmtId="49" fontId="34" fillId="0" borderId="167" applyNumberFormat="0" applyFont="0" applyFill="0" applyBorder="0" applyProtection="0">
      <alignment horizontal="left" vertical="center" indent="2"/>
    </xf>
    <xf numFmtId="0" fontId="49" fillId="42" borderId="164" applyNumberFormat="0" applyAlignment="0" applyProtection="0"/>
    <xf numFmtId="4" fontId="34" fillId="0" borderId="167" applyFill="0" applyBorder="0" applyProtection="0">
      <alignment horizontal="right" vertical="center"/>
    </xf>
    <xf numFmtId="0" fontId="46" fillId="55" borderId="164" applyNumberFormat="0" applyAlignment="0" applyProtection="0"/>
    <xf numFmtId="0" fontId="65" fillId="0" borderId="165" applyNumberFormat="0" applyFill="0" applyAlignment="0" applyProtection="0"/>
    <xf numFmtId="0" fontId="62" fillId="55" borderId="163" applyNumberFormat="0" applyAlignment="0" applyProtection="0"/>
    <xf numFmtId="0" fontId="34" fillId="0" borderId="167" applyNumberFormat="0" applyFill="0" applyAlignment="0" applyProtection="0"/>
    <xf numFmtId="4" fontId="34" fillId="0" borderId="167">
      <alignment horizontal="right" vertical="center"/>
    </xf>
    <xf numFmtId="0" fontId="34" fillId="0" borderId="167">
      <alignment horizontal="right" vertical="center"/>
    </xf>
    <xf numFmtId="0" fontId="58" fillId="42" borderId="164" applyNumberFormat="0" applyAlignment="0" applyProtection="0"/>
    <xf numFmtId="0" fontId="43" fillId="55" borderId="163" applyNumberFormat="0" applyAlignment="0" applyProtection="0"/>
    <xf numFmtId="0" fontId="45" fillId="55" borderId="164" applyNumberFormat="0" applyAlignment="0" applyProtection="0"/>
    <xf numFmtId="0" fontId="34" fillId="33" borderId="170">
      <alignment horizontal="left" vertical="center" wrapText="1" indent="2"/>
    </xf>
    <xf numFmtId="0" fontId="46" fillId="55" borderId="164" applyNumberFormat="0" applyAlignment="0" applyProtection="0"/>
    <xf numFmtId="0" fontId="46" fillId="55" borderId="164" applyNumberFormat="0" applyAlignment="0" applyProtection="0"/>
    <xf numFmtId="4" fontId="32" fillId="33" borderId="168">
      <alignment horizontal="right" vertical="center"/>
    </xf>
    <xf numFmtId="0" fontId="32" fillId="33" borderId="168">
      <alignment horizontal="right" vertical="center"/>
    </xf>
    <xf numFmtId="0" fontId="32" fillId="33" borderId="167">
      <alignment horizontal="right" vertical="center"/>
    </xf>
    <xf numFmtId="4" fontId="36" fillId="31" borderId="167">
      <alignment horizontal="right" vertical="center"/>
    </xf>
    <xf numFmtId="0" fontId="49" fillId="42" borderId="164" applyNumberFormat="0" applyAlignment="0" applyProtection="0"/>
    <xf numFmtId="0" fontId="50" fillId="0" borderId="165" applyNumberFormat="0" applyFill="0" applyAlignment="0" applyProtection="0"/>
    <xf numFmtId="0" fontId="65" fillId="0" borderId="165" applyNumberFormat="0" applyFill="0" applyAlignment="0" applyProtection="0"/>
    <xf numFmtId="0" fontId="40" fillId="58" borderId="166" applyNumberFormat="0" applyFont="0" applyAlignment="0" applyProtection="0"/>
    <xf numFmtId="0" fontId="58" fillId="42" borderId="164" applyNumberFormat="0" applyAlignment="0" applyProtection="0"/>
    <xf numFmtId="49" fontId="33" fillId="0" borderId="167" applyNumberFormat="0" applyFill="0" applyBorder="0" applyProtection="0">
      <alignment horizontal="left" vertical="center"/>
    </xf>
    <xf numFmtId="0" fontId="34" fillId="33" borderId="170">
      <alignment horizontal="left" vertical="center" wrapText="1" indent="2"/>
    </xf>
    <xf numFmtId="0" fontId="46" fillId="55" borderId="164" applyNumberFormat="0" applyAlignment="0" applyProtection="0"/>
    <xf numFmtId="0" fontId="34" fillId="0" borderId="170">
      <alignment horizontal="left" vertical="center" wrapText="1" indent="2"/>
    </xf>
    <xf numFmtId="0" fontId="40" fillId="58" borderId="166" applyNumberFormat="0" applyFont="0" applyAlignment="0" applyProtection="0"/>
    <xf numFmtId="0" fontId="5" fillId="58" borderId="166" applyNumberFormat="0" applyFont="0" applyAlignment="0" applyProtection="0"/>
    <xf numFmtId="0" fontId="62" fillId="55" borderId="163" applyNumberFormat="0" applyAlignment="0" applyProtection="0"/>
    <xf numFmtId="0" fontId="65" fillId="0" borderId="165" applyNumberFormat="0" applyFill="0" applyAlignment="0" applyProtection="0"/>
    <xf numFmtId="4" fontId="34" fillId="32" borderId="167"/>
    <xf numFmtId="0" fontId="32" fillId="33" borderId="167">
      <alignment horizontal="right" vertical="center"/>
    </xf>
    <xf numFmtId="0" fontId="65" fillId="0" borderId="165" applyNumberFormat="0" applyFill="0" applyAlignment="0" applyProtection="0"/>
    <xf numFmtId="4" fontId="32" fillId="33" borderId="169">
      <alignment horizontal="right" vertical="center"/>
    </xf>
    <xf numFmtId="0" fontId="45" fillId="55" borderId="164" applyNumberFormat="0" applyAlignment="0" applyProtection="0"/>
    <xf numFmtId="0" fontId="32" fillId="33" borderId="168">
      <alignment horizontal="right" vertical="center"/>
    </xf>
    <xf numFmtId="0" fontId="46" fillId="55" borderId="164" applyNumberFormat="0" applyAlignment="0" applyProtection="0"/>
    <xf numFmtId="0" fontId="50" fillId="0" borderId="165" applyNumberFormat="0" applyFill="0" applyAlignment="0" applyProtection="0"/>
    <xf numFmtId="0" fontId="40" fillId="58" borderId="166" applyNumberFormat="0" applyFont="0" applyAlignment="0" applyProtection="0"/>
    <xf numFmtId="4" fontId="32" fillId="33" borderId="168">
      <alignment horizontal="right" vertical="center"/>
    </xf>
    <xf numFmtId="0" fontId="34" fillId="33" borderId="170">
      <alignment horizontal="left" vertical="center" wrapText="1" indent="2"/>
    </xf>
    <xf numFmtId="0" fontId="34" fillId="32" borderId="167"/>
    <xf numFmtId="173" fontId="34" fillId="59" borderId="167" applyNumberFormat="0" applyFont="0" applyBorder="0" applyAlignment="0" applyProtection="0">
      <alignment horizontal="right" vertical="center"/>
    </xf>
    <xf numFmtId="0" fontId="34" fillId="0" borderId="167" applyNumberFormat="0" applyFill="0" applyAlignment="0" applyProtection="0"/>
    <xf numFmtId="4" fontId="34" fillId="0" borderId="167" applyFill="0" applyBorder="0" applyProtection="0">
      <alignment horizontal="right" vertical="center"/>
    </xf>
    <xf numFmtId="4" fontId="32" fillId="31" borderId="167">
      <alignment horizontal="right" vertical="center"/>
    </xf>
    <xf numFmtId="0" fontId="50" fillId="0" borderId="165" applyNumberFormat="0" applyFill="0" applyAlignment="0" applyProtection="0"/>
    <xf numFmtId="49" fontId="33" fillId="0" borderId="167" applyNumberFormat="0" applyFill="0" applyBorder="0" applyProtection="0">
      <alignment horizontal="left" vertical="center"/>
    </xf>
    <xf numFmtId="49" fontId="34" fillId="0" borderId="168" applyNumberFormat="0" applyFont="0" applyFill="0" applyBorder="0" applyProtection="0">
      <alignment horizontal="left" vertical="center" indent="5"/>
    </xf>
    <xf numFmtId="0" fontId="34" fillId="31" borderId="168">
      <alignment horizontal="left" vertical="center"/>
    </xf>
    <xf numFmtId="0" fontId="46" fillId="55" borderId="164" applyNumberFormat="0" applyAlignment="0" applyProtection="0"/>
    <xf numFmtId="4" fontId="32" fillId="33" borderId="169">
      <alignment horizontal="right" vertical="center"/>
    </xf>
    <xf numFmtId="0" fontId="58" fillId="42" borderId="164" applyNumberFormat="0" applyAlignment="0" applyProtection="0"/>
    <xf numFmtId="0" fontId="58" fillId="42" borderId="164" applyNumberFormat="0" applyAlignment="0" applyProtection="0"/>
    <xf numFmtId="0" fontId="40" fillId="58" borderId="166" applyNumberFormat="0" applyFont="0" applyAlignment="0" applyProtection="0"/>
    <xf numFmtId="0" fontId="62" fillId="55" borderId="163" applyNumberFormat="0" applyAlignment="0" applyProtection="0"/>
    <xf numFmtId="0" fontId="65" fillId="0" borderId="165" applyNumberFormat="0" applyFill="0" applyAlignment="0" applyProtection="0"/>
    <xf numFmtId="0" fontId="32" fillId="33" borderId="167">
      <alignment horizontal="right" vertical="center"/>
    </xf>
    <xf numFmtId="0" fontId="5" fillId="58" borderId="166" applyNumberFormat="0" applyFont="0" applyAlignment="0" applyProtection="0"/>
    <xf numFmtId="4" fontId="34" fillId="0" borderId="167">
      <alignment horizontal="right" vertical="center"/>
    </xf>
    <xf numFmtId="0" fontId="65" fillId="0" borderId="165" applyNumberFormat="0" applyFill="0" applyAlignment="0" applyProtection="0"/>
    <xf numFmtId="0" fontId="32" fillId="33" borderId="167">
      <alignment horizontal="right" vertical="center"/>
    </xf>
    <xf numFmtId="0" fontId="32" fillId="33" borderId="167">
      <alignment horizontal="right" vertical="center"/>
    </xf>
    <xf numFmtId="4" fontId="36" fillId="31" borderId="167">
      <alignment horizontal="right" vertical="center"/>
    </xf>
    <xf numFmtId="0" fontId="32" fillId="31" borderId="167">
      <alignment horizontal="right" vertical="center"/>
    </xf>
    <xf numFmtId="4" fontId="32" fillId="31" borderId="167">
      <alignment horizontal="right" vertical="center"/>
    </xf>
    <xf numFmtId="0" fontId="36" fillId="31" borderId="167">
      <alignment horizontal="right" vertical="center"/>
    </xf>
    <xf numFmtId="4" fontId="36" fillId="31" borderId="167">
      <alignment horizontal="right" vertical="center"/>
    </xf>
    <xf numFmtId="0" fontId="32" fillId="33" borderId="167">
      <alignment horizontal="right" vertical="center"/>
    </xf>
    <xf numFmtId="4" fontId="32" fillId="33" borderId="167">
      <alignment horizontal="right" vertical="center"/>
    </xf>
    <xf numFmtId="0" fontId="32" fillId="33" borderId="167">
      <alignment horizontal="right" vertical="center"/>
    </xf>
    <xf numFmtId="4" fontId="32" fillId="33" borderId="167">
      <alignment horizontal="right" vertical="center"/>
    </xf>
    <xf numFmtId="0" fontId="32" fillId="33" borderId="168">
      <alignment horizontal="right" vertical="center"/>
    </xf>
    <xf numFmtId="4" fontId="32" fillId="33" borderId="168">
      <alignment horizontal="right" vertical="center"/>
    </xf>
    <xf numFmtId="0" fontId="32" fillId="33" borderId="169">
      <alignment horizontal="right" vertical="center"/>
    </xf>
    <xf numFmtId="4" fontId="32" fillId="33" borderId="169">
      <alignment horizontal="right" vertical="center"/>
    </xf>
    <xf numFmtId="0" fontId="46" fillId="55" borderId="164" applyNumberFormat="0" applyAlignment="0" applyProtection="0"/>
    <xf numFmtId="0" fontId="34" fillId="33" borderId="170">
      <alignment horizontal="left" vertical="center" wrapText="1" indent="2"/>
    </xf>
    <xf numFmtId="0" fontId="34" fillId="0" borderId="170">
      <alignment horizontal="left" vertical="center" wrapText="1" indent="2"/>
    </xf>
    <xf numFmtId="0" fontId="34" fillId="31" borderId="168">
      <alignment horizontal="left" vertical="center"/>
    </xf>
    <xf numFmtId="0" fontId="58" fillId="42" borderId="164" applyNumberFormat="0" applyAlignment="0" applyProtection="0"/>
    <xf numFmtId="0" fontId="34" fillId="0" borderId="167">
      <alignment horizontal="right" vertical="center"/>
    </xf>
    <xf numFmtId="4" fontId="34" fillId="0" borderId="167">
      <alignment horizontal="right" vertical="center"/>
    </xf>
    <xf numFmtId="0" fontId="34" fillId="0" borderId="167" applyNumberFormat="0" applyFill="0" applyAlignment="0" applyProtection="0"/>
    <xf numFmtId="0" fontId="62" fillId="55" borderId="163" applyNumberFormat="0" applyAlignment="0" applyProtection="0"/>
    <xf numFmtId="173" fontId="34" fillId="59" borderId="167" applyNumberFormat="0" applyFont="0" applyBorder="0" applyAlignment="0" applyProtection="0">
      <alignment horizontal="right" vertical="center"/>
    </xf>
    <xf numFmtId="0" fontId="34" fillId="32" borderId="167"/>
    <xf numFmtId="4" fontId="34" fillId="32" borderId="167"/>
    <xf numFmtId="0" fontId="65" fillId="0" borderId="165" applyNumberFormat="0" applyFill="0" applyAlignment="0" applyProtection="0"/>
    <xf numFmtId="0" fontId="5" fillId="58" borderId="166" applyNumberFormat="0" applyFont="0" applyAlignment="0" applyProtection="0"/>
    <xf numFmtId="0" fontId="40" fillId="58" borderId="166" applyNumberFormat="0" applyFont="0" applyAlignment="0" applyProtection="0"/>
    <xf numFmtId="0" fontId="34" fillId="0" borderId="167" applyNumberFormat="0" applyFill="0" applyAlignment="0" applyProtection="0"/>
    <xf numFmtId="0" fontId="50" fillId="0" borderId="165" applyNumberFormat="0" applyFill="0" applyAlignment="0" applyProtection="0"/>
    <xf numFmtId="0" fontId="65" fillId="0" borderId="165" applyNumberFormat="0" applyFill="0" applyAlignment="0" applyProtection="0"/>
    <xf numFmtId="0" fontId="49" fillId="42" borderId="164" applyNumberFormat="0" applyAlignment="0" applyProtection="0"/>
    <xf numFmtId="0" fontId="46" fillId="55" borderId="164" applyNumberFormat="0" applyAlignment="0" applyProtection="0"/>
    <xf numFmtId="4" fontId="36" fillId="31" borderId="167">
      <alignment horizontal="right" vertical="center"/>
    </xf>
    <xf numFmtId="0" fontId="32" fillId="31" borderId="167">
      <alignment horizontal="right" vertical="center"/>
    </xf>
    <xf numFmtId="173" fontId="34" fillId="59" borderId="167" applyNumberFormat="0" applyFont="0" applyBorder="0" applyAlignment="0" applyProtection="0">
      <alignment horizontal="right" vertical="center"/>
    </xf>
    <xf numFmtId="0" fontId="50" fillId="0" borderId="165" applyNumberFormat="0" applyFill="0" applyAlignment="0" applyProtection="0"/>
    <xf numFmtId="49" fontId="34" fillId="0" borderId="167" applyNumberFormat="0" applyFont="0" applyFill="0" applyBorder="0" applyProtection="0">
      <alignment horizontal="left" vertical="center" indent="2"/>
    </xf>
    <xf numFmtId="49" fontId="34" fillId="0" borderId="168" applyNumberFormat="0" applyFont="0" applyFill="0" applyBorder="0" applyProtection="0">
      <alignment horizontal="left" vertical="center" indent="5"/>
    </xf>
    <xf numFmtId="49" fontId="34" fillId="0" borderId="167" applyNumberFormat="0" applyFont="0" applyFill="0" applyBorder="0" applyProtection="0">
      <alignment horizontal="left" vertical="center" indent="2"/>
    </xf>
    <xf numFmtId="4" fontId="34" fillId="0" borderId="167" applyFill="0" applyBorder="0" applyProtection="0">
      <alignment horizontal="right" vertical="center"/>
    </xf>
    <xf numFmtId="49" fontId="33" fillId="0" borderId="167" applyNumberFormat="0" applyFill="0" applyBorder="0" applyProtection="0">
      <alignment horizontal="left" vertical="center"/>
    </xf>
    <xf numFmtId="0" fontId="34" fillId="0" borderId="170">
      <alignment horizontal="left" vertical="center" wrapText="1" indent="2"/>
    </xf>
    <xf numFmtId="0" fontId="62" fillId="55" borderId="163" applyNumberFormat="0" applyAlignment="0" applyProtection="0"/>
    <xf numFmtId="0" fontId="32" fillId="33" borderId="169">
      <alignment horizontal="right" vertical="center"/>
    </xf>
    <xf numFmtId="0" fontId="49" fillId="42" borderId="164" applyNumberFormat="0" applyAlignment="0" applyProtection="0"/>
    <xf numFmtId="0" fontId="32" fillId="33" borderId="169">
      <alignment horizontal="right" vertical="center"/>
    </xf>
    <xf numFmtId="4" fontId="32" fillId="33" borderId="167">
      <alignment horizontal="right" vertical="center"/>
    </xf>
    <xf numFmtId="0" fontId="32" fillId="33" borderId="167">
      <alignment horizontal="right" vertical="center"/>
    </xf>
    <xf numFmtId="0" fontId="43" fillId="55" borderId="163" applyNumberFormat="0" applyAlignment="0" applyProtection="0"/>
    <xf numFmtId="0" fontId="45" fillId="55" borderId="164" applyNumberFormat="0" applyAlignment="0" applyProtection="0"/>
    <xf numFmtId="0" fontId="50" fillId="0" borderId="165" applyNumberFormat="0" applyFill="0" applyAlignment="0" applyProtection="0"/>
    <xf numFmtId="0" fontId="34" fillId="32" borderId="167"/>
    <xf numFmtId="4" fontId="34" fillId="32" borderId="167"/>
    <xf numFmtId="4" fontId="32" fillId="33" borderId="167">
      <alignment horizontal="right" vertical="center"/>
    </xf>
    <xf numFmtId="0" fontId="36" fillId="31" borderId="167">
      <alignment horizontal="right" vertical="center"/>
    </xf>
    <xf numFmtId="0" fontId="49" fillId="42" borderId="164" applyNumberFormat="0" applyAlignment="0" applyProtection="0"/>
    <xf numFmtId="0" fontId="46" fillId="55" borderId="164" applyNumberFormat="0" applyAlignment="0" applyProtection="0"/>
    <xf numFmtId="4" fontId="34" fillId="0" borderId="167">
      <alignment horizontal="right" vertical="center"/>
    </xf>
    <xf numFmtId="0" fontId="34" fillId="33" borderId="170">
      <alignment horizontal="left" vertical="center" wrapText="1" indent="2"/>
    </xf>
    <xf numFmtId="0" fontId="34" fillId="0" borderId="170">
      <alignment horizontal="left" vertical="center" wrapText="1" indent="2"/>
    </xf>
    <xf numFmtId="0" fontId="62" fillId="55" borderId="163" applyNumberFormat="0" applyAlignment="0" applyProtection="0"/>
    <xf numFmtId="0" fontId="58" fillId="42" borderId="164" applyNumberFormat="0" applyAlignment="0" applyProtection="0"/>
    <xf numFmtId="0" fontId="45" fillId="55" borderId="164" applyNumberFormat="0" applyAlignment="0" applyProtection="0"/>
    <xf numFmtId="0" fontId="43" fillId="55" borderId="163" applyNumberFormat="0" applyAlignment="0" applyProtection="0"/>
    <xf numFmtId="0" fontId="32" fillId="33" borderId="169">
      <alignment horizontal="right" vertical="center"/>
    </xf>
    <xf numFmtId="0" fontId="36" fillId="31" borderId="167">
      <alignment horizontal="right" vertical="center"/>
    </xf>
    <xf numFmtId="4" fontId="32" fillId="31" borderId="167">
      <alignment horizontal="right" vertical="center"/>
    </xf>
    <xf numFmtId="4" fontId="32" fillId="33" borderId="167">
      <alignment horizontal="right" vertical="center"/>
    </xf>
    <xf numFmtId="49" fontId="34" fillId="0" borderId="168" applyNumberFormat="0" applyFont="0" applyFill="0" applyBorder="0" applyProtection="0">
      <alignment horizontal="left" vertical="center" indent="5"/>
    </xf>
    <xf numFmtId="4" fontId="34" fillId="0" borderId="167" applyFill="0" applyBorder="0" applyProtection="0">
      <alignment horizontal="right" vertical="center"/>
    </xf>
    <xf numFmtId="4" fontId="32" fillId="31" borderId="167">
      <alignment horizontal="right" vertical="center"/>
    </xf>
    <xf numFmtId="0" fontId="58" fillId="42" borderId="164" applyNumberFormat="0" applyAlignment="0" applyProtection="0"/>
    <xf numFmtId="0" fontId="49" fillId="42" borderId="164" applyNumberFormat="0" applyAlignment="0" applyProtection="0"/>
    <xf numFmtId="0" fontId="45" fillId="55" borderId="164" applyNumberFormat="0" applyAlignment="0" applyProtection="0"/>
    <xf numFmtId="0" fontId="34" fillId="33" borderId="170">
      <alignment horizontal="left" vertical="center" wrapText="1" indent="2"/>
    </xf>
    <xf numFmtId="0" fontId="34" fillId="0" borderId="170">
      <alignment horizontal="left" vertical="center" wrapText="1" indent="2"/>
    </xf>
    <xf numFmtId="0" fontId="34" fillId="33" borderId="170">
      <alignment horizontal="left" vertical="center" wrapText="1" indent="2"/>
    </xf>
    <xf numFmtId="4" fontId="34" fillId="32" borderId="175"/>
    <xf numFmtId="0" fontId="1" fillId="0" borderId="0" applyNumberFormat="0" applyFill="0" applyBorder="0" applyAlignment="0" applyProtection="0"/>
    <xf numFmtId="0" fontId="26" fillId="25" borderId="0" applyNumberFormat="0" applyBorder="0" applyAlignment="0" applyProtection="0"/>
    <xf numFmtId="0" fontId="62" fillId="55" borderId="184" applyNumberFormat="0" applyAlignment="0" applyProtection="0"/>
    <xf numFmtId="0" fontId="34" fillId="33" borderId="183">
      <alignment horizontal="left" vertical="center" wrapText="1" indent="2"/>
    </xf>
    <xf numFmtId="0" fontId="40" fillId="58" borderId="179" applyNumberFormat="0" applyFont="0" applyAlignment="0" applyProtection="0"/>
    <xf numFmtId="0" fontId="34" fillId="31" borderId="176">
      <alignment horizontal="left" vertical="center"/>
    </xf>
    <xf numFmtId="0" fontId="65" fillId="0" borderId="186" applyNumberFormat="0" applyFill="0" applyAlignment="0" applyProtection="0"/>
    <xf numFmtId="0" fontId="40" fillId="58" borderId="174" applyNumberFormat="0" applyFont="0" applyAlignment="0" applyProtection="0"/>
    <xf numFmtId="4" fontId="34" fillId="0" borderId="188">
      <alignment horizontal="right" vertical="center"/>
    </xf>
    <xf numFmtId="0" fontId="40" fillId="58" borderId="179" applyNumberFormat="0" applyFont="0" applyAlignment="0" applyProtection="0"/>
    <xf numFmtId="0" fontId="32" fillId="33" borderId="188">
      <alignment horizontal="right" vertical="center"/>
    </xf>
    <xf numFmtId="0" fontId="26" fillId="25" borderId="0" applyNumberFormat="0" applyBorder="0" applyAlignment="0" applyProtection="0"/>
    <xf numFmtId="0" fontId="26" fillId="16" borderId="0" applyNumberFormat="0" applyBorder="0" applyAlignment="0" applyProtection="0"/>
    <xf numFmtId="4" fontId="34" fillId="0" borderId="188" applyFill="0" applyBorder="0" applyProtection="0">
      <alignment horizontal="right" vertical="center"/>
    </xf>
    <xf numFmtId="0" fontId="34" fillId="0" borderId="180" applyNumberFormat="0" applyFill="0" applyAlignment="0" applyProtection="0"/>
    <xf numFmtId="0" fontId="26" fillId="28" borderId="0" applyNumberFormat="0" applyBorder="0" applyAlignment="0" applyProtection="0"/>
    <xf numFmtId="0" fontId="32" fillId="33" borderId="180">
      <alignment horizontal="right" vertical="center"/>
    </xf>
    <xf numFmtId="0" fontId="34" fillId="33" borderId="178">
      <alignment horizontal="left" vertical="center" wrapText="1" indent="2"/>
    </xf>
    <xf numFmtId="0" fontId="62" fillId="55" borderId="171" applyNumberFormat="0" applyAlignment="0" applyProtection="0"/>
    <xf numFmtId="4" fontId="34" fillId="32" borderId="175"/>
    <xf numFmtId="0" fontId="65" fillId="0" borderId="173" applyNumberFormat="0" applyFill="0" applyAlignment="0" applyProtection="0"/>
    <xf numFmtId="173" fontId="34" fillId="59" borderId="175" applyNumberFormat="0" applyFont="0" applyBorder="0" applyAlignment="0" applyProtection="0">
      <alignment horizontal="right" vertical="center"/>
    </xf>
    <xf numFmtId="0" fontId="34" fillId="0" borderId="175">
      <alignment horizontal="right" vertical="center"/>
    </xf>
    <xf numFmtId="4" fontId="34" fillId="0" borderId="175">
      <alignment horizontal="right" vertical="center"/>
    </xf>
    <xf numFmtId="0" fontId="62" fillId="55" borderId="184" applyNumberFormat="0" applyAlignment="0" applyProtection="0"/>
    <xf numFmtId="0" fontId="34" fillId="0" borderId="178">
      <alignment horizontal="left" vertical="center" wrapText="1" indent="2"/>
    </xf>
    <xf numFmtId="4" fontId="32" fillId="33" borderId="175">
      <alignment horizontal="right" vertical="center"/>
    </xf>
    <xf numFmtId="0" fontId="32" fillId="33" borderId="176">
      <alignment horizontal="right" vertical="center"/>
    </xf>
    <xf numFmtId="4" fontId="32" fillId="33" borderId="176">
      <alignment horizontal="right" vertical="center"/>
    </xf>
    <xf numFmtId="0" fontId="32" fillId="33" borderId="175">
      <alignment horizontal="right" vertical="center"/>
    </xf>
    <xf numFmtId="4" fontId="32" fillId="31" borderId="175">
      <alignment horizontal="right" vertical="center"/>
    </xf>
    <xf numFmtId="0" fontId="36" fillId="31" borderId="175">
      <alignment horizontal="right" vertical="center"/>
    </xf>
    <xf numFmtId="0" fontId="34" fillId="0" borderId="183">
      <alignment horizontal="left" vertical="center" wrapText="1" indent="2"/>
    </xf>
    <xf numFmtId="0" fontId="58" fillId="42" borderId="185" applyNumberFormat="0" applyAlignment="0" applyProtection="0"/>
    <xf numFmtId="0" fontId="46" fillId="55" borderId="185" applyNumberFormat="0" applyAlignment="0" applyProtection="0"/>
    <xf numFmtId="4" fontId="36" fillId="31" borderId="180">
      <alignment horizontal="right" vertical="center"/>
    </xf>
    <xf numFmtId="173" fontId="34" fillId="59" borderId="180" applyNumberFormat="0" applyFont="0" applyBorder="0" applyAlignment="0" applyProtection="0">
      <alignment horizontal="right" vertical="center"/>
    </xf>
    <xf numFmtId="49" fontId="33" fillId="0" borderId="188" applyNumberFormat="0" applyFill="0" applyBorder="0" applyProtection="0">
      <alignment horizontal="left" vertical="center"/>
    </xf>
    <xf numFmtId="4" fontId="34" fillId="0" borderId="188" applyFill="0" applyBorder="0" applyProtection="0">
      <alignment horizontal="right" vertical="center"/>
    </xf>
    <xf numFmtId="4" fontId="34" fillId="32" borderId="180"/>
    <xf numFmtId="0" fontId="65" fillId="0" borderId="173" applyNumberFormat="0" applyFill="0" applyAlignment="0" applyProtection="0"/>
    <xf numFmtId="0" fontId="26" fillId="14" borderId="0" applyNumberFormat="0" applyBorder="0" applyAlignment="0" applyProtection="0"/>
    <xf numFmtId="0" fontId="62" fillId="55" borderId="171" applyNumberFormat="0" applyAlignment="0" applyProtection="0"/>
    <xf numFmtId="0" fontId="26" fillId="16" borderId="0" applyNumberFormat="0" applyBorder="0" applyAlignment="0" applyProtection="0"/>
    <xf numFmtId="0" fontId="32" fillId="33" borderId="189">
      <alignment horizontal="right" vertical="center"/>
    </xf>
    <xf numFmtId="0" fontId="34" fillId="0" borderId="188" applyNumberFormat="0" applyFill="0" applyAlignment="0" applyProtection="0"/>
    <xf numFmtId="0" fontId="49" fillId="42" borderId="193" applyNumberFormat="0" applyAlignment="0" applyProtection="0"/>
    <xf numFmtId="0" fontId="32" fillId="33" borderId="188">
      <alignment horizontal="right" vertical="center"/>
    </xf>
    <xf numFmtId="4" fontId="32" fillId="33" borderId="180">
      <alignment horizontal="right" vertical="center"/>
    </xf>
    <xf numFmtId="4" fontId="34" fillId="0" borderId="180">
      <alignment horizontal="right" vertical="center"/>
    </xf>
    <xf numFmtId="0" fontId="32" fillId="33" borderId="181">
      <alignment horizontal="right" vertical="center"/>
    </xf>
    <xf numFmtId="0" fontId="65" fillId="0" borderId="196" applyNumberFormat="0" applyFill="0" applyAlignment="0" applyProtection="0"/>
    <xf numFmtId="0" fontId="32" fillId="33" borderId="190">
      <alignment horizontal="right" vertical="center"/>
    </xf>
    <xf numFmtId="4" fontId="32" fillId="33" borderId="180">
      <alignment horizontal="right" vertical="center"/>
    </xf>
    <xf numFmtId="0" fontId="26" fillId="20" borderId="0" applyNumberFormat="0" applyBorder="0" applyAlignment="0" applyProtection="0"/>
    <xf numFmtId="0" fontId="32" fillId="33" borderId="182">
      <alignment horizontal="right" vertical="center"/>
    </xf>
    <xf numFmtId="49" fontId="34" fillId="0" borderId="181" applyNumberFormat="0" applyFont="0" applyFill="0" applyBorder="0" applyProtection="0">
      <alignment horizontal="left" vertical="center" indent="5"/>
    </xf>
    <xf numFmtId="0" fontId="65" fillId="0" borderId="186" applyNumberFormat="0" applyFill="0" applyAlignment="0" applyProtection="0"/>
    <xf numFmtId="4" fontId="32" fillId="33" borderId="190">
      <alignment horizontal="right" vertical="center"/>
    </xf>
    <xf numFmtId="0" fontId="2" fillId="0" borderId="12" applyNumberFormat="0" applyFill="0" applyAlignment="0" applyProtection="0"/>
    <xf numFmtId="0" fontId="26" fillId="16" borderId="0" applyNumberFormat="0" applyBorder="0" applyAlignment="0" applyProtection="0"/>
    <xf numFmtId="4" fontId="32" fillId="31" borderId="188">
      <alignment horizontal="right" vertical="center"/>
    </xf>
    <xf numFmtId="0" fontId="45" fillId="55" borderId="193" applyNumberFormat="0" applyAlignment="0" applyProtection="0"/>
    <xf numFmtId="4" fontId="32" fillId="33" borderId="200">
      <alignment horizontal="right" vertical="center"/>
    </xf>
    <xf numFmtId="0" fontId="43" fillId="55" borderId="184" applyNumberFormat="0" applyAlignment="0" applyProtection="0"/>
    <xf numFmtId="4" fontId="32" fillId="33" borderId="182">
      <alignment horizontal="right" vertical="center"/>
    </xf>
    <xf numFmtId="0" fontId="40" fillId="58" borderId="197" applyNumberFormat="0" applyFont="0" applyAlignment="0" applyProtection="0"/>
    <xf numFmtId="0" fontId="26" fillId="14" borderId="0" applyNumberFormat="0" applyBorder="0" applyAlignment="0" applyProtection="0"/>
    <xf numFmtId="0" fontId="50" fillId="0" borderId="186" applyNumberFormat="0" applyFill="0" applyAlignment="0" applyProtection="0"/>
    <xf numFmtId="0" fontId="34" fillId="31" borderId="181">
      <alignment horizontal="left" vertical="center"/>
    </xf>
    <xf numFmtId="0" fontId="58" fillId="42" borderId="193" applyNumberFormat="0" applyAlignment="0" applyProtection="0"/>
    <xf numFmtId="0" fontId="65" fillId="0" borderId="173" applyNumberFormat="0" applyFill="0" applyAlignment="0" applyProtection="0"/>
    <xf numFmtId="0" fontId="40" fillId="58" borderId="174" applyNumberFormat="0" applyFont="0" applyAlignment="0" applyProtection="0"/>
    <xf numFmtId="4" fontId="32" fillId="33" borderId="180">
      <alignment horizontal="right" vertical="center"/>
    </xf>
    <xf numFmtId="0" fontId="26" fillId="17" borderId="0" applyNumberFormat="0" applyBorder="0" applyAlignment="0" applyProtection="0"/>
    <xf numFmtId="0" fontId="5" fillId="58" borderId="174" applyNumberFormat="0" applyFont="0" applyAlignment="0" applyProtection="0"/>
    <xf numFmtId="0" fontId="32" fillId="33" borderId="199">
      <alignment horizontal="right" vertical="center"/>
    </xf>
    <xf numFmtId="0" fontId="43" fillId="55" borderId="192" applyNumberFormat="0" applyAlignment="0" applyProtection="0"/>
    <xf numFmtId="0" fontId="2" fillId="0" borderId="12" applyNumberFormat="0" applyFill="0" applyAlignment="0" applyProtection="0"/>
    <xf numFmtId="0" fontId="26" fillId="17" borderId="0" applyNumberFormat="0" applyBorder="0" applyAlignment="0" applyProtection="0"/>
    <xf numFmtId="4" fontId="32" fillId="33" borderId="188">
      <alignment horizontal="right" vertical="center"/>
    </xf>
    <xf numFmtId="0" fontId="50" fillId="0" borderId="186" applyNumberFormat="0" applyFill="0" applyAlignment="0" applyProtection="0"/>
    <xf numFmtId="4" fontId="34" fillId="0" borderId="180">
      <alignment horizontal="right" vertical="center"/>
    </xf>
    <xf numFmtId="0" fontId="43" fillId="55" borderId="184" applyNumberFormat="0" applyAlignment="0" applyProtection="0"/>
    <xf numFmtId="0" fontId="26" fillId="23" borderId="0" applyNumberFormat="0" applyBorder="0" applyAlignment="0" applyProtection="0"/>
    <xf numFmtId="0" fontId="58" fillId="42" borderId="172" applyNumberFormat="0" applyAlignment="0" applyProtection="0"/>
    <xf numFmtId="0" fontId="34" fillId="33" borderId="178">
      <alignment horizontal="left" vertical="center" wrapText="1" indent="2"/>
    </xf>
    <xf numFmtId="4" fontId="36" fillId="31" borderId="175">
      <alignment horizontal="right" vertical="center"/>
    </xf>
    <xf numFmtId="49" fontId="34" fillId="0" borderId="180" applyNumberFormat="0" applyFont="0" applyFill="0" applyBorder="0" applyProtection="0">
      <alignment horizontal="left" vertical="center" indent="2"/>
    </xf>
    <xf numFmtId="0" fontId="62" fillId="55" borderId="192" applyNumberFormat="0" applyAlignment="0" applyProtection="0"/>
    <xf numFmtId="0" fontId="12" fillId="18" borderId="0" applyNumberFormat="0" applyBorder="0" applyAlignment="0" applyProtection="0"/>
    <xf numFmtId="0" fontId="26" fillId="20" borderId="0" applyNumberFormat="0" applyBorder="0" applyAlignment="0" applyProtection="0"/>
    <xf numFmtId="0" fontId="34" fillId="0" borderId="183">
      <alignment horizontal="left" vertical="center" wrapText="1" indent="2"/>
    </xf>
    <xf numFmtId="0" fontId="2" fillId="0" borderId="12" applyNumberFormat="0" applyFill="0" applyAlignment="0" applyProtection="0"/>
    <xf numFmtId="0" fontId="12" fillId="30" borderId="0" applyNumberFormat="0" applyBorder="0" applyAlignment="0" applyProtection="0"/>
    <xf numFmtId="0" fontId="49" fillId="42" borderId="185" applyNumberFormat="0" applyAlignment="0" applyProtection="0"/>
    <xf numFmtId="4" fontId="36" fillId="31" borderId="175">
      <alignment horizontal="right" vertical="center"/>
    </xf>
    <xf numFmtId="4" fontId="32" fillId="31" borderId="175">
      <alignment horizontal="right" vertical="center"/>
    </xf>
    <xf numFmtId="0" fontId="34" fillId="0" borderId="178">
      <alignment horizontal="left" vertical="center" wrapText="1" indent="2"/>
    </xf>
    <xf numFmtId="0" fontId="62" fillId="55" borderId="171" applyNumberFormat="0" applyAlignment="0" applyProtection="0"/>
    <xf numFmtId="0" fontId="34" fillId="0" borderId="175">
      <alignment horizontal="right" vertical="center"/>
    </xf>
    <xf numFmtId="0" fontId="65" fillId="0" borderId="173" applyNumberFormat="0" applyFill="0" applyAlignment="0" applyProtection="0"/>
    <xf numFmtId="49" fontId="33" fillId="0" borderId="175" applyNumberFormat="0" applyFill="0" applyBorder="0" applyProtection="0">
      <alignment horizontal="left" vertical="center"/>
    </xf>
    <xf numFmtId="4" fontId="34" fillId="32" borderId="175"/>
    <xf numFmtId="0" fontId="58" fillId="42" borderId="172" applyNumberFormat="0" applyAlignment="0" applyProtection="0"/>
    <xf numFmtId="49" fontId="34" fillId="0" borderId="180" applyNumberFormat="0" applyFont="0" applyFill="0" applyBorder="0" applyProtection="0">
      <alignment horizontal="left" vertical="center" indent="2"/>
    </xf>
    <xf numFmtId="0" fontId="34" fillId="33" borderId="183">
      <alignment horizontal="left" vertical="center" wrapText="1" indent="2"/>
    </xf>
    <xf numFmtId="173" fontId="34" fillId="59" borderId="175" applyNumberFormat="0" applyFont="0" applyBorder="0" applyAlignment="0" applyProtection="0">
      <alignment horizontal="right" vertical="center"/>
    </xf>
    <xf numFmtId="0" fontId="50" fillId="0" borderId="196" applyNumberFormat="0" applyFill="0" applyAlignment="0" applyProtection="0"/>
    <xf numFmtId="0" fontId="46" fillId="55" borderId="172" applyNumberFormat="0" applyAlignment="0" applyProtection="0"/>
    <xf numFmtId="0" fontId="49" fillId="42" borderId="193" applyNumberFormat="0" applyAlignment="0" applyProtection="0"/>
    <xf numFmtId="0" fontId="34" fillId="33" borderId="191">
      <alignment horizontal="left" vertical="center" wrapText="1" indent="2"/>
    </xf>
    <xf numFmtId="4" fontId="36" fillId="31" borderId="180">
      <alignment horizontal="right" vertical="center"/>
    </xf>
    <xf numFmtId="0" fontId="36" fillId="31" borderId="180">
      <alignment horizontal="right" vertical="center"/>
    </xf>
    <xf numFmtId="0" fontId="58" fillId="42" borderId="172" applyNumberFormat="0" applyAlignment="0" applyProtection="0"/>
    <xf numFmtId="0" fontId="43" fillId="55" borderId="171" applyNumberFormat="0" applyAlignment="0" applyProtection="0"/>
    <xf numFmtId="0" fontId="5" fillId="58" borderId="179" applyNumberFormat="0" applyFont="0" applyAlignment="0" applyProtection="0"/>
    <xf numFmtId="49" fontId="33" fillId="0" borderId="175" applyNumberFormat="0" applyFill="0" applyBorder="0" applyProtection="0">
      <alignment horizontal="left" vertical="center"/>
    </xf>
    <xf numFmtId="0" fontId="65" fillId="0" borderId="173" applyNumberFormat="0" applyFill="0" applyAlignment="0" applyProtection="0"/>
    <xf numFmtId="0" fontId="34" fillId="0" borderId="175">
      <alignment horizontal="right" vertical="center"/>
    </xf>
    <xf numFmtId="0" fontId="32" fillId="33" borderId="176">
      <alignment horizontal="right" vertical="center"/>
    </xf>
    <xf numFmtId="0" fontId="65" fillId="0" borderId="173" applyNumberFormat="0" applyFill="0" applyAlignment="0" applyProtection="0"/>
    <xf numFmtId="49" fontId="34" fillId="0" borderId="198" applyNumberFormat="0" applyFont="0" applyFill="0" applyBorder="0" applyProtection="0">
      <alignment horizontal="left" vertical="center" indent="2"/>
    </xf>
    <xf numFmtId="0" fontId="49" fillId="42" borderId="195" applyNumberFormat="0" applyAlignment="0" applyProtection="0"/>
    <xf numFmtId="4" fontId="32" fillId="33" borderId="190">
      <alignment horizontal="right" vertical="center"/>
    </xf>
    <xf numFmtId="0" fontId="26" fillId="20" borderId="0" applyNumberFormat="0" applyBorder="0" applyAlignment="0" applyProtection="0"/>
    <xf numFmtId="0" fontId="46" fillId="55" borderId="195" applyNumberFormat="0" applyAlignment="0" applyProtection="0"/>
    <xf numFmtId="0" fontId="58" fillId="42" borderId="193" applyNumberFormat="0" applyAlignment="0" applyProtection="0"/>
    <xf numFmtId="0" fontId="32" fillId="33" borderId="198">
      <alignment horizontal="right" vertical="center"/>
    </xf>
    <xf numFmtId="0" fontId="58" fillId="42" borderId="185" applyNumberFormat="0" applyAlignment="0" applyProtection="0"/>
    <xf numFmtId="4" fontId="34" fillId="0" borderId="175" applyFill="0" applyBorder="0" applyProtection="0">
      <alignment horizontal="right" vertical="center"/>
    </xf>
    <xf numFmtId="0" fontId="26" fillId="22" borderId="0" applyNumberFormat="0" applyBorder="0" applyAlignment="0" applyProtection="0"/>
    <xf numFmtId="0" fontId="32" fillId="33" borderId="182">
      <alignment horizontal="right" vertical="center"/>
    </xf>
    <xf numFmtId="0" fontId="26" fillId="25" borderId="0" applyNumberFormat="0" applyBorder="0" applyAlignment="0" applyProtection="0"/>
    <xf numFmtId="0" fontId="49" fillId="42" borderId="185" applyNumberFormat="0" applyAlignment="0" applyProtection="0"/>
    <xf numFmtId="0" fontId="34" fillId="0" borderId="178">
      <alignment horizontal="left" vertical="center" wrapText="1" indent="2"/>
    </xf>
    <xf numFmtId="49" fontId="33" fillId="0" borderId="180" applyNumberFormat="0" applyFill="0" applyBorder="0" applyProtection="0">
      <alignment horizontal="left" vertical="center"/>
    </xf>
    <xf numFmtId="0" fontId="65" fillId="0" borderId="173" applyNumberFormat="0" applyFill="0" applyAlignment="0" applyProtection="0"/>
    <xf numFmtId="0" fontId="43" fillId="55" borderId="171" applyNumberFormat="0" applyAlignment="0" applyProtection="0"/>
    <xf numFmtId="0" fontId="32" fillId="33" borderId="175">
      <alignment horizontal="right" vertical="center"/>
    </xf>
    <xf numFmtId="0" fontId="45" fillId="55" borderId="172" applyNumberFormat="0" applyAlignment="0" applyProtection="0"/>
    <xf numFmtId="0" fontId="32" fillId="33" borderId="180">
      <alignment horizontal="right" vertical="center"/>
    </xf>
    <xf numFmtId="0" fontId="34" fillId="31" borderId="176">
      <alignment horizontal="left" vertical="center"/>
    </xf>
    <xf numFmtId="0" fontId="34" fillId="0" borderId="183">
      <alignment horizontal="left" vertical="center" wrapText="1" indent="2"/>
    </xf>
    <xf numFmtId="4" fontId="34" fillId="32" borderId="180"/>
    <xf numFmtId="0" fontId="65" fillId="0" borderId="186" applyNumberFormat="0" applyFill="0" applyAlignment="0" applyProtection="0"/>
    <xf numFmtId="0" fontId="32" fillId="33" borderId="188">
      <alignment horizontal="right" vertical="center"/>
    </xf>
    <xf numFmtId="0" fontId="34" fillId="0" borderId="191">
      <alignment horizontal="left" vertical="center" wrapText="1" indent="2"/>
    </xf>
    <xf numFmtId="0" fontId="32" fillId="31" borderId="175">
      <alignment horizontal="right" vertical="center"/>
    </xf>
    <xf numFmtId="0" fontId="46" fillId="55" borderId="185" applyNumberFormat="0" applyAlignment="0" applyProtection="0"/>
    <xf numFmtId="4" fontId="34" fillId="0" borderId="180">
      <alignment horizontal="right" vertical="center"/>
    </xf>
    <xf numFmtId="0" fontId="50" fillId="0" borderId="173" applyNumberFormat="0" applyFill="0" applyAlignment="0" applyProtection="0"/>
    <xf numFmtId="0" fontId="34" fillId="31" borderId="189">
      <alignment horizontal="left" vertical="center"/>
    </xf>
    <xf numFmtId="0" fontId="34" fillId="0" borderId="175">
      <alignment horizontal="right" vertical="center"/>
    </xf>
    <xf numFmtId="0" fontId="5" fillId="58" borderId="174" applyNumberFormat="0" applyFont="0" applyAlignment="0" applyProtection="0"/>
    <xf numFmtId="0" fontId="12" fillId="15" borderId="0" applyNumberFormat="0" applyBorder="0" applyAlignment="0" applyProtection="0"/>
    <xf numFmtId="0" fontId="43" fillId="55" borderId="184" applyNumberFormat="0" applyAlignment="0" applyProtection="0"/>
    <xf numFmtId="0" fontId="12" fillId="30" borderId="0" applyNumberFormat="0" applyBorder="0" applyAlignment="0" applyProtection="0"/>
    <xf numFmtId="0" fontId="58" fillId="42" borderId="193" applyNumberFormat="0" applyAlignment="0" applyProtection="0"/>
    <xf numFmtId="0" fontId="58" fillId="42" borderId="172" applyNumberFormat="0" applyAlignment="0" applyProtection="0"/>
    <xf numFmtId="0" fontId="45" fillId="55" borderId="193" applyNumberFormat="0" applyAlignment="0" applyProtection="0"/>
    <xf numFmtId="49" fontId="34" fillId="0" borderId="176" applyNumberFormat="0" applyFont="0" applyFill="0" applyBorder="0" applyProtection="0">
      <alignment horizontal="left" vertical="center" indent="5"/>
    </xf>
    <xf numFmtId="4" fontId="32" fillId="33" borderId="182">
      <alignment horizontal="right" vertical="center"/>
    </xf>
    <xf numFmtId="0" fontId="34" fillId="0" borderId="175" applyNumberFormat="0" applyFill="0" applyAlignment="0" applyProtection="0"/>
    <xf numFmtId="0" fontId="50" fillId="0" borderId="173" applyNumberFormat="0" applyFill="0" applyAlignment="0" applyProtection="0"/>
    <xf numFmtId="0" fontId="62" fillId="55" borderId="171" applyNumberFormat="0" applyAlignment="0" applyProtection="0"/>
    <xf numFmtId="4" fontId="32" fillId="33" borderId="175">
      <alignment horizontal="right" vertical="center"/>
    </xf>
    <xf numFmtId="4" fontId="34" fillId="32" borderId="175"/>
    <xf numFmtId="0" fontId="65" fillId="0" borderId="173" applyNumberFormat="0" applyFill="0" applyAlignment="0" applyProtection="0"/>
    <xf numFmtId="0" fontId="32" fillId="33" borderId="182">
      <alignment horizontal="right" vertical="center"/>
    </xf>
    <xf numFmtId="0" fontId="43" fillId="55" borderId="171" applyNumberFormat="0" applyAlignment="0" applyProtection="0"/>
    <xf numFmtId="0" fontId="45" fillId="55" borderId="172" applyNumberFormat="0" applyAlignment="0" applyProtection="0"/>
    <xf numFmtId="0" fontId="46" fillId="55" borderId="172" applyNumberFormat="0" applyAlignment="0" applyProtection="0"/>
    <xf numFmtId="0" fontId="62" fillId="55" borderId="171" applyNumberFormat="0" applyAlignment="0" applyProtection="0"/>
    <xf numFmtId="0" fontId="32" fillId="33" borderId="177">
      <alignment horizontal="right" vertical="center"/>
    </xf>
    <xf numFmtId="0" fontId="34" fillId="0" borderId="175" applyNumberFormat="0" applyFill="0" applyAlignment="0" applyProtection="0"/>
    <xf numFmtId="49" fontId="34" fillId="0" borderId="176" applyNumberFormat="0" applyFont="0" applyFill="0" applyBorder="0" applyProtection="0">
      <alignment horizontal="left" vertical="center" indent="5"/>
    </xf>
    <xf numFmtId="0" fontId="65" fillId="0" borderId="173" applyNumberFormat="0" applyFill="0" applyAlignment="0" applyProtection="0"/>
    <xf numFmtId="0" fontId="34" fillId="0" borderId="175" applyNumberFormat="0" applyFill="0" applyAlignment="0" applyProtection="0"/>
    <xf numFmtId="0" fontId="36" fillId="31" borderId="180">
      <alignment horizontal="right" vertical="center"/>
    </xf>
    <xf numFmtId="4" fontId="32" fillId="33" borderId="182">
      <alignment horizontal="right" vertical="center"/>
    </xf>
    <xf numFmtId="4" fontId="34" fillId="0" borderId="188">
      <alignment horizontal="right" vertical="center"/>
    </xf>
    <xf numFmtId="0" fontId="36" fillId="31" borderId="180">
      <alignment horizontal="right" vertical="center"/>
    </xf>
    <xf numFmtId="0" fontId="26" fillId="20" borderId="0" applyNumberFormat="0" applyBorder="0" applyAlignment="0" applyProtection="0"/>
    <xf numFmtId="4" fontId="32" fillId="33" borderId="188">
      <alignment horizontal="right" vertical="center"/>
    </xf>
    <xf numFmtId="0" fontId="1" fillId="0" borderId="0" applyNumberFormat="0" applyFill="0" applyBorder="0" applyAlignment="0" applyProtection="0"/>
    <xf numFmtId="0" fontId="40" fillId="58" borderId="174" applyNumberFormat="0" applyFont="0" applyAlignment="0" applyProtection="0"/>
    <xf numFmtId="0" fontId="29" fillId="12" borderId="10" applyNumberFormat="0" applyAlignment="0" applyProtection="0"/>
    <xf numFmtId="0" fontId="28" fillId="12" borderId="11" applyNumberFormat="0" applyAlignment="0" applyProtection="0"/>
    <xf numFmtId="0" fontId="58" fillId="42" borderId="185" applyNumberFormat="0" applyAlignment="0" applyProtection="0"/>
    <xf numFmtId="4" fontId="36" fillId="31" borderId="198">
      <alignment horizontal="right" vertical="center"/>
    </xf>
    <xf numFmtId="0" fontId="5" fillId="58" borderId="197" applyNumberFormat="0" applyFont="0" applyAlignment="0" applyProtection="0"/>
    <xf numFmtId="0" fontId="34" fillId="0" borderId="191">
      <alignment horizontal="left" vertical="center" wrapText="1" indent="2"/>
    </xf>
    <xf numFmtId="4" fontId="32" fillId="33" borderId="190">
      <alignment horizontal="right" vertical="center"/>
    </xf>
    <xf numFmtId="0" fontId="5" fillId="58" borderId="179" applyNumberFormat="0" applyFont="0" applyAlignment="0" applyProtection="0"/>
    <xf numFmtId="0" fontId="34" fillId="0" borderId="178">
      <alignment horizontal="left" vertical="center" wrapText="1" indent="2"/>
    </xf>
    <xf numFmtId="0" fontId="34" fillId="32" borderId="188"/>
    <xf numFmtId="4" fontId="32" fillId="31" borderId="175">
      <alignment horizontal="right" vertical="center"/>
    </xf>
    <xf numFmtId="4" fontId="32" fillId="33" borderId="180">
      <alignment horizontal="right" vertical="center"/>
    </xf>
    <xf numFmtId="49" fontId="34" fillId="0" borderId="180" applyNumberFormat="0" applyFont="0" applyFill="0" applyBorder="0" applyProtection="0">
      <alignment horizontal="left" vertical="center" indent="2"/>
    </xf>
    <xf numFmtId="0" fontId="62" fillId="55" borderId="171" applyNumberFormat="0" applyAlignment="0" applyProtection="0"/>
    <xf numFmtId="49" fontId="34" fillId="0" borderId="176" applyNumberFormat="0" applyFont="0" applyFill="0" applyBorder="0" applyProtection="0">
      <alignment horizontal="left" vertical="center" indent="5"/>
    </xf>
    <xf numFmtId="4" fontId="34" fillId="0" borderId="175">
      <alignment horizontal="right" vertical="center"/>
    </xf>
    <xf numFmtId="0" fontId="32" fillId="33" borderId="180">
      <alignment horizontal="right" vertical="center"/>
    </xf>
    <xf numFmtId="0" fontId="32" fillId="33" borderId="182">
      <alignment horizontal="right" vertical="center"/>
    </xf>
    <xf numFmtId="4" fontId="32" fillId="33" borderId="188">
      <alignment horizontal="right" vertical="center"/>
    </xf>
    <xf numFmtId="0" fontId="26" fillId="28" borderId="0" applyNumberFormat="0" applyBorder="0" applyAlignment="0" applyProtection="0"/>
    <xf numFmtId="0" fontId="50" fillId="0" borderId="173" applyNumberFormat="0" applyFill="0" applyAlignment="0" applyProtection="0"/>
    <xf numFmtId="4" fontId="32" fillId="33" borderId="177">
      <alignment horizontal="right" vertical="center"/>
    </xf>
    <xf numFmtId="4" fontId="32" fillId="33" borderId="175">
      <alignment horizontal="right" vertical="center"/>
    </xf>
    <xf numFmtId="4" fontId="32" fillId="33" borderId="175">
      <alignment horizontal="right" vertical="center"/>
    </xf>
    <xf numFmtId="0" fontId="65" fillId="0" borderId="173" applyNumberFormat="0" applyFill="0" applyAlignment="0" applyProtection="0"/>
    <xf numFmtId="0" fontId="46" fillId="55" borderId="172" applyNumberFormat="0" applyAlignment="0" applyProtection="0"/>
    <xf numFmtId="0" fontId="49" fillId="42" borderId="172" applyNumberFormat="0" applyAlignment="0" applyProtection="0"/>
    <xf numFmtId="0" fontId="1" fillId="0" borderId="0" applyNumberFormat="0" applyFill="0" applyBorder="0" applyAlignment="0" applyProtection="0"/>
    <xf numFmtId="0" fontId="29" fillId="12" borderId="10" applyNumberFormat="0" applyAlignment="0" applyProtection="0"/>
    <xf numFmtId="49" fontId="33" fillId="0" borderId="175" applyNumberFormat="0" applyFill="0" applyBorder="0" applyProtection="0">
      <alignment horizontal="left" vertical="center"/>
    </xf>
    <xf numFmtId="0" fontId="5" fillId="58" borderId="174" applyNumberFormat="0" applyFont="0" applyAlignment="0" applyProtection="0"/>
    <xf numFmtId="0" fontId="46" fillId="55" borderId="193" applyNumberFormat="0" applyAlignment="0" applyProtection="0"/>
    <xf numFmtId="4" fontId="32" fillId="33" borderId="175">
      <alignment horizontal="right" vertical="center"/>
    </xf>
    <xf numFmtId="0" fontId="26" fillId="22" borderId="0" applyNumberFormat="0" applyBorder="0" applyAlignment="0" applyProtection="0"/>
    <xf numFmtId="4" fontId="36" fillId="31" borderId="180">
      <alignment horizontal="right" vertical="center"/>
    </xf>
    <xf numFmtId="0" fontId="43" fillId="55" borderId="184" applyNumberFormat="0" applyAlignment="0" applyProtection="0"/>
    <xf numFmtId="0" fontId="32" fillId="33" borderId="180">
      <alignment horizontal="right" vertical="center"/>
    </xf>
    <xf numFmtId="173" fontId="34" fillId="59" borderId="180" applyNumberFormat="0" applyFont="0" applyBorder="0" applyAlignment="0" applyProtection="0">
      <alignment horizontal="right" vertical="center"/>
    </xf>
    <xf numFmtId="49" fontId="34" fillId="0" borderId="175" applyNumberFormat="0" applyFont="0" applyFill="0" applyBorder="0" applyProtection="0">
      <alignment horizontal="left" vertical="center" indent="2"/>
    </xf>
    <xf numFmtId="0" fontId="65" fillId="0" borderId="173" applyNumberFormat="0" applyFill="0" applyAlignment="0" applyProtection="0"/>
    <xf numFmtId="4" fontId="34" fillId="0" borderId="175" applyFill="0" applyBorder="0" applyProtection="0">
      <alignment horizontal="right" vertical="center"/>
    </xf>
    <xf numFmtId="0" fontId="58" fillId="42" borderId="172" applyNumberFormat="0" applyAlignment="0" applyProtection="0"/>
    <xf numFmtId="49" fontId="33" fillId="0" borderId="175" applyNumberFormat="0" applyFill="0" applyBorder="0" applyProtection="0">
      <alignment horizontal="left" vertical="center"/>
    </xf>
    <xf numFmtId="49" fontId="34" fillId="0" borderId="175" applyNumberFormat="0" applyFont="0" applyFill="0" applyBorder="0" applyProtection="0">
      <alignment horizontal="left" vertical="center" indent="2"/>
    </xf>
    <xf numFmtId="4" fontId="34" fillId="0" borderId="175" applyFill="0" applyBorder="0" applyProtection="0">
      <alignment horizontal="right" vertical="center"/>
    </xf>
    <xf numFmtId="0" fontId="62" fillId="55" borderId="184" applyNumberFormat="0" applyAlignment="0" applyProtection="0"/>
    <xf numFmtId="173" fontId="34" fillId="59" borderId="175" applyNumberFormat="0" applyFont="0" applyBorder="0" applyAlignment="0" applyProtection="0">
      <alignment horizontal="right" vertical="center"/>
    </xf>
    <xf numFmtId="4" fontId="32" fillId="33" borderId="181">
      <alignment horizontal="right" vertical="center"/>
    </xf>
    <xf numFmtId="0" fontId="40" fillId="58" borderId="187" applyNumberFormat="0" applyFont="0" applyAlignment="0" applyProtection="0"/>
    <xf numFmtId="0" fontId="50" fillId="0" borderId="194" applyNumberFormat="0" applyFill="0" applyAlignment="0" applyProtection="0"/>
    <xf numFmtId="0" fontId="36" fillId="31" borderId="175">
      <alignment horizontal="right" vertical="center"/>
    </xf>
    <xf numFmtId="0" fontId="34" fillId="0" borderId="188" applyNumberFormat="0" applyFill="0" applyAlignment="0" applyProtection="0"/>
    <xf numFmtId="49" fontId="34" fillId="0" borderId="180" applyNumberFormat="0" applyFont="0" applyFill="0" applyBorder="0" applyProtection="0">
      <alignment horizontal="left" vertical="center" indent="2"/>
    </xf>
    <xf numFmtId="0" fontId="12" fillId="30" borderId="0" applyNumberFormat="0" applyBorder="0" applyAlignment="0" applyProtection="0"/>
    <xf numFmtId="0" fontId="46" fillId="55" borderId="185" applyNumberFormat="0" applyAlignment="0" applyProtection="0"/>
    <xf numFmtId="0" fontId="49" fillId="42" borderId="172" applyNumberFormat="0" applyAlignment="0" applyProtection="0"/>
    <xf numFmtId="4" fontId="32" fillId="33" borderId="175">
      <alignment horizontal="right" vertical="center"/>
    </xf>
    <xf numFmtId="0" fontId="34" fillId="31" borderId="176">
      <alignment horizontal="left" vertical="center"/>
    </xf>
    <xf numFmtId="0" fontId="34" fillId="33" borderId="191">
      <alignment horizontal="left" vertical="center" wrapText="1" indent="2"/>
    </xf>
    <xf numFmtId="4" fontId="34" fillId="32" borderId="180"/>
    <xf numFmtId="0" fontId="26" fillId="13" borderId="0" applyNumberFormat="0" applyBorder="0" applyAlignment="0" applyProtection="0"/>
    <xf numFmtId="0" fontId="34" fillId="0" borderId="180">
      <alignment horizontal="right" vertical="center"/>
    </xf>
    <xf numFmtId="4" fontId="34" fillId="32" borderId="180"/>
    <xf numFmtId="0" fontId="34" fillId="0" borderId="198" applyNumberFormat="0" applyFill="0" applyAlignment="0" applyProtection="0"/>
    <xf numFmtId="4" fontId="32" fillId="33" borderId="180">
      <alignment horizontal="right" vertical="center"/>
    </xf>
    <xf numFmtId="0" fontId="65" fillId="0" borderId="186" applyNumberFormat="0" applyFill="0" applyAlignment="0" applyProtection="0"/>
    <xf numFmtId="0" fontId="58" fillId="42" borderId="193" applyNumberFormat="0" applyAlignment="0" applyProtection="0"/>
    <xf numFmtId="0" fontId="12" fillId="27" borderId="0" applyNumberFormat="0" applyBorder="0" applyAlignment="0" applyProtection="0"/>
    <xf numFmtId="0" fontId="5" fillId="58" borderId="179" applyNumberFormat="0" applyFont="0" applyAlignment="0" applyProtection="0"/>
    <xf numFmtId="0" fontId="32" fillId="33" borderId="175">
      <alignment horizontal="right" vertical="center"/>
    </xf>
    <xf numFmtId="0" fontId="34" fillId="33" borderId="178">
      <alignment horizontal="left" vertical="center" wrapText="1" indent="2"/>
    </xf>
    <xf numFmtId="173" fontId="34" fillId="59" borderId="175" applyNumberFormat="0" applyFont="0" applyBorder="0" applyAlignment="0" applyProtection="0">
      <alignment horizontal="right" vertical="center"/>
    </xf>
    <xf numFmtId="0" fontId="40" fillId="58" borderId="174" applyNumberFormat="0" applyFont="0" applyAlignment="0" applyProtection="0"/>
    <xf numFmtId="49" fontId="34" fillId="0" borderId="175" applyNumberFormat="0" applyFont="0" applyFill="0" applyBorder="0" applyProtection="0">
      <alignment horizontal="left" vertical="center" indent="2"/>
    </xf>
    <xf numFmtId="0" fontId="50" fillId="0" borderId="186" applyNumberFormat="0" applyFill="0" applyAlignment="0" applyProtection="0"/>
    <xf numFmtId="0" fontId="1" fillId="0" borderId="0" applyNumberFormat="0" applyFill="0" applyBorder="0" applyAlignment="0" applyProtection="0"/>
    <xf numFmtId="0" fontId="26" fillId="16" borderId="0" applyNumberFormat="0" applyBorder="0" applyAlignment="0" applyProtection="0"/>
    <xf numFmtId="0" fontId="32" fillId="31" borderId="188">
      <alignment horizontal="right" vertical="center"/>
    </xf>
    <xf numFmtId="49" fontId="33" fillId="0" borderId="175" applyNumberFormat="0" applyFill="0" applyBorder="0" applyProtection="0">
      <alignment horizontal="left" vertical="center"/>
    </xf>
    <xf numFmtId="0" fontId="32" fillId="33" borderId="188">
      <alignment horizontal="right" vertical="center"/>
    </xf>
    <xf numFmtId="173" fontId="34" fillId="59" borderId="175" applyNumberFormat="0" applyFont="0" applyBorder="0" applyAlignment="0" applyProtection="0">
      <alignment horizontal="right" vertical="center"/>
    </xf>
    <xf numFmtId="0" fontId="62" fillId="55" borderId="171" applyNumberFormat="0" applyAlignment="0" applyProtection="0"/>
    <xf numFmtId="0" fontId="34" fillId="0" borderId="175">
      <alignment horizontal="right" vertical="center"/>
    </xf>
    <xf numFmtId="0" fontId="34" fillId="32" borderId="175"/>
    <xf numFmtId="4" fontId="32" fillId="33" borderId="175">
      <alignment horizontal="right" vertical="center"/>
    </xf>
    <xf numFmtId="0" fontId="34" fillId="32" borderId="175"/>
    <xf numFmtId="0" fontId="58" fillId="42" borderId="172" applyNumberFormat="0" applyAlignment="0" applyProtection="0"/>
    <xf numFmtId="0" fontId="50" fillId="0" borderId="186" applyNumberFormat="0" applyFill="0" applyAlignment="0" applyProtection="0"/>
    <xf numFmtId="0" fontId="36" fillId="31" borderId="175">
      <alignment horizontal="right" vertical="center"/>
    </xf>
    <xf numFmtId="0" fontId="34" fillId="0" borderId="178">
      <alignment horizontal="left" vertical="center" wrapText="1" indent="2"/>
    </xf>
    <xf numFmtId="0" fontId="32" fillId="31" borderId="175">
      <alignment horizontal="right" vertical="center"/>
    </xf>
    <xf numFmtId="0" fontId="49" fillId="42" borderId="172" applyNumberFormat="0" applyAlignment="0" applyProtection="0"/>
    <xf numFmtId="0" fontId="34" fillId="33" borderId="178">
      <alignment horizontal="left" vertical="center" wrapText="1" indent="2"/>
    </xf>
    <xf numFmtId="0" fontId="34" fillId="0" borderId="198">
      <alignment horizontal="right" vertical="center"/>
    </xf>
    <xf numFmtId="173" fontId="34" fillId="59" borderId="188" applyNumberFormat="0" applyFont="0" applyBorder="0" applyAlignment="0" applyProtection="0">
      <alignment horizontal="right" vertical="center"/>
    </xf>
    <xf numFmtId="0" fontId="49" fillId="42" borderId="185" applyNumberFormat="0" applyAlignment="0" applyProtection="0"/>
    <xf numFmtId="0" fontId="49" fillId="42" borderId="185" applyNumberFormat="0" applyAlignment="0" applyProtection="0"/>
    <xf numFmtId="0" fontId="26" fillId="22" borderId="0" applyNumberFormat="0" applyBorder="0" applyAlignment="0" applyProtection="0"/>
    <xf numFmtId="0" fontId="26" fillId="23" borderId="0" applyNumberFormat="0" applyBorder="0" applyAlignment="0" applyProtection="0"/>
    <xf numFmtId="0" fontId="28" fillId="12" borderId="11" applyNumberFormat="0" applyAlignment="0" applyProtection="0"/>
    <xf numFmtId="0" fontId="5" fillId="58" borderId="197" applyNumberFormat="0" applyFont="0" applyAlignment="0" applyProtection="0"/>
    <xf numFmtId="0" fontId="12" fillId="18" borderId="0" applyNumberFormat="0" applyBorder="0" applyAlignment="0" applyProtection="0"/>
    <xf numFmtId="0" fontId="34" fillId="32" borderId="180"/>
    <xf numFmtId="0" fontId="45" fillId="55" borderId="172" applyNumberFormat="0" applyAlignment="0" applyProtection="0"/>
    <xf numFmtId="0" fontId="36" fillId="31" borderId="175">
      <alignment horizontal="right" vertical="center"/>
    </xf>
    <xf numFmtId="0" fontId="34" fillId="32" borderId="180"/>
    <xf numFmtId="0" fontId="1" fillId="0" borderId="0" applyNumberFormat="0" applyFill="0" applyBorder="0" applyAlignment="0" applyProtection="0"/>
    <xf numFmtId="0" fontId="32" fillId="33" borderId="190">
      <alignment horizontal="right" vertical="center"/>
    </xf>
    <xf numFmtId="0" fontId="28" fillId="12" borderId="11" applyNumberFormat="0" applyAlignment="0" applyProtection="0"/>
    <xf numFmtId="0" fontId="26" fillId="19" borderId="0" applyNumberFormat="0" applyBorder="0" applyAlignment="0" applyProtection="0"/>
    <xf numFmtId="0" fontId="46" fillId="55" borderId="185" applyNumberFormat="0" applyAlignment="0" applyProtection="0"/>
    <xf numFmtId="0" fontId="58" fillId="42" borderId="185" applyNumberFormat="0" applyAlignment="0" applyProtection="0"/>
    <xf numFmtId="0" fontId="30" fillId="0" borderId="0" applyNumberFormat="0" applyFill="0" applyBorder="0" applyAlignment="0" applyProtection="0"/>
    <xf numFmtId="0" fontId="43" fillId="55" borderId="184" applyNumberFormat="0" applyAlignment="0" applyProtection="0"/>
    <xf numFmtId="49" fontId="34" fillId="0" borderId="181" applyNumberFormat="0" applyFont="0" applyFill="0" applyBorder="0" applyProtection="0">
      <alignment horizontal="left" vertical="center" indent="5"/>
    </xf>
    <xf numFmtId="0" fontId="32" fillId="33" borderId="175">
      <alignment horizontal="right" vertical="center"/>
    </xf>
    <xf numFmtId="4" fontId="34" fillId="0" borderId="175" applyFill="0" applyBorder="0" applyProtection="0">
      <alignment horizontal="right" vertical="center"/>
    </xf>
    <xf numFmtId="0" fontId="34" fillId="33" borderId="178">
      <alignment horizontal="left" vertical="center" wrapText="1" indent="2"/>
    </xf>
    <xf numFmtId="0" fontId="40" fillId="58" borderId="174" applyNumberFormat="0" applyFont="0" applyAlignment="0" applyProtection="0"/>
    <xf numFmtId="0" fontId="49" fillId="42" borderId="172" applyNumberFormat="0" applyAlignment="0" applyProtection="0"/>
    <xf numFmtId="4" fontId="34" fillId="32" borderId="175"/>
    <xf numFmtId="4" fontId="34" fillId="0" borderId="175" applyFill="0" applyBorder="0" applyProtection="0">
      <alignment horizontal="right" vertical="center"/>
    </xf>
    <xf numFmtId="0" fontId="65" fillId="0" borderId="173" applyNumberFormat="0" applyFill="0" applyAlignment="0" applyProtection="0"/>
    <xf numFmtId="0" fontId="34" fillId="31" borderId="176">
      <alignment horizontal="left" vertical="center"/>
    </xf>
    <xf numFmtId="0" fontId="34" fillId="0" borderId="178">
      <alignment horizontal="left" vertical="center" wrapText="1" indent="2"/>
    </xf>
    <xf numFmtId="0" fontId="45" fillId="55" borderId="185" applyNumberFormat="0" applyAlignment="0" applyProtection="0"/>
    <xf numFmtId="0" fontId="58" fillId="42" borderId="172" applyNumberFormat="0" applyAlignment="0" applyProtection="0"/>
    <xf numFmtId="0" fontId="34" fillId="33" borderId="178">
      <alignment horizontal="left" vertical="center" wrapText="1" indent="2"/>
    </xf>
    <xf numFmtId="0" fontId="34" fillId="0" borderId="180" applyNumberFormat="0" applyFill="0" applyAlignment="0" applyProtection="0"/>
    <xf numFmtId="0" fontId="26" fillId="14" borderId="0" applyNumberFormat="0" applyBorder="0" applyAlignment="0" applyProtection="0"/>
    <xf numFmtId="49" fontId="33" fillId="0" borderId="180" applyNumberFormat="0" applyFill="0" applyBorder="0" applyProtection="0">
      <alignment horizontal="left" vertical="center"/>
    </xf>
    <xf numFmtId="0" fontId="34" fillId="0" borderId="198">
      <alignment horizontal="right" vertical="center"/>
    </xf>
    <xf numFmtId="0" fontId="40" fillId="58" borderId="174" applyNumberFormat="0" applyFont="0" applyAlignment="0" applyProtection="0"/>
    <xf numFmtId="0" fontId="58" fillId="42" borderId="172" applyNumberFormat="0" applyAlignment="0" applyProtection="0"/>
    <xf numFmtId="0" fontId="58" fillId="42" borderId="185" applyNumberFormat="0" applyAlignment="0" applyProtection="0"/>
    <xf numFmtId="4" fontId="34" fillId="32" borderId="175"/>
    <xf numFmtId="0" fontId="46" fillId="55" borderId="172" applyNumberFormat="0" applyAlignment="0" applyProtection="0"/>
    <xf numFmtId="0" fontId="58" fillId="42" borderId="172" applyNumberFormat="0" applyAlignment="0" applyProtection="0"/>
    <xf numFmtId="4" fontId="32" fillId="33" borderId="175">
      <alignment horizontal="right" vertical="center"/>
    </xf>
    <xf numFmtId="0" fontId="50" fillId="0" borderId="173" applyNumberFormat="0" applyFill="0" applyAlignment="0" applyProtection="0"/>
    <xf numFmtId="0" fontId="43" fillId="55" borderId="192" applyNumberFormat="0" applyAlignment="0" applyProtection="0"/>
    <xf numFmtId="0" fontId="12" fillId="15" borderId="0" applyNumberFormat="0" applyBorder="0" applyAlignment="0" applyProtection="0"/>
    <xf numFmtId="0" fontId="46" fillId="55" borderId="193" applyNumberFormat="0" applyAlignment="0" applyProtection="0"/>
    <xf numFmtId="0" fontId="58" fillId="42" borderId="193" applyNumberFormat="0" applyAlignment="0" applyProtection="0"/>
    <xf numFmtId="0" fontId="34" fillId="31" borderId="181">
      <alignment horizontal="left" vertical="center"/>
    </xf>
    <xf numFmtId="4" fontId="32" fillId="33" borderId="180">
      <alignment horizontal="right" vertical="center"/>
    </xf>
    <xf numFmtId="0" fontId="46" fillId="55" borderId="172" applyNumberFormat="0" applyAlignment="0" applyProtection="0"/>
    <xf numFmtId="0" fontId="46" fillId="55" borderId="185" applyNumberFormat="0" applyAlignment="0" applyProtection="0"/>
    <xf numFmtId="0" fontId="49" fillId="42" borderId="172" applyNumberFormat="0" applyAlignment="0" applyProtection="0"/>
    <xf numFmtId="0" fontId="50" fillId="0" borderId="186" applyNumberFormat="0" applyFill="0" applyAlignment="0" applyProtection="0"/>
    <xf numFmtId="0" fontId="46" fillId="55" borderId="193" applyNumberFormat="0" applyAlignment="0" applyProtection="0"/>
    <xf numFmtId="0" fontId="5" fillId="58" borderId="197" applyNumberFormat="0" applyFont="0" applyAlignment="0" applyProtection="0"/>
    <xf numFmtId="0" fontId="12" fillId="24" borderId="0" applyNumberFormat="0" applyBorder="0" applyAlignment="0" applyProtection="0"/>
    <xf numFmtId="0" fontId="40" fillId="58" borderId="187" applyNumberFormat="0" applyFont="0" applyAlignment="0" applyProtection="0"/>
    <xf numFmtId="0" fontId="34" fillId="33" borderId="178">
      <alignment horizontal="left" vertical="center" wrapText="1" indent="2"/>
    </xf>
    <xf numFmtId="0" fontId="36" fillId="31" borderId="180">
      <alignment horizontal="right" vertical="center"/>
    </xf>
    <xf numFmtId="0" fontId="62" fillId="55" borderId="171" applyNumberFormat="0" applyAlignment="0" applyProtection="0"/>
    <xf numFmtId="0" fontId="58" fillId="42" borderId="172" applyNumberFormat="0" applyAlignment="0" applyProtection="0"/>
    <xf numFmtId="4" fontId="32" fillId="33" borderId="175">
      <alignment horizontal="right" vertical="center"/>
    </xf>
    <xf numFmtId="0" fontId="34" fillId="32" borderId="175"/>
    <xf numFmtId="0" fontId="62" fillId="55" borderId="192" applyNumberFormat="0" applyAlignment="0" applyProtection="0"/>
    <xf numFmtId="0" fontId="34" fillId="0" borderId="178">
      <alignment horizontal="left" vertical="center" wrapText="1" indent="2"/>
    </xf>
    <xf numFmtId="49" fontId="34" fillId="0" borderId="180" applyNumberFormat="0" applyFont="0" applyFill="0" applyBorder="0" applyProtection="0">
      <alignment horizontal="left" vertical="center" indent="2"/>
    </xf>
    <xf numFmtId="4" fontId="32" fillId="33" borderId="190">
      <alignment horizontal="right" vertical="center"/>
    </xf>
    <xf numFmtId="0" fontId="12" fillId="24" borderId="0" applyNumberFormat="0" applyBorder="0" applyAlignment="0" applyProtection="0"/>
    <xf numFmtId="0" fontId="5" fillId="58" borderId="179" applyNumberFormat="0" applyFont="0" applyAlignment="0" applyProtection="0"/>
    <xf numFmtId="0" fontId="34" fillId="0" borderId="191">
      <alignment horizontal="left" vertical="center" wrapText="1" indent="2"/>
    </xf>
    <xf numFmtId="0" fontId="45" fillId="55" borderId="172" applyNumberFormat="0" applyAlignment="0" applyProtection="0"/>
    <xf numFmtId="4" fontId="36" fillId="31" borderId="180">
      <alignment horizontal="right" vertical="center"/>
    </xf>
    <xf numFmtId="4" fontId="32" fillId="31" borderId="175">
      <alignment horizontal="right" vertical="center"/>
    </xf>
    <xf numFmtId="4" fontId="32" fillId="33" borderId="189">
      <alignment horizontal="right" vertical="center"/>
    </xf>
    <xf numFmtId="0" fontId="32" fillId="31" borderId="175">
      <alignment horizontal="right" vertical="center"/>
    </xf>
    <xf numFmtId="0" fontId="32" fillId="33" borderId="175">
      <alignment horizontal="right" vertical="center"/>
    </xf>
    <xf numFmtId="0" fontId="58" fillId="42" borderId="185" applyNumberFormat="0" applyAlignment="0" applyProtection="0"/>
    <xf numFmtId="0" fontId="32" fillId="33" borderId="180">
      <alignment horizontal="right" vertical="center"/>
    </xf>
    <xf numFmtId="0" fontId="26" fillId="29" borderId="0" applyNumberFormat="0" applyBorder="0" applyAlignment="0" applyProtection="0"/>
    <xf numFmtId="0" fontId="36" fillId="31" borderId="180">
      <alignment horizontal="right" vertical="center"/>
    </xf>
    <xf numFmtId="0" fontId="62" fillId="55" borderId="171" applyNumberFormat="0" applyAlignment="0" applyProtection="0"/>
    <xf numFmtId="0" fontId="34" fillId="0" borderId="191">
      <alignment horizontal="left" vertical="center" wrapText="1" indent="2"/>
    </xf>
    <xf numFmtId="49" fontId="34" fillId="0" borderId="175" applyNumberFormat="0" applyFont="0" applyFill="0" applyBorder="0" applyProtection="0">
      <alignment horizontal="left" vertical="center" indent="2"/>
    </xf>
    <xf numFmtId="0" fontId="32" fillId="33" borderId="200">
      <alignment horizontal="right" vertical="center"/>
    </xf>
    <xf numFmtId="0" fontId="40" fillId="58" borderId="174" applyNumberFormat="0" applyFont="0" applyAlignment="0" applyProtection="0"/>
    <xf numFmtId="173" fontId="34" fillId="59" borderId="175" applyNumberFormat="0" applyFont="0" applyBorder="0" applyAlignment="0" applyProtection="0">
      <alignment horizontal="right" vertical="center"/>
    </xf>
    <xf numFmtId="0" fontId="58" fillId="42" borderId="172" applyNumberFormat="0" applyAlignment="0" applyProtection="0"/>
    <xf numFmtId="0" fontId="32" fillId="33" borderId="175">
      <alignment horizontal="right" vertical="center"/>
    </xf>
    <xf numFmtId="0" fontId="34" fillId="32" borderId="175"/>
    <xf numFmtId="0" fontId="62" fillId="55" borderId="171" applyNumberFormat="0" applyAlignment="0" applyProtection="0"/>
    <xf numFmtId="0" fontId="46" fillId="55" borderId="172" applyNumberFormat="0" applyAlignment="0" applyProtection="0"/>
    <xf numFmtId="0" fontId="45" fillId="55" borderId="172" applyNumberFormat="0" applyAlignment="0" applyProtection="0"/>
    <xf numFmtId="0" fontId="49" fillId="42" borderId="172" applyNumberFormat="0" applyAlignment="0" applyProtection="0"/>
    <xf numFmtId="0" fontId="49" fillId="42" borderId="172" applyNumberFormat="0" applyAlignment="0" applyProtection="0"/>
    <xf numFmtId="0" fontId="34" fillId="0" borderId="178">
      <alignment horizontal="left" vertical="center" wrapText="1" indent="2"/>
    </xf>
    <xf numFmtId="4" fontId="32" fillId="33" borderId="176">
      <alignment horizontal="right" vertical="center"/>
    </xf>
    <xf numFmtId="4" fontId="34" fillId="0" borderId="175">
      <alignment horizontal="right" vertical="center"/>
    </xf>
    <xf numFmtId="49" fontId="33" fillId="0" borderId="175" applyNumberFormat="0" applyFill="0" applyBorder="0" applyProtection="0">
      <alignment horizontal="left" vertical="center"/>
    </xf>
    <xf numFmtId="4" fontId="34" fillId="0" borderId="175">
      <alignment horizontal="right" vertical="center"/>
    </xf>
    <xf numFmtId="0" fontId="62" fillId="55" borderId="171" applyNumberFormat="0" applyAlignment="0" applyProtection="0"/>
    <xf numFmtId="0" fontId="32" fillId="33" borderId="180">
      <alignment horizontal="right" vertical="center"/>
    </xf>
    <xf numFmtId="0" fontId="12" fillId="24" borderId="0" applyNumberFormat="0" applyBorder="0" applyAlignment="0" applyProtection="0"/>
    <xf numFmtId="49" fontId="33" fillId="0" borderId="188" applyNumberFormat="0" applyFill="0" applyBorder="0" applyProtection="0">
      <alignment horizontal="left" vertical="center"/>
    </xf>
    <xf numFmtId="0" fontId="58" fillId="42" borderId="185" applyNumberFormat="0" applyAlignment="0" applyProtection="0"/>
    <xf numFmtId="4" fontId="32" fillId="33" borderId="182">
      <alignment horizontal="right" vertical="center"/>
    </xf>
    <xf numFmtId="49" fontId="33" fillId="0" borderId="188" applyNumberFormat="0" applyFill="0" applyBorder="0" applyProtection="0">
      <alignment horizontal="left" vertical="center"/>
    </xf>
    <xf numFmtId="0" fontId="34" fillId="0" borderId="178">
      <alignment horizontal="left" vertical="center" wrapText="1" indent="2"/>
    </xf>
    <xf numFmtId="0" fontId="12" fillId="21" borderId="0" applyNumberFormat="0" applyBorder="0" applyAlignment="0" applyProtection="0"/>
    <xf numFmtId="49" fontId="33" fillId="0" borderId="188" applyNumberFormat="0" applyFill="0" applyBorder="0" applyProtection="0">
      <alignment horizontal="left" vertical="center"/>
    </xf>
    <xf numFmtId="0" fontId="26" fillId="14" borderId="0" applyNumberFormat="0" applyBorder="0" applyAlignment="0" applyProtection="0"/>
    <xf numFmtId="0" fontId="26" fillId="22" borderId="0" applyNumberFormat="0" applyBorder="0" applyAlignment="0" applyProtection="0"/>
    <xf numFmtId="0" fontId="32" fillId="31" borderId="180">
      <alignment horizontal="right" vertical="center"/>
    </xf>
    <xf numFmtId="0" fontId="32" fillId="33" borderId="188">
      <alignment horizontal="right" vertical="center"/>
    </xf>
    <xf numFmtId="4" fontId="32" fillId="33" borderId="180">
      <alignment horizontal="right" vertical="center"/>
    </xf>
    <xf numFmtId="0" fontId="49" fillId="42" borderId="193" applyNumberFormat="0" applyAlignment="0" applyProtection="0"/>
    <xf numFmtId="0" fontId="40" fillId="58" borderId="197" applyNumberFormat="0" applyFont="0" applyAlignment="0" applyProtection="0"/>
    <xf numFmtId="0" fontId="32" fillId="33" borderId="181">
      <alignment horizontal="right" vertical="center"/>
    </xf>
    <xf numFmtId="0" fontId="40" fillId="58" borderId="174" applyNumberFormat="0" applyFont="0" applyAlignment="0" applyProtection="0"/>
    <xf numFmtId="0" fontId="50" fillId="0" borderId="194" applyNumberFormat="0" applyFill="0" applyAlignment="0" applyProtection="0"/>
    <xf numFmtId="0" fontId="32" fillId="31" borderId="175">
      <alignment horizontal="right" vertical="center"/>
    </xf>
    <xf numFmtId="0" fontId="12" fillId="18" borderId="0" applyNumberFormat="0" applyBorder="0" applyAlignment="0" applyProtection="0"/>
    <xf numFmtId="0" fontId="40" fillId="58" borderId="179" applyNumberFormat="0" applyFont="0" applyAlignment="0" applyProtection="0"/>
    <xf numFmtId="0" fontId="34" fillId="0" borderId="175" applyNumberFormat="0" applyFill="0" applyAlignment="0" applyProtection="0"/>
    <xf numFmtId="49" fontId="33" fillId="0" borderId="175" applyNumberFormat="0" applyFill="0" applyBorder="0" applyProtection="0">
      <alignment horizontal="left" vertical="center"/>
    </xf>
    <xf numFmtId="0" fontId="34" fillId="0" borderId="175">
      <alignment horizontal="right" vertical="center"/>
    </xf>
    <xf numFmtId="0" fontId="62" fillId="55" borderId="184" applyNumberFormat="0" applyAlignment="0" applyProtection="0"/>
    <xf numFmtId="0" fontId="34" fillId="31" borderId="181">
      <alignment horizontal="left" vertical="center"/>
    </xf>
    <xf numFmtId="4" fontId="32" fillId="33" borderId="190">
      <alignment horizontal="right" vertical="center"/>
    </xf>
    <xf numFmtId="4" fontId="36" fillId="31" borderId="188">
      <alignment horizontal="right" vertical="center"/>
    </xf>
    <xf numFmtId="4" fontId="32" fillId="31" borderId="175">
      <alignment horizontal="right" vertical="center"/>
    </xf>
    <xf numFmtId="49" fontId="33" fillId="0" borderId="180" applyNumberFormat="0" applyFill="0" applyBorder="0" applyProtection="0">
      <alignment horizontal="left" vertical="center"/>
    </xf>
    <xf numFmtId="0" fontId="46" fillId="55" borderId="172" applyNumberFormat="0" applyAlignment="0" applyProtection="0"/>
    <xf numFmtId="0" fontId="32" fillId="33" borderId="177">
      <alignment horizontal="right" vertical="center"/>
    </xf>
    <xf numFmtId="4" fontId="32" fillId="31" borderId="175">
      <alignment horizontal="right" vertical="center"/>
    </xf>
    <xf numFmtId="0" fontId="32" fillId="33" borderId="175">
      <alignment horizontal="right" vertical="center"/>
    </xf>
    <xf numFmtId="0" fontId="46" fillId="55" borderId="172" applyNumberFormat="0" applyAlignment="0" applyProtection="0"/>
    <xf numFmtId="0" fontId="32" fillId="33" borderId="181">
      <alignment horizontal="right" vertical="center"/>
    </xf>
    <xf numFmtId="0" fontId="45" fillId="55" borderId="193" applyNumberFormat="0" applyAlignment="0" applyProtection="0"/>
    <xf numFmtId="0" fontId="28" fillId="12" borderId="11" applyNumberFormat="0" applyAlignment="0" applyProtection="0"/>
    <xf numFmtId="4" fontId="34" fillId="0" borderId="175" applyFill="0" applyBorder="0" applyProtection="0">
      <alignment horizontal="right" vertical="center"/>
    </xf>
    <xf numFmtId="0" fontId="40" fillId="58" borderId="174" applyNumberFormat="0" applyFont="0" applyAlignment="0" applyProtection="0"/>
    <xf numFmtId="0" fontId="36" fillId="31" borderId="188">
      <alignment horizontal="right" vertical="center"/>
    </xf>
    <xf numFmtId="0" fontId="62" fillId="55" borderId="192" applyNumberFormat="0" applyAlignment="0" applyProtection="0"/>
    <xf numFmtId="4" fontId="34" fillId="0" borderId="180" applyFill="0" applyBorder="0" applyProtection="0">
      <alignment horizontal="right" vertical="center"/>
    </xf>
    <xf numFmtId="0" fontId="45" fillId="55" borderId="185" applyNumberFormat="0" applyAlignment="0" applyProtection="0"/>
    <xf numFmtId="0" fontId="34" fillId="32" borderId="180"/>
    <xf numFmtId="0" fontId="49" fillId="42" borderId="185" applyNumberFormat="0" applyAlignment="0" applyProtection="0"/>
    <xf numFmtId="0" fontId="32" fillId="31" borderId="175">
      <alignment horizontal="right" vertical="center"/>
    </xf>
    <xf numFmtId="0" fontId="50" fillId="0" borderId="173" applyNumberFormat="0" applyFill="0" applyAlignment="0" applyProtection="0"/>
    <xf numFmtId="0" fontId="34" fillId="0" borderId="175" applyNumberFormat="0" applyFill="0" applyAlignment="0" applyProtection="0"/>
    <xf numFmtId="0" fontId="50" fillId="0" borderId="173" applyNumberFormat="0" applyFill="0" applyAlignment="0" applyProtection="0"/>
    <xf numFmtId="4" fontId="34" fillId="0" borderId="175" applyFill="0" applyBorder="0" applyProtection="0">
      <alignment horizontal="right" vertical="center"/>
    </xf>
    <xf numFmtId="49" fontId="34" fillId="0" borderId="176" applyNumberFormat="0" applyFont="0" applyFill="0" applyBorder="0" applyProtection="0">
      <alignment horizontal="left" vertical="center" indent="5"/>
    </xf>
    <xf numFmtId="0" fontId="34" fillId="0" borderId="175" applyNumberFormat="0" applyFill="0" applyAlignment="0" applyProtection="0"/>
    <xf numFmtId="0" fontId="65" fillId="0" borderId="186" applyNumberFormat="0" applyFill="0" applyAlignment="0" applyProtection="0"/>
    <xf numFmtId="0" fontId="34" fillId="0" borderId="175" applyNumberFormat="0" applyFill="0" applyAlignment="0" applyProtection="0"/>
    <xf numFmtId="4" fontId="34" fillId="0" borderId="180">
      <alignment horizontal="right" vertical="center"/>
    </xf>
    <xf numFmtId="4" fontId="32" fillId="33" borderId="175">
      <alignment horizontal="right" vertical="center"/>
    </xf>
    <xf numFmtId="0" fontId="34" fillId="32" borderId="180"/>
    <xf numFmtId="0" fontId="65" fillId="0" borderId="186" applyNumberFormat="0" applyFill="0" applyAlignment="0" applyProtection="0"/>
    <xf numFmtId="0" fontId="12" fillId="18" borderId="0" applyNumberFormat="0" applyBorder="0" applyAlignment="0" applyProtection="0"/>
    <xf numFmtId="0" fontId="45" fillId="55" borderId="185" applyNumberFormat="0" applyAlignment="0" applyProtection="0"/>
    <xf numFmtId="0" fontId="49" fillId="42" borderId="172" applyNumberFormat="0" applyAlignment="0" applyProtection="0"/>
    <xf numFmtId="0" fontId="46" fillId="55" borderId="172" applyNumberFormat="0" applyAlignment="0" applyProtection="0"/>
    <xf numFmtId="4" fontId="34" fillId="0" borderId="175">
      <alignment horizontal="right" vertical="center"/>
    </xf>
    <xf numFmtId="0" fontId="34" fillId="33" borderId="178">
      <alignment horizontal="left" vertical="center" wrapText="1" indent="2"/>
    </xf>
    <xf numFmtId="0" fontId="34" fillId="0" borderId="178">
      <alignment horizontal="left" vertical="center" wrapText="1" indent="2"/>
    </xf>
    <xf numFmtId="0" fontId="62" fillId="55" borderId="171" applyNumberFormat="0" applyAlignment="0" applyProtection="0"/>
    <xf numFmtId="0" fontId="58" fillId="42" borderId="172" applyNumberFormat="0" applyAlignment="0" applyProtection="0"/>
    <xf numFmtId="0" fontId="45" fillId="55" borderId="172" applyNumberFormat="0" applyAlignment="0" applyProtection="0"/>
    <xf numFmtId="0" fontId="43" fillId="55" borderId="171" applyNumberFormat="0" applyAlignment="0" applyProtection="0"/>
    <xf numFmtId="0" fontId="32" fillId="33" borderId="177">
      <alignment horizontal="right" vertical="center"/>
    </xf>
    <xf numFmtId="0" fontId="36" fillId="31" borderId="175">
      <alignment horizontal="right" vertical="center"/>
    </xf>
    <xf numFmtId="4" fontId="32" fillId="31" borderId="175">
      <alignment horizontal="right" vertical="center"/>
    </xf>
    <xf numFmtId="4" fontId="32" fillId="33" borderId="175">
      <alignment horizontal="right" vertical="center"/>
    </xf>
    <xf numFmtId="49" fontId="34" fillId="0" borderId="176" applyNumberFormat="0" applyFont="0" applyFill="0" applyBorder="0" applyProtection="0">
      <alignment horizontal="left" vertical="center" indent="5"/>
    </xf>
    <xf numFmtId="4" fontId="34" fillId="0" borderId="175" applyFill="0" applyBorder="0" applyProtection="0">
      <alignment horizontal="right" vertical="center"/>
    </xf>
    <xf numFmtId="4" fontId="32" fillId="31" borderId="175">
      <alignment horizontal="right" vertical="center"/>
    </xf>
    <xf numFmtId="0" fontId="58" fillId="42" borderId="172" applyNumberFormat="0" applyAlignment="0" applyProtection="0"/>
    <xf numFmtId="0" fontId="49" fillId="42" borderId="172" applyNumberFormat="0" applyAlignment="0" applyProtection="0"/>
    <xf numFmtId="0" fontId="45" fillId="55" borderId="172" applyNumberFormat="0" applyAlignment="0" applyProtection="0"/>
    <xf numFmtId="0" fontId="34" fillId="33" borderId="178">
      <alignment horizontal="left" vertical="center" wrapText="1" indent="2"/>
    </xf>
    <xf numFmtId="0" fontId="34" fillId="0" borderId="178">
      <alignment horizontal="left" vertical="center" wrapText="1" indent="2"/>
    </xf>
    <xf numFmtId="0" fontId="34" fillId="33" borderId="178">
      <alignment horizontal="left" vertical="center" wrapText="1" indent="2"/>
    </xf>
    <xf numFmtId="0" fontId="32" fillId="33" borderId="180">
      <alignment horizontal="right" vertical="center"/>
    </xf>
    <xf numFmtId="4" fontId="32" fillId="33" borderId="180">
      <alignment horizontal="right" vertical="center"/>
    </xf>
    <xf numFmtId="0" fontId="32" fillId="33" borderId="181">
      <alignment horizontal="right" vertical="center"/>
    </xf>
    <xf numFmtId="4" fontId="32" fillId="33" borderId="181">
      <alignment horizontal="right" vertical="center"/>
    </xf>
    <xf numFmtId="0" fontId="32" fillId="33" borderId="180">
      <alignment horizontal="right" vertical="center"/>
    </xf>
    <xf numFmtId="4" fontId="32" fillId="31" borderId="180">
      <alignment horizontal="right" vertical="center"/>
    </xf>
    <xf numFmtId="0" fontId="36" fillId="31" borderId="180">
      <alignment horizontal="right" vertical="center"/>
    </xf>
    <xf numFmtId="49" fontId="33" fillId="0" borderId="198" applyNumberFormat="0" applyFill="0" applyBorder="0" applyProtection="0">
      <alignment horizontal="left" vertical="center"/>
    </xf>
    <xf numFmtId="0" fontId="32" fillId="33" borderId="188">
      <alignment horizontal="right" vertical="center"/>
    </xf>
    <xf numFmtId="4" fontId="34" fillId="32" borderId="188"/>
    <xf numFmtId="0" fontId="32" fillId="33" borderId="188">
      <alignment horizontal="right" vertical="center"/>
    </xf>
    <xf numFmtId="0" fontId="46" fillId="55" borderId="193" applyNumberFormat="0" applyAlignment="0" applyProtection="0"/>
    <xf numFmtId="0" fontId="34" fillId="33" borderId="201">
      <alignment horizontal="left" vertical="center" wrapText="1" indent="2"/>
    </xf>
    <xf numFmtId="4" fontId="32" fillId="33" borderId="188">
      <alignment horizontal="right" vertical="center"/>
    </xf>
    <xf numFmtId="0" fontId="30" fillId="0" borderId="0" applyNumberFormat="0" applyFill="0" applyBorder="0" applyAlignment="0" applyProtection="0"/>
    <xf numFmtId="0" fontId="26" fillId="19" borderId="0" applyNumberFormat="0" applyBorder="0" applyAlignment="0" applyProtection="0"/>
    <xf numFmtId="0" fontId="12" fillId="21" borderId="0" applyNumberFormat="0" applyBorder="0" applyAlignment="0" applyProtection="0"/>
    <xf numFmtId="0" fontId="28" fillId="12" borderId="11" applyNumberFormat="0" applyAlignment="0" applyProtection="0"/>
    <xf numFmtId="0" fontId="34" fillId="0" borderId="198" applyNumberFormat="0" applyFill="0" applyAlignment="0" applyProtection="0"/>
    <xf numFmtId="0" fontId="32" fillId="33" borderId="188">
      <alignment horizontal="right" vertical="center"/>
    </xf>
    <xf numFmtId="0" fontId="46" fillId="55" borderId="193" applyNumberFormat="0" applyAlignment="0" applyProtection="0"/>
    <xf numFmtId="0" fontId="32" fillId="33" borderId="188">
      <alignment horizontal="right" vertical="center"/>
    </xf>
    <xf numFmtId="0" fontId="46" fillId="55" borderId="193" applyNumberFormat="0" applyAlignment="0" applyProtection="0"/>
    <xf numFmtId="0" fontId="32" fillId="31" borderId="198">
      <alignment horizontal="right" vertical="center"/>
    </xf>
    <xf numFmtId="0" fontId="12" fillId="27" borderId="0" applyNumberFormat="0" applyBorder="0" applyAlignment="0" applyProtection="0"/>
    <xf numFmtId="0" fontId="26" fillId="13" borderId="0" applyNumberFormat="0" applyBorder="0" applyAlignment="0" applyProtection="0"/>
    <xf numFmtId="0" fontId="62" fillId="55" borderId="192" applyNumberFormat="0" applyAlignment="0" applyProtection="0"/>
    <xf numFmtId="0" fontId="34" fillId="31" borderId="189">
      <alignment horizontal="left" vertical="center"/>
    </xf>
    <xf numFmtId="173" fontId="34" fillId="59" borderId="188" applyNumberFormat="0" applyFont="0" applyBorder="0" applyAlignment="0" applyProtection="0">
      <alignment horizontal="right" vertical="center"/>
    </xf>
    <xf numFmtId="0" fontId="30" fillId="0" borderId="0" applyNumberFormat="0" applyFill="0" applyBorder="0" applyAlignment="0" applyProtection="0"/>
    <xf numFmtId="0" fontId="29" fillId="12" borderId="10" applyNumberFormat="0" applyAlignment="0" applyProtection="0"/>
    <xf numFmtId="0" fontId="26" fillId="13" borderId="0" applyNumberFormat="0" applyBorder="0" applyAlignment="0" applyProtection="0"/>
    <xf numFmtId="4" fontId="34" fillId="32" borderId="188"/>
    <xf numFmtId="0" fontId="28" fillId="12" borderId="11" applyNumberFormat="0" applyAlignment="0" applyProtection="0"/>
    <xf numFmtId="0" fontId="29" fillId="12" borderId="10" applyNumberFormat="0" applyAlignment="0" applyProtection="0"/>
    <xf numFmtId="0" fontId="45" fillId="55" borderId="193" applyNumberFormat="0" applyAlignment="0" applyProtection="0"/>
    <xf numFmtId="0" fontId="62" fillId="55" borderId="192" applyNumberFormat="0" applyAlignment="0" applyProtection="0"/>
    <xf numFmtId="0" fontId="58" fillId="42" borderId="193" applyNumberFormat="0" applyAlignment="0" applyProtection="0"/>
    <xf numFmtId="0" fontId="40" fillId="58" borderId="179" applyNumberFormat="0" applyFont="0" applyAlignment="0" applyProtection="0"/>
    <xf numFmtId="0" fontId="32" fillId="33" borderId="190">
      <alignment horizontal="right" vertical="center"/>
    </xf>
    <xf numFmtId="0" fontId="26" fillId="28" borderId="0" applyNumberFormat="0" applyBorder="0" applyAlignment="0" applyProtection="0"/>
    <xf numFmtId="0" fontId="5" fillId="58" borderId="179" applyNumberFormat="0" applyFont="0" applyAlignment="0" applyProtection="0"/>
    <xf numFmtId="4" fontId="32" fillId="33" borderId="189">
      <alignment horizontal="right" vertical="center"/>
    </xf>
    <xf numFmtId="4" fontId="36" fillId="31" borderId="198">
      <alignment horizontal="right" vertical="center"/>
    </xf>
    <xf numFmtId="0" fontId="34" fillId="32" borderId="198"/>
    <xf numFmtId="4" fontId="32" fillId="31" borderId="198">
      <alignment horizontal="right" vertical="center"/>
    </xf>
    <xf numFmtId="0" fontId="26" fillId="26" borderId="0" applyNumberFormat="0" applyBorder="0" applyAlignment="0" applyProtection="0"/>
    <xf numFmtId="0" fontId="58" fillId="42" borderId="185" applyNumberFormat="0" applyAlignment="0" applyProtection="0"/>
    <xf numFmtId="0" fontId="32" fillId="33" borderId="200">
      <alignment horizontal="right" vertical="center"/>
    </xf>
    <xf numFmtId="0" fontId="34" fillId="33" borderId="183">
      <alignment horizontal="left" vertical="center" wrapText="1" indent="2"/>
    </xf>
    <xf numFmtId="4" fontId="36" fillId="31" borderId="180">
      <alignment horizontal="right" vertical="center"/>
    </xf>
    <xf numFmtId="0" fontId="43" fillId="55" borderId="192" applyNumberFormat="0" applyAlignment="0" applyProtection="0"/>
    <xf numFmtId="0" fontId="46" fillId="55" borderId="193" applyNumberFormat="0" applyAlignment="0" applyProtection="0"/>
    <xf numFmtId="0" fontId="26" fillId="20" borderId="0" applyNumberFormat="0" applyBorder="0" applyAlignment="0" applyProtection="0"/>
    <xf numFmtId="0" fontId="65" fillId="0" borderId="196" applyNumberFormat="0" applyFill="0" applyAlignment="0" applyProtection="0"/>
    <xf numFmtId="0" fontId="34" fillId="33" borderId="201">
      <alignment horizontal="left" vertical="center" wrapText="1" indent="2"/>
    </xf>
    <xf numFmtId="0" fontId="2" fillId="0" borderId="12" applyNumberFormat="0" applyFill="0" applyAlignment="0" applyProtection="0"/>
    <xf numFmtId="0" fontId="34" fillId="0" borderId="188">
      <alignment horizontal="right" vertical="center"/>
    </xf>
    <xf numFmtId="0" fontId="26" fillId="17" borderId="0" applyNumberFormat="0" applyBorder="0" applyAlignment="0" applyProtection="0"/>
    <xf numFmtId="4" fontId="36" fillId="31" borderId="180">
      <alignment horizontal="right" vertical="center"/>
    </xf>
    <xf numFmtId="4" fontId="32" fillId="31" borderId="180">
      <alignment horizontal="right" vertical="center"/>
    </xf>
    <xf numFmtId="0" fontId="34" fillId="0" borderId="183">
      <alignment horizontal="left" vertical="center" wrapText="1" indent="2"/>
    </xf>
    <xf numFmtId="0" fontId="62" fillId="55" borderId="184" applyNumberFormat="0" applyAlignment="0" applyProtection="0"/>
    <xf numFmtId="0" fontId="34" fillId="0" borderId="180">
      <alignment horizontal="right" vertical="center"/>
    </xf>
    <xf numFmtId="0" fontId="65" fillId="0" borderId="186" applyNumberFormat="0" applyFill="0" applyAlignment="0" applyProtection="0"/>
    <xf numFmtId="49" fontId="33" fillId="0" borderId="180" applyNumberFormat="0" applyFill="0" applyBorder="0" applyProtection="0">
      <alignment horizontal="left" vertical="center"/>
    </xf>
    <xf numFmtId="4" fontId="34" fillId="32" borderId="180"/>
    <xf numFmtId="0" fontId="58" fillId="42" borderId="185" applyNumberFormat="0" applyAlignment="0" applyProtection="0"/>
    <xf numFmtId="0" fontId="40" fillId="58" borderId="187" applyNumberFormat="0" applyFont="0" applyAlignment="0" applyProtection="0"/>
    <xf numFmtId="4" fontId="34" fillId="32" borderId="188"/>
    <xf numFmtId="173" fontId="34" fillId="59" borderId="180" applyNumberFormat="0" applyFont="0" applyBorder="0" applyAlignment="0" applyProtection="0">
      <alignment horizontal="right" vertical="center"/>
    </xf>
    <xf numFmtId="0" fontId="65" fillId="0" borderId="194" applyNumberFormat="0" applyFill="0" applyAlignment="0" applyProtection="0"/>
    <xf numFmtId="0" fontId="46" fillId="55" borderId="185" applyNumberFormat="0" applyAlignment="0" applyProtection="0"/>
    <xf numFmtId="0" fontId="26" fillId="25" borderId="0" applyNumberFormat="0" applyBorder="0" applyAlignment="0" applyProtection="0"/>
    <xf numFmtId="0" fontId="32" fillId="33" borderId="190">
      <alignment horizontal="right" vertical="center"/>
    </xf>
    <xf numFmtId="0" fontId="34" fillId="0" borderId="201">
      <alignment horizontal="left" vertical="center" wrapText="1" indent="2"/>
    </xf>
    <xf numFmtId="0" fontId="40" fillId="58" borderId="187" applyNumberFormat="0" applyFont="0" applyAlignment="0" applyProtection="0"/>
    <xf numFmtId="0" fontId="58" fillId="42" borderId="185" applyNumberFormat="0" applyAlignment="0" applyProtection="0"/>
    <xf numFmtId="0" fontId="43" fillId="55" borderId="184" applyNumberFormat="0" applyAlignment="0" applyProtection="0"/>
    <xf numFmtId="49" fontId="33" fillId="0" borderId="180" applyNumberFormat="0" applyFill="0" applyBorder="0" applyProtection="0">
      <alignment horizontal="left" vertical="center"/>
    </xf>
    <xf numFmtId="0" fontId="65" fillId="0" borderId="186" applyNumberFormat="0" applyFill="0" applyAlignment="0" applyProtection="0"/>
    <xf numFmtId="0" fontId="34" fillId="0" borderId="180">
      <alignment horizontal="right" vertical="center"/>
    </xf>
    <xf numFmtId="0" fontId="32" fillId="33" borderId="181">
      <alignment horizontal="right" vertical="center"/>
    </xf>
    <xf numFmtId="0" fontId="65" fillId="0" borderId="186" applyNumberFormat="0" applyFill="0" applyAlignment="0" applyProtection="0"/>
    <xf numFmtId="49" fontId="34" fillId="0" borderId="198" applyNumberFormat="0" applyFont="0" applyFill="0" applyBorder="0" applyProtection="0">
      <alignment horizontal="left" vertical="center" indent="2"/>
    </xf>
    <xf numFmtId="0" fontId="32" fillId="33" borderId="189">
      <alignment horizontal="right" vertical="center"/>
    </xf>
    <xf numFmtId="0" fontId="12" fillId="15" borderId="0" applyNumberFormat="0" applyBorder="0" applyAlignment="0" applyProtection="0"/>
    <xf numFmtId="0" fontId="43" fillId="55" borderId="192" applyNumberFormat="0" applyAlignment="0" applyProtection="0"/>
    <xf numFmtId="49" fontId="34" fillId="0" borderId="199" applyNumberFormat="0" applyFont="0" applyFill="0" applyBorder="0" applyProtection="0">
      <alignment horizontal="left" vertical="center" indent="5"/>
    </xf>
    <xf numFmtId="4" fontId="34" fillId="0" borderId="180" applyFill="0" applyBorder="0" applyProtection="0">
      <alignment horizontal="right" vertical="center"/>
    </xf>
    <xf numFmtId="4" fontId="34" fillId="32" borderId="188"/>
    <xf numFmtId="4" fontId="32" fillId="33" borderId="189">
      <alignment horizontal="right" vertical="center"/>
    </xf>
    <xf numFmtId="4" fontId="34" fillId="0" borderId="188">
      <alignment horizontal="right" vertical="center"/>
    </xf>
    <xf numFmtId="0" fontId="46" fillId="55" borderId="195" applyNumberFormat="0" applyAlignment="0" applyProtection="0"/>
    <xf numFmtId="0" fontId="49" fillId="42" borderId="193" applyNumberFormat="0" applyAlignment="0" applyProtection="0"/>
    <xf numFmtId="4" fontId="34" fillId="0" borderId="188">
      <alignment horizontal="right" vertical="center"/>
    </xf>
    <xf numFmtId="0" fontId="34" fillId="0" borderId="183">
      <alignment horizontal="left" vertical="center" wrapText="1" indent="2"/>
    </xf>
    <xf numFmtId="0" fontId="65" fillId="0" borderId="186" applyNumberFormat="0" applyFill="0" applyAlignment="0" applyProtection="0"/>
    <xf numFmtId="0" fontId="43" fillId="55" borderId="184" applyNumberFormat="0" applyAlignment="0" applyProtection="0"/>
    <xf numFmtId="0" fontId="32" fillId="33" borderId="180">
      <alignment horizontal="right" vertical="center"/>
    </xf>
    <xf numFmtId="0" fontId="45" fillId="55" borderId="185" applyNumberFormat="0" applyAlignment="0" applyProtection="0"/>
    <xf numFmtId="0" fontId="34" fillId="32" borderId="188"/>
    <xf numFmtId="0" fontId="34" fillId="33" borderId="201">
      <alignment horizontal="left" vertical="center" wrapText="1" indent="2"/>
    </xf>
    <xf numFmtId="0" fontId="34" fillId="31" borderId="181">
      <alignment horizontal="left" vertical="center"/>
    </xf>
    <xf numFmtId="0" fontId="26" fillId="16" borderId="0" applyNumberFormat="0" applyBorder="0" applyAlignment="0" applyProtection="0"/>
    <xf numFmtId="0" fontId="1" fillId="0" borderId="0" applyNumberFormat="0" applyFill="0" applyBorder="0" applyAlignment="0" applyProtection="0"/>
    <xf numFmtId="0" fontId="49" fillId="42" borderId="193" applyNumberFormat="0" applyAlignment="0" applyProtection="0"/>
    <xf numFmtId="0" fontId="46" fillId="55" borderId="193" applyNumberFormat="0" applyAlignment="0" applyProtection="0"/>
    <xf numFmtId="0" fontId="32" fillId="31" borderId="180">
      <alignment horizontal="right" vertical="center"/>
    </xf>
    <xf numFmtId="173" fontId="34" fillId="59" borderId="188" applyNumberFormat="0" applyFont="0" applyBorder="0" applyAlignment="0" applyProtection="0">
      <alignment horizontal="right" vertical="center"/>
    </xf>
    <xf numFmtId="0" fontId="62" fillId="55" borderId="202" applyNumberFormat="0" applyAlignment="0" applyProtection="0"/>
    <xf numFmtId="0" fontId="50" fillId="0" borderId="186" applyNumberFormat="0" applyFill="0" applyAlignment="0" applyProtection="0"/>
    <xf numFmtId="0" fontId="34" fillId="0" borderId="180">
      <alignment horizontal="right" vertical="center"/>
    </xf>
    <xf numFmtId="0" fontId="5" fillId="58" borderId="179" applyNumberFormat="0" applyFont="0" applyAlignment="0" applyProtection="0"/>
    <xf numFmtId="0" fontId="12" fillId="15" borderId="0" applyNumberFormat="0" applyBorder="0" applyAlignment="0" applyProtection="0"/>
    <xf numFmtId="0" fontId="12" fillId="30" borderId="0" applyNumberFormat="0" applyBorder="0" applyAlignment="0" applyProtection="0"/>
    <xf numFmtId="0" fontId="29" fillId="12" borderId="10" applyNumberFormat="0" applyAlignment="0" applyProtection="0"/>
    <xf numFmtId="0" fontId="58" fillId="42" borderId="185" applyNumberFormat="0" applyAlignment="0" applyProtection="0"/>
    <xf numFmtId="49" fontId="34" fillId="0" borderId="181" applyNumberFormat="0" applyFont="0" applyFill="0" applyBorder="0" applyProtection="0">
      <alignment horizontal="left" vertical="center" indent="5"/>
    </xf>
    <xf numFmtId="0" fontId="32" fillId="33" borderId="200">
      <alignment horizontal="right" vertical="center"/>
    </xf>
    <xf numFmtId="0" fontId="34" fillId="0" borderId="180" applyNumberFormat="0" applyFill="0" applyAlignment="0" applyProtection="0"/>
    <xf numFmtId="0" fontId="50" fillId="0" borderId="186" applyNumberFormat="0" applyFill="0" applyAlignment="0" applyProtection="0"/>
    <xf numFmtId="0" fontId="62" fillId="55" borderId="184" applyNumberFormat="0" applyAlignment="0" applyProtection="0"/>
    <xf numFmtId="4" fontId="32" fillId="33" borderId="180">
      <alignment horizontal="right" vertical="center"/>
    </xf>
    <xf numFmtId="4" fontId="34" fillId="32" borderId="180"/>
    <xf numFmtId="0" fontId="65" fillId="0" borderId="186" applyNumberFormat="0" applyFill="0" applyAlignment="0" applyProtection="0"/>
    <xf numFmtId="0" fontId="12" fillId="15" borderId="0" applyNumberFormat="0" applyBorder="0" applyAlignment="0" applyProtection="0"/>
    <xf numFmtId="0" fontId="43" fillId="55" borderId="184" applyNumberFormat="0" applyAlignment="0" applyProtection="0"/>
    <xf numFmtId="0" fontId="45" fillId="55" borderId="185" applyNumberFormat="0" applyAlignment="0" applyProtection="0"/>
    <xf numFmtId="0" fontId="46" fillId="55" borderId="185" applyNumberFormat="0" applyAlignment="0" applyProtection="0"/>
    <xf numFmtId="0" fontId="62" fillId="55" borderId="184" applyNumberFormat="0" applyAlignment="0" applyProtection="0"/>
    <xf numFmtId="0" fontId="32" fillId="33" borderId="182">
      <alignment horizontal="right" vertical="center"/>
    </xf>
    <xf numFmtId="0" fontId="34" fillId="0" borderId="180" applyNumberFormat="0" applyFill="0" applyAlignment="0" applyProtection="0"/>
    <xf numFmtId="49" fontId="34" fillId="0" borderId="181" applyNumberFormat="0" applyFont="0" applyFill="0" applyBorder="0" applyProtection="0">
      <alignment horizontal="left" vertical="center" indent="5"/>
    </xf>
    <xf numFmtId="0" fontId="65" fillId="0" borderId="186" applyNumberFormat="0" applyFill="0" applyAlignment="0" applyProtection="0"/>
    <xf numFmtId="0" fontId="34" fillId="0" borderId="180" applyNumberFormat="0" applyFill="0" applyAlignment="0" applyProtection="0"/>
    <xf numFmtId="0" fontId="32" fillId="33" borderId="198">
      <alignment horizontal="right" vertical="center"/>
    </xf>
    <xf numFmtId="0" fontId="40" fillId="58" borderId="187" applyNumberFormat="0" applyFont="0" applyAlignment="0" applyProtection="0"/>
    <xf numFmtId="0" fontId="26" fillId="23" borderId="0" applyNumberFormat="0" applyBorder="0" applyAlignment="0" applyProtection="0"/>
    <xf numFmtId="0" fontId="32" fillId="33" borderId="198">
      <alignment horizontal="right" vertical="center"/>
    </xf>
    <xf numFmtId="0" fontId="49" fillId="42" borderId="195" applyNumberFormat="0" applyAlignment="0" applyProtection="0"/>
    <xf numFmtId="0" fontId="40" fillId="58" borderId="179" applyNumberFormat="0" applyFont="0" applyAlignment="0" applyProtection="0"/>
    <xf numFmtId="4" fontId="32" fillId="33" borderId="188">
      <alignment horizontal="right" vertical="center"/>
    </xf>
    <xf numFmtId="0" fontId="36" fillId="31" borderId="188">
      <alignment horizontal="right" vertical="center"/>
    </xf>
    <xf numFmtId="0" fontId="32" fillId="33" borderId="189">
      <alignment horizontal="right" vertical="center"/>
    </xf>
    <xf numFmtId="0" fontId="34" fillId="33" borderId="191">
      <alignment horizontal="left" vertical="center" wrapText="1" indent="2"/>
    </xf>
    <xf numFmtId="0" fontId="26" fillId="23" borderId="0" applyNumberFormat="0" applyBorder="0" applyAlignment="0" applyProtection="0"/>
    <xf numFmtId="0" fontId="50" fillId="0" borderId="194" applyNumberFormat="0" applyFill="0" applyAlignment="0" applyProtection="0"/>
    <xf numFmtId="0" fontId="32" fillId="33" borderId="190">
      <alignment horizontal="right" vertical="center"/>
    </xf>
    <xf numFmtId="0" fontId="34" fillId="0" borderId="183">
      <alignment horizontal="left" vertical="center" wrapText="1" indent="2"/>
    </xf>
    <xf numFmtId="4" fontId="32" fillId="31" borderId="180">
      <alignment horizontal="right" vertical="center"/>
    </xf>
    <xf numFmtId="0" fontId="30" fillId="0" borderId="0" applyNumberFormat="0" applyFill="0" applyBorder="0" applyAlignment="0" applyProtection="0"/>
    <xf numFmtId="0" fontId="62" fillId="55" borderId="184" applyNumberFormat="0" applyAlignment="0" applyProtection="0"/>
    <xf numFmtId="49" fontId="34" fillId="0" borderId="181" applyNumberFormat="0" applyFont="0" applyFill="0" applyBorder="0" applyProtection="0">
      <alignment horizontal="left" vertical="center" indent="5"/>
    </xf>
    <xf numFmtId="4" fontId="34" fillId="0" borderId="180">
      <alignment horizontal="right" vertical="center"/>
    </xf>
    <xf numFmtId="49" fontId="34" fillId="0" borderId="198" applyNumberFormat="0" applyFont="0" applyFill="0" applyBorder="0" applyProtection="0">
      <alignment horizontal="left" vertical="center" indent="2"/>
    </xf>
    <xf numFmtId="0" fontId="26" fillId="13" borderId="0" applyNumberFormat="0" applyBorder="0" applyAlignment="0" applyProtection="0"/>
    <xf numFmtId="0" fontId="32" fillId="33" borderId="190">
      <alignment horizontal="right" vertical="center"/>
    </xf>
    <xf numFmtId="0" fontId="26" fillId="28" borderId="0" applyNumberFormat="0" applyBorder="0" applyAlignment="0" applyProtection="0"/>
    <xf numFmtId="0" fontId="50" fillId="0" borderId="186" applyNumberFormat="0" applyFill="0" applyAlignment="0" applyProtection="0"/>
    <xf numFmtId="0" fontId="50" fillId="0" borderId="196" applyNumberFormat="0" applyFill="0" applyAlignment="0" applyProtection="0"/>
    <xf numFmtId="4" fontId="32" fillId="33" borderId="182">
      <alignment horizontal="right" vertical="center"/>
    </xf>
    <xf numFmtId="4" fontId="32" fillId="33" borderId="180">
      <alignment horizontal="right" vertical="center"/>
    </xf>
    <xf numFmtId="4" fontId="32" fillId="33" borderId="180">
      <alignment horizontal="right" vertical="center"/>
    </xf>
    <xf numFmtId="0" fontId="65" fillId="0" borderId="186" applyNumberFormat="0" applyFill="0" applyAlignment="0" applyProtection="0"/>
    <xf numFmtId="0" fontId="46" fillId="55" borderId="185" applyNumberFormat="0" applyAlignment="0" applyProtection="0"/>
    <xf numFmtId="0" fontId="26" fillId="19" borderId="0" applyNumberFormat="0" applyBorder="0" applyAlignment="0" applyProtection="0"/>
    <xf numFmtId="0" fontId="29" fillId="12" borderId="10" applyNumberFormat="0" applyAlignment="0" applyProtection="0"/>
    <xf numFmtId="49" fontId="33" fillId="0" borderId="180" applyNumberFormat="0" applyFill="0" applyBorder="0" applyProtection="0">
      <alignment horizontal="left" vertical="center"/>
    </xf>
    <xf numFmtId="0" fontId="5" fillId="58" borderId="179" applyNumberFormat="0" applyFont="0" applyAlignment="0" applyProtection="0"/>
    <xf numFmtId="0" fontId="26" fillId="23" borderId="0" applyNumberFormat="0" applyBorder="0" applyAlignment="0" applyProtection="0"/>
    <xf numFmtId="4" fontId="32" fillId="33" borderId="180">
      <alignment horizontal="right" vertical="center"/>
    </xf>
    <xf numFmtId="0" fontId="26" fillId="25" borderId="0" applyNumberFormat="0" applyBorder="0" applyAlignment="0" applyProtection="0"/>
    <xf numFmtId="0" fontId="32" fillId="31" borderId="188">
      <alignment horizontal="right" vertical="center"/>
    </xf>
    <xf numFmtId="0" fontId="43" fillId="55" borderId="192" applyNumberFormat="0" applyAlignment="0" applyProtection="0"/>
    <xf numFmtId="0" fontId="62" fillId="55" borderId="192" applyNumberFormat="0" applyAlignment="0" applyProtection="0"/>
    <xf numFmtId="49" fontId="34" fillId="0" borderId="188" applyNumberFormat="0" applyFont="0" applyFill="0" applyBorder="0" applyProtection="0">
      <alignment horizontal="left" vertical="center" indent="2"/>
    </xf>
    <xf numFmtId="49" fontId="34" fillId="0" borderId="180" applyNumberFormat="0" applyFont="0" applyFill="0" applyBorder="0" applyProtection="0">
      <alignment horizontal="left" vertical="center" indent="2"/>
    </xf>
    <xf numFmtId="0" fontId="65" fillId="0" borderId="186" applyNumberFormat="0" applyFill="0" applyAlignment="0" applyProtection="0"/>
    <xf numFmtId="4" fontId="34" fillId="0" borderId="180" applyFill="0" applyBorder="0" applyProtection="0">
      <alignment horizontal="right" vertical="center"/>
    </xf>
    <xf numFmtId="0" fontId="58" fillId="42" borderId="185" applyNumberFormat="0" applyAlignment="0" applyProtection="0"/>
    <xf numFmtId="49" fontId="33" fillId="0" borderId="180" applyNumberFormat="0" applyFill="0" applyBorder="0" applyProtection="0">
      <alignment horizontal="left" vertical="center"/>
    </xf>
    <xf numFmtId="49" fontId="34" fillId="0" borderId="180" applyNumberFormat="0" applyFont="0" applyFill="0" applyBorder="0" applyProtection="0">
      <alignment horizontal="left" vertical="center" indent="2"/>
    </xf>
    <xf numFmtId="4" fontId="34" fillId="0" borderId="180" applyFill="0" applyBorder="0" applyProtection="0">
      <alignment horizontal="right" vertical="center"/>
    </xf>
    <xf numFmtId="173" fontId="34" fillId="59" borderId="180" applyNumberFormat="0" applyFont="0" applyBorder="0" applyAlignment="0" applyProtection="0">
      <alignment horizontal="right" vertical="center"/>
    </xf>
    <xf numFmtId="0" fontId="65" fillId="0" borderId="194" applyNumberFormat="0" applyFill="0" applyAlignment="0" applyProtection="0"/>
    <xf numFmtId="4" fontId="36" fillId="31" borderId="188">
      <alignment horizontal="right" vertical="center"/>
    </xf>
    <xf numFmtId="0" fontId="36" fillId="31" borderId="180">
      <alignment horizontal="right" vertical="center"/>
    </xf>
    <xf numFmtId="0" fontId="62" fillId="55" borderId="192" applyNumberFormat="0" applyAlignment="0" applyProtection="0"/>
    <xf numFmtId="0" fontId="32" fillId="33" borderId="188">
      <alignment horizontal="right" vertical="center"/>
    </xf>
    <xf numFmtId="0" fontId="34" fillId="0" borderId="198" applyNumberFormat="0" applyFill="0" applyAlignment="0" applyProtection="0"/>
    <xf numFmtId="0" fontId="49" fillId="42" borderId="185" applyNumberFormat="0" applyAlignment="0" applyProtection="0"/>
    <xf numFmtId="4" fontId="32" fillId="33" borderId="180">
      <alignment horizontal="right" vertical="center"/>
    </xf>
    <xf numFmtId="0" fontId="34" fillId="31" borderId="181">
      <alignment horizontal="left" vertical="center"/>
    </xf>
    <xf numFmtId="4" fontId="32" fillId="33" borderId="188">
      <alignment horizontal="right" vertical="center"/>
    </xf>
    <xf numFmtId="0" fontId="46" fillId="55" borderId="195" applyNumberFormat="0" applyAlignment="0" applyProtection="0"/>
    <xf numFmtId="4" fontId="36" fillId="31" borderId="188">
      <alignment horizontal="right" vertical="center"/>
    </xf>
    <xf numFmtId="0" fontId="43" fillId="55" borderId="202" applyNumberFormat="0" applyAlignment="0" applyProtection="0"/>
    <xf numFmtId="0" fontId="58" fillId="42" borderId="193" applyNumberFormat="0" applyAlignment="0" applyProtection="0"/>
    <xf numFmtId="4" fontId="32" fillId="31" borderId="188">
      <alignment horizontal="right" vertical="center"/>
    </xf>
    <xf numFmtId="0" fontId="5" fillId="58" borderId="187" applyNumberFormat="0" applyFont="0" applyAlignment="0" applyProtection="0"/>
    <xf numFmtId="0" fontId="12" fillId="27" borderId="0" applyNumberFormat="0" applyBorder="0" applyAlignment="0" applyProtection="0"/>
    <xf numFmtId="0" fontId="50" fillId="0" borderId="194" applyNumberFormat="0" applyFill="0" applyAlignment="0" applyProtection="0"/>
    <xf numFmtId="0" fontId="32" fillId="33" borderId="180">
      <alignment horizontal="right" vertical="center"/>
    </xf>
    <xf numFmtId="0" fontId="34" fillId="33" borderId="183">
      <alignment horizontal="left" vertical="center" wrapText="1" indent="2"/>
    </xf>
    <xf numFmtId="173" fontId="34" fillId="59" borderId="180" applyNumberFormat="0" applyFont="0" applyBorder="0" applyAlignment="0" applyProtection="0">
      <alignment horizontal="right" vertical="center"/>
    </xf>
    <xf numFmtId="0" fontId="40" fillId="58" borderId="179" applyNumberFormat="0" applyFont="0" applyAlignment="0" applyProtection="0"/>
    <xf numFmtId="49" fontId="34" fillId="0" borderId="180" applyNumberFormat="0" applyFont="0" applyFill="0" applyBorder="0" applyProtection="0">
      <alignment horizontal="left" vertical="center" indent="2"/>
    </xf>
    <xf numFmtId="0" fontId="34" fillId="33" borderId="191">
      <alignment horizontal="left" vertical="center" wrapText="1" indent="2"/>
    </xf>
    <xf numFmtId="0" fontId="34" fillId="0" borderId="201">
      <alignment horizontal="left" vertical="center" wrapText="1" indent="2"/>
    </xf>
    <xf numFmtId="0" fontId="58" fillId="42" borderId="193" applyNumberFormat="0" applyAlignment="0" applyProtection="0"/>
    <xf numFmtId="0" fontId="26" fillId="13" borderId="0" applyNumberFormat="0" applyBorder="0" applyAlignment="0" applyProtection="0"/>
    <xf numFmtId="49" fontId="33" fillId="0" borderId="180" applyNumberFormat="0" applyFill="0" applyBorder="0" applyProtection="0">
      <alignment horizontal="left" vertical="center"/>
    </xf>
    <xf numFmtId="0" fontId="26" fillId="28" borderId="0" applyNumberFormat="0" applyBorder="0" applyAlignment="0" applyProtection="0"/>
    <xf numFmtId="173" fontId="34" fillId="59" borderId="180" applyNumberFormat="0" applyFont="0" applyBorder="0" applyAlignment="0" applyProtection="0">
      <alignment horizontal="right" vertical="center"/>
    </xf>
    <xf numFmtId="0" fontId="62" fillId="55" borderId="184" applyNumberFormat="0" applyAlignment="0" applyProtection="0"/>
    <xf numFmtId="0" fontId="34" fillId="0" borderId="180">
      <alignment horizontal="right" vertical="center"/>
    </xf>
    <xf numFmtId="0" fontId="34" fillId="0" borderId="188">
      <alignment horizontal="right" vertical="center"/>
    </xf>
    <xf numFmtId="0" fontId="34" fillId="32" borderId="180"/>
    <xf numFmtId="4" fontId="32" fillId="33" borderId="180">
      <alignment horizontal="right" vertical="center"/>
    </xf>
    <xf numFmtId="0" fontId="34" fillId="32" borderId="180"/>
    <xf numFmtId="0" fontId="58" fillId="42" borderId="185" applyNumberFormat="0" applyAlignment="0" applyProtection="0"/>
    <xf numFmtId="4" fontId="34" fillId="32" borderId="198"/>
    <xf numFmtId="0" fontId="36" fillId="31" borderId="180">
      <alignment horizontal="right" vertical="center"/>
    </xf>
    <xf numFmtId="0" fontId="34" fillId="0" borderId="183">
      <alignment horizontal="left" vertical="center" wrapText="1" indent="2"/>
    </xf>
    <xf numFmtId="0" fontId="32" fillId="31" borderId="180">
      <alignment horizontal="right" vertical="center"/>
    </xf>
    <xf numFmtId="0" fontId="49" fillId="42" borderId="185" applyNumberFormat="0" applyAlignment="0" applyProtection="0"/>
    <xf numFmtId="0" fontId="34" fillId="33" borderId="183">
      <alignment horizontal="left" vertical="center" wrapText="1" indent="2"/>
    </xf>
    <xf numFmtId="0" fontId="40" fillId="58" borderId="187" applyNumberFormat="0" applyFont="0" applyAlignment="0" applyProtection="0"/>
    <xf numFmtId="0" fontId="26" fillId="29" borderId="0" applyNumberFormat="0" applyBorder="0" applyAlignment="0" applyProtection="0"/>
    <xf numFmtId="0" fontId="34" fillId="32" borderId="188"/>
    <xf numFmtId="0" fontId="26" fillId="23" borderId="0" applyNumberFormat="0" applyBorder="0" applyAlignment="0" applyProtection="0"/>
    <xf numFmtId="4" fontId="36" fillId="31" borderId="198">
      <alignment horizontal="right" vertical="center"/>
    </xf>
    <xf numFmtId="0" fontId="45" fillId="55" borderId="185" applyNumberFormat="0" applyAlignment="0" applyProtection="0"/>
    <xf numFmtId="0" fontId="36" fillId="31" borderId="180">
      <alignment horizontal="right" vertical="center"/>
    </xf>
    <xf numFmtId="0" fontId="65" fillId="0" borderId="194" applyNumberFormat="0" applyFill="0" applyAlignment="0" applyProtection="0"/>
    <xf numFmtId="0" fontId="26" fillId="25" borderId="0" applyNumberFormat="0" applyBorder="0" applyAlignment="0" applyProtection="0"/>
    <xf numFmtId="4" fontId="32" fillId="33" borderId="189">
      <alignment horizontal="right" vertical="center"/>
    </xf>
    <xf numFmtId="0" fontId="1" fillId="0" borderId="0" applyNumberFormat="0" applyFill="0" applyBorder="0" applyAlignment="0" applyProtection="0"/>
    <xf numFmtId="0" fontId="26" fillId="19" borderId="0" applyNumberFormat="0" applyBorder="0" applyAlignment="0" applyProtection="0"/>
    <xf numFmtId="0" fontId="32" fillId="33" borderId="189">
      <alignment horizontal="right" vertical="center"/>
    </xf>
    <xf numFmtId="0" fontId="40" fillId="58" borderId="187" applyNumberFormat="0" applyFont="0" applyAlignment="0" applyProtection="0"/>
    <xf numFmtId="0" fontId="30" fillId="0" borderId="0" applyNumberFormat="0" applyFill="0" applyBorder="0" applyAlignment="0" applyProtection="0"/>
    <xf numFmtId="0" fontId="49" fillId="42" borderId="193" applyNumberFormat="0" applyAlignment="0" applyProtection="0"/>
    <xf numFmtId="0" fontId="32" fillId="33" borderId="180">
      <alignment horizontal="right" vertical="center"/>
    </xf>
    <xf numFmtId="4" fontId="34" fillId="0" borderId="180" applyFill="0" applyBorder="0" applyProtection="0">
      <alignment horizontal="right" vertical="center"/>
    </xf>
    <xf numFmtId="0" fontId="34" fillId="33" borderId="183">
      <alignment horizontal="left" vertical="center" wrapText="1" indent="2"/>
    </xf>
    <xf numFmtId="0" fontId="40" fillId="58" borderId="179" applyNumberFormat="0" applyFont="0" applyAlignment="0" applyProtection="0"/>
    <xf numFmtId="0" fontId="49" fillId="42" borderId="185" applyNumberFormat="0" applyAlignment="0" applyProtection="0"/>
    <xf numFmtId="4" fontId="34" fillId="32" borderId="180"/>
    <xf numFmtId="4" fontId="34" fillId="0" borderId="180" applyFill="0" applyBorder="0" applyProtection="0">
      <alignment horizontal="right" vertical="center"/>
    </xf>
    <xf numFmtId="0" fontId="65" fillId="0" borderId="186" applyNumberFormat="0" applyFill="0" applyAlignment="0" applyProtection="0"/>
    <xf numFmtId="0" fontId="34" fillId="31" borderId="181">
      <alignment horizontal="left" vertical="center"/>
    </xf>
    <xf numFmtId="0" fontId="34" fillId="0" borderId="183">
      <alignment horizontal="left" vertical="center" wrapText="1" indent="2"/>
    </xf>
    <xf numFmtId="49" fontId="33" fillId="0" borderId="188" applyNumberFormat="0" applyFill="0" applyBorder="0" applyProtection="0">
      <alignment horizontal="left" vertical="center"/>
    </xf>
    <xf numFmtId="0" fontId="58" fillId="42" borderId="185" applyNumberFormat="0" applyAlignment="0" applyProtection="0"/>
    <xf numFmtId="0" fontId="34" fillId="33" borderId="183">
      <alignment horizontal="left" vertical="center" wrapText="1" indent="2"/>
    </xf>
    <xf numFmtId="0" fontId="26" fillId="22" borderId="0" applyNumberFormat="0" applyBorder="0" applyAlignment="0" applyProtection="0"/>
    <xf numFmtId="0" fontId="26" fillId="17" borderId="0" applyNumberFormat="0" applyBorder="0" applyAlignment="0" applyProtection="0"/>
    <xf numFmtId="0" fontId="58" fillId="42" borderId="193" applyNumberFormat="0" applyAlignment="0" applyProtection="0"/>
    <xf numFmtId="0" fontId="50" fillId="0" borderId="194" applyNumberFormat="0" applyFill="0" applyAlignment="0" applyProtection="0"/>
    <xf numFmtId="0" fontId="40" fillId="58" borderId="179" applyNumberFormat="0" applyFont="0" applyAlignment="0" applyProtection="0"/>
    <xf numFmtId="0" fontId="58" fillId="42" borderId="185" applyNumberFormat="0" applyAlignment="0" applyProtection="0"/>
    <xf numFmtId="4" fontId="32" fillId="31" borderId="198">
      <alignment horizontal="right" vertical="center"/>
    </xf>
    <xf numFmtId="4" fontId="34" fillId="32" borderId="180"/>
    <xf numFmtId="0" fontId="46" fillId="55" borderId="185" applyNumberFormat="0" applyAlignment="0" applyProtection="0"/>
    <xf numFmtId="0" fontId="58" fillId="42" borderId="185" applyNumberFormat="0" applyAlignment="0" applyProtection="0"/>
    <xf numFmtId="4" fontId="32" fillId="33" borderId="180">
      <alignment horizontal="right" vertical="center"/>
    </xf>
    <xf numFmtId="0" fontId="50" fillId="0" borderId="186" applyNumberFormat="0" applyFill="0" applyAlignment="0" applyProtection="0"/>
    <xf numFmtId="0" fontId="12" fillId="18" borderId="0" applyNumberFormat="0" applyBorder="0" applyAlignment="0" applyProtection="0"/>
    <xf numFmtId="0" fontId="26" fillId="28" borderId="0" applyNumberFormat="0" applyBorder="0" applyAlignment="0" applyProtection="0"/>
    <xf numFmtId="4" fontId="34" fillId="0" borderId="188">
      <alignment horizontal="right" vertical="center"/>
    </xf>
    <xf numFmtId="0" fontId="26" fillId="13" borderId="0" applyNumberFormat="0" applyBorder="0" applyAlignment="0" applyProtection="0"/>
    <xf numFmtId="4" fontId="32" fillId="33" borderId="198">
      <alignment horizontal="right" vertical="center"/>
    </xf>
    <xf numFmtId="0" fontId="46" fillId="55" borderId="193" applyNumberFormat="0" applyAlignment="0" applyProtection="0"/>
    <xf numFmtId="0" fontId="49" fillId="42" borderId="185" applyNumberFormat="0" applyAlignment="0" applyProtection="0"/>
    <xf numFmtId="0" fontId="65" fillId="0" borderId="194" applyNumberFormat="0" applyFill="0" applyAlignment="0" applyProtection="0"/>
    <xf numFmtId="0" fontId="32" fillId="33" borderId="190">
      <alignment horizontal="right" vertical="center"/>
    </xf>
    <xf numFmtId="4" fontId="32" fillId="33" borderId="188">
      <alignment horizontal="right" vertical="center"/>
    </xf>
    <xf numFmtId="4" fontId="32" fillId="31" borderId="188">
      <alignment horizontal="right" vertical="center"/>
    </xf>
    <xf numFmtId="0" fontId="34" fillId="33" borderId="183">
      <alignment horizontal="left" vertical="center" wrapText="1" indent="2"/>
    </xf>
    <xf numFmtId="0" fontId="50" fillId="0" borderId="194" applyNumberFormat="0" applyFill="0" applyAlignment="0" applyProtection="0"/>
    <xf numFmtId="0" fontId="62" fillId="55" borderId="184" applyNumberFormat="0" applyAlignment="0" applyProtection="0"/>
    <xf numFmtId="0" fontId="58" fillId="42" borderId="185" applyNumberFormat="0" applyAlignment="0" applyProtection="0"/>
    <xf numFmtId="4" fontId="32" fillId="33" borderId="180">
      <alignment horizontal="right" vertical="center"/>
    </xf>
    <xf numFmtId="0" fontId="34" fillId="32" borderId="180"/>
    <xf numFmtId="0" fontId="34" fillId="0" borderId="191">
      <alignment horizontal="left" vertical="center" wrapText="1" indent="2"/>
    </xf>
    <xf numFmtId="0" fontId="34" fillId="0" borderId="183">
      <alignment horizontal="left" vertical="center" wrapText="1" indent="2"/>
    </xf>
    <xf numFmtId="0" fontId="50" fillId="0" borderId="196" applyNumberFormat="0" applyFill="0" applyAlignment="0" applyProtection="0"/>
    <xf numFmtId="0" fontId="12" fillId="24" borderId="0" applyNumberFormat="0" applyBorder="0" applyAlignment="0" applyProtection="0"/>
    <xf numFmtId="0" fontId="34" fillId="32" borderId="188"/>
    <xf numFmtId="0" fontId="34" fillId="0" borderId="188" applyNumberFormat="0" applyFill="0" applyAlignment="0" applyProtection="0"/>
    <xf numFmtId="0" fontId="45" fillId="55" borderId="185" applyNumberFormat="0" applyAlignment="0" applyProtection="0"/>
    <xf numFmtId="4" fontId="32" fillId="33" borderId="190">
      <alignment horizontal="right" vertical="center"/>
    </xf>
    <xf numFmtId="0" fontId="26" fillId="19" borderId="0" applyNumberFormat="0" applyBorder="0" applyAlignment="0" applyProtection="0"/>
    <xf numFmtId="4" fontId="32" fillId="31" borderId="180">
      <alignment horizontal="right" vertical="center"/>
    </xf>
    <xf numFmtId="0" fontId="32" fillId="31" borderId="180">
      <alignment horizontal="right" vertical="center"/>
    </xf>
    <xf numFmtId="0" fontId="32" fillId="33" borderId="180">
      <alignment horizontal="right" vertical="center"/>
    </xf>
    <xf numFmtId="4" fontId="34" fillId="0" borderId="198" applyFill="0" applyBorder="0" applyProtection="0">
      <alignment horizontal="right" vertical="center"/>
    </xf>
    <xf numFmtId="4" fontId="32" fillId="33" borderId="189">
      <alignment horizontal="right" vertical="center"/>
    </xf>
    <xf numFmtId="0" fontId="26" fillId="29" borderId="0" applyNumberFormat="0" applyBorder="0" applyAlignment="0" applyProtection="0"/>
    <xf numFmtId="0" fontId="62" fillId="55" borderId="184" applyNumberFormat="0" applyAlignment="0" applyProtection="0"/>
    <xf numFmtId="0" fontId="26" fillId="19" borderId="0" applyNumberFormat="0" applyBorder="0" applyAlignment="0" applyProtection="0"/>
    <xf numFmtId="49" fontId="34" fillId="0" borderId="180" applyNumberFormat="0" applyFont="0" applyFill="0" applyBorder="0" applyProtection="0">
      <alignment horizontal="left" vertical="center" indent="2"/>
    </xf>
    <xf numFmtId="0" fontId="40" fillId="58" borderId="179" applyNumberFormat="0" applyFont="0" applyAlignment="0" applyProtection="0"/>
    <xf numFmtId="173" fontId="34" fillId="59" borderId="180" applyNumberFormat="0" applyFont="0" applyBorder="0" applyAlignment="0" applyProtection="0">
      <alignment horizontal="right" vertical="center"/>
    </xf>
    <xf numFmtId="0" fontId="58" fillId="42" borderId="185" applyNumberFormat="0" applyAlignment="0" applyProtection="0"/>
    <xf numFmtId="0" fontId="32" fillId="33" borderId="180">
      <alignment horizontal="right" vertical="center"/>
    </xf>
    <xf numFmtId="0" fontId="34" fillId="32" borderId="180"/>
    <xf numFmtId="0" fontId="62" fillId="55" borderId="184" applyNumberFormat="0" applyAlignment="0" applyProtection="0"/>
    <xf numFmtId="0" fontId="46" fillId="55" borderId="185" applyNumberFormat="0" applyAlignment="0" applyProtection="0"/>
    <xf numFmtId="0" fontId="45" fillId="55" borderId="185" applyNumberFormat="0" applyAlignment="0" applyProtection="0"/>
    <xf numFmtId="0" fontId="49" fillId="42" borderId="185" applyNumberFormat="0" applyAlignment="0" applyProtection="0"/>
    <xf numFmtId="0" fontId="49" fillId="42" borderId="185" applyNumberFormat="0" applyAlignment="0" applyProtection="0"/>
    <xf numFmtId="0" fontId="34" fillId="0" borderId="183">
      <alignment horizontal="left" vertical="center" wrapText="1" indent="2"/>
    </xf>
    <xf numFmtId="4" fontId="32" fillId="33" borderId="181">
      <alignment horizontal="right" vertical="center"/>
    </xf>
    <xf numFmtId="4" fontId="34" fillId="0" borderId="180">
      <alignment horizontal="right" vertical="center"/>
    </xf>
    <xf numFmtId="49" fontId="33" fillId="0" borderId="180" applyNumberFormat="0" applyFill="0" applyBorder="0" applyProtection="0">
      <alignment horizontal="left" vertical="center"/>
    </xf>
    <xf numFmtId="4" fontId="34" fillId="0" borderId="180">
      <alignment horizontal="right" vertical="center"/>
    </xf>
    <xf numFmtId="0" fontId="62" fillId="55" borderId="184" applyNumberFormat="0" applyAlignment="0" applyProtection="0"/>
    <xf numFmtId="0" fontId="45" fillId="55" borderId="193" applyNumberFormat="0" applyAlignment="0" applyProtection="0"/>
    <xf numFmtId="0" fontId="32" fillId="33" borderId="199">
      <alignment horizontal="right" vertical="center"/>
    </xf>
    <xf numFmtId="0" fontId="34" fillId="31" borderId="189">
      <alignment horizontal="left" vertical="center"/>
    </xf>
    <xf numFmtId="0" fontId="26" fillId="14" borderId="0" applyNumberFormat="0" applyBorder="0" applyAlignment="0" applyProtection="0"/>
    <xf numFmtId="0" fontId="34" fillId="0" borderId="183">
      <alignment horizontal="left" vertical="center" wrapText="1" indent="2"/>
    </xf>
    <xf numFmtId="0" fontId="12" fillId="21" borderId="0" applyNumberFormat="0" applyBorder="0" applyAlignment="0" applyProtection="0"/>
    <xf numFmtId="4" fontId="32" fillId="33" borderId="188">
      <alignment horizontal="right" vertical="center"/>
    </xf>
    <xf numFmtId="0" fontId="34" fillId="33" borderId="191">
      <alignment horizontal="left" vertical="center" wrapText="1" indent="2"/>
    </xf>
    <xf numFmtId="49" fontId="34" fillId="0" borderId="188" applyNumberFormat="0" applyFont="0" applyFill="0" applyBorder="0" applyProtection="0">
      <alignment horizontal="left" vertical="center" indent="2"/>
    </xf>
    <xf numFmtId="0" fontId="65" fillId="0" borderId="196" applyNumberFormat="0" applyFill="0" applyAlignment="0" applyProtection="0"/>
    <xf numFmtId="0" fontId="34" fillId="33" borderId="201">
      <alignment horizontal="left" vertical="center" wrapText="1" indent="2"/>
    </xf>
    <xf numFmtId="0" fontId="36" fillId="31" borderId="188">
      <alignment horizontal="right" vertical="center"/>
    </xf>
    <xf numFmtId="0" fontId="40" fillId="58" borderId="179" applyNumberFormat="0" applyFont="0" applyAlignment="0" applyProtection="0"/>
    <xf numFmtId="0" fontId="32" fillId="31" borderId="180">
      <alignment horizontal="right" vertical="center"/>
    </xf>
    <xf numFmtId="0" fontId="12" fillId="18" borderId="0" applyNumberFormat="0" applyBorder="0" applyAlignment="0" applyProtection="0"/>
    <xf numFmtId="0" fontId="34" fillId="0" borderId="180" applyNumberFormat="0" applyFill="0" applyAlignment="0" applyProtection="0"/>
    <xf numFmtId="49" fontId="33" fillId="0" borderId="180" applyNumberFormat="0" applyFill="0" applyBorder="0" applyProtection="0">
      <alignment horizontal="left" vertical="center"/>
    </xf>
    <xf numFmtId="0" fontId="34" fillId="0" borderId="180">
      <alignment horizontal="right" vertical="center"/>
    </xf>
    <xf numFmtId="0" fontId="12" fillId="18" borderId="0" applyNumberFormat="0" applyBorder="0" applyAlignment="0" applyProtection="0"/>
    <xf numFmtId="4" fontId="32" fillId="33" borderId="188">
      <alignment horizontal="right" vertical="center"/>
    </xf>
    <xf numFmtId="0" fontId="32" fillId="33" borderId="188">
      <alignment horizontal="right" vertical="center"/>
    </xf>
    <xf numFmtId="4" fontId="32" fillId="31" borderId="180">
      <alignment horizontal="right" vertical="center"/>
    </xf>
    <xf numFmtId="0" fontId="46" fillId="55" borderId="185" applyNumberFormat="0" applyAlignment="0" applyProtection="0"/>
    <xf numFmtId="0" fontId="32" fillId="33" borderId="182">
      <alignment horizontal="right" vertical="center"/>
    </xf>
    <xf numFmtId="4" fontId="32" fillId="31" borderId="180">
      <alignment horizontal="right" vertical="center"/>
    </xf>
    <xf numFmtId="0" fontId="32" fillId="33" borderId="180">
      <alignment horizontal="right" vertical="center"/>
    </xf>
    <xf numFmtId="0" fontId="46" fillId="55" borderId="185" applyNumberFormat="0" applyAlignment="0" applyProtection="0"/>
    <xf numFmtId="0" fontId="65" fillId="0" borderId="194" applyNumberFormat="0" applyFill="0" applyAlignment="0" applyProtection="0"/>
    <xf numFmtId="0" fontId="28" fillId="12" borderId="11" applyNumberFormat="0" applyAlignment="0" applyProtection="0"/>
    <xf numFmtId="4" fontId="34" fillId="0" borderId="180" applyFill="0" applyBorder="0" applyProtection="0">
      <alignment horizontal="right" vertical="center"/>
    </xf>
    <xf numFmtId="0" fontId="40" fillId="58" borderId="179" applyNumberFormat="0" applyFont="0" applyAlignment="0" applyProtection="0"/>
    <xf numFmtId="49" fontId="34" fillId="0" borderId="188" applyNumberFormat="0" applyFont="0" applyFill="0" applyBorder="0" applyProtection="0">
      <alignment horizontal="left" vertical="center" indent="2"/>
    </xf>
    <xf numFmtId="49" fontId="34" fillId="0" borderId="188" applyNumberFormat="0" applyFont="0" applyFill="0" applyBorder="0" applyProtection="0">
      <alignment horizontal="left" vertical="center" indent="2"/>
    </xf>
    <xf numFmtId="0" fontId="26" fillId="20" borderId="0" applyNumberFormat="0" applyBorder="0" applyAlignment="0" applyProtection="0"/>
    <xf numFmtId="0" fontId="32" fillId="33" borderId="188">
      <alignment horizontal="right" vertical="center"/>
    </xf>
    <xf numFmtId="0" fontId="5" fillId="58" borderId="187" applyNumberFormat="0" applyFont="0" applyAlignment="0" applyProtection="0"/>
    <xf numFmtId="0" fontId="32" fillId="31" borderId="180">
      <alignment horizontal="right" vertical="center"/>
    </xf>
    <xf numFmtId="0" fontId="50" fillId="0" borderId="186" applyNumberFormat="0" applyFill="0" applyAlignment="0" applyProtection="0"/>
    <xf numFmtId="0" fontId="34" fillId="0" borderId="180" applyNumberFormat="0" applyFill="0" applyAlignment="0" applyProtection="0"/>
    <xf numFmtId="0" fontId="50" fillId="0" borderId="186" applyNumberFormat="0" applyFill="0" applyAlignment="0" applyProtection="0"/>
    <xf numFmtId="4" fontId="34" fillId="0" borderId="180" applyFill="0" applyBorder="0" applyProtection="0">
      <alignment horizontal="right" vertical="center"/>
    </xf>
    <xf numFmtId="49" fontId="34" fillId="0" borderId="181" applyNumberFormat="0" applyFont="0" applyFill="0" applyBorder="0" applyProtection="0">
      <alignment horizontal="left" vertical="center" indent="5"/>
    </xf>
    <xf numFmtId="0" fontId="34" fillId="0" borderId="180" applyNumberFormat="0" applyFill="0" applyAlignment="0" applyProtection="0"/>
    <xf numFmtId="0" fontId="32" fillId="33" borderId="188">
      <alignment horizontal="right" vertical="center"/>
    </xf>
    <xf numFmtId="0" fontId="34" fillId="0" borderId="180" applyNumberFormat="0" applyFill="0" applyAlignment="0" applyProtection="0"/>
    <xf numFmtId="0" fontId="43" fillId="55" borderId="202" applyNumberFormat="0" applyAlignment="0" applyProtection="0"/>
    <xf numFmtId="0" fontId="34" fillId="0" borderId="188" applyNumberFormat="0" applyFill="0" applyAlignment="0" applyProtection="0"/>
    <xf numFmtId="4" fontId="32" fillId="33" borderId="180">
      <alignment horizontal="right" vertical="center"/>
    </xf>
    <xf numFmtId="173" fontId="34" fillId="59" borderId="188" applyNumberFormat="0" applyFont="0" applyBorder="0" applyAlignment="0" applyProtection="0">
      <alignment horizontal="right" vertical="center"/>
    </xf>
    <xf numFmtId="0" fontId="32" fillId="33" borderId="198">
      <alignment horizontal="right" vertical="center"/>
    </xf>
    <xf numFmtId="0" fontId="12" fillId="21" borderId="0" applyNumberFormat="0" applyBorder="0" applyAlignment="0" applyProtection="0"/>
    <xf numFmtId="0" fontId="65" fillId="0" borderId="196" applyNumberFormat="0" applyFill="0" applyAlignment="0" applyProtection="0"/>
    <xf numFmtId="0" fontId="49" fillId="42" borderId="185" applyNumberFormat="0" applyAlignment="0" applyProtection="0"/>
    <xf numFmtId="0" fontId="46" fillId="55" borderId="185" applyNumberFormat="0" applyAlignment="0" applyProtection="0"/>
    <xf numFmtId="4" fontId="34" fillId="0" borderId="180">
      <alignment horizontal="right" vertical="center"/>
    </xf>
    <xf numFmtId="0" fontId="34" fillId="33" borderId="183">
      <alignment horizontal="left" vertical="center" wrapText="1" indent="2"/>
    </xf>
    <xf numFmtId="0" fontId="34" fillId="0" borderId="183">
      <alignment horizontal="left" vertical="center" wrapText="1" indent="2"/>
    </xf>
    <xf numFmtId="0" fontId="62" fillId="55" borderId="184" applyNumberFormat="0" applyAlignment="0" applyProtection="0"/>
    <xf numFmtId="0" fontId="58" fillId="42" borderId="185" applyNumberFormat="0" applyAlignment="0" applyProtection="0"/>
    <xf numFmtId="0" fontId="45" fillId="55" borderId="185" applyNumberFormat="0" applyAlignment="0" applyProtection="0"/>
    <xf numFmtId="0" fontId="43" fillId="55" borderId="184" applyNumberFormat="0" applyAlignment="0" applyProtection="0"/>
    <xf numFmtId="0" fontId="32" fillId="33" borderId="182">
      <alignment horizontal="right" vertical="center"/>
    </xf>
    <xf numFmtId="0" fontId="36" fillId="31" borderId="180">
      <alignment horizontal="right" vertical="center"/>
    </xf>
    <xf numFmtId="4" fontId="32" fillId="31" borderId="180">
      <alignment horizontal="right" vertical="center"/>
    </xf>
    <xf numFmtId="4" fontId="32" fillId="33" borderId="180">
      <alignment horizontal="right" vertical="center"/>
    </xf>
    <xf numFmtId="49" fontId="34" fillId="0" borderId="181" applyNumberFormat="0" applyFont="0" applyFill="0" applyBorder="0" applyProtection="0">
      <alignment horizontal="left" vertical="center" indent="5"/>
    </xf>
    <xf numFmtId="4" fontId="34" fillId="0" borderId="180" applyFill="0" applyBorder="0" applyProtection="0">
      <alignment horizontal="right" vertical="center"/>
    </xf>
    <xf numFmtId="4" fontId="32" fillId="31" borderId="180">
      <alignment horizontal="right" vertical="center"/>
    </xf>
    <xf numFmtId="0" fontId="58" fillId="42" borderId="185" applyNumberFormat="0" applyAlignment="0" applyProtection="0"/>
    <xf numFmtId="0" fontId="49" fillId="42" borderId="185" applyNumberFormat="0" applyAlignment="0" applyProtection="0"/>
    <xf numFmtId="0" fontId="45" fillId="55" borderId="185" applyNumberFormat="0" applyAlignment="0" applyProtection="0"/>
    <xf numFmtId="0" fontId="34" fillId="33" borderId="183">
      <alignment horizontal="left" vertical="center" wrapText="1" indent="2"/>
    </xf>
    <xf numFmtId="0" fontId="34" fillId="0" borderId="183">
      <alignment horizontal="left" vertical="center" wrapText="1" indent="2"/>
    </xf>
    <xf numFmtId="0" fontId="34" fillId="33" borderId="183">
      <alignment horizontal="left" vertical="center" wrapText="1" indent="2"/>
    </xf>
    <xf numFmtId="0" fontId="32" fillId="31" borderId="188">
      <alignment horizontal="right" vertical="center"/>
    </xf>
    <xf numFmtId="0" fontId="58" fillId="42" borderId="193" applyNumberFormat="0" applyAlignment="0" applyProtection="0"/>
    <xf numFmtId="0" fontId="62" fillId="55" borderId="192" applyNumberFormat="0" applyAlignment="0" applyProtection="0"/>
    <xf numFmtId="0" fontId="65" fillId="0" borderId="194" applyNumberFormat="0" applyFill="0" applyAlignment="0" applyProtection="0"/>
    <xf numFmtId="4" fontId="34" fillId="32" borderId="198"/>
    <xf numFmtId="4" fontId="34" fillId="0" borderId="188" applyFill="0" applyBorder="0" applyProtection="0">
      <alignment horizontal="right" vertical="center"/>
    </xf>
    <xf numFmtId="0" fontId="32" fillId="33" borderId="188">
      <alignment horizontal="right" vertical="center"/>
    </xf>
    <xf numFmtId="0" fontId="46" fillId="55" borderId="193" applyNumberFormat="0" applyAlignment="0" applyProtection="0"/>
    <xf numFmtId="0" fontId="65" fillId="0" borderId="194" applyNumberFormat="0" applyFill="0" applyAlignment="0" applyProtection="0"/>
    <xf numFmtId="4" fontId="36" fillId="31" borderId="188">
      <alignment horizontal="right" vertical="center"/>
    </xf>
    <xf numFmtId="0" fontId="32" fillId="33" borderId="188">
      <alignment horizontal="right" vertical="center"/>
    </xf>
    <xf numFmtId="0" fontId="62" fillId="55" borderId="192" applyNumberFormat="0" applyAlignment="0" applyProtection="0"/>
    <xf numFmtId="0" fontId="32" fillId="33" borderId="188">
      <alignment horizontal="right" vertical="center"/>
    </xf>
    <xf numFmtId="173" fontId="34" fillId="59" borderId="188" applyNumberFormat="0" applyFont="0" applyBorder="0" applyAlignment="0" applyProtection="0">
      <alignment horizontal="right" vertical="center"/>
    </xf>
    <xf numFmtId="4" fontId="36" fillId="31" borderId="188">
      <alignment horizontal="right" vertical="center"/>
    </xf>
    <xf numFmtId="49" fontId="34" fillId="0" borderId="188" applyNumberFormat="0" applyFont="0" applyFill="0" applyBorder="0" applyProtection="0">
      <alignment horizontal="left" vertical="center" indent="2"/>
    </xf>
    <xf numFmtId="0" fontId="40" fillId="58" borderId="197" applyNumberFormat="0" applyFont="0" applyAlignment="0" applyProtection="0"/>
    <xf numFmtId="0" fontId="58" fillId="42" borderId="195" applyNumberFormat="0" applyAlignment="0" applyProtection="0"/>
    <xf numFmtId="49" fontId="33" fillId="0" borderId="198" applyNumberFormat="0" applyFill="0" applyBorder="0" applyProtection="0">
      <alignment horizontal="left" vertical="center"/>
    </xf>
    <xf numFmtId="0" fontId="26" fillId="17" borderId="0" applyNumberFormat="0" applyBorder="0" applyAlignment="0" applyProtection="0"/>
    <xf numFmtId="0" fontId="26" fillId="29" borderId="0" applyNumberFormat="0" applyBorder="0" applyAlignment="0" applyProtection="0"/>
    <xf numFmtId="4" fontId="32" fillId="33" borderId="198">
      <alignment horizontal="right" vertical="center"/>
    </xf>
    <xf numFmtId="0" fontId="26" fillId="22" borderId="0" applyNumberFormat="0" applyBorder="0" applyAlignment="0" applyProtection="0"/>
    <xf numFmtId="0" fontId="12" fillId="27"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36" fillId="31" borderId="198">
      <alignment horizontal="right" vertical="center"/>
    </xf>
    <xf numFmtId="0" fontId="46" fillId="55" borderId="195" applyNumberFormat="0" applyAlignment="0" applyProtection="0"/>
    <xf numFmtId="0" fontId="65" fillId="0" borderId="196" applyNumberFormat="0" applyFill="0" applyAlignment="0" applyProtection="0"/>
    <xf numFmtId="0" fontId="45" fillId="55" borderId="195" applyNumberFormat="0" applyAlignment="0" applyProtection="0"/>
    <xf numFmtId="0" fontId="32" fillId="31" borderId="188">
      <alignment horizontal="right" vertical="center"/>
    </xf>
    <xf numFmtId="0" fontId="58" fillId="42" borderId="193" applyNumberFormat="0" applyAlignment="0" applyProtection="0"/>
    <xf numFmtId="4" fontId="32" fillId="33" borderId="198">
      <alignment horizontal="right" vertical="center"/>
    </xf>
    <xf numFmtId="4" fontId="34" fillId="0" borderId="188" applyFill="0" applyBorder="0" applyProtection="0">
      <alignment horizontal="right" vertical="center"/>
    </xf>
    <xf numFmtId="0" fontId="50" fillId="0" borderId="196" applyNumberFormat="0" applyFill="0" applyAlignment="0" applyProtection="0"/>
    <xf numFmtId="0" fontId="65" fillId="0" borderId="196" applyNumberFormat="0" applyFill="0" applyAlignment="0" applyProtection="0"/>
    <xf numFmtId="0" fontId="34" fillId="32" borderId="188"/>
    <xf numFmtId="0" fontId="40" fillId="58" borderId="197" applyNumberFormat="0" applyFont="0" applyAlignment="0" applyProtection="0"/>
    <xf numFmtId="0" fontId="34" fillId="32" borderId="188"/>
    <xf numFmtId="173" fontId="34" fillId="59" borderId="188" applyNumberFormat="0" applyFont="0" applyBorder="0" applyAlignment="0" applyProtection="0">
      <alignment horizontal="right" vertical="center"/>
    </xf>
    <xf numFmtId="0" fontId="26" fillId="17" borderId="0" applyNumberFormat="0" applyBorder="0" applyAlignment="0" applyProtection="0"/>
    <xf numFmtId="0" fontId="32" fillId="31" borderId="188">
      <alignment horizontal="right" vertical="center"/>
    </xf>
    <xf numFmtId="0" fontId="29" fillId="12" borderId="10" applyNumberFormat="0" applyAlignment="0" applyProtection="0"/>
    <xf numFmtId="0" fontId="26" fillId="23" borderId="0" applyNumberFormat="0" applyBorder="0" applyAlignment="0" applyProtection="0"/>
    <xf numFmtId="0" fontId="26" fillId="29" borderId="0" applyNumberFormat="0" applyBorder="0" applyAlignment="0" applyProtection="0"/>
    <xf numFmtId="0" fontId="26" fillId="29" borderId="0" applyNumberFormat="0" applyBorder="0" applyAlignment="0" applyProtection="0"/>
    <xf numFmtId="49" fontId="34" fillId="0" borderId="189" applyNumberFormat="0" applyFont="0" applyFill="0" applyBorder="0" applyProtection="0">
      <alignment horizontal="left" vertical="center" indent="5"/>
    </xf>
    <xf numFmtId="49" fontId="33" fillId="0" borderId="188" applyNumberFormat="0" applyFill="0" applyBorder="0" applyProtection="0">
      <alignment horizontal="left" vertical="center"/>
    </xf>
    <xf numFmtId="0" fontId="36" fillId="31" borderId="188">
      <alignment horizontal="right" vertical="center"/>
    </xf>
    <xf numFmtId="0" fontId="34" fillId="0" borderId="191">
      <alignment horizontal="left" vertical="center" wrapText="1" indent="2"/>
    </xf>
    <xf numFmtId="0" fontId="34" fillId="0" borderId="191">
      <alignment horizontal="left" vertical="center" wrapText="1" indent="2"/>
    </xf>
    <xf numFmtId="0" fontId="62" fillId="55" borderId="192" applyNumberFormat="0" applyAlignment="0" applyProtection="0"/>
    <xf numFmtId="4" fontId="32" fillId="33" borderId="199">
      <alignment horizontal="right" vertical="center"/>
    </xf>
    <xf numFmtId="4" fontId="32" fillId="33" borderId="198">
      <alignment horizontal="right" vertical="center"/>
    </xf>
    <xf numFmtId="0" fontId="65" fillId="0" borderId="194" applyNumberFormat="0" applyFill="0" applyAlignment="0" applyProtection="0"/>
    <xf numFmtId="49" fontId="34" fillId="0" borderId="198" applyNumberFormat="0" applyFont="0" applyFill="0" applyBorder="0" applyProtection="0">
      <alignment horizontal="left" vertical="center" indent="2"/>
    </xf>
    <xf numFmtId="0" fontId="32" fillId="33" borderId="199">
      <alignment horizontal="right" vertical="center"/>
    </xf>
    <xf numFmtId="0" fontId="62" fillId="55" borderId="202" applyNumberFormat="0" applyAlignment="0" applyProtection="0"/>
    <xf numFmtId="0" fontId="26" fillId="14" borderId="0" applyNumberFormat="0" applyBorder="0" applyAlignment="0" applyProtection="0"/>
    <xf numFmtId="0" fontId="62" fillId="55" borderId="192" applyNumberFormat="0" applyAlignment="0" applyProtection="0"/>
    <xf numFmtId="0" fontId="58" fillId="42" borderId="195" applyNumberFormat="0" applyAlignment="0" applyProtection="0"/>
    <xf numFmtId="0" fontId="26" fillId="20" borderId="0" applyNumberFormat="0" applyBorder="0" applyAlignment="0" applyProtection="0"/>
    <xf numFmtId="0" fontId="58" fillId="42" borderId="193" applyNumberFormat="0" applyAlignment="0" applyProtection="0"/>
    <xf numFmtId="0" fontId="43" fillId="55" borderId="192" applyNumberFormat="0" applyAlignment="0" applyProtection="0"/>
    <xf numFmtId="0" fontId="12" fillId="21" borderId="0" applyNumberFormat="0" applyBorder="0" applyAlignment="0" applyProtection="0"/>
    <xf numFmtId="0" fontId="26" fillId="20" borderId="0" applyNumberFormat="0" applyBorder="0" applyAlignment="0" applyProtection="0"/>
    <xf numFmtId="0" fontId="32" fillId="31" borderId="188">
      <alignment horizontal="right" vertical="center"/>
    </xf>
    <xf numFmtId="0" fontId="45" fillId="55" borderId="193" applyNumberFormat="0" applyAlignment="0" applyProtection="0"/>
    <xf numFmtId="49" fontId="33" fillId="0" borderId="188" applyNumberFormat="0" applyFill="0" applyBorder="0" applyProtection="0">
      <alignment horizontal="left" vertical="center"/>
    </xf>
    <xf numFmtId="0" fontId="12" fillId="30" borderId="0" applyNumberFormat="0" applyBorder="0" applyAlignment="0" applyProtection="0"/>
    <xf numFmtId="0" fontId="65" fillId="0" borderId="194" applyNumberFormat="0" applyFill="0" applyAlignment="0" applyProtection="0"/>
    <xf numFmtId="4" fontId="36" fillId="31" borderId="188">
      <alignment horizontal="right" vertical="center"/>
    </xf>
    <xf numFmtId="0" fontId="5" fillId="58" borderId="187" applyNumberFormat="0" applyFont="0" applyAlignment="0" applyProtection="0"/>
    <xf numFmtId="4" fontId="34" fillId="0" borderId="188">
      <alignment horizontal="right" vertical="center"/>
    </xf>
    <xf numFmtId="0" fontId="32" fillId="33" borderId="200">
      <alignment horizontal="right" vertical="center"/>
    </xf>
    <xf numFmtId="0" fontId="26" fillId="19" borderId="0" applyNumberFormat="0" applyBorder="0" applyAlignment="0" applyProtection="0"/>
    <xf numFmtId="0" fontId="50" fillId="0" borderId="194" applyNumberFormat="0" applyFill="0" applyAlignment="0" applyProtection="0"/>
    <xf numFmtId="0" fontId="65" fillId="0" borderId="194" applyNumberFormat="0" applyFill="0" applyAlignment="0" applyProtection="0"/>
    <xf numFmtId="0" fontId="12" fillId="18" borderId="0" applyNumberFormat="0" applyBorder="0" applyAlignment="0" applyProtection="0"/>
    <xf numFmtId="0" fontId="46" fillId="55" borderId="193" applyNumberFormat="0" applyAlignment="0" applyProtection="0"/>
    <xf numFmtId="49" fontId="34" fillId="0" borderId="189" applyNumberFormat="0" applyFont="0" applyFill="0" applyBorder="0" applyProtection="0">
      <alignment horizontal="left" vertical="center" indent="5"/>
    </xf>
    <xf numFmtId="0" fontId="65" fillId="0" borderId="194" applyNumberFormat="0" applyFill="0" applyAlignment="0" applyProtection="0"/>
    <xf numFmtId="0" fontId="26" fillId="22" borderId="0" applyNumberFormat="0" applyBorder="0" applyAlignment="0" applyProtection="0"/>
    <xf numFmtId="0" fontId="34" fillId="0" borderId="201">
      <alignment horizontal="left" vertical="center" wrapText="1" indent="2"/>
    </xf>
    <xf numFmtId="4" fontId="36" fillId="31" borderId="198">
      <alignment horizontal="right" vertical="center"/>
    </xf>
    <xf numFmtId="0" fontId="40" fillId="58" borderId="187" applyNumberFormat="0" applyFont="0" applyAlignment="0" applyProtection="0"/>
    <xf numFmtId="4" fontId="34" fillId="32" borderId="198"/>
    <xf numFmtId="0" fontId="58" fillId="42" borderId="193" applyNumberFormat="0" applyAlignment="0" applyProtection="0"/>
    <xf numFmtId="4" fontId="32" fillId="33" borderId="190">
      <alignment horizontal="right" vertical="center"/>
    </xf>
    <xf numFmtId="0" fontId="12" fillId="24" borderId="0" applyNumberFormat="0" applyBorder="0" applyAlignment="0" applyProtection="0"/>
    <xf numFmtId="4" fontId="34" fillId="0" borderId="188">
      <alignment horizontal="right" vertical="center"/>
    </xf>
    <xf numFmtId="0" fontId="58" fillId="42" borderId="193" applyNumberFormat="0" applyAlignment="0" applyProtection="0"/>
    <xf numFmtId="0" fontId="26" fillId="16" borderId="0" applyNumberFormat="0" applyBorder="0" applyAlignment="0" applyProtection="0"/>
    <xf numFmtId="0" fontId="50" fillId="0" borderId="194" applyNumberFormat="0" applyFill="0" applyAlignment="0" applyProtection="0"/>
    <xf numFmtId="0" fontId="12" fillId="27" borderId="0" applyNumberFormat="0" applyBorder="0" applyAlignment="0" applyProtection="0"/>
    <xf numFmtId="0" fontId="65" fillId="0" borderId="194" applyNumberFormat="0" applyFill="0" applyAlignment="0" applyProtection="0"/>
    <xf numFmtId="0" fontId="26" fillId="25" borderId="0" applyNumberFormat="0" applyBorder="0" applyAlignment="0" applyProtection="0"/>
    <xf numFmtId="173" fontId="34" fillId="59" borderId="188" applyNumberFormat="0" applyFont="0" applyBorder="0" applyAlignment="0" applyProtection="0">
      <alignment horizontal="right" vertical="center"/>
    </xf>
    <xf numFmtId="0" fontId="43" fillId="55" borderId="202" applyNumberFormat="0" applyAlignment="0" applyProtection="0"/>
    <xf numFmtId="0" fontId="34" fillId="0" borderId="191">
      <alignment horizontal="left" vertical="center" wrapText="1" indent="2"/>
    </xf>
    <xf numFmtId="0" fontId="49" fillId="42" borderId="195" applyNumberFormat="0" applyAlignment="0" applyProtection="0"/>
    <xf numFmtId="0" fontId="34" fillId="32" borderId="188"/>
    <xf numFmtId="0" fontId="34" fillId="0" borderId="201">
      <alignment horizontal="left" vertical="center" wrapText="1" indent="2"/>
    </xf>
    <xf numFmtId="0" fontId="34" fillId="33" borderId="191">
      <alignment horizontal="left" vertical="center" wrapText="1" indent="2"/>
    </xf>
    <xf numFmtId="0" fontId="43" fillId="55" borderId="202" applyNumberFormat="0" applyAlignment="0" applyProtection="0"/>
    <xf numFmtId="173" fontId="34" fillId="59" borderId="188" applyNumberFormat="0" applyFont="0" applyBorder="0" applyAlignment="0" applyProtection="0">
      <alignment horizontal="right" vertical="center"/>
    </xf>
    <xf numFmtId="4" fontId="34" fillId="0" borderId="188">
      <alignment horizontal="right" vertical="center"/>
    </xf>
    <xf numFmtId="0" fontId="46" fillId="55" borderId="193" applyNumberFormat="0" applyAlignment="0" applyProtection="0"/>
    <xf numFmtId="0" fontId="12" fillId="24" borderId="0" applyNumberFormat="0" applyBorder="0" applyAlignment="0" applyProtection="0"/>
    <xf numFmtId="0" fontId="34" fillId="0" borderId="191">
      <alignment horizontal="left" vertical="center" wrapText="1" indent="2"/>
    </xf>
    <xf numFmtId="0" fontId="12" fillId="21" borderId="0" applyNumberFormat="0" applyBorder="0" applyAlignment="0" applyProtection="0"/>
    <xf numFmtId="0" fontId="62" fillId="55" borderId="202" applyNumberFormat="0" applyAlignment="0" applyProtection="0"/>
    <xf numFmtId="0" fontId="43" fillId="55" borderId="192" applyNumberFormat="0" applyAlignment="0" applyProtection="0"/>
    <xf numFmtId="173" fontId="34" fillId="59" borderId="198" applyNumberFormat="0" applyFont="0" applyBorder="0" applyAlignment="0" applyProtection="0">
      <alignment horizontal="right" vertical="center"/>
    </xf>
    <xf numFmtId="4" fontId="32" fillId="33" borderId="198">
      <alignment horizontal="right" vertical="center"/>
    </xf>
    <xf numFmtId="0" fontId="65" fillId="0" borderId="196" applyNumberFormat="0" applyFill="0" applyAlignment="0" applyProtection="0"/>
    <xf numFmtId="49" fontId="34" fillId="0" borderId="189" applyNumberFormat="0" applyFont="0" applyFill="0" applyBorder="0" applyProtection="0">
      <alignment horizontal="left" vertical="center" indent="5"/>
    </xf>
    <xf numFmtId="0" fontId="34" fillId="0" borderId="198" applyNumberFormat="0" applyFill="0" applyAlignment="0" applyProtection="0"/>
    <xf numFmtId="0" fontId="65" fillId="0" borderId="194" applyNumberFormat="0" applyFill="0" applyAlignment="0" applyProtection="0"/>
    <xf numFmtId="0" fontId="34" fillId="0" borderId="191">
      <alignment horizontal="left" vertical="center" wrapText="1" indent="2"/>
    </xf>
    <xf numFmtId="0" fontId="62" fillId="55" borderId="202" applyNumberFormat="0" applyAlignment="0" applyProtection="0"/>
    <xf numFmtId="0" fontId="32" fillId="33" borderId="200">
      <alignment horizontal="right" vertical="center"/>
    </xf>
    <xf numFmtId="0" fontId="34" fillId="0" borderId="201">
      <alignment horizontal="left" vertical="center" wrapText="1" indent="2"/>
    </xf>
    <xf numFmtId="0" fontId="34" fillId="0" borderId="188">
      <alignment horizontal="right" vertical="center"/>
    </xf>
    <xf numFmtId="0" fontId="26" fillId="13" borderId="0" applyNumberFormat="0" applyBorder="0" applyAlignment="0" applyProtection="0"/>
    <xf numFmtId="0" fontId="49" fillId="42" borderId="195" applyNumberFormat="0" applyAlignment="0" applyProtection="0"/>
    <xf numFmtId="173" fontId="34" fillId="59" borderId="198" applyNumberFormat="0" applyFont="0" applyBorder="0" applyAlignment="0" applyProtection="0">
      <alignment horizontal="right" vertical="center"/>
    </xf>
    <xf numFmtId="0" fontId="32" fillId="31" borderId="198">
      <alignment horizontal="right" vertical="center"/>
    </xf>
    <xf numFmtId="0" fontId="65" fillId="0" borderId="196" applyNumberFormat="0" applyFill="0" applyAlignment="0" applyProtection="0"/>
    <xf numFmtId="0" fontId="26" fillId="25" borderId="0" applyNumberFormat="0" applyBorder="0" applyAlignment="0" applyProtection="0"/>
    <xf numFmtId="0" fontId="45" fillId="55" borderId="195" applyNumberFormat="0" applyAlignment="0" applyProtection="0"/>
    <xf numFmtId="0" fontId="26" fillId="28" borderId="0" applyNumberFormat="0" applyBorder="0" applyAlignment="0" applyProtection="0"/>
    <xf numFmtId="0" fontId="65" fillId="0" borderId="194" applyNumberFormat="0" applyFill="0" applyAlignment="0" applyProtection="0"/>
    <xf numFmtId="0" fontId="58" fillId="42" borderId="193" applyNumberFormat="0" applyAlignment="0" applyProtection="0"/>
    <xf numFmtId="0" fontId="36" fillId="31" borderId="188">
      <alignment horizontal="right" vertical="center"/>
    </xf>
    <xf numFmtId="0" fontId="2" fillId="0" borderId="12" applyNumberFormat="0" applyFill="0" applyAlignment="0" applyProtection="0"/>
    <xf numFmtId="0" fontId="62" fillId="55" borderId="192" applyNumberFormat="0" applyAlignment="0" applyProtection="0"/>
    <xf numFmtId="4" fontId="32" fillId="33" borderId="199">
      <alignment horizontal="right" vertical="center"/>
    </xf>
    <xf numFmtId="0" fontId="26" fillId="23" borderId="0" applyNumberFormat="0" applyBorder="0" applyAlignment="0" applyProtection="0"/>
    <xf numFmtId="0" fontId="45" fillId="55" borderId="195" applyNumberFormat="0" applyAlignment="0" applyProtection="0"/>
    <xf numFmtId="0" fontId="46" fillId="55" borderId="195" applyNumberFormat="0" applyAlignment="0" applyProtection="0"/>
    <xf numFmtId="0" fontId="26" fillId="19" borderId="0" applyNumberFormat="0" applyBorder="0" applyAlignment="0" applyProtection="0"/>
    <xf numFmtId="0" fontId="12" fillId="30" borderId="0" applyNumberFormat="0" applyBorder="0" applyAlignment="0" applyProtection="0"/>
    <xf numFmtId="0" fontId="65" fillId="0" borderId="196" applyNumberFormat="0" applyFill="0" applyAlignment="0" applyProtection="0"/>
    <xf numFmtId="4" fontId="32" fillId="31" borderId="188">
      <alignment horizontal="right" vertical="center"/>
    </xf>
    <xf numFmtId="0" fontId="65" fillId="0" borderId="194" applyNumberFormat="0" applyFill="0" applyAlignment="0" applyProtection="0"/>
    <xf numFmtId="4" fontId="32" fillId="33" borderId="188">
      <alignment horizontal="right" vertical="center"/>
    </xf>
    <xf numFmtId="0" fontId="34" fillId="33" borderId="191">
      <alignment horizontal="left" vertical="center" wrapText="1" indent="2"/>
    </xf>
    <xf numFmtId="0" fontId="26" fillId="20" borderId="0" applyNumberFormat="0" applyBorder="0" applyAlignment="0" applyProtection="0"/>
    <xf numFmtId="0" fontId="46" fillId="55" borderId="195" applyNumberFormat="0" applyAlignment="0" applyProtection="0"/>
    <xf numFmtId="49" fontId="34" fillId="0" borderId="198" applyNumberFormat="0" applyFont="0" applyFill="0" applyBorder="0" applyProtection="0">
      <alignment horizontal="left" vertical="center" indent="2"/>
    </xf>
    <xf numFmtId="4" fontId="32" fillId="31" borderId="198">
      <alignment horizontal="right" vertical="center"/>
    </xf>
    <xf numFmtId="0" fontId="34" fillId="0" borderId="198">
      <alignment horizontal="right" vertical="center"/>
    </xf>
    <xf numFmtId="0" fontId="34" fillId="0" borderId="201">
      <alignment horizontal="left" vertical="center" wrapText="1" indent="2"/>
    </xf>
    <xf numFmtId="4" fontId="32" fillId="33" borderId="200">
      <alignment horizontal="right" vertical="center"/>
    </xf>
    <xf numFmtId="0" fontId="26" fillId="29" borderId="0" applyNumberFormat="0" applyBorder="0" applyAlignment="0" applyProtection="0"/>
    <xf numFmtId="0" fontId="34" fillId="0" borderId="188">
      <alignment horizontal="right" vertical="center"/>
    </xf>
    <xf numFmtId="0" fontId="2" fillId="0" borderId="12" applyNumberFormat="0" applyFill="0" applyAlignment="0" applyProtection="0"/>
    <xf numFmtId="0" fontId="34" fillId="33" borderId="191">
      <alignment horizontal="left" vertical="center" wrapText="1" indent="2"/>
    </xf>
    <xf numFmtId="0" fontId="26" fillId="28" borderId="0" applyNumberFormat="0" applyBorder="0" applyAlignment="0" applyProtection="0"/>
    <xf numFmtId="0" fontId="32" fillId="33" borderId="189">
      <alignment horizontal="right" vertical="center"/>
    </xf>
    <xf numFmtId="0" fontId="40" fillId="58" borderId="187" applyNumberFormat="0" applyFont="0" applyAlignment="0" applyProtection="0"/>
    <xf numFmtId="0" fontId="32" fillId="33" borderId="198">
      <alignment horizontal="right" vertical="center"/>
    </xf>
    <xf numFmtId="0" fontId="26" fillId="28" borderId="0" applyNumberFormat="0" applyBorder="0" applyAlignment="0" applyProtection="0"/>
    <xf numFmtId="4" fontId="34" fillId="32" borderId="188"/>
    <xf numFmtId="0" fontId="49" fillId="42" borderId="193" applyNumberFormat="0" applyAlignment="0" applyProtection="0"/>
    <xf numFmtId="0" fontId="34" fillId="0" borderId="191">
      <alignment horizontal="left" vertical="center" wrapText="1" indent="2"/>
    </xf>
    <xf numFmtId="0" fontId="12" fillId="24" borderId="0" applyNumberFormat="0" applyBorder="0" applyAlignment="0" applyProtection="0"/>
    <xf numFmtId="0" fontId="50" fillId="0" borderId="194" applyNumberFormat="0" applyFill="0" applyAlignment="0" applyProtection="0"/>
    <xf numFmtId="4" fontId="32" fillId="33" borderId="188">
      <alignment horizontal="right" vertical="center"/>
    </xf>
    <xf numFmtId="0" fontId="34" fillId="0" borderId="188" applyNumberFormat="0" applyFill="0" applyAlignment="0" applyProtection="0"/>
    <xf numFmtId="0" fontId="32" fillId="31" borderId="198">
      <alignment horizontal="right" vertical="center"/>
    </xf>
    <xf numFmtId="0" fontId="34" fillId="0" borderId="188">
      <alignment horizontal="right" vertical="center"/>
    </xf>
    <xf numFmtId="0" fontId="34" fillId="0" borderId="188">
      <alignment horizontal="right" vertical="center"/>
    </xf>
    <xf numFmtId="4" fontId="32" fillId="31" borderId="188">
      <alignment horizontal="right" vertical="center"/>
    </xf>
    <xf numFmtId="4" fontId="34" fillId="32" borderId="188"/>
    <xf numFmtId="0" fontId="40" fillId="58" borderId="187" applyNumberFormat="0" applyFont="0" applyAlignment="0" applyProtection="0"/>
    <xf numFmtId="0" fontId="5" fillId="58" borderId="187" applyNumberFormat="0" applyFont="0" applyAlignment="0" applyProtection="0"/>
    <xf numFmtId="4" fontId="34" fillId="0" borderId="188" applyFill="0" applyBorder="0" applyProtection="0">
      <alignment horizontal="right" vertical="center"/>
    </xf>
    <xf numFmtId="49" fontId="34" fillId="0" borderId="188" applyNumberFormat="0" applyFont="0" applyFill="0" applyBorder="0" applyProtection="0">
      <alignment horizontal="left" vertical="center" indent="2"/>
    </xf>
    <xf numFmtId="0" fontId="26" fillId="23" borderId="0" applyNumberFormat="0" applyBorder="0" applyAlignment="0" applyProtection="0"/>
    <xf numFmtId="0" fontId="46" fillId="55" borderId="195" applyNumberFormat="0" applyAlignment="0" applyProtection="0"/>
    <xf numFmtId="0" fontId="40" fillId="58" borderId="187" applyNumberFormat="0" applyFont="0" applyAlignment="0" applyProtection="0"/>
    <xf numFmtId="0" fontId="46" fillId="55" borderId="195" applyNumberFormat="0" applyAlignment="0" applyProtection="0"/>
    <xf numFmtId="0" fontId="26" fillId="25" borderId="0" applyNumberFormat="0" applyBorder="0" applyAlignment="0" applyProtection="0"/>
    <xf numFmtId="0" fontId="26" fillId="22" borderId="0" applyNumberFormat="0" applyBorder="0" applyAlignment="0" applyProtection="0"/>
    <xf numFmtId="4" fontId="32" fillId="31" borderId="188">
      <alignment horizontal="right" vertical="center"/>
    </xf>
    <xf numFmtId="0" fontId="26" fillId="20" borderId="0" applyNumberFormat="0" applyBorder="0" applyAlignment="0" applyProtection="0"/>
    <xf numFmtId="0" fontId="49" fillId="42" borderId="195" applyNumberFormat="0" applyAlignment="0" applyProtection="0"/>
    <xf numFmtId="0" fontId="29" fillId="12" borderId="10" applyNumberFormat="0" applyAlignment="0" applyProtection="0"/>
    <xf numFmtId="49" fontId="34" fillId="0" borderId="188" applyNumberFormat="0" applyFont="0" applyFill="0" applyBorder="0" applyProtection="0">
      <alignment horizontal="left" vertical="center" indent="2"/>
    </xf>
    <xf numFmtId="0" fontId="36" fillId="31" borderId="198">
      <alignment horizontal="right" vertical="center"/>
    </xf>
    <xf numFmtId="0" fontId="32" fillId="33" borderId="200">
      <alignment horizontal="right" vertical="center"/>
    </xf>
    <xf numFmtId="0" fontId="58" fillId="42" borderId="195" applyNumberFormat="0" applyAlignment="0" applyProtection="0"/>
    <xf numFmtId="0" fontId="26" fillId="16" borderId="0" applyNumberFormat="0" applyBorder="0" applyAlignment="0" applyProtection="0"/>
    <xf numFmtId="0" fontId="36" fillId="31" borderId="188">
      <alignment horizontal="right" vertical="center"/>
    </xf>
    <xf numFmtId="0" fontId="1" fillId="0" borderId="0" applyNumberFormat="0" applyFill="0" applyBorder="0" applyAlignment="0" applyProtection="0"/>
    <xf numFmtId="0" fontId="12" fillId="24" borderId="0" applyNumberFormat="0" applyBorder="0" applyAlignment="0" applyProtection="0"/>
    <xf numFmtId="49" fontId="33" fillId="0" borderId="198" applyNumberFormat="0" applyFill="0" applyBorder="0" applyProtection="0">
      <alignment horizontal="left" vertical="center"/>
    </xf>
    <xf numFmtId="0" fontId="58" fillId="42" borderId="193" applyNumberFormat="0" applyAlignment="0" applyProtection="0"/>
    <xf numFmtId="0" fontId="34" fillId="0" borderId="198">
      <alignment horizontal="right" vertical="center"/>
    </xf>
    <xf numFmtId="0" fontId="36" fillId="31" borderId="188">
      <alignment horizontal="right" vertical="center"/>
    </xf>
    <xf numFmtId="0" fontId="65" fillId="0" borderId="196" applyNumberFormat="0" applyFill="0" applyAlignment="0" applyProtection="0"/>
    <xf numFmtId="4" fontId="34" fillId="0" borderId="188">
      <alignment horizontal="right" vertical="center"/>
    </xf>
    <xf numFmtId="0" fontId="26" fillId="16" borderId="0" applyNumberFormat="0" applyBorder="0" applyAlignment="0" applyProtection="0"/>
    <xf numFmtId="4" fontId="34" fillId="32" borderId="198"/>
    <xf numFmtId="4" fontId="36" fillId="31" borderId="188">
      <alignment horizontal="right" vertical="center"/>
    </xf>
    <xf numFmtId="0" fontId="34" fillId="0" borderId="188">
      <alignment horizontal="right" vertical="center"/>
    </xf>
    <xf numFmtId="0" fontId="49" fillId="42" borderId="195" applyNumberFormat="0" applyAlignment="0" applyProtection="0"/>
    <xf numFmtId="0" fontId="65" fillId="0" borderId="194" applyNumberFormat="0" applyFill="0" applyAlignment="0" applyProtection="0"/>
    <xf numFmtId="0" fontId="46" fillId="55" borderId="195" applyNumberFormat="0" applyAlignment="0" applyProtection="0"/>
    <xf numFmtId="0" fontId="28" fillId="12" borderId="11" applyNumberFormat="0" applyAlignment="0" applyProtection="0"/>
    <xf numFmtId="0" fontId="34" fillId="0" borderId="191">
      <alignment horizontal="left" vertical="center" wrapText="1" indent="2"/>
    </xf>
    <xf numFmtId="0" fontId="34" fillId="32" borderId="198"/>
    <xf numFmtId="4" fontId="34" fillId="32" borderId="188"/>
    <xf numFmtId="0" fontId="34" fillId="0" borderId="188" applyNumberFormat="0" applyFill="0" applyAlignment="0" applyProtection="0"/>
    <xf numFmtId="0" fontId="12" fillId="27" borderId="0" applyNumberFormat="0" applyBorder="0" applyAlignment="0" applyProtection="0"/>
    <xf numFmtId="0" fontId="34" fillId="31" borderId="189">
      <alignment horizontal="left" vertical="center"/>
    </xf>
    <xf numFmtId="0" fontId="50" fillId="0" borderId="194" applyNumberFormat="0" applyFill="0" applyAlignment="0" applyProtection="0"/>
    <xf numFmtId="0" fontId="32" fillId="33" borderId="189">
      <alignment horizontal="right" vertical="center"/>
    </xf>
    <xf numFmtId="0" fontId="34" fillId="0" borderId="201">
      <alignment horizontal="left" vertical="center" wrapText="1" indent="2"/>
    </xf>
    <xf numFmtId="0" fontId="65" fillId="0" borderId="194" applyNumberFormat="0" applyFill="0" applyAlignment="0" applyProtection="0"/>
    <xf numFmtId="0" fontId="36" fillId="31" borderId="188">
      <alignment horizontal="right" vertical="center"/>
    </xf>
    <xf numFmtId="0" fontId="5" fillId="58" borderId="187" applyNumberFormat="0" applyFont="0" applyAlignment="0" applyProtection="0"/>
    <xf numFmtId="49" fontId="34" fillId="0" borderId="188" applyNumberFormat="0" applyFont="0" applyFill="0" applyBorder="0" applyProtection="0">
      <alignment horizontal="left" vertical="center" indent="2"/>
    </xf>
    <xf numFmtId="0" fontId="46" fillId="55" borderId="193" applyNumberFormat="0" applyAlignment="0" applyProtection="0"/>
    <xf numFmtId="0" fontId="34" fillId="31" borderId="199">
      <alignment horizontal="left" vertical="center"/>
    </xf>
    <xf numFmtId="0" fontId="5" fillId="58" borderId="187" applyNumberFormat="0" applyFont="0" applyAlignment="0" applyProtection="0"/>
    <xf numFmtId="0" fontId="36" fillId="31" borderId="188">
      <alignment horizontal="right" vertical="center"/>
    </xf>
    <xf numFmtId="0" fontId="5" fillId="58" borderId="187" applyNumberFormat="0" applyFont="0" applyAlignment="0" applyProtection="0"/>
    <xf numFmtId="0" fontId="46" fillId="55" borderId="193" applyNumberFormat="0" applyAlignment="0" applyProtection="0"/>
    <xf numFmtId="4" fontId="34" fillId="32" borderId="188"/>
    <xf numFmtId="0" fontId="32" fillId="33" borderId="188">
      <alignment horizontal="right" vertical="center"/>
    </xf>
    <xf numFmtId="4" fontId="34" fillId="0" borderId="188" applyFill="0" applyBorder="0" applyProtection="0">
      <alignment horizontal="right" vertical="center"/>
    </xf>
    <xf numFmtId="49" fontId="34" fillId="0" borderId="189" applyNumberFormat="0" applyFont="0" applyFill="0" applyBorder="0" applyProtection="0">
      <alignment horizontal="left" vertical="center" indent="5"/>
    </xf>
    <xf numFmtId="49" fontId="33" fillId="0" borderId="198" applyNumberFormat="0" applyFill="0" applyBorder="0" applyProtection="0">
      <alignment horizontal="left" vertical="center"/>
    </xf>
    <xf numFmtId="0" fontId="58" fillId="42" borderId="193" applyNumberFormat="0" applyAlignment="0" applyProtection="0"/>
    <xf numFmtId="0" fontId="12" fillId="21" borderId="0" applyNumberFormat="0" applyBorder="0" applyAlignment="0" applyProtection="0"/>
    <xf numFmtId="4" fontId="32" fillId="33" borderId="189">
      <alignment horizontal="right" vertical="center"/>
    </xf>
    <xf numFmtId="0" fontId="58" fillId="42" borderId="195" applyNumberFormat="0" applyAlignment="0" applyProtection="0"/>
    <xf numFmtId="173" fontId="34" fillId="59" borderId="188" applyNumberFormat="0" applyFont="0" applyBorder="0" applyAlignment="0" applyProtection="0">
      <alignment horizontal="right" vertical="center"/>
    </xf>
    <xf numFmtId="4" fontId="36" fillId="31" borderId="188">
      <alignment horizontal="right" vertical="center"/>
    </xf>
    <xf numFmtId="0" fontId="34" fillId="33" borderId="201">
      <alignment horizontal="left" vertical="center" wrapText="1" indent="2"/>
    </xf>
    <xf numFmtId="0" fontId="34" fillId="0" borderId="188">
      <alignment horizontal="right" vertical="center"/>
    </xf>
    <xf numFmtId="0" fontId="26" fillId="26" borderId="0" applyNumberFormat="0" applyBorder="0" applyAlignment="0" applyProtection="0"/>
    <xf numFmtId="0" fontId="45" fillId="55" borderId="195" applyNumberFormat="0" applyAlignment="0" applyProtection="0"/>
    <xf numFmtId="4" fontId="32" fillId="33" borderId="200">
      <alignment horizontal="right" vertical="center"/>
    </xf>
    <xf numFmtId="0" fontId="34" fillId="0" borderId="201">
      <alignment horizontal="left" vertical="center" wrapText="1" indent="2"/>
    </xf>
    <xf numFmtId="0" fontId="46" fillId="55" borderId="193" applyNumberFormat="0" applyAlignment="0" applyProtection="0"/>
    <xf numFmtId="0" fontId="26" fillId="26" borderId="0" applyNumberFormat="0" applyBorder="0" applyAlignment="0" applyProtection="0"/>
    <xf numFmtId="49" fontId="34" fillId="0" borderId="198" applyNumberFormat="0" applyFont="0" applyFill="0" applyBorder="0" applyProtection="0">
      <alignment horizontal="left" vertical="center" indent="2"/>
    </xf>
    <xf numFmtId="4" fontId="32" fillId="33" borderId="188">
      <alignment horizontal="right" vertical="center"/>
    </xf>
    <xf numFmtId="0" fontId="34" fillId="32" borderId="188"/>
    <xf numFmtId="49" fontId="33" fillId="0" borderId="188" applyNumberFormat="0" applyFill="0" applyBorder="0" applyProtection="0">
      <alignment horizontal="left" vertical="center"/>
    </xf>
    <xf numFmtId="0" fontId="12" fillId="30" borderId="0" applyNumberFormat="0" applyBorder="0" applyAlignment="0" applyProtection="0"/>
    <xf numFmtId="49" fontId="34" fillId="0" borderId="188" applyNumberFormat="0" applyFont="0" applyFill="0" applyBorder="0" applyProtection="0">
      <alignment horizontal="left" vertical="center" indent="2"/>
    </xf>
    <xf numFmtId="4" fontId="32" fillId="33" borderId="188">
      <alignment horizontal="right" vertical="center"/>
    </xf>
    <xf numFmtId="0" fontId="26" fillId="22" borderId="0" applyNumberFormat="0" applyBorder="0" applyAlignment="0" applyProtection="0"/>
    <xf numFmtId="0" fontId="32" fillId="33" borderId="188">
      <alignment horizontal="right" vertical="center"/>
    </xf>
    <xf numFmtId="49" fontId="34" fillId="0" borderId="189" applyNumberFormat="0" applyFont="0" applyFill="0" applyBorder="0" applyProtection="0">
      <alignment horizontal="left" vertical="center" indent="5"/>
    </xf>
    <xf numFmtId="0" fontId="45" fillId="55" borderId="193" applyNumberFormat="0" applyAlignment="0" applyProtection="0"/>
    <xf numFmtId="0" fontId="29" fillId="12" borderId="10" applyNumberFormat="0" applyAlignment="0" applyProtection="0"/>
    <xf numFmtId="0" fontId="12" fillId="30" borderId="0" applyNumberFormat="0" applyBorder="0" applyAlignment="0" applyProtection="0"/>
    <xf numFmtId="4" fontId="34" fillId="0" borderId="198">
      <alignment horizontal="right" vertical="center"/>
    </xf>
    <xf numFmtId="4" fontId="34" fillId="32" borderId="198"/>
    <xf numFmtId="0" fontId="36" fillId="31" borderId="198">
      <alignment horizontal="right" vertical="center"/>
    </xf>
    <xf numFmtId="0" fontId="45" fillId="55" borderId="193" applyNumberFormat="0" applyAlignment="0" applyProtection="0"/>
    <xf numFmtId="0" fontId="12" fillId="18" borderId="0" applyNumberFormat="0" applyBorder="0" applyAlignment="0" applyProtection="0"/>
    <xf numFmtId="0" fontId="58" fillId="42" borderId="195" applyNumberFormat="0" applyAlignment="0" applyProtection="0"/>
    <xf numFmtId="0" fontId="12" fillId="15" borderId="0" applyNumberFormat="0" applyBorder="0" applyAlignment="0" applyProtection="0"/>
    <xf numFmtId="0" fontId="65" fillId="0" borderId="194" applyNumberFormat="0" applyFill="0" applyAlignment="0" applyProtection="0"/>
    <xf numFmtId="0" fontId="49" fillId="42" borderId="193" applyNumberFormat="0" applyAlignment="0" applyProtection="0"/>
    <xf numFmtId="0" fontId="32" fillId="33" borderId="188">
      <alignment horizontal="right" vertical="center"/>
    </xf>
    <xf numFmtId="4" fontId="32" fillId="33" borderId="190">
      <alignment horizontal="right" vertical="center"/>
    </xf>
    <xf numFmtId="4" fontId="34" fillId="32" borderId="188"/>
    <xf numFmtId="0" fontId="45" fillId="55" borderId="195" applyNumberFormat="0" applyAlignment="0" applyProtection="0"/>
    <xf numFmtId="0" fontId="65" fillId="0" borderId="196" applyNumberFormat="0" applyFill="0" applyAlignment="0" applyProtection="0"/>
    <xf numFmtId="173" fontId="34" fillId="59" borderId="198" applyNumberFormat="0" applyFont="0" applyBorder="0" applyAlignment="0" applyProtection="0">
      <alignment horizontal="right" vertical="center"/>
    </xf>
    <xf numFmtId="0" fontId="62" fillId="55" borderId="192" applyNumberFormat="0" applyAlignment="0" applyProtection="0"/>
    <xf numFmtId="0" fontId="12" fillId="15" borderId="0" applyNumberFormat="0" applyBorder="0" applyAlignment="0" applyProtection="0"/>
    <xf numFmtId="0" fontId="26" fillId="19" borderId="0" applyNumberFormat="0" applyBorder="0" applyAlignment="0" applyProtection="0"/>
    <xf numFmtId="0" fontId="12" fillId="30" borderId="0" applyNumberFormat="0" applyBorder="0" applyAlignment="0" applyProtection="0"/>
    <xf numFmtId="0" fontId="34" fillId="0" borderId="188">
      <alignment horizontal="right" vertical="center"/>
    </xf>
    <xf numFmtId="49" fontId="33" fillId="0" borderId="198" applyNumberFormat="0" applyFill="0" applyBorder="0" applyProtection="0">
      <alignment horizontal="left" vertical="center"/>
    </xf>
    <xf numFmtId="0" fontId="32" fillId="33" borderId="198">
      <alignment horizontal="right" vertical="center"/>
    </xf>
    <xf numFmtId="0" fontId="26" fillId="20" borderId="0" applyNumberFormat="0" applyBorder="0" applyAlignment="0" applyProtection="0"/>
    <xf numFmtId="0" fontId="62" fillId="55" borderId="202" applyNumberFormat="0" applyAlignment="0" applyProtection="0"/>
    <xf numFmtId="49" fontId="34" fillId="0" borderId="188" applyNumberFormat="0" applyFont="0" applyFill="0" applyBorder="0" applyProtection="0">
      <alignment horizontal="left" vertical="center" indent="2"/>
    </xf>
    <xf numFmtId="0" fontId="26" fillId="28" borderId="0" applyNumberFormat="0" applyBorder="0" applyAlignment="0" applyProtection="0"/>
    <xf numFmtId="0" fontId="32" fillId="31" borderId="188">
      <alignment horizontal="right" vertical="center"/>
    </xf>
    <xf numFmtId="0" fontId="49" fillId="42" borderId="195" applyNumberFormat="0" applyAlignment="0" applyProtection="0"/>
    <xf numFmtId="0" fontId="12" fillId="15" borderId="0" applyNumberFormat="0" applyBorder="0" applyAlignment="0" applyProtection="0"/>
    <xf numFmtId="0" fontId="34" fillId="31" borderId="189">
      <alignment horizontal="left" vertical="center"/>
    </xf>
    <xf numFmtId="0" fontId="30" fillId="0" borderId="0" applyNumberFormat="0" applyFill="0" applyBorder="0" applyAlignment="0" applyProtection="0"/>
    <xf numFmtId="0" fontId="26" fillId="29" borderId="0" applyNumberFormat="0" applyBorder="0" applyAlignment="0" applyProtection="0"/>
    <xf numFmtId="0" fontId="1" fillId="0" borderId="0" applyNumberFormat="0" applyFill="0" applyBorder="0" applyAlignment="0" applyProtection="0"/>
    <xf numFmtId="4" fontId="36" fillId="31" borderId="188">
      <alignment horizontal="right" vertical="center"/>
    </xf>
    <xf numFmtId="0" fontId="32" fillId="33" borderId="189">
      <alignment horizontal="right" vertical="center"/>
    </xf>
    <xf numFmtId="0" fontId="34" fillId="31" borderId="189">
      <alignment horizontal="left" vertical="center"/>
    </xf>
    <xf numFmtId="0" fontId="49" fillId="42" borderId="193" applyNumberFormat="0" applyAlignment="0" applyProtection="0"/>
    <xf numFmtId="0" fontId="49" fillId="42" borderId="193" applyNumberFormat="0" applyAlignment="0" applyProtection="0"/>
    <xf numFmtId="4" fontId="32" fillId="31" borderId="188">
      <alignment horizontal="right" vertical="center"/>
    </xf>
    <xf numFmtId="0" fontId="34" fillId="0" borderId="191">
      <alignment horizontal="left" vertical="center" wrapText="1" indent="2"/>
    </xf>
    <xf numFmtId="173" fontId="34" fillId="59" borderId="198" applyNumberFormat="0" applyFont="0" applyBorder="0" applyAlignment="0" applyProtection="0">
      <alignment horizontal="right" vertical="center"/>
    </xf>
    <xf numFmtId="0" fontId="2" fillId="0" borderId="12" applyNumberFormat="0" applyFill="0" applyAlignment="0" applyProtection="0"/>
    <xf numFmtId="0" fontId="2" fillId="0" borderId="12" applyNumberFormat="0" applyFill="0" applyAlignment="0" applyProtection="0"/>
    <xf numFmtId="0" fontId="32" fillId="33" borderId="198">
      <alignment horizontal="right" vertical="center"/>
    </xf>
    <xf numFmtId="0" fontId="2" fillId="0" borderId="12" applyNumberFormat="0" applyFill="0" applyAlignment="0" applyProtection="0"/>
    <xf numFmtId="4" fontId="32" fillId="33" borderId="199">
      <alignment horizontal="right" vertical="center"/>
    </xf>
    <xf numFmtId="0" fontId="28" fillId="12" borderId="11" applyNumberFormat="0" applyAlignment="0" applyProtection="0"/>
    <xf numFmtId="4" fontId="34" fillId="0" borderId="188" applyFill="0" applyBorder="0" applyProtection="0">
      <alignment horizontal="right" vertical="center"/>
    </xf>
    <xf numFmtId="0" fontId="40" fillId="58" borderId="187" applyNumberFormat="0" applyFont="0" applyAlignment="0" applyProtection="0"/>
    <xf numFmtId="0" fontId="46" fillId="55" borderId="195" applyNumberFormat="0" applyAlignment="0" applyProtection="0"/>
    <xf numFmtId="0" fontId="32" fillId="33" borderId="199">
      <alignment horizontal="right" vertical="center"/>
    </xf>
    <xf numFmtId="0" fontId="26" fillId="23" borderId="0" applyNumberFormat="0" applyBorder="0" applyAlignment="0" applyProtection="0"/>
    <xf numFmtId="0" fontId="32" fillId="31" borderId="188">
      <alignment horizontal="right" vertical="center"/>
    </xf>
    <xf numFmtId="0" fontId="50" fillId="0" borderId="194" applyNumberFormat="0" applyFill="0" applyAlignment="0" applyProtection="0"/>
    <xf numFmtId="0" fontId="34" fillId="0" borderId="188" applyNumberFormat="0" applyFill="0" applyAlignment="0" applyProtection="0"/>
    <xf numFmtId="0" fontId="50" fillId="0" borderId="194" applyNumberFormat="0" applyFill="0" applyAlignment="0" applyProtection="0"/>
    <xf numFmtId="4" fontId="34" fillId="0" borderId="188" applyFill="0" applyBorder="0" applyProtection="0">
      <alignment horizontal="right" vertical="center"/>
    </xf>
    <xf numFmtId="49" fontId="34" fillId="0" borderId="189" applyNumberFormat="0" applyFont="0" applyFill="0" applyBorder="0" applyProtection="0">
      <alignment horizontal="left" vertical="center" indent="5"/>
    </xf>
    <xf numFmtId="0" fontId="34" fillId="0" borderId="188" applyNumberFormat="0" applyFill="0" applyAlignment="0" applyProtection="0"/>
    <xf numFmtId="0" fontId="34" fillId="0" borderId="188" applyNumberFormat="0" applyFill="0" applyAlignment="0" applyProtection="0"/>
    <xf numFmtId="0" fontId="58" fillId="42" borderId="195" applyNumberFormat="0" applyAlignment="0" applyProtection="0"/>
    <xf numFmtId="4" fontId="32" fillId="33" borderId="188">
      <alignment horizontal="right" vertical="center"/>
    </xf>
    <xf numFmtId="0" fontId="12" fillId="27" borderId="0" applyNumberFormat="0" applyBorder="0" applyAlignment="0" applyProtection="0"/>
    <xf numFmtId="0" fontId="12" fillId="21" borderId="0" applyNumberFormat="0" applyBorder="0" applyAlignment="0" applyProtection="0"/>
    <xf numFmtId="0" fontId="49" fillId="42" borderId="193" applyNumberFormat="0" applyAlignment="0" applyProtection="0"/>
    <xf numFmtId="0" fontId="46" fillId="55" borderId="193" applyNumberFormat="0" applyAlignment="0" applyProtection="0"/>
    <xf numFmtId="4" fontId="34" fillId="0" borderId="188">
      <alignment horizontal="right" vertical="center"/>
    </xf>
    <xf numFmtId="0" fontId="34" fillId="33" borderId="191">
      <alignment horizontal="left" vertical="center" wrapText="1" indent="2"/>
    </xf>
    <xf numFmtId="0" fontId="34" fillId="0" borderId="191">
      <alignment horizontal="left" vertical="center" wrapText="1" indent="2"/>
    </xf>
    <xf numFmtId="0" fontId="62" fillId="55" borderId="192" applyNumberFormat="0" applyAlignment="0" applyProtection="0"/>
    <xf numFmtId="0" fontId="58" fillId="42" borderId="193" applyNumberFormat="0" applyAlignment="0" applyProtection="0"/>
    <xf numFmtId="0" fontId="45" fillId="55" borderId="193" applyNumberFormat="0" applyAlignment="0" applyProtection="0"/>
    <xf numFmtId="0" fontId="43" fillId="55" borderId="192" applyNumberFormat="0" applyAlignment="0" applyProtection="0"/>
    <xf numFmtId="0" fontId="32" fillId="33" borderId="190">
      <alignment horizontal="right" vertical="center"/>
    </xf>
    <xf numFmtId="0" fontId="36" fillId="31" borderId="188">
      <alignment horizontal="right" vertical="center"/>
    </xf>
    <xf numFmtId="4" fontId="32" fillId="31" borderId="188">
      <alignment horizontal="right" vertical="center"/>
    </xf>
    <xf numFmtId="4" fontId="32" fillId="33" borderId="188">
      <alignment horizontal="right" vertical="center"/>
    </xf>
    <xf numFmtId="49" fontId="34" fillId="0" borderId="189" applyNumberFormat="0" applyFont="0" applyFill="0" applyBorder="0" applyProtection="0">
      <alignment horizontal="left" vertical="center" indent="5"/>
    </xf>
    <xf numFmtId="4" fontId="34" fillId="0" borderId="188" applyFill="0" applyBorder="0" applyProtection="0">
      <alignment horizontal="right" vertical="center"/>
    </xf>
    <xf numFmtId="4" fontId="32" fillId="31" borderId="188">
      <alignment horizontal="right" vertical="center"/>
    </xf>
    <xf numFmtId="0" fontId="58" fillId="42" borderId="193" applyNumberFormat="0" applyAlignment="0" applyProtection="0"/>
    <xf numFmtId="0" fontId="49" fillId="42" borderId="193" applyNumberFormat="0" applyAlignment="0" applyProtection="0"/>
    <xf numFmtId="0" fontId="45" fillId="55" borderId="193" applyNumberFormat="0" applyAlignment="0" applyProtection="0"/>
    <xf numFmtId="0" fontId="34" fillId="33" borderId="191">
      <alignment horizontal="left" vertical="center" wrapText="1" indent="2"/>
    </xf>
    <xf numFmtId="0" fontId="34" fillId="0" borderId="191">
      <alignment horizontal="left" vertical="center" wrapText="1" indent="2"/>
    </xf>
    <xf numFmtId="0" fontId="34" fillId="33" borderId="191">
      <alignment horizontal="left" vertical="center" wrapText="1" indent="2"/>
    </xf>
    <xf numFmtId="0" fontId="50" fillId="0" borderId="196" applyNumberFormat="0" applyFill="0" applyAlignment="0" applyProtection="0"/>
    <xf numFmtId="4" fontId="34" fillId="0" borderId="198" applyFill="0" applyBorder="0" applyProtection="0">
      <alignment horizontal="right" vertical="center"/>
    </xf>
    <xf numFmtId="0" fontId="45" fillId="55" borderId="195" applyNumberFormat="0" applyAlignment="0" applyProtection="0"/>
    <xf numFmtId="4" fontId="32" fillId="33" borderId="200">
      <alignment horizontal="right" vertical="center"/>
    </xf>
    <xf numFmtId="0" fontId="58" fillId="42" borderId="195" applyNumberFormat="0" applyAlignment="0" applyProtection="0"/>
    <xf numFmtId="0" fontId="32" fillId="31" borderId="198">
      <alignment horizontal="right" vertical="center"/>
    </xf>
    <xf numFmtId="4" fontId="34" fillId="0" borderId="198">
      <alignment horizontal="right" vertical="center"/>
    </xf>
    <xf numFmtId="0" fontId="12" fillId="27" borderId="0" applyNumberFormat="0" applyBorder="0" applyAlignment="0" applyProtection="0"/>
    <xf numFmtId="0" fontId="12" fillId="24" borderId="0" applyNumberFormat="0" applyBorder="0" applyAlignment="0" applyProtection="0"/>
    <xf numFmtId="0" fontId="32" fillId="33" borderId="198">
      <alignment horizontal="right" vertical="center"/>
    </xf>
    <xf numFmtId="0" fontId="62" fillId="55" borderId="202" applyNumberFormat="0" applyAlignment="0" applyProtection="0"/>
    <xf numFmtId="4" fontId="32" fillId="33" borderId="200">
      <alignment horizontal="right" vertical="center"/>
    </xf>
    <xf numFmtId="0" fontId="58" fillId="42" borderId="195" applyNumberFormat="0" applyAlignment="0" applyProtection="0"/>
    <xf numFmtId="0" fontId="30" fillId="0" borderId="0" applyNumberFormat="0" applyFill="0" applyBorder="0" applyAlignment="0" applyProtection="0"/>
    <xf numFmtId="0" fontId="26" fillId="29" borderId="0" applyNumberFormat="0" applyBorder="0" applyAlignment="0" applyProtection="0"/>
    <xf numFmtId="0" fontId="34" fillId="33" borderId="201">
      <alignment horizontal="left" vertical="center" wrapText="1" indent="2"/>
    </xf>
    <xf numFmtId="4" fontId="36" fillId="31" borderId="198">
      <alignment horizontal="right" vertical="center"/>
    </xf>
    <xf numFmtId="49" fontId="34" fillId="0" borderId="198" applyNumberFormat="0" applyFont="0" applyFill="0" applyBorder="0" applyProtection="0">
      <alignment horizontal="left" vertical="center" indent="2"/>
    </xf>
    <xf numFmtId="0" fontId="26" fillId="16" borderId="0" applyNumberFormat="0" applyBorder="0" applyAlignment="0" applyProtection="0"/>
    <xf numFmtId="4" fontId="36" fillId="31" borderId="198">
      <alignment horizontal="right" vertical="center"/>
    </xf>
    <xf numFmtId="0" fontId="34" fillId="0" borderId="198">
      <alignment horizontal="right" vertical="center"/>
    </xf>
    <xf numFmtId="0" fontId="26" fillId="13" borderId="0" applyNumberFormat="0" applyBorder="0" applyAlignment="0" applyProtection="0"/>
    <xf numFmtId="0" fontId="62" fillId="55" borderId="202" applyNumberFormat="0" applyAlignment="0" applyProtection="0"/>
    <xf numFmtId="49" fontId="34" fillId="0" borderId="198" applyNumberFormat="0" applyFont="0" applyFill="0" applyBorder="0" applyProtection="0">
      <alignment horizontal="left" vertical="center" indent="2"/>
    </xf>
    <xf numFmtId="4" fontId="32" fillId="33" borderId="199">
      <alignment horizontal="right" vertical="center"/>
    </xf>
    <xf numFmtId="4" fontId="32" fillId="33" borderId="198">
      <alignment horizontal="right" vertical="center"/>
    </xf>
    <xf numFmtId="4" fontId="32" fillId="33" borderId="198">
      <alignment horizontal="right" vertical="center"/>
    </xf>
    <xf numFmtId="0" fontId="34" fillId="31" borderId="199">
      <alignment horizontal="left" vertical="center"/>
    </xf>
    <xf numFmtId="0" fontId="26" fillId="13" borderId="0" applyNumberFormat="0" applyBorder="0" applyAlignment="0" applyProtection="0"/>
    <xf numFmtId="0" fontId="40" fillId="58" borderId="197" applyNumberFormat="0" applyFont="0" applyAlignment="0" applyProtection="0"/>
    <xf numFmtId="4" fontId="34" fillId="0" borderId="198">
      <alignment horizontal="right" vertical="center"/>
    </xf>
    <xf numFmtId="49" fontId="34" fillId="0" borderId="199" applyNumberFormat="0" applyFont="0" applyFill="0" applyBorder="0" applyProtection="0">
      <alignment horizontal="left" vertical="center" indent="5"/>
    </xf>
    <xf numFmtId="0" fontId="36" fillId="31" borderId="198">
      <alignment horizontal="right" vertical="center"/>
    </xf>
    <xf numFmtId="0" fontId="58" fillId="42" borderId="195" applyNumberFormat="0" applyAlignment="0" applyProtection="0"/>
    <xf numFmtId="0" fontId="36" fillId="31" borderId="198">
      <alignment horizontal="right" vertical="center"/>
    </xf>
    <xf numFmtId="0" fontId="45" fillId="55" borderId="195" applyNumberFormat="0" applyAlignment="0" applyProtection="0"/>
    <xf numFmtId="173" fontId="34" fillId="59" borderId="198" applyNumberFormat="0" applyFont="0" applyBorder="0" applyAlignment="0" applyProtection="0">
      <alignment horizontal="right" vertical="center"/>
    </xf>
    <xf numFmtId="4" fontId="34" fillId="0" borderId="198">
      <alignment horizontal="right" vertical="center"/>
    </xf>
    <xf numFmtId="0" fontId="62" fillId="55" borderId="202" applyNumberFormat="0" applyAlignment="0" applyProtection="0"/>
    <xf numFmtId="0" fontId="12" fillId="18" borderId="0" applyNumberFormat="0" applyBorder="0" applyAlignment="0" applyProtection="0"/>
    <xf numFmtId="0" fontId="46" fillId="55" borderId="195" applyNumberFormat="0" applyAlignment="0" applyProtection="0"/>
    <xf numFmtId="4" fontId="36" fillId="31" borderId="198">
      <alignment horizontal="right" vertical="center"/>
    </xf>
    <xf numFmtId="49" fontId="33" fillId="0" borderId="198" applyNumberFormat="0" applyFill="0" applyBorder="0" applyProtection="0">
      <alignment horizontal="left" vertical="center"/>
    </xf>
    <xf numFmtId="173" fontId="34" fillId="59" borderId="198" applyNumberFormat="0" applyFont="0" applyBorder="0" applyAlignment="0" applyProtection="0">
      <alignment horizontal="right" vertical="center"/>
    </xf>
    <xf numFmtId="0" fontId="49" fillId="42" borderId="195" applyNumberFormat="0" applyAlignment="0" applyProtection="0"/>
    <xf numFmtId="0" fontId="26" fillId="19" borderId="0" applyNumberFormat="0" applyBorder="0" applyAlignment="0" applyProtection="0"/>
    <xf numFmtId="0" fontId="49" fillId="42" borderId="195" applyNumberFormat="0" applyAlignment="0" applyProtection="0"/>
    <xf numFmtId="0" fontId="1" fillId="0" borderId="0" applyNumberFormat="0" applyFill="0" applyBorder="0" applyAlignment="0" applyProtection="0"/>
    <xf numFmtId="0" fontId="36" fillId="31" borderId="198">
      <alignment horizontal="right" vertical="center"/>
    </xf>
    <xf numFmtId="0" fontId="32" fillId="33" borderId="198">
      <alignment horizontal="right" vertical="center"/>
    </xf>
    <xf numFmtId="0" fontId="34" fillId="32" borderId="198"/>
    <xf numFmtId="0" fontId="34" fillId="31" borderId="199">
      <alignment horizontal="left" vertical="center"/>
    </xf>
    <xf numFmtId="0" fontId="32" fillId="33" borderId="198">
      <alignment horizontal="right" vertical="center"/>
    </xf>
    <xf numFmtId="0" fontId="32" fillId="33" borderId="200">
      <alignment horizontal="right" vertical="center"/>
    </xf>
    <xf numFmtId="0" fontId="34" fillId="32" borderId="198"/>
    <xf numFmtId="0" fontId="58" fillId="42" borderId="195" applyNumberFormat="0" applyAlignment="0" applyProtection="0"/>
    <xf numFmtId="4" fontId="32" fillId="33" borderId="198">
      <alignment horizontal="right" vertical="center"/>
    </xf>
    <xf numFmtId="4" fontId="34" fillId="0" borderId="198" applyFill="0" applyBorder="0" applyProtection="0">
      <alignment horizontal="right" vertical="center"/>
    </xf>
    <xf numFmtId="0" fontId="40" fillId="58" borderId="197" applyNumberFormat="0" applyFont="0" applyAlignment="0" applyProtection="0"/>
    <xf numFmtId="0" fontId="12" fillId="18" borderId="0" applyNumberFormat="0" applyBorder="0" applyAlignment="0" applyProtection="0"/>
    <xf numFmtId="4" fontId="32" fillId="33" borderId="198">
      <alignment horizontal="right" vertical="center"/>
    </xf>
    <xf numFmtId="0" fontId="12" fillId="15" borderId="0" applyNumberFormat="0" applyBorder="0" applyAlignment="0" applyProtection="0"/>
    <xf numFmtId="0" fontId="32" fillId="33" borderId="200">
      <alignment horizontal="right" vertical="center"/>
    </xf>
    <xf numFmtId="4" fontId="34" fillId="32" borderId="198"/>
    <xf numFmtId="0" fontId="26" fillId="23" borderId="0" applyNumberFormat="0" applyBorder="0" applyAlignment="0" applyProtection="0"/>
    <xf numFmtId="0" fontId="46" fillId="55" borderId="195" applyNumberFormat="0" applyAlignment="0" applyProtection="0"/>
    <xf numFmtId="0" fontId="32" fillId="33" borderId="199">
      <alignment horizontal="right" vertical="center"/>
    </xf>
    <xf numFmtId="0" fontId="65" fillId="0" borderId="196" applyNumberFormat="0" applyFill="0" applyAlignment="0" applyProtection="0"/>
    <xf numFmtId="0" fontId="43" fillId="55" borderId="202" applyNumberFormat="0" applyAlignment="0" applyProtection="0"/>
    <xf numFmtId="0" fontId="65" fillId="0" borderId="196" applyNumberFormat="0" applyFill="0" applyAlignment="0" applyProtection="0"/>
    <xf numFmtId="0" fontId="46" fillId="55" borderId="195" applyNumberFormat="0" applyAlignment="0" applyProtection="0"/>
    <xf numFmtId="0" fontId="58" fillId="42" borderId="195" applyNumberFormat="0" applyAlignment="0" applyProtection="0"/>
    <xf numFmtId="0" fontId="65" fillId="0" borderId="196" applyNumberFormat="0" applyFill="0" applyAlignment="0" applyProtection="0"/>
    <xf numFmtId="0" fontId="36" fillId="31" borderId="198">
      <alignment horizontal="right" vertical="center"/>
    </xf>
    <xf numFmtId="0" fontId="26" fillId="22" borderId="0" applyNumberFormat="0" applyBorder="0" applyAlignment="0" applyProtection="0"/>
    <xf numFmtId="4" fontId="34" fillId="0" borderId="198" applyFill="0" applyBorder="0" applyProtection="0">
      <alignment horizontal="right" vertical="center"/>
    </xf>
    <xf numFmtId="0" fontId="26" fillId="29" borderId="0" applyNumberFormat="0" applyBorder="0" applyAlignment="0" applyProtection="0"/>
    <xf numFmtId="0" fontId="32" fillId="31" borderId="198">
      <alignment horizontal="right" vertical="center"/>
    </xf>
    <xf numFmtId="0" fontId="12" fillId="15" borderId="0" applyNumberFormat="0" applyBorder="0" applyAlignment="0" applyProtection="0"/>
    <xf numFmtId="0" fontId="29" fillId="12" borderId="10" applyNumberFormat="0" applyAlignment="0" applyProtection="0"/>
    <xf numFmtId="0" fontId="12" fillId="18" borderId="0" applyNumberFormat="0" applyBorder="0" applyAlignment="0" applyProtection="0"/>
    <xf numFmtId="49" fontId="34" fillId="0" borderId="198" applyNumberFormat="0" applyFont="0" applyFill="0" applyBorder="0" applyProtection="0">
      <alignment horizontal="left" vertical="center" indent="2"/>
    </xf>
    <xf numFmtId="4" fontId="32" fillId="33" borderId="200">
      <alignment horizontal="right" vertical="center"/>
    </xf>
    <xf numFmtId="0" fontId="40" fillId="58" borderId="197" applyNumberFormat="0" applyFont="0" applyAlignment="0" applyProtection="0"/>
    <xf numFmtId="0" fontId="28" fillId="12" borderId="11" applyNumberFormat="0" applyAlignment="0" applyProtection="0"/>
    <xf numFmtId="0" fontId="12" fillId="30" borderId="0" applyNumberFormat="0" applyBorder="0" applyAlignment="0" applyProtection="0"/>
    <xf numFmtId="0" fontId="34" fillId="0" borderId="198" applyNumberFormat="0" applyFill="0" applyAlignment="0" applyProtection="0"/>
    <xf numFmtId="0" fontId="2" fillId="0" borderId="12" applyNumberFormat="0" applyFill="0" applyAlignment="0" applyProtection="0"/>
    <xf numFmtId="0" fontId="62" fillId="55" borderId="202" applyNumberFormat="0" applyAlignment="0" applyProtection="0"/>
    <xf numFmtId="0" fontId="46" fillId="55" borderId="195" applyNumberFormat="0" applyAlignment="0" applyProtection="0"/>
    <xf numFmtId="0" fontId="50" fillId="0" borderId="196" applyNumberFormat="0" applyFill="0" applyAlignment="0" applyProtection="0"/>
    <xf numFmtId="0" fontId="32" fillId="33" borderId="198">
      <alignment horizontal="right" vertical="center"/>
    </xf>
    <xf numFmtId="49" fontId="34" fillId="0" borderId="199" applyNumberFormat="0" applyFont="0" applyFill="0" applyBorder="0" applyProtection="0">
      <alignment horizontal="left" vertical="center" indent="5"/>
    </xf>
    <xf numFmtId="0" fontId="46" fillId="55" borderId="195" applyNumberFormat="0" applyAlignment="0" applyProtection="0"/>
    <xf numFmtId="4" fontId="32" fillId="33" borderId="199">
      <alignment horizontal="right" vertical="center"/>
    </xf>
    <xf numFmtId="4" fontId="36" fillId="31" borderId="198">
      <alignment horizontal="right" vertical="center"/>
    </xf>
    <xf numFmtId="0" fontId="26" fillId="23" borderId="0" applyNumberFormat="0" applyBorder="0" applyAlignment="0" applyProtection="0"/>
    <xf numFmtId="0" fontId="40" fillId="58" borderId="197" applyNumberFormat="0" applyFont="0" applyAlignment="0" applyProtection="0"/>
    <xf numFmtId="0" fontId="26" fillId="26" borderId="0" applyNumberFormat="0" applyBorder="0" applyAlignment="0" applyProtection="0"/>
    <xf numFmtId="0" fontId="1" fillId="0" borderId="0" applyNumberFormat="0" applyFill="0" applyBorder="0" applyAlignment="0" applyProtection="0"/>
    <xf numFmtId="4" fontId="32" fillId="33" borderId="200">
      <alignment horizontal="right" vertical="center"/>
    </xf>
    <xf numFmtId="0" fontId="34" fillId="31" borderId="199">
      <alignment horizontal="left" vertical="center"/>
    </xf>
    <xf numFmtId="4" fontId="32" fillId="33" borderId="198">
      <alignment horizontal="right" vertical="center"/>
    </xf>
    <xf numFmtId="0" fontId="34" fillId="32" borderId="198"/>
    <xf numFmtId="0" fontId="36" fillId="31" borderId="198">
      <alignment horizontal="right" vertical="center"/>
    </xf>
    <xf numFmtId="0" fontId="26" fillId="14" borderId="0" applyNumberFormat="0" applyBorder="0" applyAlignment="0" applyProtection="0"/>
    <xf numFmtId="0" fontId="34" fillId="0" borderId="198">
      <alignment horizontal="right" vertical="center"/>
    </xf>
    <xf numFmtId="0" fontId="32" fillId="31" borderId="198">
      <alignment horizontal="right" vertical="center"/>
    </xf>
    <xf numFmtId="0" fontId="5" fillId="58" borderId="197" applyNumberFormat="0" applyFont="0" applyAlignment="0" applyProtection="0"/>
    <xf numFmtId="0" fontId="34" fillId="0" borderId="201">
      <alignment horizontal="left" vertical="center" wrapText="1" indent="2"/>
    </xf>
    <xf numFmtId="0" fontId="26" fillId="25" borderId="0" applyNumberFormat="0" applyBorder="0" applyAlignment="0" applyProtection="0"/>
    <xf numFmtId="173" fontId="34" fillId="59" borderId="198" applyNumberFormat="0" applyFont="0" applyBorder="0" applyAlignment="0" applyProtection="0">
      <alignment horizontal="right" vertical="center"/>
    </xf>
    <xf numFmtId="0" fontId="12" fillId="18" borderId="0" applyNumberFormat="0" applyBorder="0" applyAlignment="0" applyProtection="0"/>
    <xf numFmtId="0" fontId="26" fillId="29" borderId="0" applyNumberFormat="0" applyBorder="0" applyAlignment="0" applyProtection="0"/>
    <xf numFmtId="0" fontId="65" fillId="0" borderId="196" applyNumberFormat="0" applyFill="0" applyAlignment="0" applyProtection="0"/>
    <xf numFmtId="4" fontId="32" fillId="33" borderId="198">
      <alignment horizontal="right" vertical="center"/>
    </xf>
    <xf numFmtId="0" fontId="12" fillId="21" borderId="0" applyNumberFormat="0" applyBorder="0" applyAlignment="0" applyProtection="0"/>
    <xf numFmtId="0" fontId="26" fillId="20" borderId="0" applyNumberFormat="0" applyBorder="0" applyAlignment="0" applyProtection="0"/>
    <xf numFmtId="0" fontId="65" fillId="0" borderId="196" applyNumberFormat="0" applyFill="0" applyAlignment="0" applyProtection="0"/>
    <xf numFmtId="0" fontId="40" fillId="58" borderId="197" applyNumberFormat="0" applyFont="0" applyAlignment="0" applyProtection="0"/>
    <xf numFmtId="0" fontId="32" fillId="33" borderId="198">
      <alignment horizontal="right" vertical="center"/>
    </xf>
    <xf numFmtId="0" fontId="46" fillId="55" borderId="195" applyNumberFormat="0" applyAlignment="0" applyProtection="0"/>
    <xf numFmtId="0" fontId="26" fillId="20" borderId="0" applyNumberFormat="0" applyBorder="0" applyAlignment="0" applyProtection="0"/>
    <xf numFmtId="0" fontId="34" fillId="31" borderId="199">
      <alignment horizontal="left" vertical="center"/>
    </xf>
    <xf numFmtId="0" fontId="40" fillId="58" borderId="197" applyNumberFormat="0" applyFont="0" applyAlignment="0" applyProtection="0"/>
    <xf numFmtId="173" fontId="34" fillId="59" borderId="198" applyNumberFormat="0" applyFont="0" applyBorder="0" applyAlignment="0" applyProtection="0">
      <alignment horizontal="right" vertical="center"/>
    </xf>
    <xf numFmtId="0" fontId="34" fillId="33" borderId="201">
      <alignment horizontal="left" vertical="center" wrapText="1" indent="2"/>
    </xf>
    <xf numFmtId="0" fontId="12" fillId="21" borderId="0" applyNumberFormat="0" applyBorder="0" applyAlignment="0" applyProtection="0"/>
    <xf numFmtId="0" fontId="65" fillId="0" borderId="196" applyNumberFormat="0" applyFill="0" applyAlignment="0" applyProtection="0"/>
    <xf numFmtId="0" fontId="58" fillId="42" borderId="195" applyNumberFormat="0" applyAlignment="0" applyProtection="0"/>
    <xf numFmtId="0" fontId="34" fillId="32" borderId="198"/>
    <xf numFmtId="4" fontId="34" fillId="0" borderId="198" applyFill="0" applyBorder="0" applyProtection="0">
      <alignment horizontal="right" vertical="center"/>
    </xf>
    <xf numFmtId="0" fontId="26" fillId="17" borderId="0" applyNumberFormat="0" applyBorder="0" applyAlignment="0" applyProtection="0"/>
    <xf numFmtId="0" fontId="26" fillId="16" borderId="0" applyNumberFormat="0" applyBorder="0" applyAlignment="0" applyProtection="0"/>
    <xf numFmtId="0" fontId="50" fillId="0" borderId="196" applyNumberFormat="0" applyFill="0" applyAlignment="0" applyProtection="0"/>
    <xf numFmtId="0" fontId="32" fillId="33" borderId="198">
      <alignment horizontal="right" vertical="center"/>
    </xf>
    <xf numFmtId="0" fontId="50" fillId="0" borderId="196" applyNumberFormat="0" applyFill="0" applyAlignment="0" applyProtection="0"/>
    <xf numFmtId="4" fontId="32" fillId="33" borderId="198">
      <alignment horizontal="right" vertical="center"/>
    </xf>
    <xf numFmtId="49" fontId="33" fillId="0" borderId="198" applyNumberFormat="0" applyFill="0" applyBorder="0" applyProtection="0">
      <alignment horizontal="left" vertical="center"/>
    </xf>
    <xf numFmtId="0" fontId="5" fillId="58" borderId="197" applyNumberFormat="0" applyFont="0" applyAlignment="0" applyProtection="0"/>
    <xf numFmtId="4" fontId="34" fillId="0" borderId="198">
      <alignment horizontal="right" vertical="center"/>
    </xf>
    <xf numFmtId="0" fontId="12" fillId="27" borderId="0" applyNumberFormat="0" applyBorder="0" applyAlignment="0" applyProtection="0"/>
    <xf numFmtId="0" fontId="46" fillId="55" borderId="195" applyNumberFormat="0" applyAlignment="0" applyProtection="0"/>
    <xf numFmtId="0" fontId="34" fillId="33" borderId="201">
      <alignment horizontal="left" vertical="center" wrapText="1" indent="2"/>
    </xf>
    <xf numFmtId="4" fontId="32" fillId="31" borderId="198">
      <alignment horizontal="right" vertical="center"/>
    </xf>
    <xf numFmtId="4" fontId="32" fillId="33" borderId="198">
      <alignment horizontal="right" vertical="center"/>
    </xf>
    <xf numFmtId="0" fontId="65" fillId="0" borderId="196" applyNumberFormat="0" applyFill="0" applyAlignment="0" applyProtection="0"/>
    <xf numFmtId="0" fontId="62" fillId="55" borderId="202" applyNumberFormat="0" applyAlignment="0" applyProtection="0"/>
    <xf numFmtId="4" fontId="32" fillId="31" borderId="198">
      <alignment horizontal="right" vertical="center"/>
    </xf>
    <xf numFmtId="0" fontId="26" fillId="14" borderId="0" applyNumberFormat="0" applyBorder="0" applyAlignment="0" applyProtection="0"/>
    <xf numFmtId="0" fontId="34" fillId="0" borderId="201">
      <alignment horizontal="left" vertical="center" wrapText="1" indent="2"/>
    </xf>
    <xf numFmtId="0" fontId="26" fillId="17" borderId="0" applyNumberFormat="0" applyBorder="0" applyAlignment="0" applyProtection="0"/>
    <xf numFmtId="4" fontId="32" fillId="31" borderId="198">
      <alignment horizontal="right" vertical="center"/>
    </xf>
    <xf numFmtId="0" fontId="32" fillId="33" borderId="198">
      <alignment horizontal="right" vertical="center"/>
    </xf>
    <xf numFmtId="0" fontId="26" fillId="25" borderId="0" applyNumberFormat="0" applyBorder="0" applyAlignment="0" applyProtection="0"/>
    <xf numFmtId="0" fontId="34" fillId="32" borderId="198"/>
    <xf numFmtId="0" fontId="45" fillId="55" borderId="195" applyNumberFormat="0" applyAlignment="0" applyProtection="0"/>
    <xf numFmtId="0" fontId="32" fillId="33" borderId="198">
      <alignment horizontal="right" vertical="center"/>
    </xf>
    <xf numFmtId="0" fontId="5" fillId="58" borderId="197" applyNumberFormat="0" applyFont="0" applyAlignment="0" applyProtection="0"/>
    <xf numFmtId="0" fontId="12" fillId="24" borderId="0" applyNumberFormat="0" applyBorder="0" applyAlignment="0" applyProtection="0"/>
    <xf numFmtId="0" fontId="12" fillId="24" borderId="0" applyNumberFormat="0" applyBorder="0" applyAlignment="0" applyProtection="0"/>
    <xf numFmtId="0" fontId="12" fillId="27" borderId="0" applyNumberFormat="0" applyBorder="0" applyAlignment="0" applyProtection="0"/>
    <xf numFmtId="0" fontId="34" fillId="0" borderId="198">
      <alignment horizontal="right" vertical="center"/>
    </xf>
    <xf numFmtId="0" fontId="34" fillId="33" borderId="201">
      <alignment horizontal="left" vertical="center" wrapText="1" indent="2"/>
    </xf>
    <xf numFmtId="4" fontId="32" fillId="33" borderId="199">
      <alignment horizontal="right" vertical="center"/>
    </xf>
    <xf numFmtId="0" fontId="34" fillId="0" borderId="198" applyNumberFormat="0" applyFill="0" applyAlignment="0" applyProtection="0"/>
    <xf numFmtId="4" fontId="32" fillId="33" borderId="198">
      <alignment horizontal="right" vertical="center"/>
    </xf>
    <xf numFmtId="0" fontId="58" fillId="42" borderId="195" applyNumberFormat="0" applyAlignment="0" applyProtection="0"/>
    <xf numFmtId="0" fontId="43" fillId="55" borderId="202" applyNumberFormat="0" applyAlignment="0" applyProtection="0"/>
    <xf numFmtId="0" fontId="26" fillId="17" borderId="0" applyNumberFormat="0" applyBorder="0" applyAlignment="0" applyProtection="0"/>
    <xf numFmtId="49" fontId="33" fillId="0" borderId="198" applyNumberFormat="0" applyFill="0" applyBorder="0" applyProtection="0">
      <alignment horizontal="left" vertical="center"/>
    </xf>
    <xf numFmtId="0" fontId="46" fillId="55" borderId="195" applyNumberFormat="0" applyAlignment="0" applyProtection="0"/>
    <xf numFmtId="0" fontId="12" fillId="27" borderId="0" applyNumberFormat="0" applyBorder="0" applyAlignment="0" applyProtection="0"/>
    <xf numFmtId="0" fontId="32" fillId="33" borderId="199">
      <alignment horizontal="right" vertical="center"/>
    </xf>
    <xf numFmtId="0" fontId="45" fillId="55" borderId="195" applyNumberFormat="0" applyAlignment="0" applyProtection="0"/>
    <xf numFmtId="0" fontId="26" fillId="16" borderId="0" applyNumberFormat="0" applyBorder="0" applyAlignment="0" applyProtection="0"/>
    <xf numFmtId="4" fontId="34" fillId="0" borderId="198" applyFill="0" applyBorder="0" applyProtection="0">
      <alignment horizontal="right" vertical="center"/>
    </xf>
    <xf numFmtId="0" fontId="26" fillId="22" borderId="0" applyNumberFormat="0" applyBorder="0" applyAlignment="0" applyProtection="0"/>
    <xf numFmtId="0" fontId="12" fillId="30" borderId="0" applyNumberFormat="0" applyBorder="0" applyAlignment="0" applyProtection="0"/>
    <xf numFmtId="0" fontId="50" fillId="0" borderId="196" applyNumberFormat="0" applyFill="0" applyAlignment="0" applyProtection="0"/>
    <xf numFmtId="49" fontId="34" fillId="0" borderId="198" applyNumberFormat="0" applyFont="0" applyFill="0" applyBorder="0" applyProtection="0">
      <alignment horizontal="left" vertical="center" indent="2"/>
    </xf>
    <xf numFmtId="0" fontId="34" fillId="0" borderId="201">
      <alignment horizontal="left" vertical="center" wrapText="1" indent="2"/>
    </xf>
    <xf numFmtId="0" fontId="26" fillId="19" borderId="0" applyNumberFormat="0" applyBorder="0" applyAlignment="0" applyProtection="0"/>
    <xf numFmtId="4" fontId="32" fillId="33" borderId="198">
      <alignment horizontal="right" vertical="center"/>
    </xf>
    <xf numFmtId="0" fontId="62" fillId="55" borderId="202" applyNumberFormat="0" applyAlignment="0" applyProtection="0"/>
    <xf numFmtId="173" fontId="34" fillId="59" borderId="198" applyNumberFormat="0" applyFont="0" applyBorder="0" applyAlignment="0" applyProtection="0">
      <alignment horizontal="right" vertical="center"/>
    </xf>
    <xf numFmtId="0" fontId="5" fillId="58" borderId="197" applyNumberFormat="0" applyFont="0" applyAlignment="0" applyProtection="0"/>
    <xf numFmtId="0" fontId="26" fillId="25" borderId="0" applyNumberFormat="0" applyBorder="0" applyAlignment="0" applyProtection="0"/>
    <xf numFmtId="0" fontId="58" fillId="42" borderId="195" applyNumberFormat="0" applyAlignment="0" applyProtection="0"/>
    <xf numFmtId="0" fontId="58" fillId="42" borderId="195" applyNumberFormat="0" applyAlignment="0" applyProtection="0"/>
    <xf numFmtId="0" fontId="40" fillId="58" borderId="197" applyNumberFormat="0" applyFont="0" applyAlignment="0" applyProtection="0"/>
    <xf numFmtId="4" fontId="34" fillId="32" borderId="198"/>
    <xf numFmtId="0" fontId="58" fillId="42" borderId="195" applyNumberFormat="0" applyAlignment="0" applyProtection="0"/>
    <xf numFmtId="0" fontId="28" fillId="12" borderId="11" applyNumberFormat="0" applyAlignment="0" applyProtection="0"/>
    <xf numFmtId="0" fontId="40" fillId="58" borderId="197" applyNumberFormat="0" applyFont="0" applyAlignment="0" applyProtection="0"/>
    <xf numFmtId="0" fontId="30" fillId="0" borderId="0" applyNumberFormat="0" applyFill="0" applyBorder="0" applyAlignment="0" applyProtection="0"/>
    <xf numFmtId="0" fontId="32" fillId="33" borderId="198">
      <alignment horizontal="right" vertical="center"/>
    </xf>
    <xf numFmtId="0" fontId="62" fillId="55" borderId="202" applyNumberFormat="0" applyAlignment="0" applyProtection="0"/>
    <xf numFmtId="0" fontId="26" fillId="14" borderId="0" applyNumberFormat="0" applyBorder="0" applyAlignment="0" applyProtection="0"/>
    <xf numFmtId="0" fontId="40" fillId="58" borderId="197" applyNumberFormat="0" applyFont="0" applyAlignment="0" applyProtection="0"/>
    <xf numFmtId="4" fontId="32" fillId="33" borderId="200">
      <alignment horizontal="right" vertical="center"/>
    </xf>
    <xf numFmtId="4" fontId="34" fillId="32" borderId="198"/>
    <xf numFmtId="4" fontId="34" fillId="0" borderId="198">
      <alignment horizontal="right" vertical="center"/>
    </xf>
    <xf numFmtId="0" fontId="26" fillId="22" borderId="0" applyNumberFormat="0" applyBorder="0" applyAlignment="0" applyProtection="0"/>
    <xf numFmtId="0" fontId="49" fillId="42" borderId="195" applyNumberFormat="0" applyAlignment="0" applyProtection="0"/>
    <xf numFmtId="0" fontId="58" fillId="42" borderId="195" applyNumberFormat="0" applyAlignment="0" applyProtection="0"/>
    <xf numFmtId="0" fontId="30" fillId="0" borderId="0" applyNumberFormat="0" applyFill="0" applyBorder="0" applyAlignment="0" applyProtection="0"/>
    <xf numFmtId="0" fontId="34" fillId="33" borderId="201">
      <alignment horizontal="left" vertical="center" wrapText="1" indent="2"/>
    </xf>
    <xf numFmtId="4" fontId="34" fillId="0" borderId="198" applyFill="0" applyBorder="0" applyProtection="0">
      <alignment horizontal="right" vertical="center"/>
    </xf>
    <xf numFmtId="0" fontId="26" fillId="28" borderId="0" applyNumberFormat="0" applyBorder="0" applyAlignment="0" applyProtection="0"/>
    <xf numFmtId="0" fontId="12" fillId="21" borderId="0" applyNumberFormat="0" applyBorder="0" applyAlignment="0" applyProtection="0"/>
    <xf numFmtId="0" fontId="29" fillId="12" borderId="10" applyNumberFormat="0" applyAlignment="0" applyProtection="0"/>
    <xf numFmtId="0" fontId="40" fillId="58" borderId="197" applyNumberFormat="0" applyFont="0" applyAlignment="0" applyProtection="0"/>
    <xf numFmtId="4" fontId="36" fillId="31" borderId="198">
      <alignment horizontal="right" vertical="center"/>
    </xf>
    <xf numFmtId="0" fontId="34" fillId="33" borderId="201">
      <alignment horizontal="left" vertical="center" wrapText="1" indent="2"/>
    </xf>
    <xf numFmtId="0" fontId="49" fillId="42" borderId="195" applyNumberFormat="0" applyAlignment="0" applyProtection="0"/>
    <xf numFmtId="0" fontId="26" fillId="19" borderId="0" applyNumberFormat="0" applyBorder="0" applyAlignment="0" applyProtection="0"/>
    <xf numFmtId="0" fontId="58" fillId="42" borderId="195" applyNumberFormat="0" applyAlignment="0" applyProtection="0"/>
    <xf numFmtId="0" fontId="58" fillId="42" borderId="195" applyNumberFormat="0" applyAlignment="0" applyProtection="0"/>
    <xf numFmtId="0" fontId="26" fillId="25" borderId="0" applyNumberFormat="0" applyBorder="0" applyAlignment="0" applyProtection="0"/>
    <xf numFmtId="0" fontId="34" fillId="31" borderId="199">
      <alignment horizontal="left" vertical="center"/>
    </xf>
    <xf numFmtId="4" fontId="34" fillId="32" borderId="198"/>
    <xf numFmtId="0" fontId="5" fillId="58" borderId="197" applyNumberFormat="0" applyFont="0" applyAlignment="0" applyProtection="0"/>
    <xf numFmtId="0" fontId="40" fillId="58" borderId="197" applyNumberFormat="0" applyFont="0" applyAlignment="0" applyProtection="0"/>
    <xf numFmtId="0" fontId="32" fillId="33" borderId="198">
      <alignment horizontal="right" vertical="center"/>
    </xf>
    <xf numFmtId="0" fontId="34" fillId="0" borderId="198" applyNumberFormat="0" applyFill="0" applyAlignment="0" applyProtection="0"/>
    <xf numFmtId="0" fontId="49" fillId="42" borderId="195" applyNumberFormat="0" applyAlignment="0" applyProtection="0"/>
    <xf numFmtId="0" fontId="46" fillId="55" borderId="195" applyNumberFormat="0" applyAlignment="0" applyProtection="0"/>
    <xf numFmtId="0" fontId="45" fillId="55" borderId="195" applyNumberFormat="0" applyAlignment="0" applyProtection="0"/>
    <xf numFmtId="0" fontId="43" fillId="55" borderId="202" applyNumberFormat="0" applyAlignment="0" applyProtection="0"/>
    <xf numFmtId="0" fontId="34" fillId="32" borderId="198"/>
    <xf numFmtId="4" fontId="34" fillId="0" borderId="198">
      <alignment horizontal="right" vertical="center"/>
    </xf>
    <xf numFmtId="0" fontId="65" fillId="0" borderId="196" applyNumberFormat="0" applyFill="0" applyAlignment="0" applyProtection="0"/>
    <xf numFmtId="0" fontId="65" fillId="0" borderId="196" applyNumberFormat="0" applyFill="0" applyAlignment="0" applyProtection="0"/>
    <xf numFmtId="4" fontId="34" fillId="32" borderId="198"/>
    <xf numFmtId="0" fontId="32" fillId="33" borderId="198">
      <alignment horizontal="right" vertical="center"/>
    </xf>
    <xf numFmtId="0" fontId="26" fillId="26" borderId="0" applyNumberFormat="0" applyBorder="0" applyAlignment="0" applyProtection="0"/>
    <xf numFmtId="0" fontId="50" fillId="0" borderId="196" applyNumberFormat="0" applyFill="0" applyAlignment="0" applyProtection="0"/>
    <xf numFmtId="0" fontId="62" fillId="55" borderId="202" applyNumberFormat="0" applyAlignment="0" applyProtection="0"/>
    <xf numFmtId="4" fontId="32" fillId="33" borderId="198">
      <alignment horizontal="right" vertical="center"/>
    </xf>
    <xf numFmtId="0" fontId="34" fillId="0" borderId="198">
      <alignment horizontal="right" vertical="center"/>
    </xf>
    <xf numFmtId="0" fontId="62" fillId="55" borderId="202" applyNumberFormat="0" applyAlignment="0" applyProtection="0"/>
    <xf numFmtId="0" fontId="26" fillId="14" borderId="0" applyNumberFormat="0" applyBorder="0" applyAlignment="0" applyProtection="0"/>
    <xf numFmtId="0" fontId="45" fillId="55" borderId="195" applyNumberFormat="0" applyAlignment="0" applyProtection="0"/>
    <xf numFmtId="4" fontId="32" fillId="33" borderId="198">
      <alignment horizontal="right" vertical="center"/>
    </xf>
    <xf numFmtId="0" fontId="36" fillId="31" borderId="198">
      <alignment horizontal="right" vertical="center"/>
    </xf>
    <xf numFmtId="0" fontId="32" fillId="31" borderId="198">
      <alignment horizontal="right" vertical="center"/>
    </xf>
    <xf numFmtId="0" fontId="65" fillId="0" borderId="196" applyNumberFormat="0" applyFill="0" applyAlignment="0" applyProtection="0"/>
    <xf numFmtId="0" fontId="30" fillId="0" borderId="0" applyNumberFormat="0" applyFill="0" applyBorder="0" applyAlignment="0" applyProtection="0"/>
    <xf numFmtId="4" fontId="32" fillId="33" borderId="200">
      <alignment horizontal="right" vertical="center"/>
    </xf>
    <xf numFmtId="0" fontId="26" fillId="26" borderId="0" applyNumberFormat="0" applyBorder="0" applyAlignment="0" applyProtection="0"/>
    <xf numFmtId="0" fontId="32" fillId="33" borderId="198">
      <alignment horizontal="right" vertical="center"/>
    </xf>
    <xf numFmtId="173" fontId="34" fillId="59" borderId="198" applyNumberFormat="0" applyFont="0" applyBorder="0" applyAlignment="0" applyProtection="0">
      <alignment horizontal="right" vertical="center"/>
    </xf>
    <xf numFmtId="0" fontId="45" fillId="55" borderId="195" applyNumberFormat="0" applyAlignment="0" applyProtection="0"/>
    <xf numFmtId="0" fontId="45" fillId="55" borderId="195" applyNumberFormat="0" applyAlignment="0" applyProtection="0"/>
    <xf numFmtId="4" fontId="36" fillId="31" borderId="198">
      <alignment horizontal="right" vertical="center"/>
    </xf>
    <xf numFmtId="0" fontId="65" fillId="0" borderId="196" applyNumberFormat="0" applyFill="0" applyAlignment="0" applyProtection="0"/>
    <xf numFmtId="0" fontId="50" fillId="0" borderId="196" applyNumberFormat="0" applyFill="0" applyAlignment="0" applyProtection="0"/>
    <xf numFmtId="4" fontId="34" fillId="0" borderId="198">
      <alignment horizontal="right" vertical="center"/>
    </xf>
    <xf numFmtId="0" fontId="30" fillId="0" borderId="0" applyNumberFormat="0" applyFill="0" applyBorder="0" applyAlignment="0" applyProtection="0"/>
    <xf numFmtId="0" fontId="34" fillId="32" borderId="198"/>
    <xf numFmtId="0" fontId="26" fillId="26" borderId="0" applyNumberFormat="0" applyBorder="0" applyAlignment="0" applyProtection="0"/>
    <xf numFmtId="0" fontId="49" fillId="42" borderId="195" applyNumberFormat="0" applyAlignment="0" applyProtection="0"/>
    <xf numFmtId="0" fontId="34" fillId="0" borderId="198">
      <alignment horizontal="right" vertical="center"/>
    </xf>
    <xf numFmtId="0" fontId="32" fillId="33" borderId="199">
      <alignment horizontal="right" vertical="center"/>
    </xf>
    <xf numFmtId="4" fontId="32" fillId="31" borderId="198">
      <alignment horizontal="right" vertical="center"/>
    </xf>
    <xf numFmtId="0" fontId="46" fillId="55" borderId="195" applyNumberFormat="0" applyAlignment="0" applyProtection="0"/>
    <xf numFmtId="0" fontId="34" fillId="32" borderId="198"/>
    <xf numFmtId="0" fontId="50" fillId="0" borderId="196" applyNumberFormat="0" applyFill="0" applyAlignment="0" applyProtection="0"/>
    <xf numFmtId="0" fontId="32" fillId="33" borderId="198">
      <alignment horizontal="right" vertical="center"/>
    </xf>
    <xf numFmtId="0" fontId="46" fillId="55" borderId="195" applyNumberFormat="0" applyAlignment="0" applyProtection="0"/>
    <xf numFmtId="0" fontId="26" fillId="26" borderId="0" applyNumberFormat="0" applyBorder="0" applyAlignment="0" applyProtection="0"/>
    <xf numFmtId="0" fontId="34" fillId="0" borderId="198">
      <alignment horizontal="right" vertical="center"/>
    </xf>
    <xf numFmtId="49" fontId="34" fillId="0" borderId="199" applyNumberFormat="0" applyFont="0" applyFill="0" applyBorder="0" applyProtection="0">
      <alignment horizontal="left" vertical="center" indent="5"/>
    </xf>
    <xf numFmtId="0" fontId="34" fillId="0" borderId="201">
      <alignment horizontal="left" vertical="center" wrapText="1" indent="2"/>
    </xf>
    <xf numFmtId="0" fontId="34" fillId="0" borderId="201">
      <alignment horizontal="left" vertical="center" wrapText="1" indent="2"/>
    </xf>
    <xf numFmtId="0" fontId="40" fillId="58" borderId="197" applyNumberFormat="0" applyFont="0" applyAlignment="0" applyProtection="0"/>
    <xf numFmtId="0" fontId="26" fillId="26" borderId="0" applyNumberFormat="0" applyBorder="0" applyAlignment="0" applyProtection="0"/>
    <xf numFmtId="0" fontId="32" fillId="31" borderId="198">
      <alignment horizontal="right" vertical="center"/>
    </xf>
    <xf numFmtId="0" fontId="50" fillId="0" borderId="196" applyNumberFormat="0" applyFill="0" applyAlignment="0" applyProtection="0"/>
    <xf numFmtId="0" fontId="34" fillId="0" borderId="198" applyNumberFormat="0" applyFill="0" applyAlignment="0" applyProtection="0"/>
    <xf numFmtId="0" fontId="50" fillId="0" borderId="196" applyNumberFormat="0" applyFill="0" applyAlignment="0" applyProtection="0"/>
    <xf numFmtId="4" fontId="34" fillId="0" borderId="198" applyFill="0" applyBorder="0" applyProtection="0">
      <alignment horizontal="right" vertical="center"/>
    </xf>
    <xf numFmtId="49" fontId="34" fillId="0" borderId="199" applyNumberFormat="0" applyFont="0" applyFill="0" applyBorder="0" applyProtection="0">
      <alignment horizontal="left" vertical="center" indent="5"/>
    </xf>
    <xf numFmtId="0" fontId="34" fillId="0" borderId="198" applyNumberFormat="0" applyFill="0" applyAlignment="0" applyProtection="0"/>
    <xf numFmtId="0" fontId="58" fillId="42" borderId="195" applyNumberFormat="0" applyAlignment="0" applyProtection="0"/>
    <xf numFmtId="0" fontId="34" fillId="0" borderId="198" applyNumberFormat="0" applyFill="0" applyAlignment="0" applyProtection="0"/>
    <xf numFmtId="4" fontId="32" fillId="33" borderId="198">
      <alignment horizontal="right" vertical="center"/>
    </xf>
    <xf numFmtId="0" fontId="49" fillId="42" borderId="195" applyNumberFormat="0" applyAlignment="0" applyProtection="0"/>
    <xf numFmtId="0" fontId="46" fillId="55" borderId="195" applyNumberFormat="0" applyAlignment="0" applyProtection="0"/>
    <xf numFmtId="4" fontId="34" fillId="0" borderId="198">
      <alignment horizontal="right" vertical="center"/>
    </xf>
    <xf numFmtId="0" fontId="34" fillId="33" borderId="201">
      <alignment horizontal="left" vertical="center" wrapText="1" indent="2"/>
    </xf>
    <xf numFmtId="0" fontId="34" fillId="0" borderId="201">
      <alignment horizontal="left" vertical="center" wrapText="1" indent="2"/>
    </xf>
    <xf numFmtId="0" fontId="62" fillId="55" borderId="202" applyNumberFormat="0" applyAlignment="0" applyProtection="0"/>
    <xf numFmtId="0" fontId="58" fillId="42" borderId="195" applyNumberFormat="0" applyAlignment="0" applyProtection="0"/>
    <xf numFmtId="0" fontId="45" fillId="55" borderId="195" applyNumberFormat="0" applyAlignment="0" applyProtection="0"/>
    <xf numFmtId="0" fontId="43" fillId="55" borderId="202" applyNumberFormat="0" applyAlignment="0" applyProtection="0"/>
    <xf numFmtId="0" fontId="32" fillId="33" borderId="200">
      <alignment horizontal="right" vertical="center"/>
    </xf>
    <xf numFmtId="0" fontId="36" fillId="31" borderId="198">
      <alignment horizontal="right" vertical="center"/>
    </xf>
    <xf numFmtId="4" fontId="32" fillId="31" borderId="198">
      <alignment horizontal="right" vertical="center"/>
    </xf>
    <xf numFmtId="4" fontId="32" fillId="33" borderId="198">
      <alignment horizontal="right" vertical="center"/>
    </xf>
    <xf numFmtId="49" fontId="34" fillId="0" borderId="199" applyNumberFormat="0" applyFont="0" applyFill="0" applyBorder="0" applyProtection="0">
      <alignment horizontal="left" vertical="center" indent="5"/>
    </xf>
    <xf numFmtId="4" fontId="34" fillId="0" borderId="198" applyFill="0" applyBorder="0" applyProtection="0">
      <alignment horizontal="right" vertical="center"/>
    </xf>
    <xf numFmtId="4" fontId="32" fillId="31" borderId="198">
      <alignment horizontal="right" vertical="center"/>
    </xf>
    <xf numFmtId="0" fontId="58" fillId="42" borderId="195" applyNumberFormat="0" applyAlignment="0" applyProtection="0"/>
    <xf numFmtId="0" fontId="49" fillId="42" borderId="195" applyNumberFormat="0" applyAlignment="0" applyProtection="0"/>
    <xf numFmtId="0" fontId="45" fillId="55" borderId="195" applyNumberFormat="0" applyAlignment="0" applyProtection="0"/>
    <xf numFmtId="0" fontId="34" fillId="33" borderId="201">
      <alignment horizontal="left" vertical="center" wrapText="1" indent="2"/>
    </xf>
    <xf numFmtId="0" fontId="34" fillId="0" borderId="201">
      <alignment horizontal="left" vertical="center" wrapText="1" indent="2"/>
    </xf>
    <xf numFmtId="0" fontId="34" fillId="33" borderId="201">
      <alignment horizontal="left" vertical="center" wrapText="1" indent="2"/>
    </xf>
    <xf numFmtId="0" fontId="34" fillId="0" borderId="239" applyNumberFormat="0" applyFill="0" applyAlignment="0" applyProtection="0"/>
    <xf numFmtId="0" fontId="12" fillId="18" borderId="0" applyNumberFormat="0" applyBorder="0" applyAlignment="0" applyProtection="0"/>
    <xf numFmtId="0" fontId="32" fillId="33" borderId="245">
      <alignment horizontal="right" vertical="center"/>
    </xf>
    <xf numFmtId="0" fontId="49" fillId="42" borderId="220" applyNumberFormat="0" applyAlignment="0" applyProtection="0"/>
    <xf numFmtId="0" fontId="34" fillId="31" borderId="240">
      <alignment horizontal="left" vertical="center"/>
    </xf>
    <xf numFmtId="4" fontId="36" fillId="31" borderId="244">
      <alignment horizontal="right" vertical="center"/>
    </xf>
    <xf numFmtId="0" fontId="28" fillId="12" borderId="11" applyNumberFormat="0" applyAlignment="0" applyProtection="0"/>
    <xf numFmtId="0" fontId="26" fillId="13" borderId="0" applyNumberFormat="0" applyBorder="0" applyAlignment="0" applyProtection="0"/>
    <xf numFmtId="0" fontId="45" fillId="55" borderId="211" applyNumberFormat="0" applyAlignment="0" applyProtection="0"/>
    <xf numFmtId="0" fontId="34" fillId="33" borderId="242">
      <alignment horizontal="left" vertical="center" wrapText="1" indent="2"/>
    </xf>
    <xf numFmtId="0" fontId="40" fillId="58" borderId="259" applyNumberFormat="0" applyFont="0" applyAlignment="0" applyProtection="0"/>
    <xf numFmtId="0" fontId="32" fillId="31" borderId="244">
      <alignment horizontal="right" vertical="center"/>
    </xf>
    <xf numFmtId="0" fontId="62" fillId="55" borderId="235" applyNumberFormat="0" applyAlignment="0" applyProtection="0"/>
    <xf numFmtId="0" fontId="40" fillId="58" borderId="213" applyNumberFormat="0" applyFont="0" applyAlignment="0" applyProtection="0"/>
    <xf numFmtId="4" fontId="32" fillId="31" borderId="244">
      <alignment horizontal="right" vertical="center"/>
    </xf>
    <xf numFmtId="173" fontId="34" fillId="59" borderId="230" applyNumberFormat="0" applyFont="0" applyBorder="0" applyAlignment="0" applyProtection="0">
      <alignment horizontal="right" vertical="center"/>
    </xf>
    <xf numFmtId="0" fontId="40" fillId="58" borderId="229" applyNumberFormat="0" applyFont="0" applyAlignment="0" applyProtection="0"/>
    <xf numFmtId="0" fontId="34" fillId="31" borderId="215">
      <alignment horizontal="left" vertical="center"/>
    </xf>
    <xf numFmtId="0" fontId="28" fillId="12" borderId="11" applyNumberFormat="0" applyAlignment="0" applyProtection="0"/>
    <xf numFmtId="0" fontId="1" fillId="0" borderId="0" applyNumberFormat="0" applyFill="0" applyBorder="0" applyAlignment="0" applyProtection="0"/>
    <xf numFmtId="0" fontId="32" fillId="33" borderId="254">
      <alignment horizontal="right" vertical="center"/>
    </xf>
    <xf numFmtId="4" fontId="32" fillId="31" borderId="260">
      <alignment horizontal="right" vertical="center"/>
    </xf>
    <xf numFmtId="0" fontId="40" fillId="58" borderId="222" applyNumberFormat="0" applyFont="0" applyAlignment="0" applyProtection="0"/>
    <xf numFmtId="0" fontId="40" fillId="58" borderId="238" applyNumberFormat="0" applyFont="0" applyAlignment="0" applyProtection="0"/>
    <xf numFmtId="0" fontId="34" fillId="0" borderId="226">
      <alignment horizontal="left" vertical="center" wrapText="1" indent="2"/>
    </xf>
    <xf numFmtId="49" fontId="34" fillId="0" borderId="223" applyNumberFormat="0" applyFont="0" applyFill="0" applyBorder="0" applyProtection="0">
      <alignment horizontal="left" vertical="center" indent="2"/>
    </xf>
    <xf numFmtId="173" fontId="34" fillId="59" borderId="214" applyNumberFormat="0" applyFont="0" applyBorder="0" applyAlignment="0" applyProtection="0">
      <alignment horizontal="right" vertical="center"/>
    </xf>
    <xf numFmtId="0" fontId="32" fillId="31" borderId="244">
      <alignment horizontal="right" vertical="center"/>
    </xf>
    <xf numFmtId="173" fontId="34" fillId="59" borderId="223" applyNumberFormat="0" applyFont="0" applyBorder="0" applyAlignment="0" applyProtection="0">
      <alignment horizontal="right" vertical="center"/>
    </xf>
    <xf numFmtId="4" fontId="32" fillId="33" borderId="214">
      <alignment horizontal="right" vertical="center"/>
    </xf>
    <xf numFmtId="0" fontId="26" fillId="25" borderId="0" applyNumberFormat="0" applyBorder="0" applyAlignment="0" applyProtection="0"/>
    <xf numFmtId="0" fontId="40" fillId="58" borderId="238" applyNumberFormat="0" applyFont="0" applyAlignment="0" applyProtection="0"/>
    <xf numFmtId="0" fontId="12" fillId="27" borderId="0" applyNumberFormat="0" applyBorder="0" applyAlignment="0" applyProtection="0"/>
    <xf numFmtId="0" fontId="12" fillId="24" borderId="0" applyNumberFormat="0" applyBorder="0" applyAlignment="0" applyProtection="0"/>
    <xf numFmtId="4" fontId="32" fillId="33" borderId="239">
      <alignment horizontal="right" vertical="center"/>
    </xf>
    <xf numFmtId="0" fontId="32" fillId="33" borderId="240">
      <alignment horizontal="right" vertical="center"/>
    </xf>
    <xf numFmtId="0" fontId="26" fillId="22" borderId="0" applyNumberFormat="0" applyBorder="0" applyAlignment="0" applyProtection="0"/>
    <xf numFmtId="0" fontId="46" fillId="55" borderId="249" applyNumberFormat="0" applyAlignment="0" applyProtection="0"/>
    <xf numFmtId="0" fontId="43" fillId="55" borderId="235" applyNumberFormat="0" applyAlignment="0" applyProtection="0"/>
    <xf numFmtId="0" fontId="62" fillId="55" borderId="235" applyNumberFormat="0" applyAlignment="0" applyProtection="0"/>
    <xf numFmtId="0" fontId="45" fillId="55" borderId="236" applyNumberFormat="0" applyAlignment="0" applyProtection="0"/>
    <xf numFmtId="0" fontId="32" fillId="33" borderId="216">
      <alignment horizontal="right" vertical="center"/>
    </xf>
    <xf numFmtId="0" fontId="29" fillId="12" borderId="10" applyNumberFormat="0" applyAlignment="0" applyProtection="0"/>
    <xf numFmtId="0" fontId="50" fillId="0" borderId="228" applyNumberFormat="0" applyFill="0" applyAlignment="0" applyProtection="0"/>
    <xf numFmtId="0" fontId="43" fillId="55" borderId="248" applyNumberFormat="0" applyAlignment="0" applyProtection="0"/>
    <xf numFmtId="0" fontId="28" fillId="12" borderId="11" applyNumberFormat="0" applyAlignment="0" applyProtection="0"/>
    <xf numFmtId="4" fontId="36" fillId="31" borderId="230">
      <alignment horizontal="right" vertical="center"/>
    </xf>
    <xf numFmtId="0" fontId="34" fillId="31" borderId="245">
      <alignment horizontal="left" vertical="center"/>
    </xf>
    <xf numFmtId="0" fontId="26" fillId="22" borderId="0" applyNumberFormat="0" applyBorder="0" applyAlignment="0" applyProtection="0"/>
    <xf numFmtId="0" fontId="65" fillId="0" borderId="237" applyNumberFormat="0" applyFill="0" applyAlignment="0" applyProtection="0"/>
    <xf numFmtId="0" fontId="28" fillId="12" borderId="11" applyNumberFormat="0" applyAlignment="0" applyProtection="0"/>
    <xf numFmtId="0" fontId="29" fillId="12" borderId="10" applyNumberFormat="0" applyAlignment="0" applyProtection="0"/>
    <xf numFmtId="0" fontId="32" fillId="33" borderId="239">
      <alignment horizontal="right" vertical="center"/>
    </xf>
    <xf numFmtId="0" fontId="32" fillId="33" borderId="278">
      <alignment horizontal="right" vertical="center"/>
    </xf>
    <xf numFmtId="0" fontId="1" fillId="0" borderId="0" applyNumberFormat="0" applyFill="0" applyBorder="0" applyAlignment="0" applyProtection="0"/>
    <xf numFmtId="0" fontId="12" fillId="21" borderId="0" applyNumberFormat="0" applyBorder="0" applyAlignment="0" applyProtection="0"/>
    <xf numFmtId="0" fontId="30" fillId="0" borderId="0" applyNumberFormat="0" applyFill="0" applyBorder="0" applyAlignment="0" applyProtection="0"/>
    <xf numFmtId="0" fontId="2" fillId="0" borderId="12" applyNumberFormat="0" applyFill="0" applyAlignment="0" applyProtection="0"/>
    <xf numFmtId="4" fontId="34" fillId="0" borderId="239">
      <alignment horizontal="right" vertical="center"/>
    </xf>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34" fillId="33" borderId="242">
      <alignment horizontal="left" vertical="center" wrapText="1" indent="2"/>
    </xf>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4" fontId="32" fillId="33" borderId="225">
      <alignment horizontal="right" vertical="center"/>
    </xf>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26" fillId="29"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4" fontId="32" fillId="33" borderId="246">
      <alignment horizontal="right" vertical="center"/>
    </xf>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198" applyNumberFormat="0" applyFill="0" applyAlignment="0" applyProtection="0"/>
    <xf numFmtId="0" fontId="32" fillId="33" borderId="198">
      <alignment horizontal="right" vertical="center"/>
    </xf>
    <xf numFmtId="0" fontId="32" fillId="33" borderId="198">
      <alignment horizontal="right" vertical="center"/>
    </xf>
    <xf numFmtId="4" fontId="32" fillId="33" borderId="239">
      <alignment horizontal="right" vertical="center"/>
    </xf>
    <xf numFmtId="0" fontId="32" fillId="33" borderId="215">
      <alignment horizontal="right" vertical="center"/>
    </xf>
    <xf numFmtId="0" fontId="34" fillId="0" borderId="198">
      <alignment horizontal="right" vertical="center"/>
    </xf>
    <xf numFmtId="0" fontId="36" fillId="31" borderId="198">
      <alignment horizontal="right" vertical="center"/>
    </xf>
    <xf numFmtId="0" fontId="34" fillId="32" borderId="198"/>
    <xf numFmtId="0" fontId="32" fillId="31" borderId="198">
      <alignment horizontal="right" vertical="center"/>
    </xf>
    <xf numFmtId="0" fontId="49" fillId="42" borderId="227" applyNumberFormat="0" applyAlignment="0" applyProtection="0"/>
    <xf numFmtId="4" fontId="34" fillId="0" borderId="239" applyFill="0" applyBorder="0" applyProtection="0">
      <alignment horizontal="right" vertical="center"/>
    </xf>
    <xf numFmtId="4" fontId="32" fillId="33" borderId="245">
      <alignment horizontal="right" vertical="center"/>
    </xf>
    <xf numFmtId="0" fontId="50" fillId="0" borderId="252" applyNumberFormat="0" applyFill="0" applyAlignment="0" applyProtection="0"/>
    <xf numFmtId="0" fontId="1" fillId="0" borderId="0" applyNumberFormat="0" applyFill="0" applyBorder="0" applyAlignment="0" applyProtection="0"/>
    <xf numFmtId="0" fontId="32" fillId="33" borderId="245">
      <alignment horizontal="right" vertical="center"/>
    </xf>
    <xf numFmtId="0" fontId="32" fillId="31" borderId="239">
      <alignment horizontal="right" vertical="center"/>
    </xf>
    <xf numFmtId="0" fontId="32" fillId="31" borderId="260">
      <alignment horizontal="right" vertical="center"/>
    </xf>
    <xf numFmtId="0" fontId="34" fillId="32" borderId="223"/>
    <xf numFmtId="0" fontId="32" fillId="33" borderId="239">
      <alignment horizontal="right" vertical="center"/>
    </xf>
    <xf numFmtId="0" fontId="34" fillId="32" borderId="239"/>
    <xf numFmtId="0" fontId="40" fillId="58" borderId="243" applyNumberFormat="0" applyFont="0" applyAlignment="0" applyProtection="0"/>
    <xf numFmtId="0" fontId="50" fillId="0" borderId="237" applyNumberFormat="0" applyFill="0" applyAlignment="0" applyProtection="0"/>
    <xf numFmtId="0" fontId="26" fillId="22" borderId="0" applyNumberFormat="0" applyBorder="0" applyAlignment="0" applyProtection="0"/>
    <xf numFmtId="4" fontId="32" fillId="33" borderId="241">
      <alignment horizontal="right" vertical="center"/>
    </xf>
    <xf numFmtId="173" fontId="34" fillId="59" borderId="268" applyNumberFormat="0" applyFont="0" applyBorder="0" applyAlignment="0" applyProtection="0">
      <alignment horizontal="right" vertical="center"/>
    </xf>
    <xf numFmtId="0" fontId="62" fillId="55" borderId="219" applyNumberFormat="0" applyAlignment="0" applyProtection="0"/>
    <xf numFmtId="0" fontId="34" fillId="31" borderId="240">
      <alignment horizontal="left" vertical="center"/>
    </xf>
    <xf numFmtId="49" fontId="33" fillId="0" borderId="214" applyNumberFormat="0" applyFill="0" applyBorder="0" applyProtection="0">
      <alignment horizontal="left" vertical="center"/>
    </xf>
    <xf numFmtId="4" fontId="34" fillId="0" borderId="214" applyFill="0" applyBorder="0" applyProtection="0">
      <alignment horizontal="right" vertical="center"/>
    </xf>
    <xf numFmtId="0" fontId="26" fillId="14" borderId="0" applyNumberFormat="0" applyBorder="0" applyAlignment="0" applyProtection="0"/>
    <xf numFmtId="4" fontId="34" fillId="0" borderId="244" applyFill="0" applyBorder="0" applyProtection="0">
      <alignment horizontal="right" vertical="center"/>
    </xf>
    <xf numFmtId="0" fontId="26" fillId="29" borderId="0" applyNumberFormat="0" applyBorder="0" applyAlignment="0" applyProtection="0"/>
    <xf numFmtId="4" fontId="32" fillId="33" borderId="239">
      <alignment horizontal="right" vertical="center"/>
    </xf>
    <xf numFmtId="4" fontId="32" fillId="33" borderId="240">
      <alignment horizontal="right" vertical="center"/>
    </xf>
    <xf numFmtId="0" fontId="12" fillId="15" borderId="0" applyNumberFormat="0" applyBorder="0" applyAlignment="0" applyProtection="0"/>
    <xf numFmtId="4" fontId="34" fillId="0" borderId="230" applyFill="0" applyBorder="0" applyProtection="0">
      <alignment horizontal="right" vertical="center"/>
    </xf>
    <xf numFmtId="0" fontId="65" fillId="0" borderId="228" applyNumberFormat="0" applyFill="0" applyAlignment="0" applyProtection="0"/>
    <xf numFmtId="0" fontId="46" fillId="55" borderId="227" applyNumberFormat="0" applyAlignment="0" applyProtection="0"/>
    <xf numFmtId="0" fontId="46" fillId="55" borderId="220" applyNumberFormat="0" applyAlignment="0" applyProtection="0"/>
    <xf numFmtId="0" fontId="34" fillId="0" borderId="254">
      <alignment horizontal="right" vertical="center"/>
    </xf>
    <xf numFmtId="0" fontId="40" fillId="58" borderId="238" applyNumberFormat="0" applyFont="0" applyAlignment="0" applyProtection="0"/>
    <xf numFmtId="0" fontId="26" fillId="29" borderId="0" applyNumberFormat="0" applyBorder="0" applyAlignment="0" applyProtection="0"/>
    <xf numFmtId="0" fontId="12" fillId="30" borderId="0" applyNumberFormat="0" applyBorder="0" applyAlignment="0" applyProtection="0"/>
    <xf numFmtId="0" fontId="62" fillId="55" borderId="258" applyNumberFormat="0" applyAlignment="0" applyProtection="0"/>
    <xf numFmtId="0" fontId="65" fillId="0" borderId="252" applyNumberFormat="0" applyFill="0" applyAlignment="0" applyProtection="0"/>
    <xf numFmtId="0" fontId="32" fillId="33" borderId="232">
      <alignment horizontal="right" vertical="center"/>
    </xf>
    <xf numFmtId="0" fontId="65" fillId="0" borderId="250" applyNumberFormat="0" applyFill="0" applyAlignment="0" applyProtection="0"/>
    <xf numFmtId="4" fontId="34" fillId="0" borderId="244">
      <alignment horizontal="right" vertical="center"/>
    </xf>
    <xf numFmtId="0" fontId="32" fillId="33" borderId="244">
      <alignment horizontal="right" vertical="center"/>
    </xf>
    <xf numFmtId="0" fontId="65" fillId="0" borderId="212" applyNumberFormat="0" applyFill="0" applyAlignment="0" applyProtection="0"/>
    <xf numFmtId="0" fontId="34" fillId="0" borderId="214" applyNumberFormat="0" applyFill="0" applyAlignment="0" applyProtection="0"/>
    <xf numFmtId="0" fontId="34" fillId="0" borderId="217">
      <alignment horizontal="left" vertical="center" wrapText="1" indent="2"/>
    </xf>
    <xf numFmtId="0" fontId="32" fillId="33" borderId="214">
      <alignment horizontal="right" vertical="center"/>
    </xf>
    <xf numFmtId="4" fontId="32" fillId="33" borderId="214">
      <alignment horizontal="right" vertical="center"/>
    </xf>
    <xf numFmtId="0" fontId="32" fillId="33" borderId="214">
      <alignment horizontal="right" vertical="center"/>
    </xf>
    <xf numFmtId="4" fontId="36" fillId="31" borderId="214">
      <alignment horizontal="right" vertical="center"/>
    </xf>
    <xf numFmtId="0" fontId="36" fillId="31" borderId="214">
      <alignment horizontal="right" vertical="center"/>
    </xf>
    <xf numFmtId="4" fontId="32" fillId="31" borderId="214">
      <alignment horizontal="right" vertical="center"/>
    </xf>
    <xf numFmtId="0" fontId="32" fillId="31" borderId="214">
      <alignment horizontal="right" vertical="center"/>
    </xf>
    <xf numFmtId="0" fontId="65" fillId="0" borderId="237" applyNumberFormat="0" applyFill="0" applyAlignment="0" applyProtection="0"/>
    <xf numFmtId="0" fontId="46" fillId="55" borderId="204" applyNumberFormat="0" applyAlignment="0" applyProtection="0"/>
    <xf numFmtId="4" fontId="34" fillId="32" borderId="239"/>
    <xf numFmtId="43" fontId="37" fillId="0" borderId="0" applyFont="0" applyFill="0" applyBorder="0" applyAlignment="0" applyProtection="0"/>
    <xf numFmtId="4" fontId="32" fillId="33" borderId="232">
      <alignment horizontal="right" vertical="center"/>
    </xf>
    <xf numFmtId="43" fontId="37" fillId="0" borderId="0" applyFont="0" applyFill="0" applyBorder="0" applyAlignment="0" applyProtection="0"/>
    <xf numFmtId="0" fontId="34" fillId="33" borderId="257">
      <alignment horizontal="left" vertical="center" wrapText="1" indent="2"/>
    </xf>
    <xf numFmtId="0" fontId="65" fillId="0" borderId="212" applyNumberFormat="0" applyFill="0" applyAlignment="0" applyProtection="0"/>
    <xf numFmtId="0" fontId="26" fillId="16" borderId="0" applyNumberFormat="0" applyBorder="0" applyAlignment="0" applyProtection="0"/>
    <xf numFmtId="0" fontId="32" fillId="33" borderId="231">
      <alignment horizontal="right" vertical="center"/>
    </xf>
    <xf numFmtId="0" fontId="58" fillId="42" borderId="220" applyNumberFormat="0" applyAlignment="0" applyProtection="0"/>
    <xf numFmtId="0" fontId="46" fillId="55" borderId="211" applyNumberFormat="0" applyAlignment="0" applyProtection="0"/>
    <xf numFmtId="49" fontId="33" fillId="0" borderId="239" applyNumberFormat="0" applyFill="0" applyBorder="0" applyProtection="0">
      <alignment horizontal="left" vertical="center"/>
    </xf>
    <xf numFmtId="0" fontId="58" fillId="42" borderId="227" applyNumberFormat="0" applyAlignment="0" applyProtection="0"/>
    <xf numFmtId="0" fontId="34" fillId="0" borderId="242">
      <alignment horizontal="left" vertical="center" wrapText="1" indent="2"/>
    </xf>
    <xf numFmtId="0" fontId="58" fillId="42" borderId="204" applyNumberFormat="0" applyAlignment="0" applyProtection="0"/>
    <xf numFmtId="0" fontId="12" fillId="15" borderId="0" applyNumberFormat="0" applyBorder="0" applyAlignment="0" applyProtection="0"/>
    <xf numFmtId="4" fontId="34" fillId="0" borderId="244">
      <alignment horizontal="right" vertical="center"/>
    </xf>
    <xf numFmtId="0" fontId="34" fillId="32" borderId="268"/>
    <xf numFmtId="4" fontId="36" fillId="31" borderId="239">
      <alignment horizontal="right" vertical="center"/>
    </xf>
    <xf numFmtId="0" fontId="49" fillId="42" borderId="236" applyNumberFormat="0" applyAlignment="0" applyProtection="0"/>
    <xf numFmtId="0" fontId="26" fillId="25" borderId="0" applyNumberFormat="0" applyBorder="0" applyAlignment="0" applyProtection="0"/>
    <xf numFmtId="0" fontId="5" fillId="58" borderId="243" applyNumberFormat="0" applyFont="0" applyAlignment="0" applyProtection="0"/>
    <xf numFmtId="0" fontId="65" fillId="0" borderId="237" applyNumberFormat="0" applyFill="0" applyAlignment="0" applyProtection="0"/>
    <xf numFmtId="0" fontId="32" fillId="33" borderId="254">
      <alignment horizontal="right" vertical="center"/>
    </xf>
    <xf numFmtId="0" fontId="45" fillId="55" borderId="249" applyNumberFormat="0" applyAlignment="0" applyProtection="0"/>
    <xf numFmtId="0" fontId="2" fillId="0" borderId="12" applyNumberFormat="0" applyFill="0" applyAlignment="0" applyProtection="0"/>
    <xf numFmtId="4" fontId="32" fillId="31" borderId="239">
      <alignment horizontal="right" vertical="center"/>
    </xf>
    <xf numFmtId="0" fontId="5" fillId="58" borderId="213" applyNumberFormat="0" applyFont="0" applyAlignment="0" applyProtection="0"/>
    <xf numFmtId="0" fontId="40" fillId="58" borderId="213" applyNumberFormat="0" applyFont="0" applyAlignment="0" applyProtection="0"/>
    <xf numFmtId="0" fontId="34" fillId="0" borderId="226">
      <alignment horizontal="left" vertical="center" wrapText="1" indent="2"/>
    </xf>
    <xf numFmtId="4" fontId="34" fillId="0" borderId="244">
      <alignment horizontal="right" vertical="center"/>
    </xf>
    <xf numFmtId="0" fontId="32" fillId="33" borderId="246">
      <alignment horizontal="right" vertical="center"/>
    </xf>
    <xf numFmtId="4" fontId="34" fillId="0" borderId="198" applyFill="0" applyBorder="0" applyProtection="0">
      <alignment horizontal="right" vertical="center"/>
    </xf>
    <xf numFmtId="0" fontId="32" fillId="33" borderId="240">
      <alignment horizontal="right" vertical="center"/>
    </xf>
    <xf numFmtId="0" fontId="34" fillId="32" borderId="244"/>
    <xf numFmtId="0" fontId="12" fillId="30" borderId="0" applyNumberFormat="0" applyBorder="0" applyAlignment="0" applyProtection="0"/>
    <xf numFmtId="0" fontId="34" fillId="0" borderId="242">
      <alignment horizontal="left" vertical="center" wrapText="1" indent="2"/>
    </xf>
    <xf numFmtId="0" fontId="26" fillId="26" borderId="0" applyNumberFormat="0" applyBorder="0" applyAlignment="0" applyProtection="0"/>
    <xf numFmtId="0" fontId="26" fillId="14" borderId="0" applyNumberFormat="0" applyBorder="0" applyAlignment="0" applyProtection="0"/>
    <xf numFmtId="0" fontId="30" fillId="0" borderId="0" applyNumberFormat="0" applyFill="0" applyBorder="0" applyAlignment="0" applyProtection="0"/>
    <xf numFmtId="0" fontId="34" fillId="0" borderId="239">
      <alignment horizontal="right" vertical="center"/>
    </xf>
    <xf numFmtId="0" fontId="40" fillId="58" borderId="206" applyNumberFormat="0" applyFont="0" applyAlignment="0" applyProtection="0"/>
    <xf numFmtId="0" fontId="5" fillId="58" borderId="206" applyNumberFormat="0" applyFont="0" applyAlignment="0" applyProtection="0"/>
    <xf numFmtId="0" fontId="62" fillId="55" borderId="203" applyNumberFormat="0" applyAlignment="0" applyProtection="0"/>
    <xf numFmtId="0" fontId="12" fillId="30" borderId="0" applyNumberFormat="0" applyBorder="0" applyAlignment="0" applyProtection="0"/>
    <xf numFmtId="0" fontId="34" fillId="32" borderId="254"/>
    <xf numFmtId="4" fontId="32" fillId="33" borderId="241">
      <alignment horizontal="right" vertical="center"/>
    </xf>
    <xf numFmtId="49" fontId="34" fillId="0" borderId="239" applyNumberFormat="0" applyFont="0" applyFill="0" applyBorder="0" applyProtection="0">
      <alignment horizontal="left" vertical="center" indent="2"/>
    </xf>
    <xf numFmtId="4" fontId="34" fillId="0" borderId="244">
      <alignment horizontal="right" vertical="center"/>
    </xf>
    <xf numFmtId="0" fontId="32" fillId="33" borderId="239">
      <alignment horizontal="right" vertical="center"/>
    </xf>
    <xf numFmtId="0" fontId="65" fillId="0" borderId="205" applyNumberFormat="0" applyFill="0" applyAlignment="0" applyProtection="0"/>
    <xf numFmtId="0" fontId="36" fillId="31" borderId="239">
      <alignment horizontal="right" vertical="center"/>
    </xf>
    <xf numFmtId="0" fontId="12" fillId="21" borderId="0" applyNumberFormat="0" applyBorder="0" applyAlignment="0" applyProtection="0"/>
    <xf numFmtId="0" fontId="5" fillId="58" borderId="229" applyNumberFormat="0" applyFont="0" applyAlignment="0" applyProtection="0"/>
    <xf numFmtId="0" fontId="34" fillId="31" borderId="240">
      <alignment horizontal="left" vertical="center"/>
    </xf>
    <xf numFmtId="0" fontId="50" fillId="0" borderId="237" applyNumberFormat="0" applyFill="0" applyAlignment="0" applyProtection="0"/>
    <xf numFmtId="0" fontId="46" fillId="55" borderId="236" applyNumberFormat="0" applyAlignment="0" applyProtection="0"/>
    <xf numFmtId="0" fontId="32" fillId="33" borderId="241">
      <alignment horizontal="right" vertical="center"/>
    </xf>
    <xf numFmtId="0" fontId="62" fillId="55" borderId="272" applyNumberFormat="0" applyAlignment="0" applyProtection="0"/>
    <xf numFmtId="4" fontId="32" fillId="33" borderId="223">
      <alignment horizontal="right" vertical="center"/>
    </xf>
    <xf numFmtId="0" fontId="43" fillId="55" borderId="235" applyNumberFormat="0" applyAlignment="0" applyProtection="0"/>
    <xf numFmtId="4" fontId="34" fillId="32" borderId="230"/>
    <xf numFmtId="4" fontId="32" fillId="33" borderId="256">
      <alignment horizontal="right" vertical="center"/>
    </xf>
    <xf numFmtId="0" fontId="34" fillId="33" borderId="257">
      <alignment horizontal="left" vertical="center" wrapText="1" indent="2"/>
    </xf>
    <xf numFmtId="0" fontId="32" fillId="33" borderId="240">
      <alignment horizontal="right" vertical="center"/>
    </xf>
    <xf numFmtId="0" fontId="40" fillId="58" borderId="259" applyNumberFormat="0" applyFont="0" applyAlignment="0" applyProtection="0"/>
    <xf numFmtId="0" fontId="65" fillId="0" borderId="237" applyNumberFormat="0" applyFill="0" applyAlignment="0" applyProtection="0"/>
    <xf numFmtId="0" fontId="26" fillId="20" borderId="0" applyNumberFormat="0" applyBorder="0" applyAlignment="0" applyProtection="0"/>
    <xf numFmtId="4" fontId="34" fillId="32" borderId="239"/>
    <xf numFmtId="0" fontId="29" fillId="12" borderId="10" applyNumberFormat="0" applyAlignment="0" applyProtection="0"/>
    <xf numFmtId="0" fontId="26" fillId="13" borderId="0" applyNumberFormat="0" applyBorder="0" applyAlignment="0" applyProtection="0"/>
    <xf numFmtId="4" fontId="34" fillId="0" borderId="239">
      <alignment horizontal="right" vertical="center"/>
    </xf>
    <xf numFmtId="0" fontId="50" fillId="0" borderId="212" applyNumberFormat="0" applyFill="0" applyAlignment="0" applyProtection="0"/>
    <xf numFmtId="0" fontId="49" fillId="42" borderId="236" applyNumberFormat="0" applyAlignment="0" applyProtection="0"/>
    <xf numFmtId="0" fontId="50" fillId="0" borderId="274" applyNumberFormat="0" applyFill="0" applyAlignment="0" applyProtection="0"/>
    <xf numFmtId="0" fontId="5" fillId="58" borderId="267" applyNumberFormat="0" applyFont="0" applyAlignment="0" applyProtection="0"/>
    <xf numFmtId="0" fontId="62" fillId="55" borderId="235" applyNumberFormat="0" applyAlignment="0" applyProtection="0"/>
    <xf numFmtId="4" fontId="32" fillId="33" borderId="239">
      <alignment horizontal="right" vertical="center"/>
    </xf>
    <xf numFmtId="0" fontId="50" fillId="0" borderId="237" applyNumberFormat="0" applyFill="0" applyAlignment="0" applyProtection="0"/>
    <xf numFmtId="0" fontId="65" fillId="0" borderId="228" applyNumberFormat="0" applyFill="0" applyAlignment="0" applyProtection="0"/>
    <xf numFmtId="0" fontId="12" fillId="24" borderId="0" applyNumberFormat="0" applyBorder="0" applyAlignment="0" applyProtection="0"/>
    <xf numFmtId="0" fontId="12" fillId="27" borderId="0" applyNumberFormat="0" applyBorder="0" applyAlignment="0" applyProtection="0"/>
    <xf numFmtId="0" fontId="30" fillId="0" borderId="0" applyNumberFormat="0" applyFill="0" applyBorder="0" applyAlignment="0" applyProtection="0"/>
    <xf numFmtId="0" fontId="49" fillId="42" borderId="236" applyNumberFormat="0" applyAlignment="0" applyProtection="0"/>
    <xf numFmtId="0" fontId="26" fillId="22" borderId="0" applyNumberFormat="0" applyBorder="0" applyAlignment="0" applyProtection="0"/>
    <xf numFmtId="0" fontId="62" fillId="55" borderId="235" applyNumberFormat="0" applyAlignment="0" applyProtection="0"/>
    <xf numFmtId="4" fontId="32" fillId="33" borderId="244">
      <alignment horizontal="right" vertical="center"/>
    </xf>
    <xf numFmtId="0" fontId="62" fillId="55" borderId="235" applyNumberFormat="0" applyAlignment="0" applyProtection="0"/>
    <xf numFmtId="173" fontId="34" fillId="59" borderId="239" applyNumberFormat="0" applyFont="0" applyBorder="0" applyAlignment="0" applyProtection="0">
      <alignment horizontal="right" vertical="center"/>
    </xf>
    <xf numFmtId="0" fontId="50" fillId="0" borderId="266" applyNumberFormat="0" applyFill="0" applyAlignment="0" applyProtection="0"/>
    <xf numFmtId="0" fontId="26" fillId="19" borderId="0" applyNumberFormat="0" applyBorder="0" applyAlignment="0" applyProtection="0"/>
    <xf numFmtId="0" fontId="32" fillId="31" borderId="254">
      <alignment horizontal="right" vertical="center"/>
    </xf>
    <xf numFmtId="0" fontId="46" fillId="55" borderId="204" applyNumberFormat="0" applyAlignment="0" applyProtection="0"/>
    <xf numFmtId="0" fontId="43" fillId="55" borderId="219" applyNumberFormat="0" applyAlignment="0" applyProtection="0"/>
    <xf numFmtId="49" fontId="33" fillId="0" borderId="244" applyNumberFormat="0" applyFill="0" applyBorder="0" applyProtection="0">
      <alignment horizontal="left" vertical="center"/>
    </xf>
    <xf numFmtId="4" fontId="36" fillId="31" borderId="244">
      <alignment horizontal="right" vertical="center"/>
    </xf>
    <xf numFmtId="0" fontId="34" fillId="0" borderId="223" applyNumberFormat="0" applyFill="0" applyAlignment="0" applyProtection="0"/>
    <xf numFmtId="4" fontId="34" fillId="0" borderId="223" applyFill="0" applyBorder="0" applyProtection="0">
      <alignment horizontal="right" vertical="center"/>
    </xf>
    <xf numFmtId="0" fontId="34" fillId="0" borderId="233">
      <alignment horizontal="left" vertical="center" wrapText="1" indent="2"/>
    </xf>
    <xf numFmtId="0" fontId="26" fillId="17" borderId="0" applyNumberFormat="0" applyBorder="0" applyAlignment="0" applyProtection="0"/>
    <xf numFmtId="0" fontId="58" fillId="42" borderId="204" applyNumberFormat="0" applyAlignment="0" applyProtection="0"/>
    <xf numFmtId="0" fontId="34" fillId="0" borderId="244">
      <alignment horizontal="right" vertical="center"/>
    </xf>
    <xf numFmtId="0" fontId="34" fillId="31" borderId="231">
      <alignment horizontal="left" vertical="center"/>
    </xf>
    <xf numFmtId="0" fontId="29" fillId="12" borderId="10" applyNumberFormat="0" applyAlignment="0" applyProtection="0"/>
    <xf numFmtId="0" fontId="40" fillId="58" borderId="206" applyNumberFormat="0" applyFont="0" applyAlignment="0" applyProtection="0"/>
    <xf numFmtId="0" fontId="62" fillId="55" borderId="203" applyNumberFormat="0" applyAlignment="0" applyProtection="0"/>
    <xf numFmtId="0" fontId="46" fillId="55" borderId="236" applyNumberFormat="0" applyAlignment="0" applyProtection="0"/>
    <xf numFmtId="0" fontId="65" fillId="0" borderId="205" applyNumberFormat="0" applyFill="0" applyAlignment="0" applyProtection="0"/>
    <xf numFmtId="0" fontId="32" fillId="33" borderId="241">
      <alignment horizontal="right" vertical="center"/>
    </xf>
    <xf numFmtId="0" fontId="32" fillId="33" borderId="239">
      <alignment horizontal="right" vertical="center"/>
    </xf>
    <xf numFmtId="0" fontId="32" fillId="33" borderId="224">
      <alignment horizontal="right" vertical="center"/>
    </xf>
    <xf numFmtId="0" fontId="34" fillId="0" borderId="281">
      <alignment horizontal="left" vertical="center" wrapText="1" indent="2"/>
    </xf>
    <xf numFmtId="49" fontId="33" fillId="0" borderId="239" applyNumberFormat="0" applyFill="0" applyBorder="0" applyProtection="0">
      <alignment horizontal="left" vertical="center"/>
    </xf>
    <xf numFmtId="0" fontId="26" fillId="23" borderId="0" applyNumberFormat="0" applyBorder="0" applyAlignment="0" applyProtection="0"/>
    <xf numFmtId="0" fontId="50" fillId="0" borderId="252" applyNumberFormat="0" applyFill="0" applyAlignment="0" applyProtection="0"/>
    <xf numFmtId="4" fontId="32" fillId="33" borderId="244">
      <alignment horizontal="right" vertical="center"/>
    </xf>
    <xf numFmtId="0" fontId="45" fillId="55" borderId="220" applyNumberFormat="0" applyAlignment="0" applyProtection="0"/>
    <xf numFmtId="0" fontId="32" fillId="33" borderId="230">
      <alignment horizontal="right" vertical="center"/>
    </xf>
    <xf numFmtId="0" fontId="32" fillId="33" borderId="241">
      <alignment horizontal="right" vertical="center"/>
    </xf>
    <xf numFmtId="0" fontId="65" fillId="0" borderId="228" applyNumberFormat="0" applyFill="0" applyAlignment="0" applyProtection="0"/>
    <xf numFmtId="0" fontId="45" fillId="55" borderId="236" applyNumberFormat="0" applyAlignment="0" applyProtection="0"/>
    <xf numFmtId="0" fontId="50" fillId="0" borderId="266" applyNumberFormat="0" applyFill="0" applyAlignment="0" applyProtection="0"/>
    <xf numFmtId="0" fontId="40" fillId="58" borderId="238" applyNumberFormat="0" applyFont="0" applyAlignment="0" applyProtection="0"/>
    <xf numFmtId="4" fontId="34" fillId="0" borderId="239" applyFill="0" applyBorder="0" applyProtection="0">
      <alignment horizontal="right" vertical="center"/>
    </xf>
    <xf numFmtId="0" fontId="26" fillId="17" borderId="0" applyNumberFormat="0" applyBorder="0" applyAlignment="0" applyProtection="0"/>
    <xf numFmtId="49" fontId="34" fillId="0" borderId="215" applyNumberFormat="0" applyFont="0" applyFill="0" applyBorder="0" applyProtection="0">
      <alignment horizontal="left" vertical="center" indent="5"/>
    </xf>
    <xf numFmtId="0" fontId="26" fillId="20" borderId="0" applyNumberFormat="0" applyBorder="0" applyAlignment="0" applyProtection="0"/>
    <xf numFmtId="4" fontId="32" fillId="33" borderId="239">
      <alignment horizontal="right" vertical="center"/>
    </xf>
    <xf numFmtId="0" fontId="32" fillId="31" borderId="207">
      <alignment horizontal="right" vertical="center"/>
    </xf>
    <xf numFmtId="4" fontId="32" fillId="31" borderId="207">
      <alignment horizontal="right" vertical="center"/>
    </xf>
    <xf numFmtId="0" fontId="36" fillId="31" borderId="207">
      <alignment horizontal="right" vertical="center"/>
    </xf>
    <xf numFmtId="4" fontId="36" fillId="31" borderId="207">
      <alignment horizontal="right" vertical="center"/>
    </xf>
    <xf numFmtId="0" fontId="32" fillId="33" borderId="207">
      <alignment horizontal="right" vertical="center"/>
    </xf>
    <xf numFmtId="4" fontId="32" fillId="33" borderId="207">
      <alignment horizontal="right" vertical="center"/>
    </xf>
    <xf numFmtId="0" fontId="32" fillId="33" borderId="207">
      <alignment horizontal="right" vertical="center"/>
    </xf>
    <xf numFmtId="4" fontId="32" fillId="33" borderId="207">
      <alignment horizontal="right" vertical="center"/>
    </xf>
    <xf numFmtId="0" fontId="32" fillId="33" borderId="208">
      <alignment horizontal="right" vertical="center"/>
    </xf>
    <xf numFmtId="4" fontId="32" fillId="33" borderId="208">
      <alignment horizontal="right" vertical="center"/>
    </xf>
    <xf numFmtId="0" fontId="32" fillId="33" borderId="209">
      <alignment horizontal="right" vertical="center"/>
    </xf>
    <xf numFmtId="4" fontId="32" fillId="33" borderId="209">
      <alignment horizontal="right" vertical="center"/>
    </xf>
    <xf numFmtId="0" fontId="46" fillId="55" borderId="204" applyNumberFormat="0" applyAlignment="0" applyProtection="0"/>
    <xf numFmtId="0" fontId="34" fillId="33" borderId="210">
      <alignment horizontal="left" vertical="center" wrapText="1" indent="2"/>
    </xf>
    <xf numFmtId="0" fontId="34" fillId="0" borderId="210">
      <alignment horizontal="left" vertical="center" wrapText="1" indent="2"/>
    </xf>
    <xf numFmtId="0" fontId="34" fillId="31" borderId="208">
      <alignment horizontal="left" vertical="center"/>
    </xf>
    <xf numFmtId="0" fontId="58" fillId="42" borderId="220" applyNumberFormat="0" applyAlignment="0" applyProtection="0"/>
    <xf numFmtId="0" fontId="58" fillId="42" borderId="204" applyNumberFormat="0" applyAlignment="0" applyProtection="0"/>
    <xf numFmtId="0" fontId="34" fillId="0" borderId="207">
      <alignment horizontal="right" vertical="center"/>
    </xf>
    <xf numFmtId="4" fontId="34" fillId="0" borderId="207">
      <alignment horizontal="right" vertical="center"/>
    </xf>
    <xf numFmtId="0" fontId="46" fillId="55" borderId="220" applyNumberFormat="0" applyAlignment="0" applyProtection="0"/>
    <xf numFmtId="0" fontId="34" fillId="0" borderId="207" applyNumberFormat="0" applyFill="0" applyAlignment="0" applyProtection="0"/>
    <xf numFmtId="0" fontId="62" fillId="55" borderId="203" applyNumberFormat="0" applyAlignment="0" applyProtection="0"/>
    <xf numFmtId="173" fontId="34" fillId="59" borderId="207" applyNumberFormat="0" applyFont="0" applyBorder="0" applyAlignment="0" applyProtection="0">
      <alignment horizontal="right" vertical="center"/>
    </xf>
    <xf numFmtId="0" fontId="34" fillId="32" borderId="207"/>
    <xf numFmtId="4" fontId="34" fillId="32" borderId="207"/>
    <xf numFmtId="0" fontId="65" fillId="0" borderId="205" applyNumberFormat="0" applyFill="0" applyAlignment="0" applyProtection="0"/>
    <xf numFmtId="4" fontId="34" fillId="0" borderId="239" applyFill="0" applyBorder="0" applyProtection="0">
      <alignment horizontal="right" vertical="center"/>
    </xf>
    <xf numFmtId="0" fontId="32" fillId="31" borderId="244">
      <alignment horizontal="right" vertical="center"/>
    </xf>
    <xf numFmtId="4" fontId="34" fillId="0" borderId="223">
      <alignment horizontal="right" vertical="center"/>
    </xf>
    <xf numFmtId="0" fontId="58" fillId="42" borderId="236" applyNumberFormat="0" applyAlignment="0" applyProtection="0"/>
    <xf numFmtId="173" fontId="34" fillId="59" borderId="244" applyNumberFormat="0" applyFont="0" applyBorder="0" applyAlignment="0" applyProtection="0">
      <alignment horizontal="right" vertical="center"/>
    </xf>
    <xf numFmtId="4" fontId="32" fillId="33" borderId="240">
      <alignment horizontal="right" vertical="center"/>
    </xf>
    <xf numFmtId="0" fontId="32" fillId="33" borderId="239">
      <alignment horizontal="right" vertical="center"/>
    </xf>
    <xf numFmtId="0" fontId="26" fillId="20" borderId="0" applyNumberFormat="0" applyBorder="0" applyAlignment="0" applyProtection="0"/>
    <xf numFmtId="0" fontId="1" fillId="0" borderId="0" applyNumberFormat="0" applyFill="0" applyBorder="0" applyAlignment="0" applyProtection="0"/>
    <xf numFmtId="0" fontId="62" fillId="55" borderId="219" applyNumberFormat="0" applyAlignment="0" applyProtection="0"/>
    <xf numFmtId="0" fontId="32" fillId="31" borderId="223">
      <alignment horizontal="right" vertical="center"/>
    </xf>
    <xf numFmtId="49" fontId="34" fillId="0" borderId="231" applyNumberFormat="0" applyFont="0" applyFill="0" applyBorder="0" applyProtection="0">
      <alignment horizontal="left" vertical="center" indent="5"/>
    </xf>
    <xf numFmtId="0" fontId="40" fillId="58" borderId="222" applyNumberFormat="0" applyFont="0" applyAlignment="0" applyProtection="0"/>
    <xf numFmtId="0" fontId="34" fillId="0" borderId="244" applyNumberFormat="0" applyFill="0" applyAlignment="0" applyProtection="0"/>
    <xf numFmtId="0" fontId="43" fillId="55" borderId="235" applyNumberFormat="0" applyAlignment="0" applyProtection="0"/>
    <xf numFmtId="0" fontId="40" fillId="58" borderId="243" applyNumberFormat="0" applyFont="0" applyAlignment="0" applyProtection="0"/>
    <xf numFmtId="0" fontId="49" fillId="42" borderId="273" applyNumberFormat="0" applyAlignment="0" applyProtection="0"/>
    <xf numFmtId="0" fontId="40" fillId="58" borderId="253" applyNumberFormat="0" applyFont="0" applyAlignment="0" applyProtection="0"/>
    <xf numFmtId="4" fontId="34" fillId="32" borderId="223"/>
    <xf numFmtId="0" fontId="40" fillId="58" borderId="238" applyNumberFormat="0" applyFont="0" applyAlignment="0" applyProtection="0"/>
    <xf numFmtId="0" fontId="40" fillId="58" borderId="243" applyNumberFormat="0" applyFont="0" applyAlignment="0" applyProtection="0"/>
    <xf numFmtId="4" fontId="36" fillId="31" borderId="239">
      <alignment horizontal="right" vertical="center"/>
    </xf>
    <xf numFmtId="0" fontId="26" fillId="14" borderId="0" applyNumberFormat="0" applyBorder="0" applyAlignment="0" applyProtection="0"/>
    <xf numFmtId="0" fontId="12" fillId="27" borderId="0" applyNumberFormat="0" applyBorder="0" applyAlignment="0" applyProtection="0"/>
    <xf numFmtId="0" fontId="58" fillId="42" borderId="236" applyNumberFormat="0" applyAlignment="0" applyProtection="0"/>
    <xf numFmtId="0" fontId="26" fillId="19" borderId="0" applyNumberFormat="0" applyBorder="0" applyAlignment="0" applyProtection="0"/>
    <xf numFmtId="0" fontId="34" fillId="0" borderId="239">
      <alignment horizontal="right" vertical="center"/>
    </xf>
    <xf numFmtId="0" fontId="26" fillId="14" borderId="0" applyNumberFormat="0" applyBorder="0" applyAlignment="0" applyProtection="0"/>
    <xf numFmtId="0" fontId="26" fillId="14" borderId="0" applyNumberFormat="0" applyBorder="0" applyAlignment="0" applyProtection="0"/>
    <xf numFmtId="0" fontId="1" fillId="0" borderId="0" applyNumberFormat="0" applyFill="0" applyBorder="0" applyAlignment="0" applyProtection="0"/>
    <xf numFmtId="0" fontId="45" fillId="55" borderId="251" applyNumberFormat="0" applyAlignment="0" applyProtection="0"/>
    <xf numFmtId="0" fontId="32" fillId="33" borderId="260">
      <alignment horizontal="right" vertical="center"/>
    </xf>
    <xf numFmtId="4" fontId="32" fillId="31" borderId="239">
      <alignment horizontal="right" vertical="center"/>
    </xf>
    <xf numFmtId="0" fontId="65" fillId="0" borderId="221" applyNumberFormat="0" applyFill="0" applyAlignment="0" applyProtection="0"/>
    <xf numFmtId="0" fontId="34" fillId="33" borderId="226">
      <alignment horizontal="left" vertical="center" wrapText="1" indent="2"/>
    </xf>
    <xf numFmtId="0" fontId="2" fillId="0" borderId="12" applyNumberFormat="0" applyFill="0" applyAlignment="0" applyProtection="0"/>
    <xf numFmtId="4" fontId="36" fillId="31" borderId="239">
      <alignment horizontal="right" vertical="center"/>
    </xf>
    <xf numFmtId="0" fontId="65" fillId="0" borderId="221" applyNumberFormat="0" applyFill="0" applyAlignment="0" applyProtection="0"/>
    <xf numFmtId="0" fontId="34" fillId="0" borderId="254" applyNumberFormat="0" applyFill="0" applyAlignment="0" applyProtection="0"/>
    <xf numFmtId="0" fontId="46" fillId="55" borderId="249" applyNumberFormat="0" applyAlignment="0" applyProtection="0"/>
    <xf numFmtId="173" fontId="34" fillId="59" borderId="244" applyNumberFormat="0" applyFont="0" applyBorder="0" applyAlignment="0" applyProtection="0">
      <alignment horizontal="right" vertical="center"/>
    </xf>
    <xf numFmtId="49" fontId="33" fillId="0" borderId="223" applyNumberFormat="0" applyFill="0" applyBorder="0" applyProtection="0">
      <alignment horizontal="left" vertical="center"/>
    </xf>
    <xf numFmtId="0" fontId="12" fillId="18" borderId="0" applyNumberFormat="0" applyBorder="0" applyAlignment="0" applyProtection="0"/>
    <xf numFmtId="0" fontId="32" fillId="31" borderId="254">
      <alignment horizontal="right" vertical="center"/>
    </xf>
    <xf numFmtId="0" fontId="34" fillId="0" borderId="239" applyNumberFormat="0" applyFill="0" applyAlignment="0" applyProtection="0"/>
    <xf numFmtId="4" fontId="32" fillId="33" borderId="245">
      <alignment horizontal="right" vertical="center"/>
    </xf>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4" fontId="32" fillId="33" borderId="240">
      <alignment horizontal="right" vertical="center"/>
    </xf>
    <xf numFmtId="0" fontId="26" fillId="26" borderId="0" applyNumberFormat="0" applyBorder="0" applyAlignment="0" applyProtection="0"/>
    <xf numFmtId="0" fontId="26" fillId="16" borderId="0" applyNumberFormat="0" applyBorder="0" applyAlignment="0" applyProtection="0"/>
    <xf numFmtId="0" fontId="43" fillId="55" borderId="258" applyNumberFormat="0" applyAlignment="0" applyProtection="0"/>
    <xf numFmtId="0" fontId="26" fillId="13" borderId="0" applyNumberFormat="0" applyBorder="0" applyAlignment="0" applyProtection="0"/>
    <xf numFmtId="4" fontId="32" fillId="33" borderId="246">
      <alignment horizontal="right" vertical="center"/>
    </xf>
    <xf numFmtId="4" fontId="34" fillId="32" borderId="239"/>
    <xf numFmtId="0" fontId="32" fillId="31" borderId="244">
      <alignment horizontal="right" vertical="center"/>
    </xf>
    <xf numFmtId="0" fontId="2" fillId="0" borderId="12" applyNumberFormat="0" applyFill="0" applyAlignment="0" applyProtection="0"/>
    <xf numFmtId="0" fontId="40" fillId="58" borderId="238" applyNumberFormat="0" applyFont="0" applyAlignment="0" applyProtection="0"/>
    <xf numFmtId="0" fontId="1" fillId="0" borderId="0" applyNumberFormat="0" applyFill="0" applyBorder="0" applyAlignment="0" applyProtection="0"/>
    <xf numFmtId="49" fontId="34" fillId="0" borderId="207" applyNumberFormat="0" applyFont="0" applyFill="0" applyBorder="0" applyProtection="0">
      <alignment horizontal="left" vertical="center" indent="2"/>
    </xf>
    <xf numFmtId="49" fontId="34" fillId="0" borderId="208" applyNumberFormat="0" applyFont="0" applyFill="0" applyBorder="0" applyProtection="0">
      <alignment horizontal="left" vertical="center" indent="5"/>
    </xf>
    <xf numFmtId="0" fontId="26" fillId="26" borderId="0" applyNumberFormat="0" applyBorder="0" applyAlignment="0" applyProtection="0"/>
    <xf numFmtId="0" fontId="26" fillId="19" borderId="0" applyNumberFormat="0" applyBorder="0" applyAlignment="0" applyProtection="0"/>
    <xf numFmtId="0" fontId="5" fillId="58" borderId="238" applyNumberFormat="0" applyFont="0" applyAlignment="0" applyProtection="0"/>
    <xf numFmtId="4" fontId="36" fillId="31" borderId="268">
      <alignment horizontal="right" vertical="center"/>
    </xf>
    <xf numFmtId="0" fontId="28" fillId="12" borderId="11" applyNumberFormat="0" applyAlignment="0" applyProtection="0"/>
    <xf numFmtId="0" fontId="34" fillId="0" borderId="233">
      <alignment horizontal="left" vertical="center" wrapText="1" indent="2"/>
    </xf>
    <xf numFmtId="0" fontId="12" fillId="15" borderId="0" applyNumberFormat="0" applyBorder="0" applyAlignment="0" applyProtection="0"/>
    <xf numFmtId="0" fontId="26" fillId="22" borderId="0" applyNumberFormat="0" applyBorder="0" applyAlignment="0" applyProtection="0"/>
    <xf numFmtId="0" fontId="58" fillId="42" borderId="249" applyNumberFormat="0" applyAlignment="0" applyProtection="0"/>
    <xf numFmtId="4" fontId="34" fillId="0" borderId="207" applyFill="0" applyBorder="0" applyProtection="0">
      <alignment horizontal="right" vertical="center"/>
    </xf>
    <xf numFmtId="49" fontId="33" fillId="0" borderId="207" applyNumberFormat="0" applyFill="0" applyBorder="0" applyProtection="0">
      <alignment horizontal="left" vertical="center"/>
    </xf>
    <xf numFmtId="49" fontId="34" fillId="0" borderId="255" applyNumberFormat="0" applyFont="0" applyFill="0" applyBorder="0" applyProtection="0">
      <alignment horizontal="left" vertical="center" indent="5"/>
    </xf>
    <xf numFmtId="0" fontId="49" fillId="42" borderId="236" applyNumberFormat="0" applyAlignment="0" applyProtection="0"/>
    <xf numFmtId="0" fontId="50" fillId="0" borderId="252" applyNumberFormat="0" applyFill="0" applyAlignment="0" applyProtection="0"/>
    <xf numFmtId="0" fontId="34" fillId="0" borderId="230">
      <alignment horizontal="right" vertical="center"/>
    </xf>
    <xf numFmtId="0" fontId="26" fillId="25" borderId="0" applyNumberFormat="0" applyBorder="0" applyAlignment="0" applyProtection="0"/>
    <xf numFmtId="0" fontId="26" fillId="25" borderId="0" applyNumberFormat="0" applyBorder="0" applyAlignment="0" applyProtection="0"/>
    <xf numFmtId="0" fontId="12" fillId="15" borderId="0" applyNumberFormat="0" applyBorder="0" applyAlignment="0" applyProtection="0"/>
    <xf numFmtId="0" fontId="50" fillId="0" borderId="221" applyNumberFormat="0" applyFill="0" applyAlignment="0" applyProtection="0"/>
    <xf numFmtId="0" fontId="26" fillId="16" borderId="0" applyNumberFormat="0" applyBorder="0" applyAlignment="0" applyProtection="0"/>
    <xf numFmtId="0" fontId="34" fillId="0" borderId="254" applyNumberFormat="0" applyFill="0" applyAlignment="0" applyProtection="0"/>
    <xf numFmtId="0" fontId="65" fillId="0" borderId="237" applyNumberFormat="0" applyFill="0" applyAlignment="0" applyProtection="0"/>
    <xf numFmtId="0" fontId="32" fillId="33" borderId="223">
      <alignment horizontal="right" vertical="center"/>
    </xf>
    <xf numFmtId="0" fontId="34" fillId="33" borderId="226">
      <alignment horizontal="left" vertical="center" wrapText="1" indent="2"/>
    </xf>
    <xf numFmtId="0" fontId="26" fillId="29" borderId="0" applyNumberFormat="0" applyBorder="0" applyAlignment="0" applyProtection="0"/>
    <xf numFmtId="0" fontId="40" fillId="58" borderId="243" applyNumberFormat="0" applyFont="0" applyAlignment="0" applyProtection="0"/>
    <xf numFmtId="0" fontId="46" fillId="55" borderId="236" applyNumberFormat="0" applyAlignment="0" applyProtection="0"/>
    <xf numFmtId="0" fontId="46" fillId="55" borderId="236" applyNumberFormat="0" applyAlignment="0" applyProtection="0"/>
    <xf numFmtId="0" fontId="43" fillId="55" borderId="272" applyNumberFormat="0" applyAlignment="0" applyProtection="0"/>
    <xf numFmtId="173" fontId="34" fillId="59" borderId="244" applyNumberFormat="0" applyFont="0" applyBorder="0" applyAlignment="0" applyProtection="0">
      <alignment horizontal="right" vertical="center"/>
    </xf>
    <xf numFmtId="0" fontId="58" fillId="42" borderId="236" applyNumberFormat="0" applyAlignment="0" applyProtection="0"/>
    <xf numFmtId="0" fontId="58" fillId="42" borderId="249" applyNumberFormat="0" applyAlignment="0" applyProtection="0"/>
    <xf numFmtId="0" fontId="58" fillId="42" borderId="227" applyNumberFormat="0" applyAlignment="0" applyProtection="0"/>
    <xf numFmtId="0" fontId="40" fillId="58" borderId="238" applyNumberFormat="0" applyFont="0" applyAlignment="0" applyProtection="0"/>
    <xf numFmtId="0" fontId="26" fillId="26" borderId="0" applyNumberFormat="0" applyBorder="0" applyAlignment="0" applyProtection="0"/>
    <xf numFmtId="0" fontId="34" fillId="33" borderId="242">
      <alignment horizontal="left" vertical="center" wrapText="1" indent="2"/>
    </xf>
    <xf numFmtId="4" fontId="34" fillId="0" borderId="239">
      <alignment horizontal="right" vertical="center"/>
    </xf>
    <xf numFmtId="49" fontId="34" fillId="0" borderId="254" applyNumberFormat="0" applyFont="0" applyFill="0" applyBorder="0" applyProtection="0">
      <alignment horizontal="left" vertical="center" indent="2"/>
    </xf>
    <xf numFmtId="49" fontId="34" fillId="0" borderId="214" applyNumberFormat="0" applyFont="0" applyFill="0" applyBorder="0" applyProtection="0">
      <alignment horizontal="left" vertical="center" indent="2"/>
    </xf>
    <xf numFmtId="0" fontId="46" fillId="55" borderId="220" applyNumberFormat="0" applyAlignment="0" applyProtection="0"/>
    <xf numFmtId="0" fontId="43" fillId="55" borderId="203" applyNumberFormat="0" applyAlignment="0" applyProtection="0"/>
    <xf numFmtId="0" fontId="45" fillId="55" borderId="204" applyNumberFormat="0" applyAlignment="0" applyProtection="0"/>
    <xf numFmtId="0" fontId="50" fillId="0" borderId="205" applyNumberFormat="0" applyFill="0" applyAlignment="0" applyProtection="0"/>
    <xf numFmtId="0" fontId="58" fillId="42" borderId="211" applyNumberFormat="0" applyAlignment="0" applyProtection="0"/>
    <xf numFmtId="0" fontId="58" fillId="42" borderId="236" applyNumberFormat="0" applyAlignment="0" applyProtection="0"/>
    <xf numFmtId="0" fontId="32" fillId="33" borderId="239">
      <alignment horizontal="right" vertical="center"/>
    </xf>
    <xf numFmtId="4" fontId="32" fillId="33" borderId="241">
      <alignment horizontal="right" vertical="center"/>
    </xf>
    <xf numFmtId="0" fontId="34" fillId="32" borderId="239"/>
    <xf numFmtId="0" fontId="65" fillId="0" borderId="237" applyNumberFormat="0" applyFill="0" applyAlignment="0" applyProtection="0"/>
    <xf numFmtId="0" fontId="34" fillId="0" borderId="239" applyNumberFormat="0" applyFill="0" applyAlignment="0" applyProtection="0"/>
    <xf numFmtId="0" fontId="32" fillId="33" borderId="244">
      <alignment horizontal="right" vertical="center"/>
    </xf>
    <xf numFmtId="0" fontId="34" fillId="32" borderId="230"/>
    <xf numFmtId="0" fontId="1" fillId="0" borderId="0" applyNumberFormat="0" applyFill="0" applyBorder="0" applyAlignment="0" applyProtection="0"/>
    <xf numFmtId="0" fontId="34" fillId="0" borderId="242">
      <alignment horizontal="left" vertical="center" wrapText="1" indent="2"/>
    </xf>
    <xf numFmtId="0" fontId="65" fillId="0" borderId="221" applyNumberFormat="0" applyFill="0" applyAlignment="0" applyProtection="0"/>
    <xf numFmtId="0" fontId="32" fillId="33" borderId="241">
      <alignment horizontal="right" vertical="center"/>
    </xf>
    <xf numFmtId="0" fontId="34" fillId="32" borderId="214"/>
    <xf numFmtId="4" fontId="34" fillId="32" borderId="214"/>
    <xf numFmtId="0" fontId="34" fillId="0" borderId="214">
      <alignment horizontal="right" vertical="center"/>
    </xf>
    <xf numFmtId="4" fontId="32" fillId="31" borderId="239">
      <alignment horizontal="right" vertical="center"/>
    </xf>
    <xf numFmtId="4" fontId="32" fillId="33" borderId="216">
      <alignment horizontal="right" vertical="center"/>
    </xf>
    <xf numFmtId="0" fontId="34" fillId="33" borderId="217">
      <alignment horizontal="left" vertical="center" wrapText="1" indent="2"/>
    </xf>
    <xf numFmtId="0" fontId="36" fillId="31" borderId="230">
      <alignment horizontal="right" vertical="center"/>
    </xf>
    <xf numFmtId="4" fontId="34" fillId="32" borderId="239"/>
    <xf numFmtId="0" fontId="65" fillId="0" borderId="237" applyNumberFormat="0" applyFill="0" applyAlignment="0" applyProtection="0"/>
    <xf numFmtId="0" fontId="62" fillId="55" borderId="235" applyNumberFormat="0" applyAlignment="0" applyProtection="0"/>
    <xf numFmtId="0" fontId="49" fillId="42" borderId="204" applyNumberFormat="0" applyAlignment="0" applyProtection="0"/>
    <xf numFmtId="0" fontId="45" fillId="55" borderId="249" applyNumberFormat="0" applyAlignment="0" applyProtection="0"/>
    <xf numFmtId="0" fontId="26" fillId="14" borderId="0" applyNumberFormat="0" applyBorder="0" applyAlignment="0" applyProtection="0"/>
    <xf numFmtId="0" fontId="65" fillId="0" borderId="212" applyNumberFormat="0" applyFill="0" applyAlignment="0" applyProtection="0"/>
    <xf numFmtId="0" fontId="32" fillId="33" borderId="239">
      <alignment horizontal="right" vertical="center"/>
    </xf>
    <xf numFmtId="0" fontId="34" fillId="0" borderId="244" applyNumberFormat="0" applyFill="0" applyAlignment="0" applyProtection="0"/>
    <xf numFmtId="4" fontId="34" fillId="0" borderId="239" applyFill="0" applyBorder="0" applyProtection="0">
      <alignment horizontal="right" vertical="center"/>
    </xf>
    <xf numFmtId="0" fontId="34" fillId="31" borderId="224">
      <alignment horizontal="left" vertical="center"/>
    </xf>
    <xf numFmtId="0" fontId="36" fillId="31" borderId="239">
      <alignment horizontal="right" vertical="center"/>
    </xf>
    <xf numFmtId="0" fontId="26" fillId="22" borderId="0" applyNumberFormat="0" applyBorder="0" applyAlignment="0" applyProtection="0"/>
    <xf numFmtId="0" fontId="43" fillId="55" borderId="235" applyNumberFormat="0" applyAlignment="0" applyProtection="0"/>
    <xf numFmtId="0" fontId="28" fillId="12" borderId="11" applyNumberFormat="0" applyAlignment="0" applyProtection="0"/>
    <xf numFmtId="0" fontId="62" fillId="55" borderId="235" applyNumberFormat="0" applyAlignment="0" applyProtection="0"/>
    <xf numFmtId="0" fontId="40" fillId="58" borderId="229" applyNumberFormat="0" applyFont="0" applyAlignment="0" applyProtection="0"/>
    <xf numFmtId="0" fontId="36" fillId="31" borderId="244">
      <alignment horizontal="right" vertical="center"/>
    </xf>
    <xf numFmtId="4" fontId="34" fillId="32" borderId="239"/>
    <xf numFmtId="0" fontId="58" fillId="42" borderId="249" applyNumberFormat="0" applyAlignment="0" applyProtection="0"/>
    <xf numFmtId="0" fontId="26" fillId="28" borderId="0" applyNumberFormat="0" applyBorder="0" applyAlignment="0" applyProtection="0"/>
    <xf numFmtId="0" fontId="28" fillId="12" borderId="11" applyNumberFormat="0" applyAlignment="0" applyProtection="0"/>
    <xf numFmtId="49" fontId="34" fillId="0" borderId="244" applyNumberFormat="0" applyFont="0" applyFill="0" applyBorder="0" applyProtection="0">
      <alignment horizontal="left" vertical="center" indent="2"/>
    </xf>
    <xf numFmtId="0" fontId="34" fillId="33" borderId="210">
      <alignment horizontal="left" vertical="center" wrapText="1" indent="2"/>
    </xf>
    <xf numFmtId="0" fontId="34" fillId="0" borderId="210">
      <alignment horizontal="left" vertical="center" wrapText="1" indent="2"/>
    </xf>
    <xf numFmtId="0" fontId="36" fillId="31" borderId="239">
      <alignment horizontal="right" vertical="center"/>
    </xf>
    <xf numFmtId="0" fontId="49" fillId="42" borderId="265" applyNumberFormat="0" applyAlignment="0" applyProtection="0"/>
    <xf numFmtId="4" fontId="32" fillId="33" borderId="224">
      <alignment horizontal="right" vertical="center"/>
    </xf>
    <xf numFmtId="0" fontId="34" fillId="33" borderId="242">
      <alignment horizontal="left" vertical="center" wrapText="1" indent="2"/>
    </xf>
    <xf numFmtId="0" fontId="26" fillId="17" borderId="0" applyNumberFormat="0" applyBorder="0" applyAlignment="0" applyProtection="0"/>
    <xf numFmtId="0" fontId="26" fillId="13" borderId="0" applyNumberFormat="0" applyBorder="0" applyAlignment="0" applyProtection="0"/>
    <xf numFmtId="0" fontId="30" fillId="0" borderId="0" applyNumberFormat="0" applyFill="0" applyBorder="0" applyAlignment="0" applyProtection="0"/>
    <xf numFmtId="49" fontId="34" fillId="0" borderId="239" applyNumberFormat="0" applyFont="0" applyFill="0" applyBorder="0" applyProtection="0">
      <alignment horizontal="left" vertical="center" indent="2"/>
    </xf>
    <xf numFmtId="0" fontId="26" fillId="22" borderId="0" applyNumberFormat="0" applyBorder="0" applyAlignment="0" applyProtection="0"/>
    <xf numFmtId="0" fontId="46" fillId="55" borderId="236" applyNumberFormat="0" applyAlignment="0" applyProtection="0"/>
    <xf numFmtId="0" fontId="40" fillId="58" borderId="238" applyNumberFormat="0" applyFont="0" applyAlignment="0" applyProtection="0"/>
    <xf numFmtId="0" fontId="34" fillId="31" borderId="240">
      <alignment horizontal="left" vertical="center"/>
    </xf>
    <xf numFmtId="4" fontId="32" fillId="33" borderId="244">
      <alignment horizontal="right" vertical="center"/>
    </xf>
    <xf numFmtId="4" fontId="34" fillId="0" borderId="230">
      <alignment horizontal="right" vertical="center"/>
    </xf>
    <xf numFmtId="0" fontId="32" fillId="33" borderId="239">
      <alignment horizontal="right" vertical="center"/>
    </xf>
    <xf numFmtId="0" fontId="58" fillId="42" borderId="211" applyNumberFormat="0" applyAlignment="0" applyProtection="0"/>
    <xf numFmtId="0" fontId="50" fillId="0" borderId="237" applyNumberFormat="0" applyFill="0" applyAlignment="0" applyProtection="0"/>
    <xf numFmtId="0" fontId="46" fillId="55" borderId="236" applyNumberFormat="0" applyAlignment="0" applyProtection="0"/>
    <xf numFmtId="0" fontId="58" fillId="42" borderId="236" applyNumberFormat="0" applyAlignment="0" applyProtection="0"/>
    <xf numFmtId="0" fontId="46" fillId="55" borderId="211" applyNumberFormat="0" applyAlignment="0" applyProtection="0"/>
    <xf numFmtId="0" fontId="34" fillId="0" borderId="223">
      <alignment horizontal="right" vertical="center"/>
    </xf>
    <xf numFmtId="49" fontId="33" fillId="0" borderId="230" applyNumberFormat="0" applyFill="0" applyBorder="0" applyProtection="0">
      <alignment horizontal="left" vertical="center"/>
    </xf>
    <xf numFmtId="0" fontId="34" fillId="33" borderId="242">
      <alignment horizontal="left" vertical="center" wrapText="1" indent="2"/>
    </xf>
    <xf numFmtId="0" fontId="26" fillId="17" borderId="0" applyNumberFormat="0" applyBorder="0" applyAlignment="0" applyProtection="0"/>
    <xf numFmtId="0" fontId="34" fillId="0" borderId="239">
      <alignment horizontal="right" vertical="center"/>
    </xf>
    <xf numFmtId="0" fontId="46" fillId="55" borderId="249" applyNumberFormat="0" applyAlignment="0" applyProtection="0"/>
    <xf numFmtId="0" fontId="34" fillId="0" borderId="239">
      <alignment horizontal="right" vertical="center"/>
    </xf>
    <xf numFmtId="0" fontId="50" fillId="0" borderId="237" applyNumberFormat="0" applyFill="0" applyAlignment="0" applyProtection="0"/>
    <xf numFmtId="0" fontId="40" fillId="58" borderId="259" applyNumberFormat="0" applyFont="0" applyAlignment="0" applyProtection="0"/>
    <xf numFmtId="49" fontId="34" fillId="0" borderId="224" applyNumberFormat="0" applyFont="0" applyFill="0" applyBorder="0" applyProtection="0">
      <alignment horizontal="left" vertical="center" indent="5"/>
    </xf>
    <xf numFmtId="0" fontId="34" fillId="0" borderId="247">
      <alignment horizontal="left" vertical="center" wrapText="1" indent="2"/>
    </xf>
    <xf numFmtId="49" fontId="34" fillId="0" borderId="239" applyNumberFormat="0" applyFont="0" applyFill="0" applyBorder="0" applyProtection="0">
      <alignment horizontal="left" vertical="center" indent="2"/>
    </xf>
    <xf numFmtId="0" fontId="30" fillId="0" borderId="0" applyNumberFormat="0" applyFill="0" applyBorder="0" applyAlignment="0" applyProtection="0"/>
    <xf numFmtId="49" fontId="33" fillId="0" borderId="239" applyNumberFormat="0" applyFill="0" applyBorder="0" applyProtection="0">
      <alignment horizontal="left" vertical="center"/>
    </xf>
    <xf numFmtId="0" fontId="40" fillId="58" borderId="238" applyNumberFormat="0" applyFont="0" applyAlignment="0" applyProtection="0"/>
    <xf numFmtId="0" fontId="50" fillId="0" borderId="237" applyNumberFormat="0" applyFill="0" applyAlignment="0" applyProtection="0"/>
    <xf numFmtId="0" fontId="46" fillId="55" borderId="236" applyNumberFormat="0" applyAlignment="0" applyProtection="0"/>
    <xf numFmtId="0" fontId="65" fillId="0" borderId="237" applyNumberFormat="0" applyFill="0" applyAlignment="0" applyProtection="0"/>
    <xf numFmtId="0" fontId="12" fillId="15" borderId="0" applyNumberFormat="0" applyBorder="0" applyAlignment="0" applyProtection="0"/>
    <xf numFmtId="0" fontId="32" fillId="33" borderId="244">
      <alignment horizontal="right" vertical="center"/>
    </xf>
    <xf numFmtId="0" fontId="45" fillId="55" borderId="236" applyNumberFormat="0" applyAlignment="0" applyProtection="0"/>
    <xf numFmtId="0" fontId="65" fillId="0" borderId="237" applyNumberFormat="0" applyFill="0" applyAlignment="0" applyProtection="0"/>
    <xf numFmtId="0" fontId="65" fillId="0" borderId="266" applyNumberFormat="0" applyFill="0" applyAlignment="0" applyProtection="0"/>
    <xf numFmtId="0" fontId="65" fillId="0" borderId="237" applyNumberFormat="0" applyFill="0" applyAlignment="0" applyProtection="0"/>
    <xf numFmtId="173" fontId="34" fillId="59" borderId="254" applyNumberFormat="0" applyFont="0" applyBorder="0" applyAlignment="0" applyProtection="0">
      <alignment horizontal="right" vertical="center"/>
    </xf>
    <xf numFmtId="4" fontId="34" fillId="32" borderId="244"/>
    <xf numFmtId="0" fontId="58" fillId="42" borderId="251" applyNumberFormat="0" applyAlignment="0" applyProtection="0"/>
    <xf numFmtId="0" fontId="32" fillId="33" borderId="241">
      <alignment horizontal="right" vertical="center"/>
    </xf>
    <xf numFmtId="49" fontId="34" fillId="0" borderId="254" applyNumberFormat="0" applyFont="0" applyFill="0" applyBorder="0" applyProtection="0">
      <alignment horizontal="left" vertical="center" indent="2"/>
    </xf>
    <xf numFmtId="0" fontId="12" fillId="21" borderId="0" applyNumberFormat="0" applyBorder="0" applyAlignment="0" applyProtection="0"/>
    <xf numFmtId="0" fontId="26" fillId="23" borderId="0" applyNumberFormat="0" applyBorder="0" applyAlignment="0" applyProtection="0"/>
    <xf numFmtId="0" fontId="12" fillId="30" borderId="0" applyNumberFormat="0" applyBorder="0" applyAlignment="0" applyProtection="0"/>
    <xf numFmtId="0" fontId="32" fillId="33" borderId="239">
      <alignment horizontal="right" vertical="center"/>
    </xf>
    <xf numFmtId="0" fontId="26" fillId="28" borderId="0" applyNumberFormat="0" applyBorder="0" applyAlignment="0" applyProtection="0"/>
    <xf numFmtId="0" fontId="32" fillId="31" borderId="254">
      <alignment horizontal="right" vertical="center"/>
    </xf>
    <xf numFmtId="0" fontId="26" fillId="25" borderId="0" applyNumberFormat="0" applyBorder="0" applyAlignment="0" applyProtection="0"/>
    <xf numFmtId="0" fontId="26" fillId="23" borderId="0" applyNumberFormat="0" applyBorder="0" applyAlignment="0" applyProtection="0"/>
    <xf numFmtId="0" fontId="65" fillId="0" borderId="252" applyNumberFormat="0" applyFill="0" applyAlignment="0" applyProtection="0"/>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4" fontId="32" fillId="33" borderId="231">
      <alignment horizontal="right" vertical="center"/>
    </xf>
    <xf numFmtId="0" fontId="2" fillId="0" borderId="12" applyNumberFormat="0" applyFill="0" applyAlignment="0" applyProtection="0"/>
    <xf numFmtId="0" fontId="26" fillId="14" borderId="0" applyNumberFormat="0" applyBorder="0" applyAlignment="0" applyProtection="0"/>
    <xf numFmtId="4" fontId="32" fillId="33" borderId="239">
      <alignment horizontal="right" vertical="center"/>
    </xf>
    <xf numFmtId="4" fontId="36" fillId="31" borderId="239">
      <alignment horizontal="right" vertical="center"/>
    </xf>
    <xf numFmtId="0" fontId="50" fillId="0" borderId="252" applyNumberFormat="0" applyFill="0" applyAlignment="0" applyProtection="0"/>
    <xf numFmtId="0" fontId="30" fillId="0" borderId="0" applyNumberFormat="0" applyFill="0" applyBorder="0" applyAlignment="0" applyProtection="0"/>
    <xf numFmtId="0" fontId="34" fillId="32" borderId="244"/>
    <xf numFmtId="0" fontId="58" fillId="42" borderId="236" applyNumberFormat="0" applyAlignment="0" applyProtection="0"/>
    <xf numFmtId="0" fontId="1" fillId="0" borderId="0" applyNumberFormat="0" applyFill="0" applyBorder="0" applyAlignment="0" applyProtection="0"/>
    <xf numFmtId="4" fontId="32" fillId="33" borderId="207">
      <alignment horizontal="right" vertical="center"/>
    </xf>
    <xf numFmtId="0" fontId="34" fillId="32" borderId="207"/>
    <xf numFmtId="0" fontId="45" fillId="55" borderId="204" applyNumberFormat="0" applyAlignment="0" applyProtection="0"/>
    <xf numFmtId="0" fontId="32" fillId="31" borderId="207">
      <alignment horizontal="right" vertical="center"/>
    </xf>
    <xf numFmtId="0" fontId="34" fillId="0" borderId="207">
      <alignment horizontal="right" vertical="center"/>
    </xf>
    <xf numFmtId="0" fontId="65" fillId="0" borderId="205" applyNumberFormat="0" applyFill="0" applyAlignment="0" applyProtection="0"/>
    <xf numFmtId="0" fontId="34" fillId="31" borderId="208">
      <alignment horizontal="left" vertical="center"/>
    </xf>
    <xf numFmtId="0" fontId="58" fillId="42" borderId="204" applyNumberFormat="0" applyAlignment="0" applyProtection="0"/>
    <xf numFmtId="173" fontId="34" fillId="59" borderId="207" applyNumberFormat="0" applyFont="0" applyBorder="0" applyAlignment="0" applyProtection="0">
      <alignment horizontal="right" vertical="center"/>
    </xf>
    <xf numFmtId="0" fontId="40" fillId="58" borderId="206" applyNumberFormat="0" applyFont="0" applyAlignment="0" applyProtection="0"/>
    <xf numFmtId="0" fontId="34" fillId="0" borderId="210">
      <alignment horizontal="left" vertical="center" wrapText="1" indent="2"/>
    </xf>
    <xf numFmtId="4" fontId="34" fillId="32" borderId="207"/>
    <xf numFmtId="49" fontId="33" fillId="0" borderId="207" applyNumberFormat="0" applyFill="0" applyBorder="0" applyProtection="0">
      <alignment horizontal="left" vertical="center"/>
    </xf>
    <xf numFmtId="0" fontId="34" fillId="0" borderId="207">
      <alignment horizontal="right" vertical="center"/>
    </xf>
    <xf numFmtId="4" fontId="32" fillId="33" borderId="209">
      <alignment horizontal="right" vertical="center"/>
    </xf>
    <xf numFmtId="4" fontId="32" fillId="33" borderId="207">
      <alignment horizontal="right" vertical="center"/>
    </xf>
    <xf numFmtId="4" fontId="32" fillId="33" borderId="207">
      <alignment horizontal="right" vertical="center"/>
    </xf>
    <xf numFmtId="0" fontId="36" fillId="31" borderId="207">
      <alignment horizontal="right" vertical="center"/>
    </xf>
    <xf numFmtId="0" fontId="32" fillId="31" borderId="207">
      <alignment horizontal="right" vertical="center"/>
    </xf>
    <xf numFmtId="49" fontId="34" fillId="0" borderId="207" applyNumberFormat="0" applyFont="0" applyFill="0" applyBorder="0" applyProtection="0">
      <alignment horizontal="left" vertical="center" indent="2"/>
    </xf>
    <xf numFmtId="0" fontId="58" fillId="42" borderId="204" applyNumberFormat="0" applyAlignment="0" applyProtection="0"/>
    <xf numFmtId="0" fontId="43" fillId="55" borderId="203" applyNumberFormat="0" applyAlignment="0" applyProtection="0"/>
    <xf numFmtId="49" fontId="34" fillId="0" borderId="207" applyNumberFormat="0" applyFont="0" applyFill="0" applyBorder="0" applyProtection="0">
      <alignment horizontal="left" vertical="center" indent="2"/>
    </xf>
    <xf numFmtId="0" fontId="49" fillId="42" borderId="204" applyNumberFormat="0" applyAlignment="0" applyProtection="0"/>
    <xf numFmtId="4" fontId="34" fillId="0" borderId="207" applyFill="0" applyBorder="0" applyProtection="0">
      <alignment horizontal="right" vertical="center"/>
    </xf>
    <xf numFmtId="0" fontId="46" fillId="55" borderId="204" applyNumberFormat="0" applyAlignment="0" applyProtection="0"/>
    <xf numFmtId="0" fontId="65" fillId="0" borderId="205" applyNumberFormat="0" applyFill="0" applyAlignment="0" applyProtection="0"/>
    <xf numFmtId="0" fontId="62" fillId="55" borderId="203" applyNumberFormat="0" applyAlignment="0" applyProtection="0"/>
    <xf numFmtId="0" fontId="34" fillId="0" borderId="207" applyNumberFormat="0" applyFill="0" applyAlignment="0" applyProtection="0"/>
    <xf numFmtId="4" fontId="34" fillId="0" borderId="207">
      <alignment horizontal="right" vertical="center"/>
    </xf>
    <xf numFmtId="0" fontId="34" fillId="0" borderId="207">
      <alignment horizontal="right" vertical="center"/>
    </xf>
    <xf numFmtId="0" fontId="58" fillId="42" borderId="204" applyNumberFormat="0" applyAlignment="0" applyProtection="0"/>
    <xf numFmtId="0" fontId="43" fillId="55" borderId="203" applyNumberFormat="0" applyAlignment="0" applyProtection="0"/>
    <xf numFmtId="0" fontId="45" fillId="55" borderId="204" applyNumberFormat="0" applyAlignment="0" applyProtection="0"/>
    <xf numFmtId="0" fontId="34" fillId="33" borderId="210">
      <alignment horizontal="left" vertical="center" wrapText="1" indent="2"/>
    </xf>
    <xf numFmtId="0" fontId="46" fillId="55" borderId="204" applyNumberFormat="0" applyAlignment="0" applyProtection="0"/>
    <xf numFmtId="0" fontId="46" fillId="55" borderId="204" applyNumberFormat="0" applyAlignment="0" applyProtection="0"/>
    <xf numFmtId="4" fontId="32" fillId="33" borderId="208">
      <alignment horizontal="right" vertical="center"/>
    </xf>
    <xf numFmtId="0" fontId="32" fillId="33" borderId="208">
      <alignment horizontal="right" vertical="center"/>
    </xf>
    <xf numFmtId="0" fontId="32" fillId="33" borderId="207">
      <alignment horizontal="right" vertical="center"/>
    </xf>
    <xf numFmtId="4" fontId="36" fillId="31" borderId="207">
      <alignment horizontal="right" vertical="center"/>
    </xf>
    <xf numFmtId="0" fontId="49" fillId="42" borderId="204" applyNumberFormat="0" applyAlignment="0" applyProtection="0"/>
    <xf numFmtId="0" fontId="50" fillId="0" borderId="205" applyNumberFormat="0" applyFill="0" applyAlignment="0" applyProtection="0"/>
    <xf numFmtId="0" fontId="65" fillId="0" borderId="205" applyNumberFormat="0" applyFill="0" applyAlignment="0" applyProtection="0"/>
    <xf numFmtId="0" fontId="40" fillId="58" borderId="206" applyNumberFormat="0" applyFont="0" applyAlignment="0" applyProtection="0"/>
    <xf numFmtId="0" fontId="58" fillId="42" borderId="204" applyNumberFormat="0" applyAlignment="0" applyProtection="0"/>
    <xf numFmtId="49" fontId="33" fillId="0" borderId="207" applyNumberFormat="0" applyFill="0" applyBorder="0" applyProtection="0">
      <alignment horizontal="left" vertical="center"/>
    </xf>
    <xf numFmtId="0" fontId="34" fillId="33" borderId="210">
      <alignment horizontal="left" vertical="center" wrapText="1" indent="2"/>
    </xf>
    <xf numFmtId="0" fontId="46" fillId="55" borderId="204" applyNumberFormat="0" applyAlignment="0" applyProtection="0"/>
    <xf numFmtId="0" fontId="34" fillId="0" borderId="210">
      <alignment horizontal="left" vertical="center" wrapText="1" indent="2"/>
    </xf>
    <xf numFmtId="0" fontId="40" fillId="58" borderId="206" applyNumberFormat="0" applyFont="0" applyAlignment="0" applyProtection="0"/>
    <xf numFmtId="0" fontId="5" fillId="58" borderId="206" applyNumberFormat="0" applyFont="0" applyAlignment="0" applyProtection="0"/>
    <xf numFmtId="0" fontId="62" fillId="55" borderId="203" applyNumberFormat="0" applyAlignment="0" applyProtection="0"/>
    <xf numFmtId="0" fontId="65" fillId="0" borderId="205" applyNumberFormat="0" applyFill="0" applyAlignment="0" applyProtection="0"/>
    <xf numFmtId="4" fontId="34" fillId="32" borderId="207"/>
    <xf numFmtId="0" fontId="32" fillId="33" borderId="207">
      <alignment horizontal="right" vertical="center"/>
    </xf>
    <xf numFmtId="0" fontId="65" fillId="0" borderId="205" applyNumberFormat="0" applyFill="0" applyAlignment="0" applyProtection="0"/>
    <xf numFmtId="4" fontId="32" fillId="33" borderId="209">
      <alignment horizontal="right" vertical="center"/>
    </xf>
    <xf numFmtId="0" fontId="45" fillId="55" borderId="204" applyNumberFormat="0" applyAlignment="0" applyProtection="0"/>
    <xf numFmtId="0" fontId="32" fillId="33" borderId="208">
      <alignment horizontal="right" vertical="center"/>
    </xf>
    <xf numFmtId="0" fontId="46" fillId="55" borderId="204" applyNumberFormat="0" applyAlignment="0" applyProtection="0"/>
    <xf numFmtId="0" fontId="50" fillId="0" borderId="205" applyNumberFormat="0" applyFill="0" applyAlignment="0" applyProtection="0"/>
    <xf numFmtId="0" fontId="40" fillId="58" borderId="206" applyNumberFormat="0" applyFont="0" applyAlignment="0" applyProtection="0"/>
    <xf numFmtId="4" fontId="32" fillId="33" borderId="208">
      <alignment horizontal="right" vertical="center"/>
    </xf>
    <xf numFmtId="0" fontId="34" fillId="33" borderId="210">
      <alignment horizontal="left" vertical="center" wrapText="1" indent="2"/>
    </xf>
    <xf numFmtId="0" fontId="34" fillId="32" borderId="207"/>
    <xf numFmtId="173" fontId="34" fillId="59" borderId="207" applyNumberFormat="0" applyFont="0" applyBorder="0" applyAlignment="0" applyProtection="0">
      <alignment horizontal="right" vertical="center"/>
    </xf>
    <xf numFmtId="0" fontId="34" fillId="0" borderId="207" applyNumberFormat="0" applyFill="0" applyAlignment="0" applyProtection="0"/>
    <xf numFmtId="4" fontId="34" fillId="0" borderId="207" applyFill="0" applyBorder="0" applyProtection="0">
      <alignment horizontal="right" vertical="center"/>
    </xf>
    <xf numFmtId="4" fontId="32" fillId="31" borderId="207">
      <alignment horizontal="right" vertical="center"/>
    </xf>
    <xf numFmtId="0" fontId="50" fillId="0" borderId="205" applyNumberFormat="0" applyFill="0" applyAlignment="0" applyProtection="0"/>
    <xf numFmtId="49" fontId="33" fillId="0" borderId="207" applyNumberFormat="0" applyFill="0" applyBorder="0" applyProtection="0">
      <alignment horizontal="left" vertical="center"/>
    </xf>
    <xf numFmtId="49" fontId="34" fillId="0" borderId="208" applyNumberFormat="0" applyFont="0" applyFill="0" applyBorder="0" applyProtection="0">
      <alignment horizontal="left" vertical="center" indent="5"/>
    </xf>
    <xf numFmtId="0" fontId="34" fillId="31" borderId="208">
      <alignment horizontal="left" vertical="center"/>
    </xf>
    <xf numFmtId="0" fontId="46" fillId="55" borderId="204" applyNumberFormat="0" applyAlignment="0" applyProtection="0"/>
    <xf numFmtId="4" fontId="32" fillId="33" borderId="209">
      <alignment horizontal="right" vertical="center"/>
    </xf>
    <xf numFmtId="0" fontId="58" fillId="42" borderId="204" applyNumberFormat="0" applyAlignment="0" applyProtection="0"/>
    <xf numFmtId="0" fontId="58" fillId="42" borderId="204" applyNumberFormat="0" applyAlignment="0" applyProtection="0"/>
    <xf numFmtId="0" fontId="40" fillId="58" borderId="206" applyNumberFormat="0" applyFont="0" applyAlignment="0" applyProtection="0"/>
    <xf numFmtId="0" fontId="62" fillId="55" borderId="203" applyNumberFormat="0" applyAlignment="0" applyProtection="0"/>
    <xf numFmtId="0" fontId="65" fillId="0" borderId="205" applyNumberFormat="0" applyFill="0" applyAlignment="0" applyProtection="0"/>
    <xf numFmtId="0" fontId="32" fillId="33" borderId="207">
      <alignment horizontal="right" vertical="center"/>
    </xf>
    <xf numFmtId="0" fontId="5" fillId="58" borderId="206" applyNumberFormat="0" applyFont="0" applyAlignment="0" applyProtection="0"/>
    <xf numFmtId="4" fontId="34" fillId="0" borderId="207">
      <alignment horizontal="right" vertical="center"/>
    </xf>
    <xf numFmtId="0" fontId="65" fillId="0" borderId="205" applyNumberFormat="0" applyFill="0" applyAlignment="0" applyProtection="0"/>
    <xf numFmtId="0" fontId="32" fillId="33" borderId="207">
      <alignment horizontal="right" vertical="center"/>
    </xf>
    <xf numFmtId="0" fontId="32" fillId="33" borderId="207">
      <alignment horizontal="right" vertical="center"/>
    </xf>
    <xf numFmtId="4" fontId="36" fillId="31" borderId="207">
      <alignment horizontal="right" vertical="center"/>
    </xf>
    <xf numFmtId="0" fontId="32" fillId="31" borderId="207">
      <alignment horizontal="right" vertical="center"/>
    </xf>
    <xf numFmtId="4" fontId="32" fillId="31" borderId="207">
      <alignment horizontal="right" vertical="center"/>
    </xf>
    <xf numFmtId="0" fontId="36" fillId="31" borderId="207">
      <alignment horizontal="right" vertical="center"/>
    </xf>
    <xf numFmtId="4" fontId="36" fillId="31" borderId="207">
      <alignment horizontal="right" vertical="center"/>
    </xf>
    <xf numFmtId="0" fontId="32" fillId="33" borderId="207">
      <alignment horizontal="right" vertical="center"/>
    </xf>
    <xf numFmtId="4" fontId="32" fillId="33" borderId="207">
      <alignment horizontal="right" vertical="center"/>
    </xf>
    <xf numFmtId="0" fontId="32" fillId="33" borderId="207">
      <alignment horizontal="right" vertical="center"/>
    </xf>
    <xf numFmtId="4" fontId="32" fillId="33" borderId="207">
      <alignment horizontal="right" vertical="center"/>
    </xf>
    <xf numFmtId="0" fontId="32" fillId="33" borderId="208">
      <alignment horizontal="right" vertical="center"/>
    </xf>
    <xf numFmtId="4" fontId="32" fillId="33" borderId="208">
      <alignment horizontal="right" vertical="center"/>
    </xf>
    <xf numFmtId="0" fontId="32" fillId="33" borderId="209">
      <alignment horizontal="right" vertical="center"/>
    </xf>
    <xf numFmtId="4" fontId="32" fillId="33" borderId="209">
      <alignment horizontal="right" vertical="center"/>
    </xf>
    <xf numFmtId="0" fontId="46" fillId="55" borderId="204" applyNumberFormat="0" applyAlignment="0" applyProtection="0"/>
    <xf numFmtId="0" fontId="34" fillId="33" borderId="210">
      <alignment horizontal="left" vertical="center" wrapText="1" indent="2"/>
    </xf>
    <xf numFmtId="0" fontId="34" fillId="0" borderId="210">
      <alignment horizontal="left" vertical="center" wrapText="1" indent="2"/>
    </xf>
    <xf numFmtId="0" fontId="34" fillId="31" borderId="208">
      <alignment horizontal="left" vertical="center"/>
    </xf>
    <xf numFmtId="0" fontId="58" fillId="42" borderId="204" applyNumberFormat="0" applyAlignment="0" applyProtection="0"/>
    <xf numFmtId="0" fontId="34" fillId="0" borderId="207">
      <alignment horizontal="right" vertical="center"/>
    </xf>
    <xf numFmtId="4" fontId="34" fillId="0" borderId="207">
      <alignment horizontal="right" vertical="center"/>
    </xf>
    <xf numFmtId="0" fontId="34" fillId="0" borderId="207" applyNumberFormat="0" applyFill="0" applyAlignment="0" applyProtection="0"/>
    <xf numFmtId="0" fontId="62" fillId="55" borderId="203" applyNumberFormat="0" applyAlignment="0" applyProtection="0"/>
    <xf numFmtId="173" fontId="34" fillId="59" borderId="207" applyNumberFormat="0" applyFont="0" applyBorder="0" applyAlignment="0" applyProtection="0">
      <alignment horizontal="right" vertical="center"/>
    </xf>
    <xf numFmtId="0" fontId="34" fillId="32" borderId="207"/>
    <xf numFmtId="4" fontId="34" fillId="32" borderId="207"/>
    <xf numFmtId="0" fontId="65" fillId="0" borderId="205" applyNumberFormat="0" applyFill="0" applyAlignment="0" applyProtection="0"/>
    <xf numFmtId="0" fontId="5" fillId="58" borderId="206" applyNumberFormat="0" applyFont="0" applyAlignment="0" applyProtection="0"/>
    <xf numFmtId="0" fontId="40" fillId="58" borderId="206" applyNumberFormat="0" applyFont="0" applyAlignment="0" applyProtection="0"/>
    <xf numFmtId="0" fontId="34" fillId="0" borderId="207" applyNumberFormat="0" applyFill="0" applyAlignment="0" applyProtection="0"/>
    <xf numFmtId="0" fontId="50" fillId="0" borderId="205" applyNumberFormat="0" applyFill="0" applyAlignment="0" applyProtection="0"/>
    <xf numFmtId="0" fontId="65" fillId="0" borderId="205" applyNumberFormat="0" applyFill="0" applyAlignment="0" applyProtection="0"/>
    <xf numFmtId="0" fontId="49" fillId="42" borderId="204" applyNumberFormat="0" applyAlignment="0" applyProtection="0"/>
    <xf numFmtId="0" fontId="46" fillId="55" borderId="204" applyNumberFormat="0" applyAlignment="0" applyProtection="0"/>
    <xf numFmtId="4" fontId="36" fillId="31" borderId="207">
      <alignment horizontal="right" vertical="center"/>
    </xf>
    <xf numFmtId="0" fontId="32" fillId="31" borderId="207">
      <alignment horizontal="right" vertical="center"/>
    </xf>
    <xf numFmtId="173" fontId="34" fillId="59" borderId="207" applyNumberFormat="0" applyFont="0" applyBorder="0" applyAlignment="0" applyProtection="0">
      <alignment horizontal="right" vertical="center"/>
    </xf>
    <xf numFmtId="0" fontId="50" fillId="0" borderId="205" applyNumberFormat="0" applyFill="0" applyAlignment="0" applyProtection="0"/>
    <xf numFmtId="49" fontId="34" fillId="0" borderId="207" applyNumberFormat="0" applyFont="0" applyFill="0" applyBorder="0" applyProtection="0">
      <alignment horizontal="left" vertical="center" indent="2"/>
    </xf>
    <xf numFmtId="49" fontId="34" fillId="0" borderId="208" applyNumberFormat="0" applyFont="0" applyFill="0" applyBorder="0" applyProtection="0">
      <alignment horizontal="left" vertical="center" indent="5"/>
    </xf>
    <xf numFmtId="49" fontId="34" fillId="0" borderId="207" applyNumberFormat="0" applyFont="0" applyFill="0" applyBorder="0" applyProtection="0">
      <alignment horizontal="left" vertical="center" indent="2"/>
    </xf>
    <xf numFmtId="4" fontId="34" fillId="0" borderId="207" applyFill="0" applyBorder="0" applyProtection="0">
      <alignment horizontal="right" vertical="center"/>
    </xf>
    <xf numFmtId="49" fontId="33" fillId="0" borderId="207" applyNumberFormat="0" applyFill="0" applyBorder="0" applyProtection="0">
      <alignment horizontal="left" vertical="center"/>
    </xf>
    <xf numFmtId="0" fontId="34" fillId="0" borderId="210">
      <alignment horizontal="left" vertical="center" wrapText="1" indent="2"/>
    </xf>
    <xf numFmtId="0" fontId="62" fillId="55" borderId="203" applyNumberFormat="0" applyAlignment="0" applyProtection="0"/>
    <xf numFmtId="0" fontId="32" fillId="33" borderId="209">
      <alignment horizontal="right" vertical="center"/>
    </xf>
    <xf numFmtId="0" fontId="49" fillId="42" borderId="204" applyNumberFormat="0" applyAlignment="0" applyProtection="0"/>
    <xf numFmtId="0" fontId="32" fillId="33" borderId="209">
      <alignment horizontal="right" vertical="center"/>
    </xf>
    <xf numFmtId="4" fontId="32" fillId="33" borderId="207">
      <alignment horizontal="right" vertical="center"/>
    </xf>
    <xf numFmtId="0" fontId="32" fillId="33" borderId="207">
      <alignment horizontal="right" vertical="center"/>
    </xf>
    <xf numFmtId="0" fontId="43" fillId="55" borderId="203" applyNumberFormat="0" applyAlignment="0" applyProtection="0"/>
    <xf numFmtId="0" fontId="45" fillId="55" borderId="204" applyNumberFormat="0" applyAlignment="0" applyProtection="0"/>
    <xf numFmtId="0" fontId="50" fillId="0" borderId="205" applyNumberFormat="0" applyFill="0" applyAlignment="0" applyProtection="0"/>
    <xf numFmtId="0" fontId="34" fillId="32" borderId="207"/>
    <xf numFmtId="4" fontId="34" fillId="32" borderId="207"/>
    <xf numFmtId="4" fontId="32" fillId="33" borderId="207">
      <alignment horizontal="right" vertical="center"/>
    </xf>
    <xf numFmtId="0" fontId="36" fillId="31" borderId="207">
      <alignment horizontal="right" vertical="center"/>
    </xf>
    <xf numFmtId="0" fontId="49" fillId="42" borderId="204" applyNumberFormat="0" applyAlignment="0" applyProtection="0"/>
    <xf numFmtId="0" fontId="46" fillId="55" borderId="204" applyNumberFormat="0" applyAlignment="0" applyProtection="0"/>
    <xf numFmtId="4" fontId="34" fillId="0" borderId="207">
      <alignment horizontal="right" vertical="center"/>
    </xf>
    <xf numFmtId="0" fontId="34" fillId="33" borderId="210">
      <alignment horizontal="left" vertical="center" wrapText="1" indent="2"/>
    </xf>
    <xf numFmtId="0" fontId="34" fillId="0" borderId="210">
      <alignment horizontal="left" vertical="center" wrapText="1" indent="2"/>
    </xf>
    <xf numFmtId="0" fontId="62" fillId="55" borderId="203" applyNumberFormat="0" applyAlignment="0" applyProtection="0"/>
    <xf numFmtId="0" fontId="58" fillId="42" borderId="204" applyNumberFormat="0" applyAlignment="0" applyProtection="0"/>
    <xf numFmtId="0" fontId="45" fillId="55" borderId="204" applyNumberFormat="0" applyAlignment="0" applyProtection="0"/>
    <xf numFmtId="0" fontId="43" fillId="55" borderId="203" applyNumberFormat="0" applyAlignment="0" applyProtection="0"/>
    <xf numFmtId="0" fontId="32" fillId="33" borderId="209">
      <alignment horizontal="right" vertical="center"/>
    </xf>
    <xf numFmtId="0" fontId="36" fillId="31" borderId="207">
      <alignment horizontal="right" vertical="center"/>
    </xf>
    <xf numFmtId="4" fontId="32" fillId="31" borderId="207">
      <alignment horizontal="right" vertical="center"/>
    </xf>
    <xf numFmtId="4" fontId="32" fillId="33" borderId="207">
      <alignment horizontal="right" vertical="center"/>
    </xf>
    <xf numFmtId="49" fontId="34" fillId="0" borderId="208" applyNumberFormat="0" applyFont="0" applyFill="0" applyBorder="0" applyProtection="0">
      <alignment horizontal="left" vertical="center" indent="5"/>
    </xf>
    <xf numFmtId="4" fontId="34" fillId="0" borderId="207" applyFill="0" applyBorder="0" applyProtection="0">
      <alignment horizontal="right" vertical="center"/>
    </xf>
    <xf numFmtId="4" fontId="32" fillId="31" borderId="207">
      <alignment horizontal="right" vertical="center"/>
    </xf>
    <xf numFmtId="0" fontId="58" fillId="42" borderId="236" applyNumberFormat="0" applyAlignment="0" applyProtection="0"/>
    <xf numFmtId="0" fontId="58" fillId="42" borderId="204" applyNumberFormat="0" applyAlignment="0" applyProtection="0"/>
    <xf numFmtId="0" fontId="49" fillId="42" borderId="204" applyNumberFormat="0" applyAlignment="0" applyProtection="0"/>
    <xf numFmtId="0" fontId="45" fillId="55" borderId="204" applyNumberFormat="0" applyAlignment="0" applyProtection="0"/>
    <xf numFmtId="0" fontId="34" fillId="33" borderId="210">
      <alignment horizontal="left" vertical="center" wrapText="1" indent="2"/>
    </xf>
    <xf numFmtId="0" fontId="34" fillId="0" borderId="210">
      <alignment horizontal="left" vertical="center" wrapText="1" indent="2"/>
    </xf>
    <xf numFmtId="0" fontId="34" fillId="33" borderId="210">
      <alignment horizontal="left" vertical="center" wrapText="1" indent="2"/>
    </xf>
    <xf numFmtId="0" fontId="34" fillId="0" borderId="210">
      <alignment horizontal="left" vertical="center" wrapText="1" indent="2"/>
    </xf>
    <xf numFmtId="0" fontId="43" fillId="55" borderId="203" applyNumberFormat="0" applyAlignment="0" applyProtection="0"/>
    <xf numFmtId="0" fontId="45" fillId="55" borderId="204" applyNumberFormat="0" applyAlignment="0" applyProtection="0"/>
    <xf numFmtId="0" fontId="46" fillId="55" borderId="204" applyNumberFormat="0" applyAlignment="0" applyProtection="0"/>
    <xf numFmtId="0" fontId="49" fillId="42" borderId="204" applyNumberFormat="0" applyAlignment="0" applyProtection="0"/>
    <xf numFmtId="0" fontId="50" fillId="0" borderId="205" applyNumberFormat="0" applyFill="0" applyAlignment="0" applyProtection="0"/>
    <xf numFmtId="0" fontId="58" fillId="42" borderId="204" applyNumberFormat="0" applyAlignment="0" applyProtection="0"/>
    <xf numFmtId="0" fontId="40" fillId="58" borderId="206" applyNumberFormat="0" applyFont="0" applyAlignment="0" applyProtection="0"/>
    <xf numFmtId="0" fontId="5" fillId="58" borderId="206" applyNumberFormat="0" applyFont="0" applyAlignment="0" applyProtection="0"/>
    <xf numFmtId="0" fontId="62" fillId="55" borderId="203" applyNumberFormat="0" applyAlignment="0" applyProtection="0"/>
    <xf numFmtId="0" fontId="65" fillId="0" borderId="205" applyNumberFormat="0" applyFill="0" applyAlignment="0" applyProtection="0"/>
    <xf numFmtId="0" fontId="46" fillId="55" borderId="204" applyNumberFormat="0" applyAlignment="0" applyProtection="0"/>
    <xf numFmtId="0" fontId="58" fillId="42" borderId="204" applyNumberFormat="0" applyAlignment="0" applyProtection="0"/>
    <xf numFmtId="0" fontId="40" fillId="58" borderId="206" applyNumberFormat="0" applyFont="0" applyAlignment="0" applyProtection="0"/>
    <xf numFmtId="0" fontId="62" fillId="55" borderId="203" applyNumberFormat="0" applyAlignment="0" applyProtection="0"/>
    <xf numFmtId="0" fontId="65" fillId="0" borderId="205" applyNumberFormat="0" applyFill="0" applyAlignment="0" applyProtection="0"/>
    <xf numFmtId="0" fontId="58" fillId="42" borderId="211" applyNumberFormat="0" applyAlignment="0" applyProtection="0"/>
    <xf numFmtId="4" fontId="34" fillId="0" borderId="214">
      <alignment horizontal="right" vertical="center"/>
    </xf>
    <xf numFmtId="4" fontId="32" fillId="33" borderId="215">
      <alignment horizontal="right" vertical="center"/>
    </xf>
    <xf numFmtId="0" fontId="46" fillId="55" borderId="211" applyNumberFormat="0" applyAlignment="0" applyProtection="0"/>
    <xf numFmtId="0" fontId="46" fillId="55" borderId="204" applyNumberFormat="0" applyAlignment="0" applyProtection="0"/>
    <xf numFmtId="173" fontId="34" fillId="59" borderId="268" applyNumberFormat="0" applyFont="0" applyBorder="0" applyAlignment="0" applyProtection="0">
      <alignment horizontal="right" vertical="center"/>
    </xf>
    <xf numFmtId="0" fontId="32" fillId="33" borderId="225">
      <alignment horizontal="right" vertical="center"/>
    </xf>
    <xf numFmtId="0" fontId="58" fillId="42" borderId="249" applyNumberFormat="0" applyAlignment="0" applyProtection="0"/>
    <xf numFmtId="0" fontId="58" fillId="42" borderId="204" applyNumberFormat="0" applyAlignment="0" applyProtection="0"/>
    <xf numFmtId="0" fontId="62" fillId="55" borderId="203" applyNumberFormat="0" applyAlignment="0" applyProtection="0"/>
    <xf numFmtId="0" fontId="65" fillId="0" borderId="205" applyNumberFormat="0" applyFill="0" applyAlignment="0" applyProtection="0"/>
    <xf numFmtId="0" fontId="49" fillId="42" borderId="236" applyNumberFormat="0" applyAlignment="0" applyProtection="0"/>
    <xf numFmtId="0" fontId="43" fillId="55" borderId="203" applyNumberFormat="0" applyAlignment="0" applyProtection="0"/>
    <xf numFmtId="0" fontId="45" fillId="55" borderId="204" applyNumberFormat="0" applyAlignment="0" applyProtection="0"/>
    <xf numFmtId="0" fontId="50" fillId="0" borderId="205" applyNumberFormat="0" applyFill="0" applyAlignment="0" applyProtection="0"/>
    <xf numFmtId="49" fontId="34" fillId="0" borderId="207" applyNumberFormat="0" applyFont="0" applyFill="0" applyBorder="0" applyProtection="0">
      <alignment horizontal="left" vertical="center" indent="2"/>
    </xf>
    <xf numFmtId="0" fontId="32" fillId="31" borderId="207">
      <alignment horizontal="right" vertical="center"/>
    </xf>
    <xf numFmtId="4" fontId="32" fillId="31" borderId="207">
      <alignment horizontal="right" vertical="center"/>
    </xf>
    <xf numFmtId="0" fontId="36" fillId="31" borderId="207">
      <alignment horizontal="right" vertical="center"/>
    </xf>
    <xf numFmtId="4" fontId="36" fillId="31" borderId="207">
      <alignment horizontal="right" vertical="center"/>
    </xf>
    <xf numFmtId="0" fontId="32" fillId="33" borderId="207">
      <alignment horizontal="right" vertical="center"/>
    </xf>
    <xf numFmtId="4" fontId="32" fillId="33" borderId="207">
      <alignment horizontal="right" vertical="center"/>
    </xf>
    <xf numFmtId="0" fontId="32" fillId="33" borderId="207">
      <alignment horizontal="right" vertical="center"/>
    </xf>
    <xf numFmtId="4" fontId="32" fillId="33" borderId="207">
      <alignment horizontal="right" vertical="center"/>
    </xf>
    <xf numFmtId="0" fontId="49" fillId="42" borderId="204" applyNumberFormat="0" applyAlignment="0" applyProtection="0"/>
    <xf numFmtId="0" fontId="34" fillId="0" borderId="207">
      <alignment horizontal="right" vertical="center"/>
    </xf>
    <xf numFmtId="4" fontId="34" fillId="0" borderId="207">
      <alignment horizontal="right" vertical="center"/>
    </xf>
    <xf numFmtId="4" fontId="34" fillId="0" borderId="207" applyFill="0" applyBorder="0" applyProtection="0">
      <alignment horizontal="right" vertical="center"/>
    </xf>
    <xf numFmtId="49" fontId="33" fillId="0" borderId="207" applyNumberFormat="0" applyFill="0" applyBorder="0" applyProtection="0">
      <alignment horizontal="left" vertical="center"/>
    </xf>
    <xf numFmtId="0" fontId="34" fillId="0" borderId="207" applyNumberFormat="0" applyFill="0" applyAlignment="0" applyProtection="0"/>
    <xf numFmtId="173" fontId="34" fillId="59" borderId="207" applyNumberFormat="0" applyFont="0" applyBorder="0" applyAlignment="0" applyProtection="0">
      <alignment horizontal="right" vertical="center"/>
    </xf>
    <xf numFmtId="0" fontId="34" fillId="32" borderId="207"/>
    <xf numFmtId="4" fontId="34" fillId="32" borderId="207"/>
    <xf numFmtId="4" fontId="32" fillId="33" borderId="207">
      <alignment horizontal="right" vertical="center"/>
    </xf>
    <xf numFmtId="0" fontId="34" fillId="32" borderId="207"/>
    <xf numFmtId="0" fontId="45" fillId="55" borderId="204" applyNumberFormat="0" applyAlignment="0" applyProtection="0"/>
    <xf numFmtId="0" fontId="32" fillId="31" borderId="207">
      <alignment horizontal="right" vertical="center"/>
    </xf>
    <xf numFmtId="0" fontId="34" fillId="0" borderId="207">
      <alignment horizontal="right" vertical="center"/>
    </xf>
    <xf numFmtId="0" fontId="65" fillId="0" borderId="205" applyNumberFormat="0" applyFill="0" applyAlignment="0" applyProtection="0"/>
    <xf numFmtId="0" fontId="34" fillId="31" borderId="208">
      <alignment horizontal="left" vertical="center"/>
    </xf>
    <xf numFmtId="0" fontId="58" fillId="42" borderId="204" applyNumberFormat="0" applyAlignment="0" applyProtection="0"/>
    <xf numFmtId="173" fontId="34" fillId="59" borderId="207" applyNumberFormat="0" applyFont="0" applyBorder="0" applyAlignment="0" applyProtection="0">
      <alignment horizontal="right" vertical="center"/>
    </xf>
    <xf numFmtId="0" fontId="40" fillId="58" borderId="206" applyNumberFormat="0" applyFont="0" applyAlignment="0" applyProtection="0"/>
    <xf numFmtId="0" fontId="34" fillId="0" borderId="210">
      <alignment horizontal="left" vertical="center" wrapText="1" indent="2"/>
    </xf>
    <xf numFmtId="4" fontId="34" fillId="32" borderId="207"/>
    <xf numFmtId="49" fontId="33" fillId="0" borderId="207" applyNumberFormat="0" applyFill="0" applyBorder="0" applyProtection="0">
      <alignment horizontal="left" vertical="center"/>
    </xf>
    <xf numFmtId="0" fontId="34" fillId="0" borderId="207">
      <alignment horizontal="right" vertical="center"/>
    </xf>
    <xf numFmtId="4" fontId="32" fillId="33" borderId="209">
      <alignment horizontal="right" vertical="center"/>
    </xf>
    <xf numFmtId="4" fontId="32" fillId="33" borderId="207">
      <alignment horizontal="right" vertical="center"/>
    </xf>
    <xf numFmtId="4" fontId="32" fillId="33" borderId="207">
      <alignment horizontal="right" vertical="center"/>
    </xf>
    <xf numFmtId="0" fontId="36" fillId="31" borderId="207">
      <alignment horizontal="right" vertical="center"/>
    </xf>
    <xf numFmtId="0" fontId="32" fillId="31" borderId="207">
      <alignment horizontal="right" vertical="center"/>
    </xf>
    <xf numFmtId="49" fontId="34" fillId="0" borderId="207" applyNumberFormat="0" applyFont="0" applyFill="0" applyBorder="0" applyProtection="0">
      <alignment horizontal="left" vertical="center" indent="2"/>
    </xf>
    <xf numFmtId="0" fontId="58" fillId="42" borderId="204" applyNumberFormat="0" applyAlignment="0" applyProtection="0"/>
    <xf numFmtId="0" fontId="43" fillId="55" borderId="203" applyNumberFormat="0" applyAlignment="0" applyProtection="0"/>
    <xf numFmtId="49" fontId="34" fillId="0" borderId="207" applyNumberFormat="0" applyFont="0" applyFill="0" applyBorder="0" applyProtection="0">
      <alignment horizontal="left" vertical="center" indent="2"/>
    </xf>
    <xf numFmtId="0" fontId="49" fillId="42" borderId="204" applyNumberFormat="0" applyAlignment="0" applyProtection="0"/>
    <xf numFmtId="4" fontId="34" fillId="0" borderId="207" applyFill="0" applyBorder="0" applyProtection="0">
      <alignment horizontal="right" vertical="center"/>
    </xf>
    <xf numFmtId="0" fontId="46" fillId="55" borderId="204" applyNumberFormat="0" applyAlignment="0" applyProtection="0"/>
    <xf numFmtId="0" fontId="65" fillId="0" borderId="205" applyNumberFormat="0" applyFill="0" applyAlignment="0" applyProtection="0"/>
    <xf numFmtId="0" fontId="62" fillId="55" borderId="203" applyNumberFormat="0" applyAlignment="0" applyProtection="0"/>
    <xf numFmtId="0" fontId="34" fillId="0" borderId="207" applyNumberFormat="0" applyFill="0" applyAlignment="0" applyProtection="0"/>
    <xf numFmtId="4" fontId="34" fillId="0" borderId="207">
      <alignment horizontal="right" vertical="center"/>
    </xf>
    <xf numFmtId="0" fontId="34" fillId="0" borderId="207">
      <alignment horizontal="right" vertical="center"/>
    </xf>
    <xf numFmtId="0" fontId="58" fillId="42" borderId="204" applyNumberFormat="0" applyAlignment="0" applyProtection="0"/>
    <xf numFmtId="0" fontId="43" fillId="55" borderId="203" applyNumberFormat="0" applyAlignment="0" applyProtection="0"/>
    <xf numFmtId="0" fontId="45" fillId="55" borderId="204" applyNumberFormat="0" applyAlignment="0" applyProtection="0"/>
    <xf numFmtId="0" fontId="34" fillId="33" borderId="210">
      <alignment horizontal="left" vertical="center" wrapText="1" indent="2"/>
    </xf>
    <xf numFmtId="0" fontId="46" fillId="55" borderId="204" applyNumberFormat="0" applyAlignment="0" applyProtection="0"/>
    <xf numFmtId="0" fontId="46" fillId="55" borderId="204" applyNumberFormat="0" applyAlignment="0" applyProtection="0"/>
    <xf numFmtId="4" fontId="32" fillId="33" borderId="208">
      <alignment horizontal="right" vertical="center"/>
    </xf>
    <xf numFmtId="0" fontId="32" fillId="33" borderId="208">
      <alignment horizontal="right" vertical="center"/>
    </xf>
    <xf numFmtId="0" fontId="32" fillId="33" borderId="207">
      <alignment horizontal="right" vertical="center"/>
    </xf>
    <xf numFmtId="4" fontId="36" fillId="31" borderId="207">
      <alignment horizontal="right" vertical="center"/>
    </xf>
    <xf numFmtId="0" fontId="49" fillId="42" borderId="204" applyNumberFormat="0" applyAlignment="0" applyProtection="0"/>
    <xf numFmtId="0" fontId="50" fillId="0" borderId="205" applyNumberFormat="0" applyFill="0" applyAlignment="0" applyProtection="0"/>
    <xf numFmtId="0" fontId="65" fillId="0" borderId="205" applyNumberFormat="0" applyFill="0" applyAlignment="0" applyProtection="0"/>
    <xf numFmtId="0" fontId="40" fillId="58" borderId="206" applyNumberFormat="0" applyFont="0" applyAlignment="0" applyProtection="0"/>
    <xf numFmtId="0" fontId="58" fillId="42" borderId="204" applyNumberFormat="0" applyAlignment="0" applyProtection="0"/>
    <xf numFmtId="49" fontId="33" fillId="0" borderId="207" applyNumberFormat="0" applyFill="0" applyBorder="0" applyProtection="0">
      <alignment horizontal="left" vertical="center"/>
    </xf>
    <xf numFmtId="0" fontId="34" fillId="33" borderId="210">
      <alignment horizontal="left" vertical="center" wrapText="1" indent="2"/>
    </xf>
    <xf numFmtId="0" fontId="46" fillId="55" borderId="204" applyNumberFormat="0" applyAlignment="0" applyProtection="0"/>
    <xf numFmtId="0" fontId="34" fillId="0" borderId="210">
      <alignment horizontal="left" vertical="center" wrapText="1" indent="2"/>
    </xf>
    <xf numFmtId="0" fontId="40" fillId="58" borderId="206" applyNumberFormat="0" applyFont="0" applyAlignment="0" applyProtection="0"/>
    <xf numFmtId="0" fontId="5" fillId="58" borderId="206" applyNumberFormat="0" applyFont="0" applyAlignment="0" applyProtection="0"/>
    <xf numFmtId="0" fontId="62" fillId="55" borderId="203" applyNumberFormat="0" applyAlignment="0" applyProtection="0"/>
    <xf numFmtId="0" fontId="65" fillId="0" borderId="205" applyNumberFormat="0" applyFill="0" applyAlignment="0" applyProtection="0"/>
    <xf numFmtId="4" fontId="34" fillId="32" borderId="207"/>
    <xf numFmtId="0" fontId="32" fillId="33" borderId="207">
      <alignment horizontal="right" vertical="center"/>
    </xf>
    <xf numFmtId="0" fontId="65" fillId="0" borderId="205" applyNumberFormat="0" applyFill="0" applyAlignment="0" applyProtection="0"/>
    <xf numFmtId="4" fontId="32" fillId="33" borderId="209">
      <alignment horizontal="right" vertical="center"/>
    </xf>
    <xf numFmtId="0" fontId="45" fillId="55" borderId="204" applyNumberFormat="0" applyAlignment="0" applyProtection="0"/>
    <xf numFmtId="0" fontId="32" fillId="33" borderId="208">
      <alignment horizontal="right" vertical="center"/>
    </xf>
    <xf numFmtId="0" fontId="46" fillId="55" borderId="204" applyNumberFormat="0" applyAlignment="0" applyProtection="0"/>
    <xf numFmtId="0" fontId="50" fillId="0" borderId="205" applyNumberFormat="0" applyFill="0" applyAlignment="0" applyProtection="0"/>
    <xf numFmtId="0" fontId="40" fillId="58" borderId="206" applyNumberFormat="0" applyFont="0" applyAlignment="0" applyProtection="0"/>
    <xf numFmtId="4" fontId="32" fillId="33" borderId="208">
      <alignment horizontal="right" vertical="center"/>
    </xf>
    <xf numFmtId="0" fontId="34" fillId="33" borderId="210">
      <alignment horizontal="left" vertical="center" wrapText="1" indent="2"/>
    </xf>
    <xf numFmtId="0" fontId="34" fillId="32" borderId="207"/>
    <xf numFmtId="173" fontId="34" fillId="59" borderId="207" applyNumberFormat="0" applyFont="0" applyBorder="0" applyAlignment="0" applyProtection="0">
      <alignment horizontal="right" vertical="center"/>
    </xf>
    <xf numFmtId="0" fontId="34" fillId="0" borderId="207" applyNumberFormat="0" applyFill="0" applyAlignment="0" applyProtection="0"/>
    <xf numFmtId="4" fontId="34" fillId="0" borderId="207" applyFill="0" applyBorder="0" applyProtection="0">
      <alignment horizontal="right" vertical="center"/>
    </xf>
    <xf numFmtId="4" fontId="32" fillId="31" borderId="207">
      <alignment horizontal="right" vertical="center"/>
    </xf>
    <xf numFmtId="0" fontId="50" fillId="0" borderId="205" applyNumberFormat="0" applyFill="0" applyAlignment="0" applyProtection="0"/>
    <xf numFmtId="49" fontId="33" fillId="0" borderId="207" applyNumberFormat="0" applyFill="0" applyBorder="0" applyProtection="0">
      <alignment horizontal="left" vertical="center"/>
    </xf>
    <xf numFmtId="49" fontId="34" fillId="0" borderId="208" applyNumberFormat="0" applyFont="0" applyFill="0" applyBorder="0" applyProtection="0">
      <alignment horizontal="left" vertical="center" indent="5"/>
    </xf>
    <xf numFmtId="0" fontId="34" fillId="31" borderId="208">
      <alignment horizontal="left" vertical="center"/>
    </xf>
    <xf numFmtId="0" fontId="46" fillId="55" borderId="204" applyNumberFormat="0" applyAlignment="0" applyProtection="0"/>
    <xf numFmtId="4" fontId="32" fillId="33" borderId="209">
      <alignment horizontal="right" vertical="center"/>
    </xf>
    <xf numFmtId="0" fontId="58" fillId="42" borderId="204" applyNumberFormat="0" applyAlignment="0" applyProtection="0"/>
    <xf numFmtId="0" fontId="58" fillId="42" borderId="204" applyNumberFormat="0" applyAlignment="0" applyProtection="0"/>
    <xf numFmtId="0" fontId="40" fillId="58" borderId="206" applyNumberFormat="0" applyFont="0" applyAlignment="0" applyProtection="0"/>
    <xf numFmtId="0" fontId="62" fillId="55" borderId="203" applyNumberFormat="0" applyAlignment="0" applyProtection="0"/>
    <xf numFmtId="0" fontId="65" fillId="0" borderId="205" applyNumberFormat="0" applyFill="0" applyAlignment="0" applyProtection="0"/>
    <xf numFmtId="0" fontId="32" fillId="33" borderId="207">
      <alignment horizontal="right" vertical="center"/>
    </xf>
    <xf numFmtId="0" fontId="5" fillId="58" borderId="206" applyNumberFormat="0" applyFont="0" applyAlignment="0" applyProtection="0"/>
    <xf numFmtId="4" fontId="34" fillId="0" borderId="207">
      <alignment horizontal="right" vertical="center"/>
    </xf>
    <xf numFmtId="0" fontId="65" fillId="0" borderId="205" applyNumberFormat="0" applyFill="0" applyAlignment="0" applyProtection="0"/>
    <xf numFmtId="0" fontId="32" fillId="33" borderId="207">
      <alignment horizontal="right" vertical="center"/>
    </xf>
    <xf numFmtId="0" fontId="32" fillId="33" borderId="207">
      <alignment horizontal="right" vertical="center"/>
    </xf>
    <xf numFmtId="4" fontId="36" fillId="31" borderId="207">
      <alignment horizontal="right" vertical="center"/>
    </xf>
    <xf numFmtId="0" fontId="32" fillId="31" borderId="207">
      <alignment horizontal="right" vertical="center"/>
    </xf>
    <xf numFmtId="4" fontId="32" fillId="31" borderId="207">
      <alignment horizontal="right" vertical="center"/>
    </xf>
    <xf numFmtId="0" fontId="36" fillId="31" borderId="207">
      <alignment horizontal="right" vertical="center"/>
    </xf>
    <xf numFmtId="4" fontId="36" fillId="31" borderId="207">
      <alignment horizontal="right" vertical="center"/>
    </xf>
    <xf numFmtId="0" fontId="32" fillId="33" borderId="207">
      <alignment horizontal="right" vertical="center"/>
    </xf>
    <xf numFmtId="4" fontId="32" fillId="33" borderId="207">
      <alignment horizontal="right" vertical="center"/>
    </xf>
    <xf numFmtId="0" fontId="32" fillId="33" borderId="207">
      <alignment horizontal="right" vertical="center"/>
    </xf>
    <xf numFmtId="4" fontId="32" fillId="33" borderId="207">
      <alignment horizontal="right" vertical="center"/>
    </xf>
    <xf numFmtId="0" fontId="32" fillId="33" borderId="208">
      <alignment horizontal="right" vertical="center"/>
    </xf>
    <xf numFmtId="4" fontId="32" fillId="33" borderId="208">
      <alignment horizontal="right" vertical="center"/>
    </xf>
    <xf numFmtId="0" fontId="32" fillId="33" borderId="209">
      <alignment horizontal="right" vertical="center"/>
    </xf>
    <xf numFmtId="4" fontId="32" fillId="33" borderId="209">
      <alignment horizontal="right" vertical="center"/>
    </xf>
    <xf numFmtId="0" fontId="46" fillId="55" borderId="204" applyNumberFormat="0" applyAlignment="0" applyProtection="0"/>
    <xf numFmtId="0" fontId="34" fillId="33" borderId="210">
      <alignment horizontal="left" vertical="center" wrapText="1" indent="2"/>
    </xf>
    <xf numFmtId="0" fontId="34" fillId="0" borderId="210">
      <alignment horizontal="left" vertical="center" wrapText="1" indent="2"/>
    </xf>
    <xf numFmtId="0" fontId="34" fillId="31" borderId="208">
      <alignment horizontal="left" vertical="center"/>
    </xf>
    <xf numFmtId="0" fontId="58" fillId="42" borderId="204" applyNumberFormat="0" applyAlignment="0" applyProtection="0"/>
    <xf numFmtId="0" fontId="34" fillId="0" borderId="207">
      <alignment horizontal="right" vertical="center"/>
    </xf>
    <xf numFmtId="4" fontId="34" fillId="0" borderId="207">
      <alignment horizontal="right" vertical="center"/>
    </xf>
    <xf numFmtId="0" fontId="34" fillId="0" borderId="207" applyNumberFormat="0" applyFill="0" applyAlignment="0" applyProtection="0"/>
    <xf numFmtId="0" fontId="62" fillId="55" borderId="203" applyNumberFormat="0" applyAlignment="0" applyProtection="0"/>
    <xf numFmtId="173" fontId="34" fillId="59" borderId="207" applyNumberFormat="0" applyFont="0" applyBorder="0" applyAlignment="0" applyProtection="0">
      <alignment horizontal="right" vertical="center"/>
    </xf>
    <xf numFmtId="0" fontId="34" fillId="32" borderId="207"/>
    <xf numFmtId="4" fontId="34" fillId="32" borderId="207"/>
    <xf numFmtId="0" fontId="65" fillId="0" borderId="205" applyNumberFormat="0" applyFill="0" applyAlignment="0" applyProtection="0"/>
    <xf numFmtId="0" fontId="5" fillId="58" borderId="206" applyNumberFormat="0" applyFont="0" applyAlignment="0" applyProtection="0"/>
    <xf numFmtId="0" fontId="40" fillId="58" borderId="206" applyNumberFormat="0" applyFont="0" applyAlignment="0" applyProtection="0"/>
    <xf numFmtId="0" fontId="34" fillId="0" borderId="207" applyNumberFormat="0" applyFill="0" applyAlignment="0" applyProtection="0"/>
    <xf numFmtId="0" fontId="50" fillId="0" borderId="205" applyNumberFormat="0" applyFill="0" applyAlignment="0" applyProtection="0"/>
    <xf numFmtId="0" fontId="65" fillId="0" borderId="205" applyNumberFormat="0" applyFill="0" applyAlignment="0" applyProtection="0"/>
    <xf numFmtId="0" fontId="49" fillId="42" borderId="204" applyNumberFormat="0" applyAlignment="0" applyProtection="0"/>
    <xf numFmtId="0" fontId="46" fillId="55" borderId="204" applyNumberFormat="0" applyAlignment="0" applyProtection="0"/>
    <xf numFmtId="4" fontId="36" fillId="31" borderId="207">
      <alignment horizontal="right" vertical="center"/>
    </xf>
    <xf numFmtId="0" fontId="32" fillId="31" borderId="207">
      <alignment horizontal="right" vertical="center"/>
    </xf>
    <xf numFmtId="173" fontId="34" fillId="59" borderId="207" applyNumberFormat="0" applyFont="0" applyBorder="0" applyAlignment="0" applyProtection="0">
      <alignment horizontal="right" vertical="center"/>
    </xf>
    <xf numFmtId="0" fontId="50" fillId="0" borderId="205" applyNumberFormat="0" applyFill="0" applyAlignment="0" applyProtection="0"/>
    <xf numFmtId="49" fontId="34" fillId="0" borderId="207" applyNumberFormat="0" applyFont="0" applyFill="0" applyBorder="0" applyProtection="0">
      <alignment horizontal="left" vertical="center" indent="2"/>
    </xf>
    <xf numFmtId="49" fontId="34" fillId="0" borderId="208" applyNumberFormat="0" applyFont="0" applyFill="0" applyBorder="0" applyProtection="0">
      <alignment horizontal="left" vertical="center" indent="5"/>
    </xf>
    <xf numFmtId="49" fontId="34" fillId="0" borderId="207" applyNumberFormat="0" applyFont="0" applyFill="0" applyBorder="0" applyProtection="0">
      <alignment horizontal="left" vertical="center" indent="2"/>
    </xf>
    <xf numFmtId="4" fontId="34" fillId="0" borderId="207" applyFill="0" applyBorder="0" applyProtection="0">
      <alignment horizontal="right" vertical="center"/>
    </xf>
    <xf numFmtId="49" fontId="33" fillId="0" borderId="207" applyNumberFormat="0" applyFill="0" applyBorder="0" applyProtection="0">
      <alignment horizontal="left" vertical="center"/>
    </xf>
    <xf numFmtId="0" fontId="34" fillId="0" borderId="210">
      <alignment horizontal="left" vertical="center" wrapText="1" indent="2"/>
    </xf>
    <xf numFmtId="0" fontId="62" fillId="55" borderId="203" applyNumberFormat="0" applyAlignment="0" applyProtection="0"/>
    <xf numFmtId="0" fontId="32" fillId="33" borderId="209">
      <alignment horizontal="right" vertical="center"/>
    </xf>
    <xf numFmtId="0" fontId="49" fillId="42" borderId="204" applyNumberFormat="0" applyAlignment="0" applyProtection="0"/>
    <xf numFmtId="0" fontId="32" fillId="33" borderId="209">
      <alignment horizontal="right" vertical="center"/>
    </xf>
    <xf numFmtId="4" fontId="32" fillId="33" borderId="207">
      <alignment horizontal="right" vertical="center"/>
    </xf>
    <xf numFmtId="0" fontId="32" fillId="33" borderId="207">
      <alignment horizontal="right" vertical="center"/>
    </xf>
    <xf numFmtId="0" fontId="43" fillId="55" borderId="203" applyNumberFormat="0" applyAlignment="0" applyProtection="0"/>
    <xf numFmtId="0" fontId="45" fillId="55" borderId="204" applyNumberFormat="0" applyAlignment="0" applyProtection="0"/>
    <xf numFmtId="0" fontId="50" fillId="0" borderId="205" applyNumberFormat="0" applyFill="0" applyAlignment="0" applyProtection="0"/>
    <xf numFmtId="0" fontId="34" fillId="32" borderId="207"/>
    <xf numFmtId="4" fontId="34" fillId="32" borderId="207"/>
    <xf numFmtId="4" fontId="32" fillId="33" borderId="207">
      <alignment horizontal="right" vertical="center"/>
    </xf>
    <xf numFmtId="0" fontId="36" fillId="31" borderId="207">
      <alignment horizontal="right" vertical="center"/>
    </xf>
    <xf numFmtId="0" fontId="49" fillId="42" borderId="204" applyNumberFormat="0" applyAlignment="0" applyProtection="0"/>
    <xf numFmtId="0" fontId="46" fillId="55" borderId="204" applyNumberFormat="0" applyAlignment="0" applyProtection="0"/>
    <xf numFmtId="4" fontId="34" fillId="0" borderId="207">
      <alignment horizontal="right" vertical="center"/>
    </xf>
    <xf numFmtId="0" fontId="34" fillId="33" borderId="210">
      <alignment horizontal="left" vertical="center" wrapText="1" indent="2"/>
    </xf>
    <xf numFmtId="0" fontId="34" fillId="0" borderId="210">
      <alignment horizontal="left" vertical="center" wrapText="1" indent="2"/>
    </xf>
    <xf numFmtId="0" fontId="62" fillId="55" borderId="203" applyNumberFormat="0" applyAlignment="0" applyProtection="0"/>
    <xf numFmtId="0" fontId="58" fillId="42" borderId="204" applyNumberFormat="0" applyAlignment="0" applyProtection="0"/>
    <xf numFmtId="0" fontId="45" fillId="55" borderId="204" applyNumberFormat="0" applyAlignment="0" applyProtection="0"/>
    <xf numFmtId="0" fontId="43" fillId="55" borderId="203" applyNumberFormat="0" applyAlignment="0" applyProtection="0"/>
    <xf numFmtId="0" fontId="32" fillId="33" borderId="209">
      <alignment horizontal="right" vertical="center"/>
    </xf>
    <xf numFmtId="0" fontId="36" fillId="31" borderId="207">
      <alignment horizontal="right" vertical="center"/>
    </xf>
    <xf numFmtId="4" fontId="32" fillId="31" borderId="207">
      <alignment horizontal="right" vertical="center"/>
    </xf>
    <xf numFmtId="4" fontId="32" fillId="33" borderId="207">
      <alignment horizontal="right" vertical="center"/>
    </xf>
    <xf numFmtId="49" fontId="34" fillId="0" borderId="208" applyNumberFormat="0" applyFont="0" applyFill="0" applyBorder="0" applyProtection="0">
      <alignment horizontal="left" vertical="center" indent="5"/>
    </xf>
    <xf numFmtId="4" fontId="34" fillId="0" borderId="207" applyFill="0" applyBorder="0" applyProtection="0">
      <alignment horizontal="right" vertical="center"/>
    </xf>
    <xf numFmtId="4" fontId="32" fillId="31" borderId="207">
      <alignment horizontal="right" vertical="center"/>
    </xf>
    <xf numFmtId="0" fontId="58" fillId="42" borderId="204" applyNumberFormat="0" applyAlignment="0" applyProtection="0"/>
    <xf numFmtId="0" fontId="49" fillId="42" borderId="204" applyNumberFormat="0" applyAlignment="0" applyProtection="0"/>
    <xf numFmtId="0" fontId="45" fillId="55" borderId="204" applyNumberFormat="0" applyAlignment="0" applyProtection="0"/>
    <xf numFmtId="0" fontId="34" fillId="33" borderId="210">
      <alignment horizontal="left" vertical="center" wrapText="1" indent="2"/>
    </xf>
    <xf numFmtId="0" fontId="34" fillId="0" borderId="210">
      <alignment horizontal="left" vertical="center" wrapText="1" indent="2"/>
    </xf>
    <xf numFmtId="0" fontId="34" fillId="33" borderId="210">
      <alignment horizontal="left" vertical="center" wrapText="1" indent="2"/>
    </xf>
    <xf numFmtId="0" fontId="34" fillId="31" borderId="240">
      <alignment horizontal="left" vertical="center"/>
    </xf>
    <xf numFmtId="0" fontId="49" fillId="42" borderId="211" applyNumberFormat="0" applyAlignment="0" applyProtection="0"/>
    <xf numFmtId="0" fontId="32" fillId="33" borderId="256">
      <alignment horizontal="right" vertical="center"/>
    </xf>
    <xf numFmtId="0" fontId="40" fillId="58" borderId="243" applyNumberFormat="0" applyFont="0" applyAlignment="0" applyProtection="0"/>
    <xf numFmtId="0" fontId="32" fillId="33" borderId="240">
      <alignment horizontal="right" vertical="center"/>
    </xf>
    <xf numFmtId="0" fontId="32" fillId="33" borderId="239">
      <alignment horizontal="right" vertical="center"/>
    </xf>
    <xf numFmtId="0" fontId="34" fillId="0" borderId="254">
      <alignment horizontal="right" vertical="center"/>
    </xf>
    <xf numFmtId="0" fontId="5" fillId="58" borderId="238" applyNumberFormat="0" applyFont="0" applyAlignment="0" applyProtection="0"/>
    <xf numFmtId="4" fontId="34" fillId="32" borderId="239"/>
    <xf numFmtId="0" fontId="46" fillId="55" borderId="236" applyNumberFormat="0" applyAlignment="0" applyProtection="0"/>
    <xf numFmtId="0" fontId="45" fillId="55" borderId="236" applyNumberFormat="0" applyAlignment="0" applyProtection="0"/>
    <xf numFmtId="0" fontId="26" fillId="16" borderId="0" applyNumberFormat="0" applyBorder="0" applyAlignment="0" applyProtection="0"/>
    <xf numFmtId="0" fontId="26" fillId="17" borderId="0" applyNumberFormat="0" applyBorder="0" applyAlignment="0" applyProtection="0"/>
    <xf numFmtId="0" fontId="2" fillId="0" borderId="12" applyNumberFormat="0" applyFill="0" applyAlignment="0" applyProtection="0"/>
    <xf numFmtId="0" fontId="34" fillId="0" borderId="242">
      <alignment horizontal="left" vertical="center" wrapText="1" indent="2"/>
    </xf>
    <xf numFmtId="0" fontId="28" fillId="12" borderId="11" applyNumberFormat="0" applyAlignment="0" applyProtection="0"/>
    <xf numFmtId="0" fontId="32" fillId="33" borderId="239">
      <alignment horizontal="right" vertical="center"/>
    </xf>
    <xf numFmtId="4" fontId="32" fillId="33" borderId="241">
      <alignment horizontal="right" vertical="center"/>
    </xf>
    <xf numFmtId="0" fontId="65" fillId="0" borderId="237" applyNumberFormat="0" applyFill="0" applyAlignment="0" applyProtection="0"/>
    <xf numFmtId="0" fontId="26" fillId="29" borderId="0" applyNumberFormat="0" applyBorder="0" applyAlignment="0" applyProtection="0"/>
    <xf numFmtId="0" fontId="50" fillId="0" borderId="250" applyNumberFormat="0" applyFill="0" applyAlignment="0" applyProtection="0"/>
    <xf numFmtId="0" fontId="34" fillId="33" borderId="217">
      <alignment horizontal="left" vertical="center" wrapText="1" indent="2"/>
    </xf>
    <xf numFmtId="0" fontId="34" fillId="0" borderId="217">
      <alignment horizontal="left" vertical="center" wrapText="1" indent="2"/>
    </xf>
    <xf numFmtId="0" fontId="26" fillId="16" borderId="0" applyNumberFormat="0" applyBorder="0" applyAlignment="0" applyProtection="0"/>
    <xf numFmtId="0" fontId="34" fillId="0" borderId="268">
      <alignment horizontal="right" vertical="center"/>
    </xf>
    <xf numFmtId="0" fontId="32" fillId="31" borderId="239">
      <alignment horizontal="right" vertical="center"/>
    </xf>
    <xf numFmtId="0" fontId="32" fillId="33" borderId="239">
      <alignment horizontal="right" vertical="center"/>
    </xf>
    <xf numFmtId="0" fontId="5" fillId="58" borderId="222" applyNumberFormat="0" applyFont="0" applyAlignment="0" applyProtection="0"/>
    <xf numFmtId="4" fontId="32" fillId="33" borderId="241">
      <alignment horizontal="right" vertical="center"/>
    </xf>
    <xf numFmtId="49" fontId="34" fillId="0" borderId="244" applyNumberFormat="0" applyFont="0" applyFill="0" applyBorder="0" applyProtection="0">
      <alignment horizontal="left" vertical="center" indent="2"/>
    </xf>
    <xf numFmtId="0" fontId="62" fillId="55" borderId="219" applyNumberFormat="0" applyAlignment="0" applyProtection="0"/>
    <xf numFmtId="0" fontId="29" fillId="12" borderId="10" applyNumberFormat="0" applyAlignment="0" applyProtection="0"/>
    <xf numFmtId="0" fontId="46" fillId="55" borderId="236" applyNumberFormat="0" applyAlignment="0" applyProtection="0"/>
    <xf numFmtId="173" fontId="34" fillId="59" borderId="239" applyNumberFormat="0" applyFont="0" applyBorder="0" applyAlignment="0" applyProtection="0">
      <alignment horizontal="right" vertical="center"/>
    </xf>
    <xf numFmtId="0" fontId="29" fillId="12" borderId="10" applyNumberFormat="0" applyAlignment="0" applyProtection="0"/>
    <xf numFmtId="0" fontId="34" fillId="0" borderId="239">
      <alignment horizontal="right" vertical="center"/>
    </xf>
    <xf numFmtId="49" fontId="34" fillId="0" borderId="254" applyNumberFormat="0" applyFont="0" applyFill="0" applyBorder="0" applyProtection="0">
      <alignment horizontal="left" vertical="center" indent="2"/>
    </xf>
    <xf numFmtId="0" fontId="34" fillId="33" borderId="247">
      <alignment horizontal="left" vertical="center" wrapText="1" indent="2"/>
    </xf>
    <xf numFmtId="0" fontId="43" fillId="55" borderId="235" applyNumberFormat="0" applyAlignment="0" applyProtection="0"/>
    <xf numFmtId="0" fontId="29" fillId="12" borderId="10" applyNumberFormat="0" applyAlignment="0" applyProtection="0"/>
    <xf numFmtId="0" fontId="28" fillId="12" borderId="11" applyNumberFormat="0" applyAlignment="0" applyProtection="0"/>
    <xf numFmtId="0" fontId="58" fillId="42" borderId="220" applyNumberFormat="0" applyAlignment="0" applyProtection="0"/>
    <xf numFmtId="0" fontId="46" fillId="55" borderId="227" applyNumberFormat="0" applyAlignment="0" applyProtection="0"/>
    <xf numFmtId="0" fontId="26" fillId="14" borderId="0" applyNumberFormat="0" applyBorder="0" applyAlignment="0" applyProtection="0"/>
    <xf numFmtId="4" fontId="32" fillId="33" borderId="230">
      <alignment horizontal="right" vertical="center"/>
    </xf>
    <xf numFmtId="0" fontId="62" fillId="55" borderId="264" applyNumberFormat="0" applyAlignment="0" applyProtection="0"/>
    <xf numFmtId="0" fontId="40" fillId="58" borderId="238" applyNumberFormat="0" applyFont="0" applyAlignment="0" applyProtection="0"/>
    <xf numFmtId="0" fontId="5" fillId="58" borderId="253" applyNumberFormat="0" applyFont="0" applyAlignment="0" applyProtection="0"/>
    <xf numFmtId="49" fontId="33" fillId="0" borderId="244" applyNumberFormat="0" applyFill="0" applyBorder="0" applyProtection="0">
      <alignment horizontal="left" vertical="center"/>
    </xf>
    <xf numFmtId="0" fontId="34" fillId="33" borderId="233">
      <alignment horizontal="left" vertical="center" wrapText="1" indent="2"/>
    </xf>
    <xf numFmtId="0" fontId="58" fillId="42" borderId="227" applyNumberFormat="0" applyAlignment="0" applyProtection="0"/>
    <xf numFmtId="0" fontId="34" fillId="0" borderId="230" applyNumberFormat="0" applyFill="0" applyAlignment="0" applyProtection="0"/>
    <xf numFmtId="0" fontId="40" fillId="58" borderId="238" applyNumberFormat="0" applyFont="0" applyAlignment="0" applyProtection="0"/>
    <xf numFmtId="4" fontId="36" fillId="31" borderId="244">
      <alignment horizontal="right" vertical="center"/>
    </xf>
    <xf numFmtId="0" fontId="58" fillId="42" borderId="236" applyNumberFormat="0" applyAlignment="0" applyProtection="0"/>
    <xf numFmtId="4" fontId="34" fillId="32" borderId="244"/>
    <xf numFmtId="173" fontId="34" fillId="59" borderId="254" applyNumberFormat="0" applyFont="0" applyBorder="0" applyAlignment="0" applyProtection="0">
      <alignment horizontal="right" vertical="center"/>
    </xf>
    <xf numFmtId="0" fontId="40" fillId="58" borderId="238" applyNumberFormat="0" applyFont="0" applyAlignment="0" applyProtection="0"/>
    <xf numFmtId="0" fontId="26" fillId="28" borderId="0" applyNumberFormat="0" applyBorder="0" applyAlignment="0" applyProtection="0"/>
    <xf numFmtId="49" fontId="34" fillId="0" borderId="230" applyNumberFormat="0" applyFont="0" applyFill="0" applyBorder="0" applyProtection="0">
      <alignment horizontal="left" vertical="center" indent="2"/>
    </xf>
    <xf numFmtId="0" fontId="46" fillId="55" borderId="236" applyNumberFormat="0" applyAlignment="0" applyProtection="0"/>
    <xf numFmtId="4" fontId="36" fillId="31" borderId="239">
      <alignment horizontal="right" vertical="center"/>
    </xf>
    <xf numFmtId="0" fontId="36" fillId="31" borderId="244">
      <alignment horizontal="right" vertical="center"/>
    </xf>
    <xf numFmtId="0" fontId="65" fillId="0" borderId="237" applyNumberFormat="0" applyFill="0" applyAlignment="0" applyProtection="0"/>
    <xf numFmtId="4" fontId="34" fillId="0" borderId="239">
      <alignment horizontal="right" vertical="center"/>
    </xf>
    <xf numFmtId="0" fontId="46" fillId="55" borderId="249" applyNumberFormat="0" applyAlignment="0" applyProtection="0"/>
    <xf numFmtId="0" fontId="45" fillId="55" borderId="236" applyNumberFormat="0" applyAlignment="0" applyProtection="0"/>
    <xf numFmtId="4" fontId="32" fillId="33" borderId="239">
      <alignment horizontal="right" vertical="center"/>
    </xf>
    <xf numFmtId="0" fontId="12" fillId="27" borderId="0" applyNumberFormat="0" applyBorder="0" applyAlignment="0" applyProtection="0"/>
    <xf numFmtId="0" fontId="49" fillId="42" borderId="236" applyNumberFormat="0" applyAlignment="0" applyProtection="0"/>
    <xf numFmtId="0" fontId="26" fillId="19" borderId="0" applyNumberFormat="0" applyBorder="0" applyAlignment="0" applyProtection="0"/>
    <xf numFmtId="4" fontId="34" fillId="0" borderId="268" applyFill="0" applyBorder="0" applyProtection="0">
      <alignment horizontal="right" vertical="center"/>
    </xf>
    <xf numFmtId="0" fontId="26" fillId="19" borderId="0" applyNumberFormat="0" applyBorder="0" applyAlignment="0" applyProtection="0"/>
    <xf numFmtId="0" fontId="46" fillId="55" borderId="251" applyNumberFormat="0" applyAlignment="0" applyProtection="0"/>
    <xf numFmtId="4" fontId="32" fillId="33" borderId="239">
      <alignment horizontal="right" vertical="center"/>
    </xf>
    <xf numFmtId="0" fontId="34" fillId="33" borderId="233">
      <alignment horizontal="left" vertical="center" wrapText="1" indent="2"/>
    </xf>
    <xf numFmtId="0" fontId="30" fillId="0" borderId="0" applyNumberFormat="0" applyFill="0" applyBorder="0" applyAlignment="0" applyProtection="0"/>
    <xf numFmtId="0" fontId="32" fillId="33" borderId="239">
      <alignment horizontal="right" vertical="center"/>
    </xf>
    <xf numFmtId="0" fontId="12" fillId="18" borderId="0" applyNumberFormat="0" applyBorder="0" applyAlignment="0" applyProtection="0"/>
    <xf numFmtId="0" fontId="49" fillId="42" borderId="236" applyNumberFormat="0" applyAlignment="0" applyProtection="0"/>
    <xf numFmtId="0" fontId="26" fillId="25" borderId="0" applyNumberFormat="0" applyBorder="0" applyAlignment="0" applyProtection="0"/>
    <xf numFmtId="0" fontId="40" fillId="58" borderId="243" applyNumberFormat="0" applyFont="0" applyAlignment="0" applyProtection="0"/>
    <xf numFmtId="0" fontId="26" fillId="28" borderId="0" applyNumberFormat="0" applyBorder="0" applyAlignment="0" applyProtection="0"/>
    <xf numFmtId="0" fontId="26" fillId="26"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1"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4" fontId="32" fillId="33" borderId="241">
      <alignment horizontal="right" vertical="center"/>
    </xf>
    <xf numFmtId="4" fontId="32" fillId="33" borderId="223">
      <alignment horizontal="right" vertical="center"/>
    </xf>
    <xf numFmtId="4" fontId="36" fillId="31" borderId="223">
      <alignment horizontal="right" vertical="center"/>
    </xf>
    <xf numFmtId="0" fontId="49" fillId="42" borderId="236" applyNumberFormat="0" applyAlignment="0" applyProtection="0"/>
    <xf numFmtId="4" fontId="32" fillId="33" borderId="214">
      <alignment horizontal="right" vertical="center"/>
    </xf>
    <xf numFmtId="0" fontId="34" fillId="32" borderId="214"/>
    <xf numFmtId="0" fontId="45" fillId="55" borderId="211" applyNumberFormat="0" applyAlignment="0" applyProtection="0"/>
    <xf numFmtId="0" fontId="32" fillId="31" borderId="214">
      <alignment horizontal="right" vertical="center"/>
    </xf>
    <xf numFmtId="0" fontId="34" fillId="0" borderId="214">
      <alignment horizontal="right" vertical="center"/>
    </xf>
    <xf numFmtId="0" fontId="65" fillId="0" borderId="212" applyNumberFormat="0" applyFill="0" applyAlignment="0" applyProtection="0"/>
    <xf numFmtId="0" fontId="34" fillId="31" borderId="215">
      <alignment horizontal="left" vertical="center"/>
    </xf>
    <xf numFmtId="0" fontId="58" fillId="42" borderId="211" applyNumberFormat="0" applyAlignment="0" applyProtection="0"/>
    <xf numFmtId="173" fontId="34" fillId="59" borderId="214" applyNumberFormat="0" applyFont="0" applyBorder="0" applyAlignment="0" applyProtection="0">
      <alignment horizontal="right" vertical="center"/>
    </xf>
    <xf numFmtId="0" fontId="40" fillId="58" borderId="213" applyNumberFormat="0" applyFont="0" applyAlignment="0" applyProtection="0"/>
    <xf numFmtId="0" fontId="34" fillId="0" borderId="217">
      <alignment horizontal="left" vertical="center" wrapText="1" indent="2"/>
    </xf>
    <xf numFmtId="4" fontId="34" fillId="32" borderId="214"/>
    <xf numFmtId="49" fontId="33" fillId="0" borderId="214" applyNumberFormat="0" applyFill="0" applyBorder="0" applyProtection="0">
      <alignment horizontal="left" vertical="center"/>
    </xf>
    <xf numFmtId="0" fontId="34" fillId="0" borderId="214">
      <alignment horizontal="right" vertical="center"/>
    </xf>
    <xf numFmtId="4" fontId="32" fillId="33" borderId="216">
      <alignment horizontal="right" vertical="center"/>
    </xf>
    <xf numFmtId="4" fontId="32" fillId="33" borderId="214">
      <alignment horizontal="right" vertical="center"/>
    </xf>
    <xf numFmtId="4" fontId="32" fillId="33" borderId="214">
      <alignment horizontal="right" vertical="center"/>
    </xf>
    <xf numFmtId="0" fontId="36" fillId="31" borderId="214">
      <alignment horizontal="right" vertical="center"/>
    </xf>
    <xf numFmtId="0" fontId="32" fillId="31" borderId="214">
      <alignment horizontal="right" vertical="center"/>
    </xf>
    <xf numFmtId="49" fontId="34" fillId="0" borderId="214" applyNumberFormat="0" applyFont="0" applyFill="0" applyBorder="0" applyProtection="0">
      <alignment horizontal="left" vertical="center" indent="2"/>
    </xf>
    <xf numFmtId="0" fontId="58" fillId="42" borderId="211" applyNumberFormat="0" applyAlignment="0" applyProtection="0"/>
    <xf numFmtId="0" fontId="43" fillId="55" borderId="218" applyNumberFormat="0" applyAlignment="0" applyProtection="0"/>
    <xf numFmtId="49" fontId="34" fillId="0" borderId="214" applyNumberFormat="0" applyFont="0" applyFill="0" applyBorder="0" applyProtection="0">
      <alignment horizontal="left" vertical="center" indent="2"/>
    </xf>
    <xf numFmtId="0" fontId="49" fillId="42" borderId="211" applyNumberFormat="0" applyAlignment="0" applyProtection="0"/>
    <xf numFmtId="4" fontId="34" fillId="0" borderId="214" applyFill="0" applyBorder="0" applyProtection="0">
      <alignment horizontal="right" vertical="center"/>
    </xf>
    <xf numFmtId="0" fontId="46" fillId="55" borderId="211" applyNumberFormat="0" applyAlignment="0" applyProtection="0"/>
    <xf numFmtId="0" fontId="65" fillId="0" borderId="212" applyNumberFormat="0" applyFill="0" applyAlignment="0" applyProtection="0"/>
    <xf numFmtId="0" fontId="62" fillId="55" borderId="218" applyNumberFormat="0" applyAlignment="0" applyProtection="0"/>
    <xf numFmtId="0" fontId="34" fillId="0" borderId="214" applyNumberFormat="0" applyFill="0" applyAlignment="0" applyProtection="0"/>
    <xf numFmtId="4" fontId="34" fillId="0" borderId="214">
      <alignment horizontal="right" vertical="center"/>
    </xf>
    <xf numFmtId="0" fontId="34" fillId="0" borderId="214">
      <alignment horizontal="right" vertical="center"/>
    </xf>
    <xf numFmtId="0" fontId="58" fillId="42" borderId="211" applyNumberFormat="0" applyAlignment="0" applyProtection="0"/>
    <xf numFmtId="0" fontId="43" fillId="55" borderId="218" applyNumberFormat="0" applyAlignment="0" applyProtection="0"/>
    <xf numFmtId="0" fontId="45" fillId="55" borderId="211" applyNumberFormat="0" applyAlignment="0" applyProtection="0"/>
    <xf numFmtId="0" fontId="34" fillId="33" borderId="217">
      <alignment horizontal="left" vertical="center" wrapText="1" indent="2"/>
    </xf>
    <xf numFmtId="0" fontId="46" fillId="55" borderId="211" applyNumberFormat="0" applyAlignment="0" applyProtection="0"/>
    <xf numFmtId="0" fontId="46" fillId="55" borderId="211" applyNumberFormat="0" applyAlignment="0" applyProtection="0"/>
    <xf numFmtId="4" fontId="32" fillId="33" borderId="215">
      <alignment horizontal="right" vertical="center"/>
    </xf>
    <xf numFmtId="0" fontId="32" fillId="33" borderId="215">
      <alignment horizontal="right" vertical="center"/>
    </xf>
    <xf numFmtId="0" fontId="32" fillId="33" borderId="214">
      <alignment horizontal="right" vertical="center"/>
    </xf>
    <xf numFmtId="4" fontId="36" fillId="31" borderId="214">
      <alignment horizontal="right" vertical="center"/>
    </xf>
    <xf numFmtId="0" fontId="49" fillId="42" borderId="211" applyNumberFormat="0" applyAlignment="0" applyProtection="0"/>
    <xf numFmtId="0" fontId="50" fillId="0" borderId="212" applyNumberFormat="0" applyFill="0" applyAlignment="0" applyProtection="0"/>
    <xf numFmtId="0" fontId="65" fillId="0" borderId="212" applyNumberFormat="0" applyFill="0" applyAlignment="0" applyProtection="0"/>
    <xf numFmtId="0" fontId="40" fillId="58" borderId="213" applyNumberFormat="0" applyFont="0" applyAlignment="0" applyProtection="0"/>
    <xf numFmtId="0" fontId="58" fillId="42" borderId="211" applyNumberFormat="0" applyAlignment="0" applyProtection="0"/>
    <xf numFmtId="49" fontId="33" fillId="0" borderId="214" applyNumberFormat="0" applyFill="0" applyBorder="0" applyProtection="0">
      <alignment horizontal="left" vertical="center"/>
    </xf>
    <xf numFmtId="0" fontId="34" fillId="33" borderId="217">
      <alignment horizontal="left" vertical="center" wrapText="1" indent="2"/>
    </xf>
    <xf numFmtId="0" fontId="46" fillId="55" borderId="211" applyNumberFormat="0" applyAlignment="0" applyProtection="0"/>
    <xf numFmtId="0" fontId="34" fillId="0" borderId="217">
      <alignment horizontal="left" vertical="center" wrapText="1" indent="2"/>
    </xf>
    <xf numFmtId="0" fontId="40" fillId="58" borderId="213" applyNumberFormat="0" applyFont="0" applyAlignment="0" applyProtection="0"/>
    <xf numFmtId="0" fontId="5" fillId="58" borderId="213" applyNumberFormat="0" applyFont="0" applyAlignment="0" applyProtection="0"/>
    <xf numFmtId="0" fontId="62" fillId="55" borderId="218" applyNumberFormat="0" applyAlignment="0" applyProtection="0"/>
    <xf numFmtId="0" fontId="65" fillId="0" borderId="212" applyNumberFormat="0" applyFill="0" applyAlignment="0" applyProtection="0"/>
    <xf numFmtId="4" fontId="34" fillId="32" borderId="214"/>
    <xf numFmtId="0" fontId="32" fillId="33" borderId="214">
      <alignment horizontal="right" vertical="center"/>
    </xf>
    <xf numFmtId="0" fontId="65" fillId="0" borderId="212" applyNumberFormat="0" applyFill="0" applyAlignment="0" applyProtection="0"/>
    <xf numFmtId="4" fontId="32" fillId="33" borderId="216">
      <alignment horizontal="right" vertical="center"/>
    </xf>
    <xf numFmtId="0" fontId="45" fillId="55" borderId="211" applyNumberFormat="0" applyAlignment="0" applyProtection="0"/>
    <xf numFmtId="0" fontId="32" fillId="33" borderId="215">
      <alignment horizontal="right" vertical="center"/>
    </xf>
    <xf numFmtId="0" fontId="46" fillId="55" borderId="211" applyNumberFormat="0" applyAlignment="0" applyProtection="0"/>
    <xf numFmtId="0" fontId="50" fillId="0" borderId="212" applyNumberFormat="0" applyFill="0" applyAlignment="0" applyProtection="0"/>
    <xf numFmtId="0" fontId="40" fillId="58" borderId="213" applyNumberFormat="0" applyFont="0" applyAlignment="0" applyProtection="0"/>
    <xf numFmtId="4" fontId="32" fillId="33" borderId="215">
      <alignment horizontal="right" vertical="center"/>
    </xf>
    <xf numFmtId="0" fontId="34" fillId="33" borderId="217">
      <alignment horizontal="left" vertical="center" wrapText="1" indent="2"/>
    </xf>
    <xf numFmtId="0" fontId="34" fillId="32" borderId="214"/>
    <xf numFmtId="173" fontId="34" fillId="59" borderId="214" applyNumberFormat="0" applyFont="0" applyBorder="0" applyAlignment="0" applyProtection="0">
      <alignment horizontal="right" vertical="center"/>
    </xf>
    <xf numFmtId="0" fontId="34" fillId="0" borderId="214" applyNumberFormat="0" applyFill="0" applyAlignment="0" applyProtection="0"/>
    <xf numFmtId="4" fontId="34" fillId="0" borderId="214" applyFill="0" applyBorder="0" applyProtection="0">
      <alignment horizontal="right" vertical="center"/>
    </xf>
    <xf numFmtId="4" fontId="32" fillId="31" borderId="214">
      <alignment horizontal="right" vertical="center"/>
    </xf>
    <xf numFmtId="0" fontId="50" fillId="0" borderId="212" applyNumberFormat="0" applyFill="0" applyAlignment="0" applyProtection="0"/>
    <xf numFmtId="49" fontId="33" fillId="0" borderId="214" applyNumberFormat="0" applyFill="0" applyBorder="0" applyProtection="0">
      <alignment horizontal="left" vertical="center"/>
    </xf>
    <xf numFmtId="49" fontId="34" fillId="0" borderId="215" applyNumberFormat="0" applyFont="0" applyFill="0" applyBorder="0" applyProtection="0">
      <alignment horizontal="left" vertical="center" indent="5"/>
    </xf>
    <xf numFmtId="0" fontId="34" fillId="31" borderId="215">
      <alignment horizontal="left" vertical="center"/>
    </xf>
    <xf numFmtId="0" fontId="46" fillId="55" borderId="211" applyNumberFormat="0" applyAlignment="0" applyProtection="0"/>
    <xf numFmtId="4" fontId="32" fillId="33" borderId="216">
      <alignment horizontal="right" vertical="center"/>
    </xf>
    <xf numFmtId="0" fontId="58" fillId="42" borderId="211" applyNumberFormat="0" applyAlignment="0" applyProtection="0"/>
    <xf numFmtId="0" fontId="58" fillId="42" borderId="211" applyNumberFormat="0" applyAlignment="0" applyProtection="0"/>
    <xf numFmtId="0" fontId="40" fillId="58" borderId="213" applyNumberFormat="0" applyFont="0" applyAlignment="0" applyProtection="0"/>
    <xf numFmtId="0" fontId="62" fillId="55" borderId="218" applyNumberFormat="0" applyAlignment="0" applyProtection="0"/>
    <xf numFmtId="0" fontId="65" fillId="0" borderId="212" applyNumberFormat="0" applyFill="0" applyAlignment="0" applyProtection="0"/>
    <xf numFmtId="0" fontId="32" fillId="33" borderId="214">
      <alignment horizontal="right" vertical="center"/>
    </xf>
    <xf numFmtId="0" fontId="5" fillId="58" borderId="213" applyNumberFormat="0" applyFont="0" applyAlignment="0" applyProtection="0"/>
    <xf numFmtId="4" fontId="34" fillId="0" borderId="214">
      <alignment horizontal="right" vertical="center"/>
    </xf>
    <xf numFmtId="0" fontId="65" fillId="0" borderId="212" applyNumberFormat="0" applyFill="0" applyAlignment="0" applyProtection="0"/>
    <xf numFmtId="0" fontId="32" fillId="33" borderId="214">
      <alignment horizontal="right" vertical="center"/>
    </xf>
    <xf numFmtId="0" fontId="32" fillId="33" borderId="214">
      <alignment horizontal="right" vertical="center"/>
    </xf>
    <xf numFmtId="4" fontId="36" fillId="31" borderId="214">
      <alignment horizontal="right" vertical="center"/>
    </xf>
    <xf numFmtId="0" fontId="32" fillId="31" borderId="214">
      <alignment horizontal="right" vertical="center"/>
    </xf>
    <xf numFmtId="4" fontId="32" fillId="31" borderId="214">
      <alignment horizontal="right" vertical="center"/>
    </xf>
    <xf numFmtId="0" fontId="36" fillId="31" borderId="214">
      <alignment horizontal="right" vertical="center"/>
    </xf>
    <xf numFmtId="4" fontId="36" fillId="31" borderId="214">
      <alignment horizontal="right" vertical="center"/>
    </xf>
    <xf numFmtId="0" fontId="32" fillId="33" borderId="214">
      <alignment horizontal="right" vertical="center"/>
    </xf>
    <xf numFmtId="4" fontId="32" fillId="33" borderId="214">
      <alignment horizontal="right" vertical="center"/>
    </xf>
    <xf numFmtId="0" fontId="32" fillId="33" borderId="214">
      <alignment horizontal="right" vertical="center"/>
    </xf>
    <xf numFmtId="4" fontId="32" fillId="33" borderId="214">
      <alignment horizontal="right" vertical="center"/>
    </xf>
    <xf numFmtId="0" fontId="32" fillId="33" borderId="215">
      <alignment horizontal="right" vertical="center"/>
    </xf>
    <xf numFmtId="4" fontId="32" fillId="33" borderId="215">
      <alignment horizontal="right" vertical="center"/>
    </xf>
    <xf numFmtId="0" fontId="32" fillId="33" borderId="216">
      <alignment horizontal="right" vertical="center"/>
    </xf>
    <xf numFmtId="4" fontId="32" fillId="33" borderId="216">
      <alignment horizontal="right" vertical="center"/>
    </xf>
    <xf numFmtId="0" fontId="46" fillId="55" borderId="211" applyNumberFormat="0" applyAlignment="0" applyProtection="0"/>
    <xf numFmtId="0" fontId="34" fillId="33" borderId="217">
      <alignment horizontal="left" vertical="center" wrapText="1" indent="2"/>
    </xf>
    <xf numFmtId="0" fontId="34" fillId="0" borderId="217">
      <alignment horizontal="left" vertical="center" wrapText="1" indent="2"/>
    </xf>
    <xf numFmtId="0" fontId="34" fillId="31" borderId="215">
      <alignment horizontal="left" vertical="center"/>
    </xf>
    <xf numFmtId="0" fontId="58" fillId="42" borderId="211" applyNumberFormat="0" applyAlignment="0" applyProtection="0"/>
    <xf numFmtId="0" fontId="34" fillId="0" borderId="214">
      <alignment horizontal="right" vertical="center"/>
    </xf>
    <xf numFmtId="4" fontId="34" fillId="0" borderId="214">
      <alignment horizontal="right" vertical="center"/>
    </xf>
    <xf numFmtId="0" fontId="34" fillId="0" borderId="214" applyNumberFormat="0" applyFill="0" applyAlignment="0" applyProtection="0"/>
    <xf numFmtId="0" fontId="62" fillId="55" borderId="218" applyNumberFormat="0" applyAlignment="0" applyProtection="0"/>
    <xf numFmtId="173" fontId="34" fillId="59" borderId="214" applyNumberFormat="0" applyFont="0" applyBorder="0" applyAlignment="0" applyProtection="0">
      <alignment horizontal="right" vertical="center"/>
    </xf>
    <xf numFmtId="0" fontId="34" fillId="32" borderId="214"/>
    <xf numFmtId="4" fontId="34" fillId="32" borderId="214"/>
    <xf numFmtId="0" fontId="65" fillId="0" borderId="212" applyNumberFormat="0" applyFill="0" applyAlignment="0" applyProtection="0"/>
    <xf numFmtId="0" fontId="5" fillId="58" borderId="213" applyNumberFormat="0" applyFont="0" applyAlignment="0" applyProtection="0"/>
    <xf numFmtId="0" fontId="40" fillId="58" borderId="213" applyNumberFormat="0" applyFont="0" applyAlignment="0" applyProtection="0"/>
    <xf numFmtId="0" fontId="34" fillId="0" borderId="214" applyNumberFormat="0" applyFill="0" applyAlignment="0" applyProtection="0"/>
    <xf numFmtId="0" fontId="50" fillId="0" borderId="212" applyNumberFormat="0" applyFill="0" applyAlignment="0" applyProtection="0"/>
    <xf numFmtId="0" fontId="65" fillId="0" borderId="212" applyNumberFormat="0" applyFill="0" applyAlignment="0" applyProtection="0"/>
    <xf numFmtId="0" fontId="49" fillId="42" borderId="211" applyNumberFormat="0" applyAlignment="0" applyProtection="0"/>
    <xf numFmtId="0" fontId="46" fillId="55" borderId="211" applyNumberFormat="0" applyAlignment="0" applyProtection="0"/>
    <xf numFmtId="4" fontId="36" fillId="31" borderId="214">
      <alignment horizontal="right" vertical="center"/>
    </xf>
    <xf numFmtId="0" fontId="32" fillId="31" borderId="214">
      <alignment horizontal="right" vertical="center"/>
    </xf>
    <xf numFmtId="173" fontId="34" fillId="59" borderId="214" applyNumberFormat="0" applyFont="0" applyBorder="0" applyAlignment="0" applyProtection="0">
      <alignment horizontal="right" vertical="center"/>
    </xf>
    <xf numFmtId="0" fontId="50" fillId="0" borderId="212" applyNumberFormat="0" applyFill="0" applyAlignment="0" applyProtection="0"/>
    <xf numFmtId="49" fontId="34" fillId="0" borderId="214" applyNumberFormat="0" applyFont="0" applyFill="0" applyBorder="0" applyProtection="0">
      <alignment horizontal="left" vertical="center" indent="2"/>
    </xf>
    <xf numFmtId="49" fontId="34" fillId="0" borderId="215" applyNumberFormat="0" applyFont="0" applyFill="0" applyBorder="0" applyProtection="0">
      <alignment horizontal="left" vertical="center" indent="5"/>
    </xf>
    <xf numFmtId="49" fontId="34" fillId="0" borderId="214" applyNumberFormat="0" applyFont="0" applyFill="0" applyBorder="0" applyProtection="0">
      <alignment horizontal="left" vertical="center" indent="2"/>
    </xf>
    <xf numFmtId="4" fontId="34" fillId="0" borderId="214" applyFill="0" applyBorder="0" applyProtection="0">
      <alignment horizontal="right" vertical="center"/>
    </xf>
    <xf numFmtId="49" fontId="33" fillId="0" borderId="214" applyNumberFormat="0" applyFill="0" applyBorder="0" applyProtection="0">
      <alignment horizontal="left" vertical="center"/>
    </xf>
    <xf numFmtId="0" fontId="34" fillId="0" borderId="217">
      <alignment horizontal="left" vertical="center" wrapText="1" indent="2"/>
    </xf>
    <xf numFmtId="0" fontId="62" fillId="55" borderId="218" applyNumberFormat="0" applyAlignment="0" applyProtection="0"/>
    <xf numFmtId="0" fontId="32" fillId="33" borderId="216">
      <alignment horizontal="right" vertical="center"/>
    </xf>
    <xf numFmtId="0" fontId="49" fillId="42" borderId="211" applyNumberFormat="0" applyAlignment="0" applyProtection="0"/>
    <xf numFmtId="0" fontId="32" fillId="33" borderId="216">
      <alignment horizontal="right" vertical="center"/>
    </xf>
    <xf numFmtId="4" fontId="32" fillId="33" borderId="214">
      <alignment horizontal="right" vertical="center"/>
    </xf>
    <xf numFmtId="0" fontId="32" fillId="33" borderId="214">
      <alignment horizontal="right" vertical="center"/>
    </xf>
    <xf numFmtId="0" fontId="43" fillId="55" borderId="218" applyNumberFormat="0" applyAlignment="0" applyProtection="0"/>
    <xf numFmtId="0" fontId="45" fillId="55" borderId="211" applyNumberFormat="0" applyAlignment="0" applyProtection="0"/>
    <xf numFmtId="0" fontId="50" fillId="0" borderId="212" applyNumberFormat="0" applyFill="0" applyAlignment="0" applyProtection="0"/>
    <xf numFmtId="0" fontId="34" fillId="32" borderId="214"/>
    <xf numFmtId="4" fontId="34" fillId="32" borderId="214"/>
    <xf numFmtId="4" fontId="32" fillId="33" borderId="214">
      <alignment horizontal="right" vertical="center"/>
    </xf>
    <xf numFmtId="0" fontId="36" fillId="31" borderId="214">
      <alignment horizontal="right" vertical="center"/>
    </xf>
    <xf numFmtId="0" fontId="49" fillId="42" borderId="211" applyNumberFormat="0" applyAlignment="0" applyProtection="0"/>
    <xf numFmtId="0" fontId="46" fillId="55" borderId="211" applyNumberFormat="0" applyAlignment="0" applyProtection="0"/>
    <xf numFmtId="4" fontId="34" fillId="0" borderId="214">
      <alignment horizontal="right" vertical="center"/>
    </xf>
    <xf numFmtId="0" fontId="34" fillId="33" borderId="217">
      <alignment horizontal="left" vertical="center" wrapText="1" indent="2"/>
    </xf>
    <xf numFmtId="0" fontId="34" fillId="0" borderId="217">
      <alignment horizontal="left" vertical="center" wrapText="1" indent="2"/>
    </xf>
    <xf numFmtId="0" fontId="62" fillId="55" borderId="218" applyNumberFormat="0" applyAlignment="0" applyProtection="0"/>
    <xf numFmtId="0" fontId="58" fillId="42" borderId="211" applyNumberFormat="0" applyAlignment="0" applyProtection="0"/>
    <xf numFmtId="0" fontId="45" fillId="55" borderId="211" applyNumberFormat="0" applyAlignment="0" applyProtection="0"/>
    <xf numFmtId="0" fontId="43" fillId="55" borderId="218" applyNumberFormat="0" applyAlignment="0" applyProtection="0"/>
    <xf numFmtId="0" fontId="32" fillId="33" borderId="216">
      <alignment horizontal="right" vertical="center"/>
    </xf>
    <xf numFmtId="0" fontId="36" fillId="31" borderId="214">
      <alignment horizontal="right" vertical="center"/>
    </xf>
    <xf numFmtId="4" fontId="32" fillId="31" borderId="214">
      <alignment horizontal="right" vertical="center"/>
    </xf>
    <xf numFmtId="4" fontId="32" fillId="33" borderId="214">
      <alignment horizontal="right" vertical="center"/>
    </xf>
    <xf numFmtId="49" fontId="34" fillId="0" borderId="215" applyNumberFormat="0" applyFont="0" applyFill="0" applyBorder="0" applyProtection="0">
      <alignment horizontal="left" vertical="center" indent="5"/>
    </xf>
    <xf numFmtId="4" fontId="34" fillId="0" borderId="214" applyFill="0" applyBorder="0" applyProtection="0">
      <alignment horizontal="right" vertical="center"/>
    </xf>
    <xf numFmtId="4" fontId="32" fillId="31" borderId="214">
      <alignment horizontal="right" vertical="center"/>
    </xf>
    <xf numFmtId="0" fontId="5" fillId="58" borderId="238" applyNumberFormat="0" applyFont="0" applyAlignment="0" applyProtection="0"/>
    <xf numFmtId="0" fontId="58" fillId="42" borderId="211" applyNumberFormat="0" applyAlignment="0" applyProtection="0"/>
    <xf numFmtId="0" fontId="49" fillId="42" borderId="211" applyNumberFormat="0" applyAlignment="0" applyProtection="0"/>
    <xf numFmtId="0" fontId="45" fillId="55" borderId="211" applyNumberFormat="0" applyAlignment="0" applyProtection="0"/>
    <xf numFmtId="0" fontId="34" fillId="33" borderId="217">
      <alignment horizontal="left" vertical="center" wrapText="1" indent="2"/>
    </xf>
    <xf numFmtId="0" fontId="34" fillId="0" borderId="217">
      <alignment horizontal="left" vertical="center" wrapText="1" indent="2"/>
    </xf>
    <xf numFmtId="0" fontId="34" fillId="33" borderId="217">
      <alignment horizontal="left" vertical="center" wrapText="1" indent="2"/>
    </xf>
    <xf numFmtId="0" fontId="34" fillId="0" borderId="217">
      <alignment horizontal="left" vertical="center" wrapText="1" indent="2"/>
    </xf>
    <xf numFmtId="0" fontId="43" fillId="55" borderId="218" applyNumberFormat="0" applyAlignment="0" applyProtection="0"/>
    <xf numFmtId="0" fontId="45" fillId="55" borderId="211" applyNumberFormat="0" applyAlignment="0" applyProtection="0"/>
    <xf numFmtId="0" fontId="46" fillId="55" borderId="211" applyNumberFormat="0" applyAlignment="0" applyProtection="0"/>
    <xf numFmtId="0" fontId="49" fillId="42" borderId="211" applyNumberFormat="0" applyAlignment="0" applyProtection="0"/>
    <xf numFmtId="0" fontId="50" fillId="0" borderId="212" applyNumberFormat="0" applyFill="0" applyAlignment="0" applyProtection="0"/>
    <xf numFmtId="0" fontId="58" fillId="42" borderId="211" applyNumberFormat="0" applyAlignment="0" applyProtection="0"/>
    <xf numFmtId="0" fontId="40" fillId="58" borderId="213" applyNumberFormat="0" applyFont="0" applyAlignment="0" applyProtection="0"/>
    <xf numFmtId="0" fontId="5" fillId="58" borderId="213" applyNumberFormat="0" applyFont="0" applyAlignment="0" applyProtection="0"/>
    <xf numFmtId="0" fontId="62" fillId="55" borderId="218" applyNumberFormat="0" applyAlignment="0" applyProtection="0"/>
    <xf numFmtId="0" fontId="65" fillId="0" borderId="212" applyNumberFormat="0" applyFill="0" applyAlignment="0" applyProtection="0"/>
    <xf numFmtId="0" fontId="46" fillId="55" borderId="211" applyNumberFormat="0" applyAlignment="0" applyProtection="0"/>
    <xf numFmtId="0" fontId="58" fillId="42" borderId="211" applyNumberFormat="0" applyAlignment="0" applyProtection="0"/>
    <xf numFmtId="0" fontId="40" fillId="58" borderId="213" applyNumberFormat="0" applyFont="0" applyAlignment="0" applyProtection="0"/>
    <xf numFmtId="0" fontId="62" fillId="55" borderId="218" applyNumberFormat="0" applyAlignment="0" applyProtection="0"/>
    <xf numFmtId="0" fontId="65" fillId="0" borderId="212" applyNumberFormat="0" applyFill="0" applyAlignment="0" applyProtection="0"/>
    <xf numFmtId="0" fontId="46" fillId="55" borderId="251" applyNumberFormat="0" applyAlignment="0" applyProtection="0"/>
    <xf numFmtId="4" fontId="34" fillId="0" borderId="239">
      <alignment horizontal="right" vertical="center"/>
    </xf>
    <xf numFmtId="0" fontId="26" fillId="13" borderId="0" applyNumberFormat="0" applyBorder="0" applyAlignment="0" applyProtection="0"/>
    <xf numFmtId="0" fontId="49" fillId="42" borderId="236" applyNumberFormat="0" applyAlignment="0" applyProtection="0"/>
    <xf numFmtId="0" fontId="46" fillId="55" borderId="211" applyNumberFormat="0" applyAlignment="0" applyProtection="0"/>
    <xf numFmtId="0" fontId="32" fillId="33" borderId="223">
      <alignment horizontal="right" vertical="center"/>
    </xf>
    <xf numFmtId="4" fontId="32" fillId="31" borderId="223">
      <alignment horizontal="right" vertical="center"/>
    </xf>
    <xf numFmtId="0" fontId="34" fillId="31" borderId="255">
      <alignment horizontal="left" vertical="center"/>
    </xf>
    <xf numFmtId="0" fontId="58" fillId="42" borderId="211" applyNumberFormat="0" applyAlignment="0" applyProtection="0"/>
    <xf numFmtId="0" fontId="62" fillId="55" borderId="218" applyNumberFormat="0" applyAlignment="0" applyProtection="0"/>
    <xf numFmtId="0" fontId="65" fillId="0" borderId="212" applyNumberFormat="0" applyFill="0" applyAlignment="0" applyProtection="0"/>
    <xf numFmtId="0" fontId="50" fillId="0" borderId="250" applyNumberFormat="0" applyFill="0" applyAlignment="0" applyProtection="0"/>
    <xf numFmtId="0" fontId="43" fillId="55" borderId="218" applyNumberFormat="0" applyAlignment="0" applyProtection="0"/>
    <xf numFmtId="0" fontId="45" fillId="55" borderId="211" applyNumberFormat="0" applyAlignment="0" applyProtection="0"/>
    <xf numFmtId="0" fontId="50" fillId="0" borderId="212" applyNumberFormat="0" applyFill="0" applyAlignment="0" applyProtection="0"/>
    <xf numFmtId="49" fontId="34" fillId="0" borderId="214" applyNumberFormat="0" applyFont="0" applyFill="0" applyBorder="0" applyProtection="0">
      <alignment horizontal="left" vertical="center" indent="2"/>
    </xf>
    <xf numFmtId="0" fontId="32" fillId="31" borderId="214">
      <alignment horizontal="right" vertical="center"/>
    </xf>
    <xf numFmtId="4" fontId="32" fillId="31" borderId="214">
      <alignment horizontal="right" vertical="center"/>
    </xf>
    <xf numFmtId="0" fontId="36" fillId="31" borderId="214">
      <alignment horizontal="right" vertical="center"/>
    </xf>
    <xf numFmtId="4" fontId="36" fillId="31" borderId="214">
      <alignment horizontal="right" vertical="center"/>
    </xf>
    <xf numFmtId="0" fontId="32" fillId="33" borderId="214">
      <alignment horizontal="right" vertical="center"/>
    </xf>
    <xf numFmtId="4" fontId="32" fillId="33" borderId="214">
      <alignment horizontal="right" vertical="center"/>
    </xf>
    <xf numFmtId="0" fontId="32" fillId="33" borderId="214">
      <alignment horizontal="right" vertical="center"/>
    </xf>
    <xf numFmtId="4" fontId="32" fillId="33" borderId="214">
      <alignment horizontal="right" vertical="center"/>
    </xf>
    <xf numFmtId="0" fontId="49" fillId="42" borderId="211" applyNumberFormat="0" applyAlignment="0" applyProtection="0"/>
    <xf numFmtId="0" fontId="34" fillId="0" borderId="214">
      <alignment horizontal="right" vertical="center"/>
    </xf>
    <xf numFmtId="4" fontId="34" fillId="0" borderId="214">
      <alignment horizontal="right" vertical="center"/>
    </xf>
    <xf numFmtId="4" fontId="34" fillId="0" borderId="214" applyFill="0" applyBorder="0" applyProtection="0">
      <alignment horizontal="right" vertical="center"/>
    </xf>
    <xf numFmtId="49" fontId="33" fillId="0" borderId="214" applyNumberFormat="0" applyFill="0" applyBorder="0" applyProtection="0">
      <alignment horizontal="left" vertical="center"/>
    </xf>
    <xf numFmtId="0" fontId="34" fillId="0" borderId="214" applyNumberFormat="0" applyFill="0" applyAlignment="0" applyProtection="0"/>
    <xf numFmtId="173" fontId="34" fillId="59" borderId="214" applyNumberFormat="0" applyFont="0" applyBorder="0" applyAlignment="0" applyProtection="0">
      <alignment horizontal="right" vertical="center"/>
    </xf>
    <xf numFmtId="0" fontId="34" fillId="32" borderId="214"/>
    <xf numFmtId="4" fontId="34" fillId="32" borderId="214"/>
    <xf numFmtId="4" fontId="32" fillId="33" borderId="214">
      <alignment horizontal="right" vertical="center"/>
    </xf>
    <xf numFmtId="0" fontId="34" fillId="32" borderId="214"/>
    <xf numFmtId="0" fontId="45" fillId="55" borderId="211" applyNumberFormat="0" applyAlignment="0" applyProtection="0"/>
    <xf numFmtId="0" fontId="32" fillId="31" borderId="214">
      <alignment horizontal="right" vertical="center"/>
    </xf>
    <xf numFmtId="0" fontId="34" fillId="0" borderId="214">
      <alignment horizontal="right" vertical="center"/>
    </xf>
    <xf numFmtId="0" fontId="65" fillId="0" borderId="212" applyNumberFormat="0" applyFill="0" applyAlignment="0" applyProtection="0"/>
    <xf numFmtId="0" fontId="34" fillId="31" borderId="215">
      <alignment horizontal="left" vertical="center"/>
    </xf>
    <xf numFmtId="0" fontId="58" fillId="42" borderId="211" applyNumberFormat="0" applyAlignment="0" applyProtection="0"/>
    <xf numFmtId="173" fontId="34" fillId="59" borderId="214" applyNumberFormat="0" applyFont="0" applyBorder="0" applyAlignment="0" applyProtection="0">
      <alignment horizontal="right" vertical="center"/>
    </xf>
    <xf numFmtId="0" fontId="40" fillId="58" borderId="213" applyNumberFormat="0" applyFont="0" applyAlignment="0" applyProtection="0"/>
    <xf numFmtId="0" fontId="34" fillId="0" borderId="217">
      <alignment horizontal="left" vertical="center" wrapText="1" indent="2"/>
    </xf>
    <xf numFmtId="4" fontId="34" fillId="32" borderId="214"/>
    <xf numFmtId="49" fontId="33" fillId="0" borderId="214" applyNumberFormat="0" applyFill="0" applyBorder="0" applyProtection="0">
      <alignment horizontal="left" vertical="center"/>
    </xf>
    <xf numFmtId="0" fontId="34" fillId="0" borderId="214">
      <alignment horizontal="right" vertical="center"/>
    </xf>
    <xf numFmtId="4" fontId="32" fillId="33" borderId="216">
      <alignment horizontal="right" vertical="center"/>
    </xf>
    <xf numFmtId="4" fontId="32" fillId="33" borderId="214">
      <alignment horizontal="right" vertical="center"/>
    </xf>
    <xf numFmtId="4" fontId="32" fillId="33" borderId="214">
      <alignment horizontal="right" vertical="center"/>
    </xf>
    <xf numFmtId="0" fontId="36" fillId="31" borderId="214">
      <alignment horizontal="right" vertical="center"/>
    </xf>
    <xf numFmtId="0" fontId="32" fillId="31" borderId="214">
      <alignment horizontal="right" vertical="center"/>
    </xf>
    <xf numFmtId="49" fontId="34" fillId="0" borderId="214" applyNumberFormat="0" applyFont="0" applyFill="0" applyBorder="0" applyProtection="0">
      <alignment horizontal="left" vertical="center" indent="2"/>
    </xf>
    <xf numFmtId="0" fontId="58" fillId="42" borderId="211" applyNumberFormat="0" applyAlignment="0" applyProtection="0"/>
    <xf numFmtId="0" fontId="43" fillId="55" borderId="218" applyNumberFormat="0" applyAlignment="0" applyProtection="0"/>
    <xf numFmtId="49" fontId="34" fillId="0" borderId="214" applyNumberFormat="0" applyFont="0" applyFill="0" applyBorder="0" applyProtection="0">
      <alignment horizontal="left" vertical="center" indent="2"/>
    </xf>
    <xf numFmtId="0" fontId="49" fillId="42" borderId="211" applyNumberFormat="0" applyAlignment="0" applyProtection="0"/>
    <xf numFmtId="4" fontId="34" fillId="0" borderId="214" applyFill="0" applyBorder="0" applyProtection="0">
      <alignment horizontal="right" vertical="center"/>
    </xf>
    <xf numFmtId="0" fontId="46" fillId="55" borderId="211" applyNumberFormat="0" applyAlignment="0" applyProtection="0"/>
    <xf numFmtId="0" fontId="65" fillId="0" borderId="212" applyNumberFormat="0" applyFill="0" applyAlignment="0" applyProtection="0"/>
    <xf numFmtId="0" fontId="62" fillId="55" borderId="218" applyNumberFormat="0" applyAlignment="0" applyProtection="0"/>
    <xf numFmtId="0" fontId="34" fillId="0" borderId="214" applyNumberFormat="0" applyFill="0" applyAlignment="0" applyProtection="0"/>
    <xf numFmtId="4" fontId="34" fillId="0" borderId="214">
      <alignment horizontal="right" vertical="center"/>
    </xf>
    <xf numFmtId="0" fontId="34" fillId="0" borderId="214">
      <alignment horizontal="right" vertical="center"/>
    </xf>
    <xf numFmtId="0" fontId="58" fillId="42" borderId="211" applyNumberFormat="0" applyAlignment="0" applyProtection="0"/>
    <xf numFmtId="0" fontId="43" fillId="55" borderId="218" applyNumberFormat="0" applyAlignment="0" applyProtection="0"/>
    <xf numFmtId="0" fontId="45" fillId="55" borderId="211" applyNumberFormat="0" applyAlignment="0" applyProtection="0"/>
    <xf numFmtId="0" fontId="34" fillId="33" borderId="217">
      <alignment horizontal="left" vertical="center" wrapText="1" indent="2"/>
    </xf>
    <xf numFmtId="0" fontId="46" fillId="55" borderId="211" applyNumberFormat="0" applyAlignment="0" applyProtection="0"/>
    <xf numFmtId="0" fontId="46" fillId="55" borderId="211" applyNumberFormat="0" applyAlignment="0" applyProtection="0"/>
    <xf numFmtId="4" fontId="32" fillId="33" borderId="215">
      <alignment horizontal="right" vertical="center"/>
    </xf>
    <xf numFmtId="0" fontId="32" fillId="33" borderId="215">
      <alignment horizontal="right" vertical="center"/>
    </xf>
    <xf numFmtId="0" fontId="32" fillId="33" borderId="214">
      <alignment horizontal="right" vertical="center"/>
    </xf>
    <xf numFmtId="4" fontId="36" fillId="31" borderId="214">
      <alignment horizontal="right" vertical="center"/>
    </xf>
    <xf numFmtId="0" fontId="49" fillId="42" borderId="211" applyNumberFormat="0" applyAlignment="0" applyProtection="0"/>
    <xf numFmtId="0" fontId="50" fillId="0" borderId="212" applyNumberFormat="0" applyFill="0" applyAlignment="0" applyProtection="0"/>
    <xf numFmtId="0" fontId="65" fillId="0" borderId="212" applyNumberFormat="0" applyFill="0" applyAlignment="0" applyProtection="0"/>
    <xf numFmtId="0" fontId="40" fillId="58" borderId="213" applyNumberFormat="0" applyFont="0" applyAlignment="0" applyProtection="0"/>
    <xf numFmtId="0" fontId="58" fillId="42" borderId="211" applyNumberFormat="0" applyAlignment="0" applyProtection="0"/>
    <xf numFmtId="49" fontId="33" fillId="0" borderId="214" applyNumberFormat="0" applyFill="0" applyBorder="0" applyProtection="0">
      <alignment horizontal="left" vertical="center"/>
    </xf>
    <xf numFmtId="0" fontId="34" fillId="33" borderId="217">
      <alignment horizontal="left" vertical="center" wrapText="1" indent="2"/>
    </xf>
    <xf numFmtId="0" fontId="46" fillId="55" borderId="211" applyNumberFormat="0" applyAlignment="0" applyProtection="0"/>
    <xf numFmtId="0" fontId="34" fillId="0" borderId="217">
      <alignment horizontal="left" vertical="center" wrapText="1" indent="2"/>
    </xf>
    <xf numFmtId="0" fontId="40" fillId="58" borderId="213" applyNumberFormat="0" applyFont="0" applyAlignment="0" applyProtection="0"/>
    <xf numFmtId="0" fontId="5" fillId="58" borderId="213" applyNumberFormat="0" applyFont="0" applyAlignment="0" applyProtection="0"/>
    <xf numFmtId="0" fontId="62" fillId="55" borderId="218" applyNumberFormat="0" applyAlignment="0" applyProtection="0"/>
    <xf numFmtId="0" fontId="65" fillId="0" borderId="212" applyNumberFormat="0" applyFill="0" applyAlignment="0" applyProtection="0"/>
    <xf numFmtId="4" fontId="34" fillId="32" borderId="214"/>
    <xf numFmtId="0" fontId="32" fillId="33" borderId="214">
      <alignment horizontal="right" vertical="center"/>
    </xf>
    <xf numFmtId="0" fontId="65" fillId="0" borderId="212" applyNumberFormat="0" applyFill="0" applyAlignment="0" applyProtection="0"/>
    <xf numFmtId="4" fontId="32" fillId="33" borderId="216">
      <alignment horizontal="right" vertical="center"/>
    </xf>
    <xf numFmtId="0" fontId="45" fillId="55" borderId="211" applyNumberFormat="0" applyAlignment="0" applyProtection="0"/>
    <xf numFmtId="0" fontId="32" fillId="33" borderId="215">
      <alignment horizontal="right" vertical="center"/>
    </xf>
    <xf numFmtId="0" fontId="46" fillId="55" borderId="211" applyNumberFormat="0" applyAlignment="0" applyProtection="0"/>
    <xf numFmtId="0" fontId="50" fillId="0" borderId="212" applyNumberFormat="0" applyFill="0" applyAlignment="0" applyProtection="0"/>
    <xf numFmtId="0" fontId="40" fillId="58" borderId="213" applyNumberFormat="0" applyFont="0" applyAlignment="0" applyProtection="0"/>
    <xf numFmtId="4" fontId="32" fillId="33" borderId="215">
      <alignment horizontal="right" vertical="center"/>
    </xf>
    <xf numFmtId="0" fontId="34" fillId="33" borderId="217">
      <alignment horizontal="left" vertical="center" wrapText="1" indent="2"/>
    </xf>
    <xf numFmtId="0" fontId="34" fillId="32" borderId="214"/>
    <xf numFmtId="173" fontId="34" fillId="59" borderId="214" applyNumberFormat="0" applyFont="0" applyBorder="0" applyAlignment="0" applyProtection="0">
      <alignment horizontal="right" vertical="center"/>
    </xf>
    <xf numFmtId="0" fontId="34" fillId="0" borderId="214" applyNumberFormat="0" applyFill="0" applyAlignment="0" applyProtection="0"/>
    <xf numFmtId="4" fontId="34" fillId="0" borderId="214" applyFill="0" applyBorder="0" applyProtection="0">
      <alignment horizontal="right" vertical="center"/>
    </xf>
    <xf numFmtId="4" fontId="32" fillId="31" borderId="214">
      <alignment horizontal="right" vertical="center"/>
    </xf>
    <xf numFmtId="0" fontId="50" fillId="0" borderId="212" applyNumberFormat="0" applyFill="0" applyAlignment="0" applyProtection="0"/>
    <xf numFmtId="49" fontId="33" fillId="0" borderId="214" applyNumberFormat="0" applyFill="0" applyBorder="0" applyProtection="0">
      <alignment horizontal="left" vertical="center"/>
    </xf>
    <xf numFmtId="49" fontId="34" fillId="0" borderId="215" applyNumberFormat="0" applyFont="0" applyFill="0" applyBorder="0" applyProtection="0">
      <alignment horizontal="left" vertical="center" indent="5"/>
    </xf>
    <xf numFmtId="0" fontId="34" fillId="31" borderId="215">
      <alignment horizontal="left" vertical="center"/>
    </xf>
    <xf numFmtId="0" fontId="46" fillId="55" borderId="211" applyNumberFormat="0" applyAlignment="0" applyProtection="0"/>
    <xf numFmtId="4" fontId="32" fillId="33" borderId="216">
      <alignment horizontal="right" vertical="center"/>
    </xf>
    <xf numFmtId="0" fontId="58" fillId="42" borderId="211" applyNumberFormat="0" applyAlignment="0" applyProtection="0"/>
    <xf numFmtId="0" fontId="58" fillId="42" borderId="211" applyNumberFormat="0" applyAlignment="0" applyProtection="0"/>
    <xf numFmtId="0" fontId="40" fillId="58" borderId="213" applyNumberFormat="0" applyFont="0" applyAlignment="0" applyProtection="0"/>
    <xf numFmtId="0" fontId="62" fillId="55" borderId="218" applyNumberFormat="0" applyAlignment="0" applyProtection="0"/>
    <xf numFmtId="0" fontId="65" fillId="0" borderId="212" applyNumberFormat="0" applyFill="0" applyAlignment="0" applyProtection="0"/>
    <xf numFmtId="0" fontId="32" fillId="33" borderId="214">
      <alignment horizontal="right" vertical="center"/>
    </xf>
    <xf numFmtId="0" fontId="5" fillId="58" borderId="213" applyNumberFormat="0" applyFont="0" applyAlignment="0" applyProtection="0"/>
    <xf numFmtId="4" fontId="34" fillId="0" borderId="214">
      <alignment horizontal="right" vertical="center"/>
    </xf>
    <xf numFmtId="0" fontId="65" fillId="0" borderId="212" applyNumberFormat="0" applyFill="0" applyAlignment="0" applyProtection="0"/>
    <xf numFmtId="0" fontId="32" fillId="33" borderId="214">
      <alignment horizontal="right" vertical="center"/>
    </xf>
    <xf numFmtId="0" fontId="32" fillId="33" borderId="214">
      <alignment horizontal="right" vertical="center"/>
    </xf>
    <xf numFmtId="4" fontId="36" fillId="31" borderId="214">
      <alignment horizontal="right" vertical="center"/>
    </xf>
    <xf numFmtId="0" fontId="32" fillId="31" borderId="214">
      <alignment horizontal="right" vertical="center"/>
    </xf>
    <xf numFmtId="4" fontId="32" fillId="31" borderId="214">
      <alignment horizontal="right" vertical="center"/>
    </xf>
    <xf numFmtId="0" fontId="36" fillId="31" borderId="214">
      <alignment horizontal="right" vertical="center"/>
    </xf>
    <xf numFmtId="4" fontId="36" fillId="31" borderId="214">
      <alignment horizontal="right" vertical="center"/>
    </xf>
    <xf numFmtId="0" fontId="32" fillId="33" borderId="214">
      <alignment horizontal="right" vertical="center"/>
    </xf>
    <xf numFmtId="4" fontId="32" fillId="33" borderId="214">
      <alignment horizontal="right" vertical="center"/>
    </xf>
    <xf numFmtId="0" fontId="32" fillId="33" borderId="214">
      <alignment horizontal="right" vertical="center"/>
    </xf>
    <xf numFmtId="4" fontId="32" fillId="33" borderId="214">
      <alignment horizontal="right" vertical="center"/>
    </xf>
    <xf numFmtId="0" fontId="32" fillId="33" borderId="215">
      <alignment horizontal="right" vertical="center"/>
    </xf>
    <xf numFmtId="4" fontId="32" fillId="33" borderId="215">
      <alignment horizontal="right" vertical="center"/>
    </xf>
    <xf numFmtId="0" fontId="32" fillId="33" borderId="216">
      <alignment horizontal="right" vertical="center"/>
    </xf>
    <xf numFmtId="4" fontId="32" fillId="33" borderId="216">
      <alignment horizontal="right" vertical="center"/>
    </xf>
    <xf numFmtId="0" fontId="46" fillId="55" borderId="211" applyNumberFormat="0" applyAlignment="0" applyProtection="0"/>
    <xf numFmtId="0" fontId="34" fillId="33" borderId="217">
      <alignment horizontal="left" vertical="center" wrapText="1" indent="2"/>
    </xf>
    <xf numFmtId="0" fontId="34" fillId="0" borderId="217">
      <alignment horizontal="left" vertical="center" wrapText="1" indent="2"/>
    </xf>
    <xf numFmtId="0" fontId="34" fillId="31" borderId="215">
      <alignment horizontal="left" vertical="center"/>
    </xf>
    <xf numFmtId="0" fontId="58" fillId="42" borderId="211" applyNumberFormat="0" applyAlignment="0" applyProtection="0"/>
    <xf numFmtId="0" fontId="34" fillId="0" borderId="214">
      <alignment horizontal="right" vertical="center"/>
    </xf>
    <xf numFmtId="4" fontId="34" fillId="0" borderId="214">
      <alignment horizontal="right" vertical="center"/>
    </xf>
    <xf numFmtId="0" fontId="34" fillId="0" borderId="214" applyNumberFormat="0" applyFill="0" applyAlignment="0" applyProtection="0"/>
    <xf numFmtId="0" fontId="62" fillId="55" borderId="218" applyNumberFormat="0" applyAlignment="0" applyProtection="0"/>
    <xf numFmtId="173" fontId="34" fillId="59" borderId="214" applyNumberFormat="0" applyFont="0" applyBorder="0" applyAlignment="0" applyProtection="0">
      <alignment horizontal="right" vertical="center"/>
    </xf>
    <xf numFmtId="0" fontId="34" fillId="32" borderId="214"/>
    <xf numFmtId="4" fontId="34" fillId="32" borderId="214"/>
    <xf numFmtId="0" fontId="65" fillId="0" borderId="212" applyNumberFormat="0" applyFill="0" applyAlignment="0" applyProtection="0"/>
    <xf numFmtId="0" fontId="5" fillId="58" borderId="213" applyNumberFormat="0" applyFont="0" applyAlignment="0" applyProtection="0"/>
    <xf numFmtId="0" fontId="40" fillId="58" borderId="213" applyNumberFormat="0" applyFont="0" applyAlignment="0" applyProtection="0"/>
    <xf numFmtId="0" fontId="34" fillId="0" borderId="214" applyNumberFormat="0" applyFill="0" applyAlignment="0" applyProtection="0"/>
    <xf numFmtId="0" fontId="50" fillId="0" borderId="212" applyNumberFormat="0" applyFill="0" applyAlignment="0" applyProtection="0"/>
    <xf numFmtId="0" fontId="65" fillId="0" borderId="212" applyNumberFormat="0" applyFill="0" applyAlignment="0" applyProtection="0"/>
    <xf numFmtId="0" fontId="49" fillId="42" borderId="211" applyNumberFormat="0" applyAlignment="0" applyProtection="0"/>
    <xf numFmtId="0" fontId="46" fillId="55" borderId="211" applyNumberFormat="0" applyAlignment="0" applyProtection="0"/>
    <xf numFmtId="4" fontId="36" fillId="31" borderId="214">
      <alignment horizontal="right" vertical="center"/>
    </xf>
    <xf numFmtId="0" fontId="32" fillId="31" borderId="214">
      <alignment horizontal="right" vertical="center"/>
    </xf>
    <xf numFmtId="173" fontId="34" fillId="59" borderId="214" applyNumberFormat="0" applyFont="0" applyBorder="0" applyAlignment="0" applyProtection="0">
      <alignment horizontal="right" vertical="center"/>
    </xf>
    <xf numFmtId="0" fontId="50" fillId="0" borderId="212" applyNumberFormat="0" applyFill="0" applyAlignment="0" applyProtection="0"/>
    <xf numFmtId="49" fontId="34" fillId="0" borderId="214" applyNumberFormat="0" applyFont="0" applyFill="0" applyBorder="0" applyProtection="0">
      <alignment horizontal="left" vertical="center" indent="2"/>
    </xf>
    <xf numFmtId="49" fontId="34" fillId="0" borderId="215" applyNumberFormat="0" applyFont="0" applyFill="0" applyBorder="0" applyProtection="0">
      <alignment horizontal="left" vertical="center" indent="5"/>
    </xf>
    <xf numFmtId="49" fontId="34" fillId="0" borderId="214" applyNumberFormat="0" applyFont="0" applyFill="0" applyBorder="0" applyProtection="0">
      <alignment horizontal="left" vertical="center" indent="2"/>
    </xf>
    <xf numFmtId="4" fontId="34" fillId="0" borderId="214" applyFill="0" applyBorder="0" applyProtection="0">
      <alignment horizontal="right" vertical="center"/>
    </xf>
    <xf numFmtId="49" fontId="33" fillId="0" borderId="214" applyNumberFormat="0" applyFill="0" applyBorder="0" applyProtection="0">
      <alignment horizontal="left" vertical="center"/>
    </xf>
    <xf numFmtId="0" fontId="34" fillId="0" borderId="217">
      <alignment horizontal="left" vertical="center" wrapText="1" indent="2"/>
    </xf>
    <xf numFmtId="0" fontId="62" fillId="55" borderId="218" applyNumberFormat="0" applyAlignment="0" applyProtection="0"/>
    <xf numFmtId="0" fontId="32" fillId="33" borderId="216">
      <alignment horizontal="right" vertical="center"/>
    </xf>
    <xf numFmtId="0" fontId="49" fillId="42" borderId="211" applyNumberFormat="0" applyAlignment="0" applyProtection="0"/>
    <xf numFmtId="0" fontId="32" fillId="33" borderId="216">
      <alignment horizontal="right" vertical="center"/>
    </xf>
    <xf numFmtId="4" fontId="32" fillId="33" borderId="214">
      <alignment horizontal="right" vertical="center"/>
    </xf>
    <xf numFmtId="0" fontId="32" fillId="33" borderId="214">
      <alignment horizontal="right" vertical="center"/>
    </xf>
    <xf numFmtId="0" fontId="43" fillId="55" borderId="218" applyNumberFormat="0" applyAlignment="0" applyProtection="0"/>
    <xf numFmtId="0" fontId="45" fillId="55" borderId="211" applyNumberFormat="0" applyAlignment="0" applyProtection="0"/>
    <xf numFmtId="0" fontId="50" fillId="0" borderId="212" applyNumberFormat="0" applyFill="0" applyAlignment="0" applyProtection="0"/>
    <xf numFmtId="0" fontId="34" fillId="32" borderId="214"/>
    <xf numFmtId="4" fontId="34" fillId="32" borderId="214"/>
    <xf numFmtId="4" fontId="32" fillId="33" borderId="214">
      <alignment horizontal="right" vertical="center"/>
    </xf>
    <xf numFmtId="0" fontId="36" fillId="31" borderId="214">
      <alignment horizontal="right" vertical="center"/>
    </xf>
    <xf numFmtId="0" fontId="49" fillId="42" borderId="211" applyNumberFormat="0" applyAlignment="0" applyProtection="0"/>
    <xf numFmtId="0" fontId="46" fillId="55" borderId="211" applyNumberFormat="0" applyAlignment="0" applyProtection="0"/>
    <xf numFmtId="4" fontId="34" fillId="0" borderId="214">
      <alignment horizontal="right" vertical="center"/>
    </xf>
    <xf numFmtId="0" fontId="34" fillId="33" borderId="217">
      <alignment horizontal="left" vertical="center" wrapText="1" indent="2"/>
    </xf>
    <xf numFmtId="0" fontId="34" fillId="0" borderId="217">
      <alignment horizontal="left" vertical="center" wrapText="1" indent="2"/>
    </xf>
    <xf numFmtId="0" fontId="62" fillId="55" borderId="218" applyNumberFormat="0" applyAlignment="0" applyProtection="0"/>
    <xf numFmtId="0" fontId="58" fillId="42" borderId="211" applyNumberFormat="0" applyAlignment="0" applyProtection="0"/>
    <xf numFmtId="0" fontId="45" fillId="55" borderId="211" applyNumberFormat="0" applyAlignment="0" applyProtection="0"/>
    <xf numFmtId="0" fontId="43" fillId="55" borderId="218" applyNumberFormat="0" applyAlignment="0" applyProtection="0"/>
    <xf numFmtId="0" fontId="32" fillId="33" borderId="216">
      <alignment horizontal="right" vertical="center"/>
    </xf>
    <xf numFmtId="0" fontId="36" fillId="31" borderId="214">
      <alignment horizontal="right" vertical="center"/>
    </xf>
    <xf numFmtId="4" fontId="32" fillId="31" borderId="214">
      <alignment horizontal="right" vertical="center"/>
    </xf>
    <xf numFmtId="4" fontId="32" fillId="33" borderId="214">
      <alignment horizontal="right" vertical="center"/>
    </xf>
    <xf numFmtId="49" fontId="34" fillId="0" borderId="215" applyNumberFormat="0" applyFont="0" applyFill="0" applyBorder="0" applyProtection="0">
      <alignment horizontal="left" vertical="center" indent="5"/>
    </xf>
    <xf numFmtId="4" fontId="34" fillId="0" borderId="214" applyFill="0" applyBorder="0" applyProtection="0">
      <alignment horizontal="right" vertical="center"/>
    </xf>
    <xf numFmtId="4" fontId="32" fillId="31" borderId="214">
      <alignment horizontal="right" vertical="center"/>
    </xf>
    <xf numFmtId="0" fontId="58" fillId="42" borderId="211" applyNumberFormat="0" applyAlignment="0" applyProtection="0"/>
    <xf numFmtId="0" fontId="49" fillId="42" borderId="211" applyNumberFormat="0" applyAlignment="0" applyProtection="0"/>
    <xf numFmtId="0" fontId="45" fillId="55" borderId="211" applyNumberFormat="0" applyAlignment="0" applyProtection="0"/>
    <xf numFmtId="0" fontId="34" fillId="33" borderId="217">
      <alignment horizontal="left" vertical="center" wrapText="1" indent="2"/>
    </xf>
    <xf numFmtId="0" fontId="34" fillId="0" borderId="217">
      <alignment horizontal="left" vertical="center" wrapText="1" indent="2"/>
    </xf>
    <xf numFmtId="0" fontId="34" fillId="33" borderId="217">
      <alignment horizontal="left" vertical="center" wrapText="1" indent="2"/>
    </xf>
    <xf numFmtId="0" fontId="36" fillId="31" borderId="223">
      <alignment horizontal="right" vertical="center"/>
    </xf>
    <xf numFmtId="0" fontId="58" fillId="42" borderId="236" applyNumberFormat="0" applyAlignment="0" applyProtection="0"/>
    <xf numFmtId="0" fontId="34" fillId="32" borderId="239"/>
    <xf numFmtId="0" fontId="26" fillId="19" borderId="0" applyNumberFormat="0" applyBorder="0" applyAlignment="0" applyProtection="0"/>
    <xf numFmtId="0" fontId="45" fillId="55" borderId="251" applyNumberFormat="0" applyAlignment="0" applyProtection="0"/>
    <xf numFmtId="0" fontId="26" fillId="17" borderId="0" applyNumberFormat="0" applyBorder="0" applyAlignment="0" applyProtection="0"/>
    <xf numFmtId="4" fontId="32" fillId="33" borderId="260">
      <alignment horizontal="right" vertical="center"/>
    </xf>
    <xf numFmtId="0" fontId="34" fillId="33" borderId="242">
      <alignment horizontal="left" vertical="center" wrapText="1" indent="2"/>
    </xf>
    <xf numFmtId="0" fontId="34" fillId="0" borderId="244" applyNumberFormat="0" applyFill="0" applyAlignment="0" applyProtection="0"/>
    <xf numFmtId="0" fontId="34" fillId="0" borderId="239" applyNumberFormat="0" applyFill="0" applyAlignment="0" applyProtection="0"/>
    <xf numFmtId="4" fontId="32" fillId="33" borderId="255">
      <alignment horizontal="right" vertical="center"/>
    </xf>
    <xf numFmtId="0" fontId="46" fillId="55" borderId="227" applyNumberFormat="0" applyAlignment="0" applyProtection="0"/>
    <xf numFmtId="0" fontId="65" fillId="0" borderId="250" applyNumberFormat="0" applyFill="0" applyAlignment="0" applyProtection="0"/>
    <xf numFmtId="173" fontId="34" fillId="59" borderId="239" applyNumberFormat="0" applyFont="0" applyBorder="0" applyAlignment="0" applyProtection="0">
      <alignment horizontal="right" vertical="center"/>
    </xf>
    <xf numFmtId="0" fontId="49" fillId="42" borderId="251" applyNumberFormat="0" applyAlignment="0" applyProtection="0"/>
    <xf numFmtId="49" fontId="34" fillId="0" borderId="260" applyNumberFormat="0" applyFont="0" applyFill="0" applyBorder="0" applyProtection="0">
      <alignment horizontal="left" vertical="center" indent="2"/>
    </xf>
    <xf numFmtId="4" fontId="32" fillId="31" borderId="239">
      <alignment horizontal="right" vertical="center"/>
    </xf>
    <xf numFmtId="173" fontId="34" fillId="59" borderId="244" applyNumberFormat="0" applyFont="0" applyBorder="0" applyAlignment="0" applyProtection="0">
      <alignment horizontal="right" vertical="center"/>
    </xf>
    <xf numFmtId="0" fontId="32" fillId="33" borderId="268">
      <alignment horizontal="right" vertical="center"/>
    </xf>
    <xf numFmtId="4" fontId="34" fillId="32" borderId="239"/>
    <xf numFmtId="4" fontId="32" fillId="33" borderId="239">
      <alignment horizontal="right" vertical="center"/>
    </xf>
    <xf numFmtId="0" fontId="34" fillId="33" borderId="263">
      <alignment horizontal="left" vertical="center" wrapText="1" indent="2"/>
    </xf>
    <xf numFmtId="49" fontId="34" fillId="0" borderId="254" applyNumberFormat="0" applyFont="0" applyFill="0" applyBorder="0" applyProtection="0">
      <alignment horizontal="left" vertical="center" indent="2"/>
    </xf>
    <xf numFmtId="4" fontId="34" fillId="0" borderId="239" applyFill="0" applyBorder="0" applyProtection="0">
      <alignment horizontal="right" vertical="center"/>
    </xf>
    <xf numFmtId="0" fontId="32" fillId="31" borderId="239">
      <alignment horizontal="right" vertical="center"/>
    </xf>
    <xf numFmtId="0" fontId="46" fillId="55" borderId="236" applyNumberFormat="0" applyAlignment="0" applyProtection="0"/>
    <xf numFmtId="4" fontId="34" fillId="0" borderId="244" applyFill="0" applyBorder="0" applyProtection="0">
      <alignment horizontal="right" vertical="center"/>
    </xf>
    <xf numFmtId="49" fontId="33" fillId="0" borderId="239" applyNumberFormat="0" applyFill="0" applyBorder="0" applyProtection="0">
      <alignment horizontal="left" vertical="center"/>
    </xf>
    <xf numFmtId="0" fontId="46" fillId="55" borderId="249" applyNumberFormat="0" applyAlignment="0" applyProtection="0"/>
    <xf numFmtId="0" fontId="62" fillId="55" borderId="235" applyNumberFormat="0" applyAlignment="0" applyProtection="0"/>
    <xf numFmtId="4" fontId="36" fillId="31" borderId="254">
      <alignment horizontal="right" vertical="center"/>
    </xf>
    <xf numFmtId="0" fontId="58" fillId="42" borderId="251" applyNumberFormat="0" applyAlignment="0" applyProtection="0"/>
    <xf numFmtId="0" fontId="12" fillId="18" borderId="0" applyNumberFormat="0" applyBorder="0" applyAlignment="0" applyProtection="0"/>
    <xf numFmtId="0" fontId="12" fillId="30" borderId="0" applyNumberFormat="0" applyBorder="0" applyAlignment="0" applyProtection="0"/>
    <xf numFmtId="0" fontId="34" fillId="0" borderId="242">
      <alignment horizontal="left" vertical="center" wrapText="1" indent="2"/>
    </xf>
    <xf numFmtId="4" fontId="32" fillId="33" borderId="255">
      <alignment horizontal="right" vertical="center"/>
    </xf>
    <xf numFmtId="4" fontId="32" fillId="33" borderId="262">
      <alignment horizontal="right" vertical="center"/>
    </xf>
    <xf numFmtId="0" fontId="46" fillId="55" borderId="251" applyNumberFormat="0" applyAlignment="0" applyProtection="0"/>
    <xf numFmtId="4" fontId="32" fillId="33" borderId="255">
      <alignment horizontal="right" vertical="center"/>
    </xf>
    <xf numFmtId="0" fontId="50" fillId="0" borderId="237" applyNumberFormat="0" applyFill="0" applyAlignment="0" applyProtection="0"/>
    <xf numFmtId="0" fontId="32" fillId="33" borderId="241">
      <alignment horizontal="right" vertical="center"/>
    </xf>
    <xf numFmtId="0" fontId="12" fillId="24" borderId="0" applyNumberFormat="0" applyBorder="0" applyAlignment="0" applyProtection="0"/>
    <xf numFmtId="0" fontId="12" fillId="24"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58" fillId="42" borderId="236" applyNumberFormat="0" applyAlignment="0" applyProtection="0"/>
    <xf numFmtId="0" fontId="12" fillId="21" borderId="0" applyNumberFormat="0" applyBorder="0" applyAlignment="0" applyProtection="0"/>
    <xf numFmtId="0" fontId="26" fillId="19" borderId="0" applyNumberFormat="0" applyBorder="0" applyAlignment="0" applyProtection="0"/>
    <xf numFmtId="0" fontId="26" fillId="13" borderId="0" applyNumberFormat="0" applyBorder="0" applyAlignment="0" applyProtection="0"/>
    <xf numFmtId="4" fontId="32" fillId="33" borderId="241">
      <alignment horizontal="right" vertical="center"/>
    </xf>
    <xf numFmtId="0" fontId="34" fillId="0" borderId="247">
      <alignment horizontal="left" vertical="center" wrapText="1" indent="2"/>
    </xf>
    <xf numFmtId="4" fontId="32" fillId="33" borderId="230">
      <alignment horizontal="right" vertical="center"/>
    </xf>
    <xf numFmtId="4" fontId="32" fillId="31" borderId="230">
      <alignment horizontal="right" vertical="center"/>
    </xf>
    <xf numFmtId="0" fontId="65" fillId="0" borderId="252" applyNumberFormat="0" applyFill="0" applyAlignment="0" applyProtection="0"/>
    <xf numFmtId="4" fontId="32" fillId="33" borderId="223">
      <alignment horizontal="right" vertical="center"/>
    </xf>
    <xf numFmtId="0" fontId="34" fillId="32" borderId="223"/>
    <xf numFmtId="0" fontId="45" fillId="55" borderId="220" applyNumberFormat="0" applyAlignment="0" applyProtection="0"/>
    <xf numFmtId="0" fontId="32" fillId="31" borderId="223">
      <alignment horizontal="right" vertical="center"/>
    </xf>
    <xf numFmtId="0" fontId="34" fillId="0" borderId="223">
      <alignment horizontal="right" vertical="center"/>
    </xf>
    <xf numFmtId="0" fontId="65" fillId="0" borderId="221" applyNumberFormat="0" applyFill="0" applyAlignment="0" applyProtection="0"/>
    <xf numFmtId="0" fontId="34" fillId="31" borderId="224">
      <alignment horizontal="left" vertical="center"/>
    </xf>
    <xf numFmtId="0" fontId="58" fillId="42" borderId="220" applyNumberFormat="0" applyAlignment="0" applyProtection="0"/>
    <xf numFmtId="173" fontId="34" fillId="59" borderId="223" applyNumberFormat="0" applyFont="0" applyBorder="0" applyAlignment="0" applyProtection="0">
      <alignment horizontal="right" vertical="center"/>
    </xf>
    <xf numFmtId="0" fontId="40" fillId="58" borderId="222" applyNumberFormat="0" applyFont="0" applyAlignment="0" applyProtection="0"/>
    <xf numFmtId="0" fontId="34" fillId="0" borderId="226">
      <alignment horizontal="left" vertical="center" wrapText="1" indent="2"/>
    </xf>
    <xf numFmtId="4" fontId="34" fillId="32" borderId="223"/>
    <xf numFmtId="49" fontId="33" fillId="0" borderId="223" applyNumberFormat="0" applyFill="0" applyBorder="0" applyProtection="0">
      <alignment horizontal="left" vertical="center"/>
    </xf>
    <xf numFmtId="0" fontId="34" fillId="0" borderId="223">
      <alignment horizontal="right" vertical="center"/>
    </xf>
    <xf numFmtId="4" fontId="32" fillId="33" borderId="225">
      <alignment horizontal="right" vertical="center"/>
    </xf>
    <xf numFmtId="4" fontId="32" fillId="33" borderId="223">
      <alignment horizontal="right" vertical="center"/>
    </xf>
    <xf numFmtId="4" fontId="32" fillId="33" borderId="223">
      <alignment horizontal="right" vertical="center"/>
    </xf>
    <xf numFmtId="0" fontId="36" fillId="31" borderId="223">
      <alignment horizontal="right" vertical="center"/>
    </xf>
    <xf numFmtId="0" fontId="32" fillId="31" borderId="223">
      <alignment horizontal="right" vertical="center"/>
    </xf>
    <xf numFmtId="49" fontId="34" fillId="0" borderId="223" applyNumberFormat="0" applyFont="0" applyFill="0" applyBorder="0" applyProtection="0">
      <alignment horizontal="left" vertical="center" indent="2"/>
    </xf>
    <xf numFmtId="0" fontId="58" fillId="42" borderId="220" applyNumberFormat="0" applyAlignment="0" applyProtection="0"/>
    <xf numFmtId="0" fontId="43" fillId="55" borderId="219" applyNumberFormat="0" applyAlignment="0" applyProtection="0"/>
    <xf numFmtId="49" fontId="34" fillId="0" borderId="223" applyNumberFormat="0" applyFont="0" applyFill="0" applyBorder="0" applyProtection="0">
      <alignment horizontal="left" vertical="center" indent="2"/>
    </xf>
    <xf numFmtId="0" fontId="49" fillId="42" borderId="220" applyNumberFormat="0" applyAlignment="0" applyProtection="0"/>
    <xf numFmtId="4" fontId="34" fillId="0" borderId="223" applyFill="0" applyBorder="0" applyProtection="0">
      <alignment horizontal="right" vertical="center"/>
    </xf>
    <xf numFmtId="0" fontId="46" fillId="55" borderId="220" applyNumberFormat="0" applyAlignment="0" applyProtection="0"/>
    <xf numFmtId="0" fontId="65" fillId="0" borderId="221" applyNumberFormat="0" applyFill="0" applyAlignment="0" applyProtection="0"/>
    <xf numFmtId="0" fontId="62" fillId="55" borderId="219" applyNumberFormat="0" applyAlignment="0" applyProtection="0"/>
    <xf numFmtId="0" fontId="34" fillId="0" borderId="223" applyNumberFormat="0" applyFill="0" applyAlignment="0" applyProtection="0"/>
    <xf numFmtId="4" fontId="34" fillId="0" borderId="223">
      <alignment horizontal="right" vertical="center"/>
    </xf>
    <xf numFmtId="0" fontId="34" fillId="0" borderId="223">
      <alignment horizontal="right" vertical="center"/>
    </xf>
    <xf numFmtId="0" fontId="58" fillId="42" borderId="220" applyNumberFormat="0" applyAlignment="0" applyProtection="0"/>
    <xf numFmtId="0" fontId="43" fillId="55" borderId="219" applyNumberFormat="0" applyAlignment="0" applyProtection="0"/>
    <xf numFmtId="0" fontId="45" fillId="55" borderId="220" applyNumberFormat="0" applyAlignment="0" applyProtection="0"/>
    <xf numFmtId="0" fontId="34" fillId="33" borderId="226">
      <alignment horizontal="left" vertical="center" wrapText="1" indent="2"/>
    </xf>
    <xf numFmtId="0" fontId="46" fillId="55" borderId="220" applyNumberFormat="0" applyAlignment="0" applyProtection="0"/>
    <xf numFmtId="0" fontId="46" fillId="55" borderId="220" applyNumberFormat="0" applyAlignment="0" applyProtection="0"/>
    <xf numFmtId="4" fontId="32" fillId="33" borderId="224">
      <alignment horizontal="right" vertical="center"/>
    </xf>
    <xf numFmtId="0" fontId="32" fillId="33" borderId="224">
      <alignment horizontal="right" vertical="center"/>
    </xf>
    <xf numFmtId="0" fontId="32" fillId="33" borderId="223">
      <alignment horizontal="right" vertical="center"/>
    </xf>
    <xf numFmtId="4" fontId="36" fillId="31" borderId="223">
      <alignment horizontal="right" vertical="center"/>
    </xf>
    <xf numFmtId="0" fontId="49" fillId="42" borderId="220" applyNumberFormat="0" applyAlignment="0" applyProtection="0"/>
    <xf numFmtId="0" fontId="50" fillId="0" borderId="221" applyNumberFormat="0" applyFill="0" applyAlignment="0" applyProtection="0"/>
    <xf numFmtId="0" fontId="65" fillId="0" borderId="221" applyNumberFormat="0" applyFill="0" applyAlignment="0" applyProtection="0"/>
    <xf numFmtId="0" fontId="40" fillId="58" borderId="222" applyNumberFormat="0" applyFont="0" applyAlignment="0" applyProtection="0"/>
    <xf numFmtId="0" fontId="58" fillId="42" borderId="220" applyNumberFormat="0" applyAlignment="0" applyProtection="0"/>
    <xf numFmtId="49" fontId="33" fillId="0" borderId="223" applyNumberFormat="0" applyFill="0" applyBorder="0" applyProtection="0">
      <alignment horizontal="left" vertical="center"/>
    </xf>
    <xf numFmtId="0" fontId="34" fillId="33" borderId="226">
      <alignment horizontal="left" vertical="center" wrapText="1" indent="2"/>
    </xf>
    <xf numFmtId="0" fontId="46" fillId="55" borderId="220" applyNumberFormat="0" applyAlignment="0" applyProtection="0"/>
    <xf numFmtId="0" fontId="34" fillId="0" borderId="226">
      <alignment horizontal="left" vertical="center" wrapText="1" indent="2"/>
    </xf>
    <xf numFmtId="0" fontId="40" fillId="58" borderId="222" applyNumberFormat="0" applyFont="0" applyAlignment="0" applyProtection="0"/>
    <xf numFmtId="0" fontId="5" fillId="58" borderId="222" applyNumberFormat="0" applyFont="0" applyAlignment="0" applyProtection="0"/>
    <xf numFmtId="0" fontId="62" fillId="55" borderId="219" applyNumberFormat="0" applyAlignment="0" applyProtection="0"/>
    <xf numFmtId="0" fontId="65" fillId="0" borderId="221" applyNumberFormat="0" applyFill="0" applyAlignment="0" applyProtection="0"/>
    <xf numFmtId="4" fontId="34" fillId="32" borderId="223"/>
    <xf numFmtId="0" fontId="32" fillId="33" borderId="223">
      <alignment horizontal="right" vertical="center"/>
    </xf>
    <xf numFmtId="0" fontId="65" fillId="0" borderId="221" applyNumberFormat="0" applyFill="0" applyAlignment="0" applyProtection="0"/>
    <xf numFmtId="4" fontId="32" fillId="33" borderId="225">
      <alignment horizontal="right" vertical="center"/>
    </xf>
    <xf numFmtId="0" fontId="45" fillId="55" borderId="220" applyNumberFormat="0" applyAlignment="0" applyProtection="0"/>
    <xf numFmtId="0" fontId="32" fillId="33" borderId="224">
      <alignment horizontal="right" vertical="center"/>
    </xf>
    <xf numFmtId="0" fontId="46" fillId="55" borderId="220" applyNumberFormat="0" applyAlignment="0" applyProtection="0"/>
    <xf numFmtId="0" fontId="50" fillId="0" borderId="221" applyNumberFormat="0" applyFill="0" applyAlignment="0" applyProtection="0"/>
    <xf numFmtId="0" fontId="40" fillId="58" borderId="222" applyNumberFormat="0" applyFont="0" applyAlignment="0" applyProtection="0"/>
    <xf numFmtId="4" fontId="32" fillId="33" borderId="224">
      <alignment horizontal="right" vertical="center"/>
    </xf>
    <xf numFmtId="0" fontId="34" fillId="33" borderId="226">
      <alignment horizontal="left" vertical="center" wrapText="1" indent="2"/>
    </xf>
    <xf numFmtId="0" fontId="34" fillId="32" borderId="223"/>
    <xf numFmtId="173" fontId="34" fillId="59" borderId="223" applyNumberFormat="0" applyFont="0" applyBorder="0" applyAlignment="0" applyProtection="0">
      <alignment horizontal="right" vertical="center"/>
    </xf>
    <xf numFmtId="0" fontId="34" fillId="0" borderId="223" applyNumberFormat="0" applyFill="0" applyAlignment="0" applyProtection="0"/>
    <xf numFmtId="4" fontId="34" fillId="0" borderId="223" applyFill="0" applyBorder="0" applyProtection="0">
      <alignment horizontal="right" vertical="center"/>
    </xf>
    <xf numFmtId="4" fontId="32" fillId="31" borderId="223">
      <alignment horizontal="right" vertical="center"/>
    </xf>
    <xf numFmtId="0" fontId="50" fillId="0" borderId="221" applyNumberFormat="0" applyFill="0" applyAlignment="0" applyProtection="0"/>
    <xf numFmtId="49" fontId="33" fillId="0" borderId="223" applyNumberFormat="0" applyFill="0" applyBorder="0" applyProtection="0">
      <alignment horizontal="left" vertical="center"/>
    </xf>
    <xf numFmtId="49" fontId="34" fillId="0" borderId="224" applyNumberFormat="0" applyFont="0" applyFill="0" applyBorder="0" applyProtection="0">
      <alignment horizontal="left" vertical="center" indent="5"/>
    </xf>
    <xf numFmtId="0" fontId="34" fillId="31" borderId="224">
      <alignment horizontal="left" vertical="center"/>
    </xf>
    <xf numFmtId="0" fontId="46" fillId="55" borderId="220" applyNumberFormat="0" applyAlignment="0" applyProtection="0"/>
    <xf numFmtId="4" fontId="32" fillId="33" borderId="225">
      <alignment horizontal="right" vertical="center"/>
    </xf>
    <xf numFmtId="0" fontId="58" fillId="42" borderId="220" applyNumberFormat="0" applyAlignment="0" applyProtection="0"/>
    <xf numFmtId="0" fontId="58" fillId="42" borderId="220" applyNumberFormat="0" applyAlignment="0" applyProtection="0"/>
    <xf numFmtId="0" fontId="40" fillId="58" borderId="222" applyNumberFormat="0" applyFont="0" applyAlignment="0" applyProtection="0"/>
    <xf numFmtId="0" fontId="62" fillId="55" borderId="219" applyNumberFormat="0" applyAlignment="0" applyProtection="0"/>
    <xf numFmtId="0" fontId="65" fillId="0" borderId="221" applyNumberFormat="0" applyFill="0" applyAlignment="0" applyProtection="0"/>
    <xf numFmtId="0" fontId="32" fillId="33" borderId="223">
      <alignment horizontal="right" vertical="center"/>
    </xf>
    <xf numFmtId="0" fontId="5" fillId="58" borderId="222" applyNumberFormat="0" applyFont="0" applyAlignment="0" applyProtection="0"/>
    <xf numFmtId="4" fontId="34" fillId="0" borderId="223">
      <alignment horizontal="right" vertical="center"/>
    </xf>
    <xf numFmtId="0" fontId="65" fillId="0" borderId="221" applyNumberFormat="0" applyFill="0" applyAlignment="0" applyProtection="0"/>
    <xf numFmtId="0" fontId="32" fillId="33" borderId="223">
      <alignment horizontal="right" vertical="center"/>
    </xf>
    <xf numFmtId="0" fontId="32" fillId="33" borderId="223">
      <alignment horizontal="right" vertical="center"/>
    </xf>
    <xf numFmtId="4" fontId="36" fillId="31" borderId="223">
      <alignment horizontal="right" vertical="center"/>
    </xf>
    <xf numFmtId="0" fontId="32" fillId="31" borderId="223">
      <alignment horizontal="right" vertical="center"/>
    </xf>
    <xf numFmtId="4" fontId="32" fillId="31" borderId="223">
      <alignment horizontal="right" vertical="center"/>
    </xf>
    <xf numFmtId="0" fontId="36" fillId="31" borderId="223">
      <alignment horizontal="right" vertical="center"/>
    </xf>
    <xf numFmtId="4" fontId="36" fillId="31" borderId="223">
      <alignment horizontal="right" vertical="center"/>
    </xf>
    <xf numFmtId="0" fontId="32" fillId="33" borderId="223">
      <alignment horizontal="right" vertical="center"/>
    </xf>
    <xf numFmtId="4" fontId="32" fillId="33" borderId="223">
      <alignment horizontal="right" vertical="center"/>
    </xf>
    <xf numFmtId="0" fontId="32" fillId="33" borderId="223">
      <alignment horizontal="right" vertical="center"/>
    </xf>
    <xf numFmtId="4" fontId="32" fillId="33" borderId="223">
      <alignment horizontal="right" vertical="center"/>
    </xf>
    <xf numFmtId="0" fontId="32" fillId="33" borderId="224">
      <alignment horizontal="right" vertical="center"/>
    </xf>
    <xf numFmtId="4" fontId="32" fillId="33" borderId="224">
      <alignment horizontal="right" vertical="center"/>
    </xf>
    <xf numFmtId="0" fontId="32" fillId="33" borderId="225">
      <alignment horizontal="right" vertical="center"/>
    </xf>
    <xf numFmtId="4" fontId="32" fillId="33" borderId="225">
      <alignment horizontal="right" vertical="center"/>
    </xf>
    <xf numFmtId="0" fontId="46" fillId="55" borderId="220" applyNumberFormat="0" applyAlignment="0" applyProtection="0"/>
    <xf numFmtId="0" fontId="34" fillId="33" borderId="226">
      <alignment horizontal="left" vertical="center" wrapText="1" indent="2"/>
    </xf>
    <xf numFmtId="0" fontId="34" fillId="0" borderId="226">
      <alignment horizontal="left" vertical="center" wrapText="1" indent="2"/>
    </xf>
    <xf numFmtId="0" fontId="34" fillId="31" borderId="224">
      <alignment horizontal="left" vertical="center"/>
    </xf>
    <xf numFmtId="0" fontId="58" fillId="42" borderId="220" applyNumberFormat="0" applyAlignment="0" applyProtection="0"/>
    <xf numFmtId="0" fontId="34" fillId="0" borderId="223">
      <alignment horizontal="right" vertical="center"/>
    </xf>
    <xf numFmtId="4" fontId="34" fillId="0" borderId="223">
      <alignment horizontal="right" vertical="center"/>
    </xf>
    <xf numFmtId="0" fontId="34" fillId="0" borderId="223" applyNumberFormat="0" applyFill="0" applyAlignment="0" applyProtection="0"/>
    <xf numFmtId="0" fontId="62" fillId="55" borderId="219" applyNumberFormat="0" applyAlignment="0" applyProtection="0"/>
    <xf numFmtId="173" fontId="34" fillId="59" borderId="223" applyNumberFormat="0" applyFont="0" applyBorder="0" applyAlignment="0" applyProtection="0">
      <alignment horizontal="right" vertical="center"/>
    </xf>
    <xf numFmtId="0" fontId="34" fillId="32" borderId="223"/>
    <xf numFmtId="4" fontId="34" fillId="32" borderId="223"/>
    <xf numFmtId="0" fontId="65" fillId="0" borderId="221" applyNumberFormat="0" applyFill="0" applyAlignment="0" applyProtection="0"/>
    <xf numFmtId="0" fontId="5" fillId="58" borderId="222" applyNumberFormat="0" applyFont="0" applyAlignment="0" applyProtection="0"/>
    <xf numFmtId="0" fontId="40" fillId="58" borderId="222" applyNumberFormat="0" applyFont="0" applyAlignment="0" applyProtection="0"/>
    <xf numFmtId="0" fontId="34" fillId="0" borderId="223" applyNumberFormat="0" applyFill="0" applyAlignment="0" applyProtection="0"/>
    <xf numFmtId="0" fontId="50" fillId="0" borderId="221" applyNumberFormat="0" applyFill="0" applyAlignment="0" applyProtection="0"/>
    <xf numFmtId="0" fontId="65" fillId="0" borderId="221" applyNumberFormat="0" applyFill="0" applyAlignment="0" applyProtection="0"/>
    <xf numFmtId="0" fontId="49" fillId="42" borderId="220" applyNumberFormat="0" applyAlignment="0" applyProtection="0"/>
    <xf numFmtId="0" fontId="46" fillId="55" borderId="220" applyNumberFormat="0" applyAlignment="0" applyProtection="0"/>
    <xf numFmtId="4" fontId="36" fillId="31" borderId="223">
      <alignment horizontal="right" vertical="center"/>
    </xf>
    <xf numFmtId="0" fontId="32" fillId="31" borderId="223">
      <alignment horizontal="right" vertical="center"/>
    </xf>
    <xf numFmtId="173" fontId="34" fillId="59" borderId="223" applyNumberFormat="0" applyFont="0" applyBorder="0" applyAlignment="0" applyProtection="0">
      <alignment horizontal="right" vertical="center"/>
    </xf>
    <xf numFmtId="0" fontId="50" fillId="0" borderId="221" applyNumberFormat="0" applyFill="0" applyAlignment="0" applyProtection="0"/>
    <xf numFmtId="49" fontId="34" fillId="0" borderId="223" applyNumberFormat="0" applyFont="0" applyFill="0" applyBorder="0" applyProtection="0">
      <alignment horizontal="left" vertical="center" indent="2"/>
    </xf>
    <xf numFmtId="49" fontId="34" fillId="0" borderId="224" applyNumberFormat="0" applyFont="0" applyFill="0" applyBorder="0" applyProtection="0">
      <alignment horizontal="left" vertical="center" indent="5"/>
    </xf>
    <xf numFmtId="49" fontId="34" fillId="0" borderId="223" applyNumberFormat="0" applyFont="0" applyFill="0" applyBorder="0" applyProtection="0">
      <alignment horizontal="left" vertical="center" indent="2"/>
    </xf>
    <xf numFmtId="4" fontId="34" fillId="0" borderId="223" applyFill="0" applyBorder="0" applyProtection="0">
      <alignment horizontal="right" vertical="center"/>
    </xf>
    <xf numFmtId="49" fontId="33" fillId="0" borderId="223" applyNumberFormat="0" applyFill="0" applyBorder="0" applyProtection="0">
      <alignment horizontal="left" vertical="center"/>
    </xf>
    <xf numFmtId="0" fontId="34" fillId="0" borderId="226">
      <alignment horizontal="left" vertical="center" wrapText="1" indent="2"/>
    </xf>
    <xf numFmtId="0" fontId="62" fillId="55" borderId="219" applyNumberFormat="0" applyAlignment="0" applyProtection="0"/>
    <xf numFmtId="0" fontId="32" fillId="33" borderId="225">
      <alignment horizontal="right" vertical="center"/>
    </xf>
    <xf numFmtId="0" fontId="49" fillId="42" borderId="220" applyNumberFormat="0" applyAlignment="0" applyProtection="0"/>
    <xf numFmtId="0" fontId="32" fillId="33" borderId="225">
      <alignment horizontal="right" vertical="center"/>
    </xf>
    <xf numFmtId="4" fontId="32" fillId="33" borderId="223">
      <alignment horizontal="right" vertical="center"/>
    </xf>
    <xf numFmtId="0" fontId="32" fillId="33" borderId="223">
      <alignment horizontal="right" vertical="center"/>
    </xf>
    <xf numFmtId="0" fontId="43" fillId="55" borderId="219" applyNumberFormat="0" applyAlignment="0" applyProtection="0"/>
    <xf numFmtId="0" fontId="45" fillId="55" borderId="220" applyNumberFormat="0" applyAlignment="0" applyProtection="0"/>
    <xf numFmtId="0" fontId="50" fillId="0" borderId="221" applyNumberFormat="0" applyFill="0" applyAlignment="0" applyProtection="0"/>
    <xf numFmtId="0" fontId="34" fillId="32" borderId="223"/>
    <xf numFmtId="4" fontId="34" fillId="32" borderId="223"/>
    <xf numFmtId="4" fontId="32" fillId="33" borderId="223">
      <alignment horizontal="right" vertical="center"/>
    </xf>
    <xf numFmtId="0" fontId="36" fillId="31" borderId="223">
      <alignment horizontal="right" vertical="center"/>
    </xf>
    <xf numFmtId="0" fontId="49" fillId="42" borderId="220" applyNumberFormat="0" applyAlignment="0" applyProtection="0"/>
    <xf numFmtId="0" fontId="46" fillId="55" borderId="220" applyNumberFormat="0" applyAlignment="0" applyProtection="0"/>
    <xf numFmtId="4" fontId="34" fillId="0" borderId="223">
      <alignment horizontal="right" vertical="center"/>
    </xf>
    <xf numFmtId="0" fontId="34" fillId="33" borderId="226">
      <alignment horizontal="left" vertical="center" wrapText="1" indent="2"/>
    </xf>
    <xf numFmtId="0" fontId="34" fillId="0" borderId="226">
      <alignment horizontal="left" vertical="center" wrapText="1" indent="2"/>
    </xf>
    <xf numFmtId="0" fontId="62" fillId="55" borderId="219" applyNumberFormat="0" applyAlignment="0" applyProtection="0"/>
    <xf numFmtId="0" fontId="58" fillId="42" borderId="220" applyNumberFormat="0" applyAlignment="0" applyProtection="0"/>
    <xf numFmtId="0" fontId="45" fillId="55" borderId="220" applyNumberFormat="0" applyAlignment="0" applyProtection="0"/>
    <xf numFmtId="0" fontId="43" fillId="55" borderId="219" applyNumberFormat="0" applyAlignment="0" applyProtection="0"/>
    <xf numFmtId="0" fontId="32" fillId="33" borderId="225">
      <alignment horizontal="right" vertical="center"/>
    </xf>
    <xf numFmtId="0" fontId="36" fillId="31" borderId="223">
      <alignment horizontal="right" vertical="center"/>
    </xf>
    <xf numFmtId="4" fontId="32" fillId="31" borderId="223">
      <alignment horizontal="right" vertical="center"/>
    </xf>
    <xf numFmtId="4" fontId="32" fillId="33" borderId="223">
      <alignment horizontal="right" vertical="center"/>
    </xf>
    <xf numFmtId="49" fontId="34" fillId="0" borderId="224" applyNumberFormat="0" applyFont="0" applyFill="0" applyBorder="0" applyProtection="0">
      <alignment horizontal="left" vertical="center" indent="5"/>
    </xf>
    <xf numFmtId="4" fontId="34" fillId="0" borderId="223" applyFill="0" applyBorder="0" applyProtection="0">
      <alignment horizontal="right" vertical="center"/>
    </xf>
    <xf numFmtId="4" fontId="32" fillId="31" borderId="223">
      <alignment horizontal="right" vertical="center"/>
    </xf>
    <xf numFmtId="0" fontId="46" fillId="55" borderId="249" applyNumberFormat="0" applyAlignment="0" applyProtection="0"/>
    <xf numFmtId="0" fontId="58" fillId="42" borderId="220" applyNumberFormat="0" applyAlignment="0" applyProtection="0"/>
    <xf numFmtId="0" fontId="49" fillId="42" borderId="220" applyNumberFormat="0" applyAlignment="0" applyProtection="0"/>
    <xf numFmtId="0" fontId="45" fillId="55" borderId="220" applyNumberFormat="0" applyAlignment="0" applyProtection="0"/>
    <xf numFmtId="0" fontId="34" fillId="33" borderId="226">
      <alignment horizontal="left" vertical="center" wrapText="1" indent="2"/>
    </xf>
    <xf numFmtId="0" fontId="34" fillId="0" borderId="226">
      <alignment horizontal="left" vertical="center" wrapText="1" indent="2"/>
    </xf>
    <xf numFmtId="0" fontId="34" fillId="33" borderId="226">
      <alignment horizontal="left" vertical="center" wrapText="1" indent="2"/>
    </xf>
    <xf numFmtId="0" fontId="34" fillId="0" borderId="226">
      <alignment horizontal="left" vertical="center" wrapText="1" indent="2"/>
    </xf>
    <xf numFmtId="0" fontId="43" fillId="55" borderId="219" applyNumberFormat="0" applyAlignment="0" applyProtection="0"/>
    <xf numFmtId="0" fontId="45" fillId="55" borderId="220" applyNumberFormat="0" applyAlignment="0" applyProtection="0"/>
    <xf numFmtId="0" fontId="46" fillId="55" borderId="220" applyNumberFormat="0" applyAlignment="0" applyProtection="0"/>
    <xf numFmtId="0" fontId="49" fillId="42" borderId="220" applyNumberFormat="0" applyAlignment="0" applyProtection="0"/>
    <xf numFmtId="0" fontId="50" fillId="0" borderId="221" applyNumberFormat="0" applyFill="0" applyAlignment="0" applyProtection="0"/>
    <xf numFmtId="0" fontId="58" fillId="42" borderId="220" applyNumberFormat="0" applyAlignment="0" applyProtection="0"/>
    <xf numFmtId="0" fontId="40" fillId="58" borderId="222" applyNumberFormat="0" applyFont="0" applyAlignment="0" applyProtection="0"/>
    <xf numFmtId="0" fontId="5" fillId="58" borderId="222" applyNumberFormat="0" applyFont="0" applyAlignment="0" applyProtection="0"/>
    <xf numFmtId="0" fontId="62" fillId="55" borderId="219" applyNumberFormat="0" applyAlignment="0" applyProtection="0"/>
    <xf numFmtId="0" fontId="65" fillId="0" borderId="221" applyNumberFormat="0" applyFill="0" applyAlignment="0" applyProtection="0"/>
    <xf numFmtId="0" fontId="46" fillId="55" borderId="220" applyNumberFormat="0" applyAlignment="0" applyProtection="0"/>
    <xf numFmtId="0" fontId="58" fillId="42" borderId="220" applyNumberFormat="0" applyAlignment="0" applyProtection="0"/>
    <xf numFmtId="0" fontId="40" fillId="58" borderId="222" applyNumberFormat="0" applyFont="0" applyAlignment="0" applyProtection="0"/>
    <xf numFmtId="0" fontId="62" fillId="55" borderId="219" applyNumberFormat="0" applyAlignment="0" applyProtection="0"/>
    <xf numFmtId="0" fontId="65" fillId="0" borderId="221" applyNumberFormat="0" applyFill="0" applyAlignment="0" applyProtection="0"/>
    <xf numFmtId="0" fontId="34" fillId="33" borderId="242">
      <alignment horizontal="left" vertical="center" wrapText="1" indent="2"/>
    </xf>
    <xf numFmtId="0" fontId="65" fillId="0" borderId="266" applyNumberFormat="0" applyFill="0" applyAlignment="0" applyProtection="0"/>
    <xf numFmtId="0" fontId="36" fillId="31" borderId="239">
      <alignment horizontal="right" vertical="center"/>
    </xf>
    <xf numFmtId="0" fontId="50" fillId="0" borderId="250" applyNumberFormat="0" applyFill="0" applyAlignment="0" applyProtection="0"/>
    <xf numFmtId="0" fontId="46" fillId="55" borderId="220" applyNumberFormat="0" applyAlignment="0" applyProtection="0"/>
    <xf numFmtId="0" fontId="32" fillId="33" borderId="230">
      <alignment horizontal="right" vertical="center"/>
    </xf>
    <xf numFmtId="4" fontId="32" fillId="33" borderId="240">
      <alignment horizontal="right" vertical="center"/>
    </xf>
    <xf numFmtId="0" fontId="34" fillId="0" borderId="247">
      <alignment horizontal="left" vertical="center" wrapText="1" indent="2"/>
    </xf>
    <xf numFmtId="0" fontId="58" fillId="42" borderId="220" applyNumberFormat="0" applyAlignment="0" applyProtection="0"/>
    <xf numFmtId="0" fontId="62" fillId="55" borderId="219" applyNumberFormat="0" applyAlignment="0" applyProtection="0"/>
    <xf numFmtId="0" fontId="65" fillId="0" borderId="221" applyNumberFormat="0" applyFill="0" applyAlignment="0" applyProtection="0"/>
    <xf numFmtId="0" fontId="45" fillId="55" borderId="227" applyNumberFormat="0" applyAlignment="0" applyProtection="0"/>
    <xf numFmtId="0" fontId="43" fillId="55" borderId="219" applyNumberFormat="0" applyAlignment="0" applyProtection="0"/>
    <xf numFmtId="0" fontId="45" fillId="55" borderId="220" applyNumberFormat="0" applyAlignment="0" applyProtection="0"/>
    <xf numFmtId="0" fontId="50" fillId="0" borderId="221" applyNumberFormat="0" applyFill="0" applyAlignment="0" applyProtection="0"/>
    <xf numFmtId="49" fontId="34" fillId="0" borderId="223" applyNumberFormat="0" applyFont="0" applyFill="0" applyBorder="0" applyProtection="0">
      <alignment horizontal="left" vertical="center" indent="2"/>
    </xf>
    <xf numFmtId="0" fontId="32" fillId="31" borderId="223">
      <alignment horizontal="right" vertical="center"/>
    </xf>
    <xf numFmtId="4" fontId="32" fillId="31" borderId="223">
      <alignment horizontal="right" vertical="center"/>
    </xf>
    <xf numFmtId="0" fontId="36" fillId="31" borderId="223">
      <alignment horizontal="right" vertical="center"/>
    </xf>
    <xf numFmtId="4" fontId="36" fillId="31" borderId="223">
      <alignment horizontal="right" vertical="center"/>
    </xf>
    <xf numFmtId="0" fontId="32" fillId="33" borderId="223">
      <alignment horizontal="right" vertical="center"/>
    </xf>
    <xf numFmtId="4" fontId="32" fillId="33" borderId="223">
      <alignment horizontal="right" vertical="center"/>
    </xf>
    <xf numFmtId="0" fontId="32" fillId="33" borderId="223">
      <alignment horizontal="right" vertical="center"/>
    </xf>
    <xf numFmtId="4" fontId="32" fillId="33" borderId="223">
      <alignment horizontal="right" vertical="center"/>
    </xf>
    <xf numFmtId="0" fontId="49" fillId="42" borderId="220" applyNumberFormat="0" applyAlignment="0" applyProtection="0"/>
    <xf numFmtId="0" fontId="34" fillId="0" borderId="223">
      <alignment horizontal="right" vertical="center"/>
    </xf>
    <xf numFmtId="4" fontId="34" fillId="0" borderId="223">
      <alignment horizontal="right" vertical="center"/>
    </xf>
    <xf numFmtId="4" fontId="34" fillId="0" borderId="223" applyFill="0" applyBorder="0" applyProtection="0">
      <alignment horizontal="right" vertical="center"/>
    </xf>
    <xf numFmtId="49" fontId="33" fillId="0" borderId="223" applyNumberFormat="0" applyFill="0" applyBorder="0" applyProtection="0">
      <alignment horizontal="left" vertical="center"/>
    </xf>
    <xf numFmtId="0" fontId="34" fillId="0" borderId="223" applyNumberFormat="0" applyFill="0" applyAlignment="0" applyProtection="0"/>
    <xf numFmtId="173" fontId="34" fillId="59" borderId="223" applyNumberFormat="0" applyFont="0" applyBorder="0" applyAlignment="0" applyProtection="0">
      <alignment horizontal="right" vertical="center"/>
    </xf>
    <xf numFmtId="0" fontId="34" fillId="32" borderId="223"/>
    <xf numFmtId="4" fontId="34" fillId="32" borderId="223"/>
    <xf numFmtId="4" fontId="32" fillId="33" borderId="223">
      <alignment horizontal="right" vertical="center"/>
    </xf>
    <xf numFmtId="0" fontId="34" fillId="32" borderId="223"/>
    <xf numFmtId="0" fontId="45" fillId="55" borderId="220" applyNumberFormat="0" applyAlignment="0" applyProtection="0"/>
    <xf numFmtId="0" fontId="32" fillId="31" borderId="223">
      <alignment horizontal="right" vertical="center"/>
    </xf>
    <xf numFmtId="0" fontId="34" fillId="0" borderId="223">
      <alignment horizontal="right" vertical="center"/>
    </xf>
    <xf numFmtId="0" fontId="65" fillId="0" borderId="221" applyNumberFormat="0" applyFill="0" applyAlignment="0" applyProtection="0"/>
    <xf numFmtId="0" fontId="34" fillId="31" borderId="224">
      <alignment horizontal="left" vertical="center"/>
    </xf>
    <xf numFmtId="0" fontId="58" fillId="42" borderId="220" applyNumberFormat="0" applyAlignment="0" applyProtection="0"/>
    <xf numFmtId="173" fontId="34" fillId="59" borderId="223" applyNumberFormat="0" applyFont="0" applyBorder="0" applyAlignment="0" applyProtection="0">
      <alignment horizontal="right" vertical="center"/>
    </xf>
    <xf numFmtId="0" fontId="40" fillId="58" borderId="222" applyNumberFormat="0" applyFont="0" applyAlignment="0" applyProtection="0"/>
    <xf numFmtId="0" fontId="34" fillId="0" borderId="226">
      <alignment horizontal="left" vertical="center" wrapText="1" indent="2"/>
    </xf>
    <xf numFmtId="4" fontId="34" fillId="32" borderId="223"/>
    <xf numFmtId="49" fontId="33" fillId="0" borderId="223" applyNumberFormat="0" applyFill="0" applyBorder="0" applyProtection="0">
      <alignment horizontal="left" vertical="center"/>
    </xf>
    <xf numFmtId="0" fontId="34" fillId="0" borderId="223">
      <alignment horizontal="right" vertical="center"/>
    </xf>
    <xf numFmtId="4" fontId="32" fillId="33" borderId="225">
      <alignment horizontal="right" vertical="center"/>
    </xf>
    <xf numFmtId="4" fontId="32" fillId="33" borderId="223">
      <alignment horizontal="right" vertical="center"/>
    </xf>
    <xf numFmtId="4" fontId="32" fillId="33" borderId="223">
      <alignment horizontal="right" vertical="center"/>
    </xf>
    <xf numFmtId="0" fontId="36" fillId="31" borderId="223">
      <alignment horizontal="right" vertical="center"/>
    </xf>
    <xf numFmtId="0" fontId="32" fillId="31" borderId="223">
      <alignment horizontal="right" vertical="center"/>
    </xf>
    <xf numFmtId="49" fontId="34" fillId="0" borderId="223" applyNumberFormat="0" applyFont="0" applyFill="0" applyBorder="0" applyProtection="0">
      <alignment horizontal="left" vertical="center" indent="2"/>
    </xf>
    <xf numFmtId="0" fontId="58" fillId="42" borderId="220" applyNumberFormat="0" applyAlignment="0" applyProtection="0"/>
    <xf numFmtId="0" fontId="43" fillId="55" borderId="219" applyNumberFormat="0" applyAlignment="0" applyProtection="0"/>
    <xf numFmtId="49" fontId="34" fillId="0" borderId="223" applyNumberFormat="0" applyFont="0" applyFill="0" applyBorder="0" applyProtection="0">
      <alignment horizontal="left" vertical="center" indent="2"/>
    </xf>
    <xf numFmtId="0" fontId="49" fillId="42" borderId="220" applyNumberFormat="0" applyAlignment="0" applyProtection="0"/>
    <xf numFmtId="4" fontId="34" fillId="0" borderId="223" applyFill="0" applyBorder="0" applyProtection="0">
      <alignment horizontal="right" vertical="center"/>
    </xf>
    <xf numFmtId="0" fontId="46" fillId="55" borderId="220" applyNumberFormat="0" applyAlignment="0" applyProtection="0"/>
    <xf numFmtId="0" fontId="65" fillId="0" borderId="221" applyNumberFormat="0" applyFill="0" applyAlignment="0" applyProtection="0"/>
    <xf numFmtId="0" fontId="62" fillId="55" borderId="219" applyNumberFormat="0" applyAlignment="0" applyProtection="0"/>
    <xf numFmtId="0" fontId="34" fillId="0" borderId="223" applyNumberFormat="0" applyFill="0" applyAlignment="0" applyProtection="0"/>
    <xf numFmtId="4" fontId="34" fillId="0" borderId="223">
      <alignment horizontal="right" vertical="center"/>
    </xf>
    <xf numFmtId="0" fontId="34" fillId="0" borderId="223">
      <alignment horizontal="right" vertical="center"/>
    </xf>
    <xf numFmtId="0" fontId="58" fillId="42" borderId="220" applyNumberFormat="0" applyAlignment="0" applyProtection="0"/>
    <xf numFmtId="0" fontId="43" fillId="55" borderId="219" applyNumberFormat="0" applyAlignment="0" applyProtection="0"/>
    <xf numFmtId="0" fontId="45" fillId="55" borderId="220" applyNumberFormat="0" applyAlignment="0" applyProtection="0"/>
    <xf numFmtId="0" fontId="34" fillId="33" borderId="226">
      <alignment horizontal="left" vertical="center" wrapText="1" indent="2"/>
    </xf>
    <xf numFmtId="0" fontId="46" fillId="55" borderId="220" applyNumberFormat="0" applyAlignment="0" applyProtection="0"/>
    <xf numFmtId="0" fontId="46" fillId="55" borderId="220" applyNumberFormat="0" applyAlignment="0" applyProtection="0"/>
    <xf numFmtId="4" fontId="32" fillId="33" borderId="224">
      <alignment horizontal="right" vertical="center"/>
    </xf>
    <xf numFmtId="0" fontId="32" fillId="33" borderId="224">
      <alignment horizontal="right" vertical="center"/>
    </xf>
    <xf numFmtId="0" fontId="32" fillId="33" borderId="223">
      <alignment horizontal="right" vertical="center"/>
    </xf>
    <xf numFmtId="4" fontId="36" fillId="31" borderId="223">
      <alignment horizontal="right" vertical="center"/>
    </xf>
    <xf numFmtId="0" fontId="49" fillId="42" borderId="220" applyNumberFormat="0" applyAlignment="0" applyProtection="0"/>
    <xf numFmtId="0" fontId="50" fillId="0" borderId="221" applyNumberFormat="0" applyFill="0" applyAlignment="0" applyProtection="0"/>
    <xf numFmtId="0" fontId="65" fillId="0" borderId="221" applyNumberFormat="0" applyFill="0" applyAlignment="0" applyProtection="0"/>
    <xf numFmtId="0" fontId="40" fillId="58" borderId="222" applyNumberFormat="0" applyFont="0" applyAlignment="0" applyProtection="0"/>
    <xf numFmtId="0" fontId="58" fillId="42" borderId="220" applyNumberFormat="0" applyAlignment="0" applyProtection="0"/>
    <xf numFmtId="49" fontId="33" fillId="0" borderId="223" applyNumberFormat="0" applyFill="0" applyBorder="0" applyProtection="0">
      <alignment horizontal="left" vertical="center"/>
    </xf>
    <xf numFmtId="0" fontId="34" fillId="33" borderId="226">
      <alignment horizontal="left" vertical="center" wrapText="1" indent="2"/>
    </xf>
    <xf numFmtId="0" fontId="46" fillId="55" borderId="220" applyNumberFormat="0" applyAlignment="0" applyProtection="0"/>
    <xf numFmtId="0" fontId="34" fillId="0" borderId="226">
      <alignment horizontal="left" vertical="center" wrapText="1" indent="2"/>
    </xf>
    <xf numFmtId="0" fontId="40" fillId="58" borderId="222" applyNumberFormat="0" applyFont="0" applyAlignment="0" applyProtection="0"/>
    <xf numFmtId="0" fontId="5" fillId="58" borderId="222" applyNumberFormat="0" applyFont="0" applyAlignment="0" applyProtection="0"/>
    <xf numFmtId="0" fontId="62" fillId="55" borderId="219" applyNumberFormat="0" applyAlignment="0" applyProtection="0"/>
    <xf numFmtId="0" fontId="65" fillId="0" borderId="221" applyNumberFormat="0" applyFill="0" applyAlignment="0" applyProtection="0"/>
    <xf numFmtId="4" fontId="34" fillId="32" borderId="223"/>
    <xf numFmtId="0" fontId="32" fillId="33" borderId="223">
      <alignment horizontal="right" vertical="center"/>
    </xf>
    <xf numFmtId="0" fontId="65" fillId="0" borderId="221" applyNumberFormat="0" applyFill="0" applyAlignment="0" applyProtection="0"/>
    <xf numFmtId="4" fontId="32" fillId="33" borderId="225">
      <alignment horizontal="right" vertical="center"/>
    </xf>
    <xf numFmtId="0" fontId="45" fillId="55" borderId="220" applyNumberFormat="0" applyAlignment="0" applyProtection="0"/>
    <xf numFmtId="0" fontId="32" fillId="33" borderId="224">
      <alignment horizontal="right" vertical="center"/>
    </xf>
    <xf numFmtId="0" fontId="46" fillId="55" borderId="220" applyNumberFormat="0" applyAlignment="0" applyProtection="0"/>
    <xf numFmtId="0" fontId="50" fillId="0" borderId="221" applyNumberFormat="0" applyFill="0" applyAlignment="0" applyProtection="0"/>
    <xf numFmtId="0" fontId="40" fillId="58" borderId="222" applyNumberFormat="0" applyFont="0" applyAlignment="0" applyProtection="0"/>
    <xf numFmtId="4" fontId="32" fillId="33" borderId="224">
      <alignment horizontal="right" vertical="center"/>
    </xf>
    <xf numFmtId="0" fontId="34" fillId="33" borderId="226">
      <alignment horizontal="left" vertical="center" wrapText="1" indent="2"/>
    </xf>
    <xf numFmtId="0" fontId="34" fillId="32" borderId="223"/>
    <xf numFmtId="173" fontId="34" fillId="59" borderId="223" applyNumberFormat="0" applyFont="0" applyBorder="0" applyAlignment="0" applyProtection="0">
      <alignment horizontal="right" vertical="center"/>
    </xf>
    <xf numFmtId="0" fontId="34" fillId="0" borderId="223" applyNumberFormat="0" applyFill="0" applyAlignment="0" applyProtection="0"/>
    <xf numFmtId="4" fontId="34" fillId="0" borderId="223" applyFill="0" applyBorder="0" applyProtection="0">
      <alignment horizontal="right" vertical="center"/>
    </xf>
    <xf numFmtId="4" fontId="32" fillId="31" borderId="223">
      <alignment horizontal="right" vertical="center"/>
    </xf>
    <xf numFmtId="0" fontId="50" fillId="0" borderId="221" applyNumberFormat="0" applyFill="0" applyAlignment="0" applyProtection="0"/>
    <xf numFmtId="49" fontId="33" fillId="0" borderId="223" applyNumberFormat="0" applyFill="0" applyBorder="0" applyProtection="0">
      <alignment horizontal="left" vertical="center"/>
    </xf>
    <xf numFmtId="49" fontId="34" fillId="0" borderId="224" applyNumberFormat="0" applyFont="0" applyFill="0" applyBorder="0" applyProtection="0">
      <alignment horizontal="left" vertical="center" indent="5"/>
    </xf>
    <xf numFmtId="0" fontId="34" fillId="31" borderId="224">
      <alignment horizontal="left" vertical="center"/>
    </xf>
    <xf numFmtId="0" fontId="46" fillId="55" borderId="220" applyNumberFormat="0" applyAlignment="0" applyProtection="0"/>
    <xf numFmtId="4" fontId="32" fillId="33" borderId="225">
      <alignment horizontal="right" vertical="center"/>
    </xf>
    <xf numFmtId="0" fontId="58" fillId="42" borderId="220" applyNumberFormat="0" applyAlignment="0" applyProtection="0"/>
    <xf numFmtId="0" fontId="58" fillId="42" borderId="220" applyNumberFormat="0" applyAlignment="0" applyProtection="0"/>
    <xf numFmtId="0" fontId="40" fillId="58" borderId="222" applyNumberFormat="0" applyFont="0" applyAlignment="0" applyProtection="0"/>
    <xf numFmtId="0" fontId="62" fillId="55" borderId="219" applyNumberFormat="0" applyAlignment="0" applyProtection="0"/>
    <xf numFmtId="0" fontId="65" fillId="0" borderId="221" applyNumberFormat="0" applyFill="0" applyAlignment="0" applyProtection="0"/>
    <xf numFmtId="0" fontId="32" fillId="33" borderId="223">
      <alignment horizontal="right" vertical="center"/>
    </xf>
    <xf numFmtId="0" fontId="5" fillId="58" borderId="222" applyNumberFormat="0" applyFont="0" applyAlignment="0" applyProtection="0"/>
    <xf numFmtId="4" fontId="34" fillId="0" borderId="223">
      <alignment horizontal="right" vertical="center"/>
    </xf>
    <xf numFmtId="0" fontId="65" fillId="0" borderId="221" applyNumberFormat="0" applyFill="0" applyAlignment="0" applyProtection="0"/>
    <xf numFmtId="0" fontId="32" fillId="33" borderId="223">
      <alignment horizontal="right" vertical="center"/>
    </xf>
    <xf numFmtId="0" fontId="32" fillId="33" borderId="223">
      <alignment horizontal="right" vertical="center"/>
    </xf>
    <xf numFmtId="4" fontId="36" fillId="31" borderId="223">
      <alignment horizontal="right" vertical="center"/>
    </xf>
    <xf numFmtId="0" fontId="32" fillId="31" borderId="223">
      <alignment horizontal="right" vertical="center"/>
    </xf>
    <xf numFmtId="4" fontId="32" fillId="31" borderId="223">
      <alignment horizontal="right" vertical="center"/>
    </xf>
    <xf numFmtId="0" fontId="36" fillId="31" borderId="223">
      <alignment horizontal="right" vertical="center"/>
    </xf>
    <xf numFmtId="4" fontId="36" fillId="31" borderId="223">
      <alignment horizontal="right" vertical="center"/>
    </xf>
    <xf numFmtId="0" fontId="32" fillId="33" borderId="223">
      <alignment horizontal="right" vertical="center"/>
    </xf>
    <xf numFmtId="4" fontId="32" fillId="33" borderId="223">
      <alignment horizontal="right" vertical="center"/>
    </xf>
    <xf numFmtId="0" fontId="32" fillId="33" borderId="223">
      <alignment horizontal="right" vertical="center"/>
    </xf>
    <xf numFmtId="4" fontId="32" fillId="33" borderId="223">
      <alignment horizontal="right" vertical="center"/>
    </xf>
    <xf numFmtId="0" fontId="32" fillId="33" borderId="224">
      <alignment horizontal="right" vertical="center"/>
    </xf>
    <xf numFmtId="4" fontId="32" fillId="33" borderId="224">
      <alignment horizontal="right" vertical="center"/>
    </xf>
    <xf numFmtId="0" fontId="32" fillId="33" borderId="225">
      <alignment horizontal="right" vertical="center"/>
    </xf>
    <xf numFmtId="4" fontId="32" fillId="33" borderId="225">
      <alignment horizontal="right" vertical="center"/>
    </xf>
    <xf numFmtId="0" fontId="46" fillId="55" borderId="220" applyNumberFormat="0" applyAlignment="0" applyProtection="0"/>
    <xf numFmtId="0" fontId="34" fillId="33" borderId="226">
      <alignment horizontal="left" vertical="center" wrapText="1" indent="2"/>
    </xf>
    <xf numFmtId="0" fontId="34" fillId="0" borderId="226">
      <alignment horizontal="left" vertical="center" wrapText="1" indent="2"/>
    </xf>
    <xf numFmtId="0" fontId="34" fillId="31" borderId="224">
      <alignment horizontal="left" vertical="center"/>
    </xf>
    <xf numFmtId="0" fontId="58" fillId="42" borderId="220" applyNumberFormat="0" applyAlignment="0" applyProtection="0"/>
    <xf numFmtId="0" fontId="34" fillId="0" borderId="223">
      <alignment horizontal="right" vertical="center"/>
    </xf>
    <xf numFmtId="4" fontId="34" fillId="0" borderId="223">
      <alignment horizontal="right" vertical="center"/>
    </xf>
    <xf numFmtId="0" fontId="34" fillId="0" borderId="223" applyNumberFormat="0" applyFill="0" applyAlignment="0" applyProtection="0"/>
    <xf numFmtId="0" fontId="62" fillId="55" borderId="219" applyNumberFormat="0" applyAlignment="0" applyProtection="0"/>
    <xf numFmtId="173" fontId="34" fillId="59" borderId="223" applyNumberFormat="0" applyFont="0" applyBorder="0" applyAlignment="0" applyProtection="0">
      <alignment horizontal="right" vertical="center"/>
    </xf>
    <xf numFmtId="0" fontId="34" fillId="32" borderId="223"/>
    <xf numFmtId="4" fontId="34" fillId="32" borderId="223"/>
    <xf numFmtId="0" fontId="65" fillId="0" borderId="221" applyNumberFormat="0" applyFill="0" applyAlignment="0" applyProtection="0"/>
    <xf numFmtId="0" fontId="5" fillId="58" borderId="222" applyNumberFormat="0" applyFont="0" applyAlignment="0" applyProtection="0"/>
    <xf numFmtId="0" fontId="40" fillId="58" borderId="222" applyNumberFormat="0" applyFont="0" applyAlignment="0" applyProtection="0"/>
    <xf numFmtId="0" fontId="34" fillId="0" borderId="223" applyNumberFormat="0" applyFill="0" applyAlignment="0" applyProtection="0"/>
    <xf numFmtId="0" fontId="50" fillId="0" borderId="221" applyNumberFormat="0" applyFill="0" applyAlignment="0" applyProtection="0"/>
    <xf numFmtId="0" fontId="65" fillId="0" borderId="221" applyNumberFormat="0" applyFill="0" applyAlignment="0" applyProtection="0"/>
    <xf numFmtId="0" fontId="49" fillId="42" borderId="220" applyNumberFormat="0" applyAlignment="0" applyProtection="0"/>
    <xf numFmtId="0" fontId="46" fillId="55" borderId="220" applyNumberFormat="0" applyAlignment="0" applyProtection="0"/>
    <xf numFmtId="4" fontId="36" fillId="31" borderId="223">
      <alignment horizontal="right" vertical="center"/>
    </xf>
    <xf numFmtId="0" fontId="32" fillId="31" borderId="223">
      <alignment horizontal="right" vertical="center"/>
    </xf>
    <xf numFmtId="173" fontId="34" fillId="59" borderId="223" applyNumberFormat="0" applyFont="0" applyBorder="0" applyAlignment="0" applyProtection="0">
      <alignment horizontal="right" vertical="center"/>
    </xf>
    <xf numFmtId="0" fontId="50" fillId="0" borderId="221" applyNumberFormat="0" applyFill="0" applyAlignment="0" applyProtection="0"/>
    <xf numFmtId="49" fontId="34" fillId="0" borderId="223" applyNumberFormat="0" applyFont="0" applyFill="0" applyBorder="0" applyProtection="0">
      <alignment horizontal="left" vertical="center" indent="2"/>
    </xf>
    <xf numFmtId="49" fontId="34" fillId="0" borderId="224" applyNumberFormat="0" applyFont="0" applyFill="0" applyBorder="0" applyProtection="0">
      <alignment horizontal="left" vertical="center" indent="5"/>
    </xf>
    <xf numFmtId="49" fontId="34" fillId="0" borderId="223" applyNumberFormat="0" applyFont="0" applyFill="0" applyBorder="0" applyProtection="0">
      <alignment horizontal="left" vertical="center" indent="2"/>
    </xf>
    <xf numFmtId="4" fontId="34" fillId="0" borderId="223" applyFill="0" applyBorder="0" applyProtection="0">
      <alignment horizontal="right" vertical="center"/>
    </xf>
    <xf numFmtId="49" fontId="33" fillId="0" borderId="223" applyNumberFormat="0" applyFill="0" applyBorder="0" applyProtection="0">
      <alignment horizontal="left" vertical="center"/>
    </xf>
    <xf numFmtId="0" fontId="34" fillId="0" borderId="226">
      <alignment horizontal="left" vertical="center" wrapText="1" indent="2"/>
    </xf>
    <xf numFmtId="0" fontId="62" fillId="55" borderId="219" applyNumberFormat="0" applyAlignment="0" applyProtection="0"/>
    <xf numFmtId="0" fontId="32" fillId="33" borderId="225">
      <alignment horizontal="right" vertical="center"/>
    </xf>
    <xf numFmtId="0" fontId="49" fillId="42" borderId="220" applyNumberFormat="0" applyAlignment="0" applyProtection="0"/>
    <xf numFmtId="0" fontId="32" fillId="33" borderId="225">
      <alignment horizontal="right" vertical="center"/>
    </xf>
    <xf numFmtId="4" fontId="32" fillId="33" borderId="223">
      <alignment horizontal="right" vertical="center"/>
    </xf>
    <xf numFmtId="0" fontId="32" fillId="33" borderId="223">
      <alignment horizontal="right" vertical="center"/>
    </xf>
    <xf numFmtId="0" fontId="43" fillId="55" borderId="219" applyNumberFormat="0" applyAlignment="0" applyProtection="0"/>
    <xf numFmtId="0" fontId="45" fillId="55" borderId="220" applyNumberFormat="0" applyAlignment="0" applyProtection="0"/>
    <xf numFmtId="0" fontId="50" fillId="0" borderId="221" applyNumberFormat="0" applyFill="0" applyAlignment="0" applyProtection="0"/>
    <xf numFmtId="0" fontId="34" fillId="32" borderId="223"/>
    <xf numFmtId="4" fontId="34" fillId="32" borderId="223"/>
    <xf numFmtId="4" fontId="32" fillId="33" borderId="223">
      <alignment horizontal="right" vertical="center"/>
    </xf>
    <xf numFmtId="0" fontId="36" fillId="31" borderId="223">
      <alignment horizontal="right" vertical="center"/>
    </xf>
    <xf numFmtId="0" fontId="49" fillId="42" borderId="220" applyNumberFormat="0" applyAlignment="0" applyProtection="0"/>
    <xf numFmtId="0" fontId="46" fillId="55" borderId="220" applyNumberFormat="0" applyAlignment="0" applyProtection="0"/>
    <xf numFmtId="4" fontId="34" fillId="0" borderId="223">
      <alignment horizontal="right" vertical="center"/>
    </xf>
    <xf numFmtId="0" fontId="34" fillId="33" borderId="226">
      <alignment horizontal="left" vertical="center" wrapText="1" indent="2"/>
    </xf>
    <xf numFmtId="0" fontId="34" fillId="0" borderId="226">
      <alignment horizontal="left" vertical="center" wrapText="1" indent="2"/>
    </xf>
    <xf numFmtId="0" fontId="62" fillId="55" borderId="219" applyNumberFormat="0" applyAlignment="0" applyProtection="0"/>
    <xf numFmtId="0" fontId="58" fillId="42" borderId="220" applyNumberFormat="0" applyAlignment="0" applyProtection="0"/>
    <xf numFmtId="0" fontId="45" fillId="55" borderId="220" applyNumberFormat="0" applyAlignment="0" applyProtection="0"/>
    <xf numFmtId="0" fontId="43" fillId="55" borderId="219" applyNumberFormat="0" applyAlignment="0" applyProtection="0"/>
    <xf numFmtId="0" fontId="32" fillId="33" borderId="225">
      <alignment horizontal="right" vertical="center"/>
    </xf>
    <xf numFmtId="0" fontId="36" fillId="31" borderId="223">
      <alignment horizontal="right" vertical="center"/>
    </xf>
    <xf numFmtId="4" fontId="32" fillId="31" borderId="223">
      <alignment horizontal="right" vertical="center"/>
    </xf>
    <xf numFmtId="4" fontId="32" fillId="33" borderId="223">
      <alignment horizontal="right" vertical="center"/>
    </xf>
    <xf numFmtId="49" fontId="34" fillId="0" borderId="224" applyNumberFormat="0" applyFont="0" applyFill="0" applyBorder="0" applyProtection="0">
      <alignment horizontal="left" vertical="center" indent="5"/>
    </xf>
    <xf numFmtId="4" fontId="34" fillId="0" borderId="223" applyFill="0" applyBorder="0" applyProtection="0">
      <alignment horizontal="right" vertical="center"/>
    </xf>
    <xf numFmtId="4" fontId="32" fillId="31" borderId="223">
      <alignment horizontal="right" vertical="center"/>
    </xf>
    <xf numFmtId="0" fontId="58" fillId="42" borderId="220" applyNumberFormat="0" applyAlignment="0" applyProtection="0"/>
    <xf numFmtId="0" fontId="49" fillId="42" borderId="220" applyNumberFormat="0" applyAlignment="0" applyProtection="0"/>
    <xf numFmtId="0" fontId="45" fillId="55" borderId="220" applyNumberFormat="0" applyAlignment="0" applyProtection="0"/>
    <xf numFmtId="0" fontId="34" fillId="33" borderId="226">
      <alignment horizontal="left" vertical="center" wrapText="1" indent="2"/>
    </xf>
    <xf numFmtId="0" fontId="34" fillId="0" borderId="226">
      <alignment horizontal="left" vertical="center" wrapText="1" indent="2"/>
    </xf>
    <xf numFmtId="0" fontId="34" fillId="33" borderId="226">
      <alignment horizontal="left" vertical="center" wrapText="1" indent="2"/>
    </xf>
    <xf numFmtId="0" fontId="32" fillId="31" borderId="230">
      <alignment horizontal="right" vertical="center"/>
    </xf>
    <xf numFmtId="0" fontId="34" fillId="0" borderId="239" applyNumberFormat="0" applyFill="0" applyAlignment="0" applyProtection="0"/>
    <xf numFmtId="49" fontId="34" fillId="0" borderId="244" applyNumberFormat="0" applyFont="0" applyFill="0" applyBorder="0" applyProtection="0">
      <alignment horizontal="left" vertical="center" indent="2"/>
    </xf>
    <xf numFmtId="4" fontId="32" fillId="31" borderId="254">
      <alignment horizontal="right" vertical="center"/>
    </xf>
    <xf numFmtId="4" fontId="32" fillId="33" borderId="256">
      <alignment horizontal="right" vertical="center"/>
    </xf>
    <xf numFmtId="0" fontId="34" fillId="32" borderId="239"/>
    <xf numFmtId="0" fontId="46" fillId="55" borderId="236" applyNumberFormat="0" applyAlignment="0" applyProtection="0"/>
    <xf numFmtId="4" fontId="32" fillId="33" borderId="239">
      <alignment horizontal="right" vertical="center"/>
    </xf>
    <xf numFmtId="0" fontId="34" fillId="0" borderId="242">
      <alignment horizontal="left" vertical="center" wrapText="1" indent="2"/>
    </xf>
    <xf numFmtId="0" fontId="34" fillId="32" borderId="239"/>
    <xf numFmtId="0" fontId="45" fillId="55" borderId="236" applyNumberFormat="0" applyAlignment="0" applyProtection="0"/>
    <xf numFmtId="0" fontId="65" fillId="0" borderId="252" applyNumberFormat="0" applyFill="0" applyAlignment="0" applyProtection="0"/>
    <xf numFmtId="49" fontId="34" fillId="0" borderId="244" applyNumberFormat="0" applyFont="0" applyFill="0" applyBorder="0" applyProtection="0">
      <alignment horizontal="left" vertical="center" indent="2"/>
    </xf>
    <xf numFmtId="4" fontId="32" fillId="33" borderId="240">
      <alignment horizontal="right" vertical="center"/>
    </xf>
    <xf numFmtId="0" fontId="34" fillId="32" borderId="244"/>
    <xf numFmtId="4" fontId="32" fillId="33" borderId="244">
      <alignment horizontal="right" vertical="center"/>
    </xf>
    <xf numFmtId="0" fontId="62" fillId="55" borderId="248" applyNumberFormat="0" applyAlignment="0" applyProtection="0"/>
    <xf numFmtId="0" fontId="32" fillId="33" borderId="239">
      <alignment horizontal="right" vertical="center"/>
    </xf>
    <xf numFmtId="0" fontId="32" fillId="33" borderId="244">
      <alignment horizontal="right" vertical="center"/>
    </xf>
    <xf numFmtId="173" fontId="34" fillId="59" borderId="260" applyNumberFormat="0" applyFont="0" applyBorder="0" applyAlignment="0" applyProtection="0">
      <alignment horizontal="right" vertical="center"/>
    </xf>
    <xf numFmtId="0" fontId="65" fillId="0" borderId="237" applyNumberFormat="0" applyFill="0" applyAlignment="0" applyProtection="0"/>
    <xf numFmtId="0" fontId="40" fillId="58" borderId="243" applyNumberFormat="0" applyFont="0" applyAlignment="0" applyProtection="0"/>
    <xf numFmtId="173" fontId="34" fillId="59" borderId="239" applyNumberFormat="0" applyFont="0" applyBorder="0" applyAlignment="0" applyProtection="0">
      <alignment horizontal="right" vertical="center"/>
    </xf>
    <xf numFmtId="0" fontId="65" fillId="0" borderId="237" applyNumberFormat="0" applyFill="0" applyAlignment="0" applyProtection="0"/>
    <xf numFmtId="4" fontId="34" fillId="32" borderId="239"/>
    <xf numFmtId="0" fontId="58" fillId="42" borderId="236" applyNumberFormat="0" applyAlignment="0" applyProtection="0"/>
    <xf numFmtId="0" fontId="49" fillId="42" borderId="236" applyNumberFormat="0" applyAlignment="0" applyProtection="0"/>
    <xf numFmtId="0" fontId="65" fillId="0" borderId="274" applyNumberFormat="0" applyFill="0" applyAlignment="0" applyProtection="0"/>
    <xf numFmtId="0" fontId="34" fillId="31" borderId="245">
      <alignment horizontal="left" vertical="center"/>
    </xf>
    <xf numFmtId="0" fontId="46" fillId="55" borderId="236" applyNumberFormat="0" applyAlignment="0" applyProtection="0"/>
    <xf numFmtId="0" fontId="50" fillId="0" borderId="250" applyNumberFormat="0" applyFill="0" applyAlignment="0" applyProtection="0"/>
    <xf numFmtId="0" fontId="32" fillId="33" borderId="239">
      <alignment horizontal="right" vertical="center"/>
    </xf>
    <xf numFmtId="4" fontId="34" fillId="0" borderId="244" applyFill="0" applyBorder="0" applyProtection="0">
      <alignment horizontal="right" vertical="center"/>
    </xf>
    <xf numFmtId="0" fontId="32" fillId="33" borderId="279">
      <alignment horizontal="right" vertical="center"/>
    </xf>
    <xf numFmtId="0" fontId="32" fillId="33" borderId="239">
      <alignment horizontal="right" vertical="center"/>
    </xf>
    <xf numFmtId="0" fontId="32" fillId="33" borderId="254">
      <alignment horizontal="right" vertical="center"/>
    </xf>
    <xf numFmtId="49" fontId="34" fillId="0" borderId="244" applyNumberFormat="0" applyFont="0" applyFill="0" applyBorder="0" applyProtection="0">
      <alignment horizontal="left" vertical="center" indent="2"/>
    </xf>
    <xf numFmtId="0" fontId="45" fillId="55" borderId="249" applyNumberFormat="0" applyAlignment="0" applyProtection="0"/>
    <xf numFmtId="0" fontId="34" fillId="33" borderId="247">
      <alignment horizontal="left" vertical="center" wrapText="1" indent="2"/>
    </xf>
    <xf numFmtId="49" fontId="33" fillId="0" borderId="239" applyNumberFormat="0" applyFill="0" applyBorder="0" applyProtection="0">
      <alignment horizontal="left" vertical="center"/>
    </xf>
    <xf numFmtId="0" fontId="65" fillId="0" borderId="252" applyNumberFormat="0" applyFill="0" applyAlignment="0" applyProtection="0"/>
    <xf numFmtId="0" fontId="50" fillId="0" borderId="250" applyNumberFormat="0" applyFill="0" applyAlignment="0" applyProtection="0"/>
    <xf numFmtId="0" fontId="40" fillId="58" borderId="243" applyNumberFormat="0" applyFont="0" applyAlignment="0" applyProtection="0"/>
    <xf numFmtId="0" fontId="46" fillId="55" borderId="251" applyNumberFormat="0" applyAlignment="0" applyProtection="0"/>
    <xf numFmtId="4" fontId="32" fillId="33" borderId="244">
      <alignment horizontal="right" vertical="center"/>
    </xf>
    <xf numFmtId="0" fontId="12" fillId="27" borderId="0" applyNumberFormat="0" applyBorder="0" applyAlignment="0" applyProtection="0"/>
    <xf numFmtId="0" fontId="34" fillId="0" borderId="260" applyNumberFormat="0" applyFill="0" applyAlignment="0" applyProtection="0"/>
    <xf numFmtId="0" fontId="26" fillId="25" borderId="0" applyNumberFormat="0" applyBorder="0" applyAlignment="0" applyProtection="0"/>
    <xf numFmtId="0" fontId="32" fillId="33" borderId="256">
      <alignment horizontal="right" vertical="center"/>
    </xf>
    <xf numFmtId="0" fontId="26" fillId="22" borderId="0" applyNumberFormat="0" applyBorder="0" applyAlignment="0" applyProtection="0"/>
    <xf numFmtId="0" fontId="26" fillId="20" borderId="0" applyNumberFormat="0" applyBorder="0" applyAlignment="0" applyProtection="0"/>
    <xf numFmtId="0" fontId="26" fillId="14" borderId="0" applyNumberFormat="0" applyBorder="0" applyAlignment="0" applyProtection="0"/>
    <xf numFmtId="0" fontId="46" fillId="55" borderId="236" applyNumberFormat="0" applyAlignment="0" applyProtection="0"/>
    <xf numFmtId="0" fontId="32" fillId="33" borderId="260">
      <alignment horizontal="right" vertical="center"/>
    </xf>
    <xf numFmtId="0" fontId="26" fillId="28" borderId="0" applyNumberFormat="0" applyBorder="0" applyAlignment="0" applyProtection="0"/>
    <xf numFmtId="0" fontId="36" fillId="31" borderId="244">
      <alignment horizontal="right" vertical="center"/>
    </xf>
    <xf numFmtId="0" fontId="45" fillId="55" borderId="249" applyNumberFormat="0" applyAlignment="0" applyProtection="0"/>
    <xf numFmtId="4" fontId="32" fillId="33" borderId="230">
      <alignment horizontal="right" vertical="center"/>
    </xf>
    <xf numFmtId="0" fontId="34" fillId="32" borderId="230"/>
    <xf numFmtId="0" fontId="45" fillId="55" borderId="227" applyNumberFormat="0" applyAlignment="0" applyProtection="0"/>
    <xf numFmtId="0" fontId="32" fillId="31" borderId="230">
      <alignment horizontal="right" vertical="center"/>
    </xf>
    <xf numFmtId="0" fontId="34" fillId="0" borderId="230">
      <alignment horizontal="right" vertical="center"/>
    </xf>
    <xf numFmtId="0" fontId="65" fillId="0" borderId="228" applyNumberFormat="0" applyFill="0" applyAlignment="0" applyProtection="0"/>
    <xf numFmtId="0" fontId="34" fillId="31" borderId="231">
      <alignment horizontal="left" vertical="center"/>
    </xf>
    <xf numFmtId="0" fontId="58" fillId="42" borderId="227" applyNumberFormat="0" applyAlignment="0" applyProtection="0"/>
    <xf numFmtId="173" fontId="34" fillId="59" borderId="230" applyNumberFormat="0" applyFont="0" applyBorder="0" applyAlignment="0" applyProtection="0">
      <alignment horizontal="right" vertical="center"/>
    </xf>
    <xf numFmtId="0" fontId="40" fillId="58" borderId="229" applyNumberFormat="0" applyFont="0" applyAlignment="0" applyProtection="0"/>
    <xf numFmtId="0" fontId="34" fillId="0" borderId="233">
      <alignment horizontal="left" vertical="center" wrapText="1" indent="2"/>
    </xf>
    <xf numFmtId="4" fontId="34" fillId="32" borderId="230"/>
    <xf numFmtId="49" fontId="33" fillId="0" borderId="230" applyNumberFormat="0" applyFill="0" applyBorder="0" applyProtection="0">
      <alignment horizontal="left" vertical="center"/>
    </xf>
    <xf numFmtId="0" fontId="34" fillId="0" borderId="230">
      <alignment horizontal="right" vertical="center"/>
    </xf>
    <xf numFmtId="4" fontId="32" fillId="33" borderId="232">
      <alignment horizontal="right" vertical="center"/>
    </xf>
    <xf numFmtId="4" fontId="32" fillId="33" borderId="230">
      <alignment horizontal="right" vertical="center"/>
    </xf>
    <xf numFmtId="4" fontId="32" fillId="33" borderId="230">
      <alignment horizontal="right" vertical="center"/>
    </xf>
    <xf numFmtId="0" fontId="36" fillId="31" borderId="230">
      <alignment horizontal="right" vertical="center"/>
    </xf>
    <xf numFmtId="0" fontId="32" fillId="31" borderId="230">
      <alignment horizontal="right" vertical="center"/>
    </xf>
    <xf numFmtId="49" fontId="34" fillId="0" borderId="230" applyNumberFormat="0" applyFont="0" applyFill="0" applyBorder="0" applyProtection="0">
      <alignment horizontal="left" vertical="center" indent="2"/>
    </xf>
    <xf numFmtId="0" fontId="58" fillId="42" borderId="227" applyNumberFormat="0" applyAlignment="0" applyProtection="0"/>
    <xf numFmtId="0" fontId="43" fillId="55" borderId="234" applyNumberFormat="0" applyAlignment="0" applyProtection="0"/>
    <xf numFmtId="49" fontId="34" fillId="0" borderId="230" applyNumberFormat="0" applyFont="0" applyFill="0" applyBorder="0" applyProtection="0">
      <alignment horizontal="left" vertical="center" indent="2"/>
    </xf>
    <xf numFmtId="0" fontId="49" fillId="42" borderId="227" applyNumberFormat="0" applyAlignment="0" applyProtection="0"/>
    <xf numFmtId="4" fontId="34" fillId="0" borderId="230" applyFill="0" applyBorder="0" applyProtection="0">
      <alignment horizontal="right" vertical="center"/>
    </xf>
    <xf numFmtId="0" fontId="46" fillId="55" borderId="227" applyNumberFormat="0" applyAlignment="0" applyProtection="0"/>
    <xf numFmtId="0" fontId="65" fillId="0" borderId="228" applyNumberFormat="0" applyFill="0" applyAlignment="0" applyProtection="0"/>
    <xf numFmtId="0" fontId="62" fillId="55" borderId="234" applyNumberFormat="0" applyAlignment="0" applyProtection="0"/>
    <xf numFmtId="0" fontId="34" fillId="0" borderId="230" applyNumberFormat="0" applyFill="0" applyAlignment="0" applyProtection="0"/>
    <xf numFmtId="4" fontId="34" fillId="0" borderId="230">
      <alignment horizontal="right" vertical="center"/>
    </xf>
    <xf numFmtId="0" fontId="34" fillId="0" borderId="230">
      <alignment horizontal="right" vertical="center"/>
    </xf>
    <xf numFmtId="0" fontId="58" fillId="42" borderId="227" applyNumberFormat="0" applyAlignment="0" applyProtection="0"/>
    <xf numFmtId="0" fontId="43" fillId="55" borderId="234" applyNumberFormat="0" applyAlignment="0" applyProtection="0"/>
    <xf numFmtId="0" fontId="45" fillId="55" borderId="227" applyNumberFormat="0" applyAlignment="0" applyProtection="0"/>
    <xf numFmtId="0" fontId="34" fillId="33" borderId="233">
      <alignment horizontal="left" vertical="center" wrapText="1" indent="2"/>
    </xf>
    <xf numFmtId="0" fontId="46" fillId="55" borderId="227" applyNumberFormat="0" applyAlignment="0" applyProtection="0"/>
    <xf numFmtId="0" fontId="46" fillId="55" borderId="227" applyNumberFormat="0" applyAlignment="0" applyProtection="0"/>
    <xf numFmtId="4" fontId="32" fillId="33" borderId="231">
      <alignment horizontal="right" vertical="center"/>
    </xf>
    <xf numFmtId="0" fontId="32" fillId="33" borderId="231">
      <alignment horizontal="right" vertical="center"/>
    </xf>
    <xf numFmtId="0" fontId="32" fillId="33" borderId="230">
      <alignment horizontal="right" vertical="center"/>
    </xf>
    <xf numFmtId="4" fontId="36" fillId="31" borderId="230">
      <alignment horizontal="right" vertical="center"/>
    </xf>
    <xf numFmtId="0" fontId="49" fillId="42" borderId="227" applyNumberFormat="0" applyAlignment="0" applyProtection="0"/>
    <xf numFmtId="0" fontId="50" fillId="0" borderId="228" applyNumberFormat="0" applyFill="0" applyAlignment="0" applyProtection="0"/>
    <xf numFmtId="0" fontId="65" fillId="0" borderId="228" applyNumberFormat="0" applyFill="0" applyAlignment="0" applyProtection="0"/>
    <xf numFmtId="0" fontId="40" fillId="58" borderId="229" applyNumberFormat="0" applyFont="0" applyAlignment="0" applyProtection="0"/>
    <xf numFmtId="0" fontId="58" fillId="42" borderId="227" applyNumberFormat="0" applyAlignment="0" applyProtection="0"/>
    <xf numFmtId="49" fontId="33" fillId="0" borderId="230" applyNumberFormat="0" applyFill="0" applyBorder="0" applyProtection="0">
      <alignment horizontal="left" vertical="center"/>
    </xf>
    <xf numFmtId="0" fontId="34" fillId="33" borderId="233">
      <alignment horizontal="left" vertical="center" wrapText="1" indent="2"/>
    </xf>
    <xf numFmtId="0" fontId="46" fillId="55" borderId="227" applyNumberFormat="0" applyAlignment="0" applyProtection="0"/>
    <xf numFmtId="0" fontId="34" fillId="0" borderId="233">
      <alignment horizontal="left" vertical="center" wrapText="1" indent="2"/>
    </xf>
    <xf numFmtId="0" fontId="40" fillId="58" borderId="229" applyNumberFormat="0" applyFont="0" applyAlignment="0" applyProtection="0"/>
    <xf numFmtId="0" fontId="5" fillId="58" borderId="229" applyNumberFormat="0" applyFont="0" applyAlignment="0" applyProtection="0"/>
    <xf numFmtId="0" fontId="62" fillId="55" borderId="234" applyNumberFormat="0" applyAlignment="0" applyProtection="0"/>
    <xf numFmtId="0" fontId="65" fillId="0" borderId="228" applyNumberFormat="0" applyFill="0" applyAlignment="0" applyProtection="0"/>
    <xf numFmtId="4" fontId="34" fillId="32" borderId="230"/>
    <xf numFmtId="0" fontId="32" fillId="33" borderId="230">
      <alignment horizontal="right" vertical="center"/>
    </xf>
    <xf numFmtId="0" fontId="65" fillId="0" borderId="228" applyNumberFormat="0" applyFill="0" applyAlignment="0" applyProtection="0"/>
    <xf numFmtId="4" fontId="32" fillId="33" borderId="232">
      <alignment horizontal="right" vertical="center"/>
    </xf>
    <xf numFmtId="0" fontId="45" fillId="55" borderId="227" applyNumberFormat="0" applyAlignment="0" applyProtection="0"/>
    <xf numFmtId="0" fontId="32" fillId="33" borderId="231">
      <alignment horizontal="right" vertical="center"/>
    </xf>
    <xf numFmtId="0" fontId="46" fillId="55" borderId="227" applyNumberFormat="0" applyAlignment="0" applyProtection="0"/>
    <xf numFmtId="0" fontId="50" fillId="0" borderId="228" applyNumberFormat="0" applyFill="0" applyAlignment="0" applyProtection="0"/>
    <xf numFmtId="0" fontId="40" fillId="58" borderId="229" applyNumberFormat="0" applyFont="0" applyAlignment="0" applyProtection="0"/>
    <xf numFmtId="4" fontId="32" fillId="33" borderId="231">
      <alignment horizontal="right" vertical="center"/>
    </xf>
    <xf numFmtId="0" fontId="34" fillId="33" borderId="233">
      <alignment horizontal="left" vertical="center" wrapText="1" indent="2"/>
    </xf>
    <xf numFmtId="0" fontId="34" fillId="32" borderId="230"/>
    <xf numFmtId="173" fontId="34" fillId="59" borderId="230" applyNumberFormat="0" applyFont="0" applyBorder="0" applyAlignment="0" applyProtection="0">
      <alignment horizontal="right" vertical="center"/>
    </xf>
    <xf numFmtId="0" fontId="34" fillId="0" borderId="230" applyNumberFormat="0" applyFill="0" applyAlignment="0" applyProtection="0"/>
    <xf numFmtId="4" fontId="34" fillId="0" borderId="230" applyFill="0" applyBorder="0" applyProtection="0">
      <alignment horizontal="right" vertical="center"/>
    </xf>
    <xf numFmtId="4" fontId="32" fillId="31" borderId="230">
      <alignment horizontal="right" vertical="center"/>
    </xf>
    <xf numFmtId="0" fontId="50" fillId="0" borderId="228" applyNumberFormat="0" applyFill="0" applyAlignment="0" applyProtection="0"/>
    <xf numFmtId="49" fontId="33" fillId="0" borderId="230" applyNumberFormat="0" applyFill="0" applyBorder="0" applyProtection="0">
      <alignment horizontal="left" vertical="center"/>
    </xf>
    <xf numFmtId="49" fontId="34" fillId="0" borderId="231" applyNumberFormat="0" applyFont="0" applyFill="0" applyBorder="0" applyProtection="0">
      <alignment horizontal="left" vertical="center" indent="5"/>
    </xf>
    <xf numFmtId="0" fontId="34" fillId="31" borderId="231">
      <alignment horizontal="left" vertical="center"/>
    </xf>
    <xf numFmtId="0" fontId="46" fillId="55" borderId="227" applyNumberFormat="0" applyAlignment="0" applyProtection="0"/>
    <xf numFmtId="4" fontId="32" fillId="33" borderId="232">
      <alignment horizontal="right" vertical="center"/>
    </xf>
    <xf numFmtId="0" fontId="58" fillId="42" borderId="227" applyNumberFormat="0" applyAlignment="0" applyProtection="0"/>
    <xf numFmtId="0" fontId="58" fillId="42" borderId="227" applyNumberFormat="0" applyAlignment="0" applyProtection="0"/>
    <xf numFmtId="0" fontId="40" fillId="58" borderId="229" applyNumberFormat="0" applyFont="0" applyAlignment="0" applyProtection="0"/>
    <xf numFmtId="0" fontId="62" fillId="55" borderId="234" applyNumberFormat="0" applyAlignment="0" applyProtection="0"/>
    <xf numFmtId="0" fontId="65" fillId="0" borderId="228" applyNumberFormat="0" applyFill="0" applyAlignment="0" applyProtection="0"/>
    <xf numFmtId="0" fontId="32" fillId="33" borderId="230">
      <alignment horizontal="right" vertical="center"/>
    </xf>
    <xf numFmtId="0" fontId="5" fillId="58" borderId="229" applyNumberFormat="0" applyFont="0" applyAlignment="0" applyProtection="0"/>
    <xf numFmtId="4" fontId="34" fillId="0" borderId="230">
      <alignment horizontal="right" vertical="center"/>
    </xf>
    <xf numFmtId="0" fontId="65" fillId="0" borderId="228" applyNumberFormat="0" applyFill="0" applyAlignment="0" applyProtection="0"/>
    <xf numFmtId="0" fontId="32" fillId="33" borderId="230">
      <alignment horizontal="right" vertical="center"/>
    </xf>
    <xf numFmtId="0" fontId="32" fillId="33" borderId="230">
      <alignment horizontal="right" vertical="center"/>
    </xf>
    <xf numFmtId="4" fontId="36" fillId="31" borderId="230">
      <alignment horizontal="right" vertical="center"/>
    </xf>
    <xf numFmtId="0" fontId="32" fillId="31" borderId="230">
      <alignment horizontal="right" vertical="center"/>
    </xf>
    <xf numFmtId="4" fontId="32" fillId="31" borderId="230">
      <alignment horizontal="right" vertical="center"/>
    </xf>
    <xf numFmtId="0" fontId="36" fillId="31" borderId="230">
      <alignment horizontal="right" vertical="center"/>
    </xf>
    <xf numFmtId="4" fontId="36" fillId="31" borderId="230">
      <alignment horizontal="right" vertical="center"/>
    </xf>
    <xf numFmtId="0" fontId="32" fillId="33" borderId="230">
      <alignment horizontal="right" vertical="center"/>
    </xf>
    <xf numFmtId="4" fontId="32" fillId="33" borderId="230">
      <alignment horizontal="right" vertical="center"/>
    </xf>
    <xf numFmtId="0" fontId="32" fillId="33" borderId="230">
      <alignment horizontal="right" vertical="center"/>
    </xf>
    <xf numFmtId="4" fontId="32" fillId="33" borderId="230">
      <alignment horizontal="right" vertical="center"/>
    </xf>
    <xf numFmtId="0" fontId="32" fillId="33" borderId="231">
      <alignment horizontal="right" vertical="center"/>
    </xf>
    <xf numFmtId="4" fontId="32" fillId="33" borderId="231">
      <alignment horizontal="right" vertical="center"/>
    </xf>
    <xf numFmtId="0" fontId="32" fillId="33" borderId="232">
      <alignment horizontal="right" vertical="center"/>
    </xf>
    <xf numFmtId="4" fontId="32" fillId="33" borderId="232">
      <alignment horizontal="right" vertical="center"/>
    </xf>
    <xf numFmtId="0" fontId="46" fillId="55" borderId="227" applyNumberFormat="0" applyAlignment="0" applyProtection="0"/>
    <xf numFmtId="0" fontId="34" fillId="33" borderId="233">
      <alignment horizontal="left" vertical="center" wrapText="1" indent="2"/>
    </xf>
    <xf numFmtId="0" fontId="34" fillId="0" borderId="233">
      <alignment horizontal="left" vertical="center" wrapText="1" indent="2"/>
    </xf>
    <xf numFmtId="0" fontId="34" fillId="31" borderId="231">
      <alignment horizontal="left" vertical="center"/>
    </xf>
    <xf numFmtId="0" fontId="58" fillId="42" borderId="227" applyNumberFormat="0" applyAlignment="0" applyProtection="0"/>
    <xf numFmtId="0" fontId="34" fillId="0" borderId="230">
      <alignment horizontal="right" vertical="center"/>
    </xf>
    <xf numFmtId="4" fontId="34" fillId="0" borderId="230">
      <alignment horizontal="right" vertical="center"/>
    </xf>
    <xf numFmtId="0" fontId="34" fillId="0" borderId="230" applyNumberFormat="0" applyFill="0" applyAlignment="0" applyProtection="0"/>
    <xf numFmtId="0" fontId="62" fillId="55" borderId="234" applyNumberFormat="0" applyAlignment="0" applyProtection="0"/>
    <xf numFmtId="173" fontId="34" fillId="59" borderId="230" applyNumberFormat="0" applyFont="0" applyBorder="0" applyAlignment="0" applyProtection="0">
      <alignment horizontal="right" vertical="center"/>
    </xf>
    <xf numFmtId="0" fontId="34" fillId="32" borderId="230"/>
    <xf numFmtId="4" fontId="34" fillId="32" borderId="230"/>
    <xf numFmtId="0" fontId="65" fillId="0" borderId="228" applyNumberFormat="0" applyFill="0" applyAlignment="0" applyProtection="0"/>
    <xf numFmtId="0" fontId="5" fillId="58" borderId="229" applyNumberFormat="0" applyFont="0" applyAlignment="0" applyProtection="0"/>
    <xf numFmtId="0" fontId="40" fillId="58" borderId="229" applyNumberFormat="0" applyFont="0" applyAlignment="0" applyProtection="0"/>
    <xf numFmtId="0" fontId="34" fillId="0" borderId="230" applyNumberFormat="0" applyFill="0" applyAlignment="0" applyProtection="0"/>
    <xf numFmtId="0" fontId="50" fillId="0" borderId="228" applyNumberFormat="0" applyFill="0" applyAlignment="0" applyProtection="0"/>
    <xf numFmtId="0" fontId="65" fillId="0" borderId="228" applyNumberFormat="0" applyFill="0" applyAlignment="0" applyProtection="0"/>
    <xf numFmtId="0" fontId="49" fillId="42" borderId="227" applyNumberFormat="0" applyAlignment="0" applyProtection="0"/>
    <xf numFmtId="0" fontId="46" fillId="55" borderId="227" applyNumberFormat="0" applyAlignment="0" applyProtection="0"/>
    <xf numFmtId="4" fontId="36" fillId="31" borderId="230">
      <alignment horizontal="right" vertical="center"/>
    </xf>
    <xf numFmtId="0" fontId="32" fillId="31" borderId="230">
      <alignment horizontal="right" vertical="center"/>
    </xf>
    <xf numFmtId="173" fontId="34" fillId="59" borderId="230" applyNumberFormat="0" applyFont="0" applyBorder="0" applyAlignment="0" applyProtection="0">
      <alignment horizontal="right" vertical="center"/>
    </xf>
    <xf numFmtId="0" fontId="50" fillId="0" borderId="228" applyNumberFormat="0" applyFill="0" applyAlignment="0" applyProtection="0"/>
    <xf numFmtId="49" fontId="34" fillId="0" borderId="230" applyNumberFormat="0" applyFont="0" applyFill="0" applyBorder="0" applyProtection="0">
      <alignment horizontal="left" vertical="center" indent="2"/>
    </xf>
    <xf numFmtId="49" fontId="34" fillId="0" borderId="231" applyNumberFormat="0" applyFont="0" applyFill="0" applyBorder="0" applyProtection="0">
      <alignment horizontal="left" vertical="center" indent="5"/>
    </xf>
    <xf numFmtId="49" fontId="34" fillId="0" borderId="230" applyNumberFormat="0" applyFont="0" applyFill="0" applyBorder="0" applyProtection="0">
      <alignment horizontal="left" vertical="center" indent="2"/>
    </xf>
    <xf numFmtId="4" fontId="34" fillId="0" borderId="230" applyFill="0" applyBorder="0" applyProtection="0">
      <alignment horizontal="right" vertical="center"/>
    </xf>
    <xf numFmtId="49" fontId="33" fillId="0" borderId="230" applyNumberFormat="0" applyFill="0" applyBorder="0" applyProtection="0">
      <alignment horizontal="left" vertical="center"/>
    </xf>
    <xf numFmtId="0" fontId="34" fillId="0" borderId="233">
      <alignment horizontal="left" vertical="center" wrapText="1" indent="2"/>
    </xf>
    <xf numFmtId="0" fontId="62" fillId="55" borderId="234" applyNumberFormat="0" applyAlignment="0" applyProtection="0"/>
    <xf numFmtId="0" fontId="32" fillId="33" borderId="232">
      <alignment horizontal="right" vertical="center"/>
    </xf>
    <xf numFmtId="0" fontId="49" fillId="42" borderId="227" applyNumberFormat="0" applyAlignment="0" applyProtection="0"/>
    <xf numFmtId="0" fontId="32" fillId="33" borderId="232">
      <alignment horizontal="right" vertical="center"/>
    </xf>
    <xf numFmtId="4" fontId="32" fillId="33" borderId="230">
      <alignment horizontal="right" vertical="center"/>
    </xf>
    <xf numFmtId="0" fontId="32" fillId="33" borderId="230">
      <alignment horizontal="right" vertical="center"/>
    </xf>
    <xf numFmtId="0" fontId="43" fillId="55" borderId="234" applyNumberFormat="0" applyAlignment="0" applyProtection="0"/>
    <xf numFmtId="0" fontId="45" fillId="55" borderId="227" applyNumberFormat="0" applyAlignment="0" applyProtection="0"/>
    <xf numFmtId="0" fontId="50" fillId="0" borderId="228" applyNumberFormat="0" applyFill="0" applyAlignment="0" applyProtection="0"/>
    <xf numFmtId="0" fontId="34" fillId="32" borderId="230"/>
    <xf numFmtId="4" fontId="34" fillId="32" borderId="230"/>
    <xf numFmtId="4" fontId="32" fillId="33" borderId="230">
      <alignment horizontal="right" vertical="center"/>
    </xf>
    <xf numFmtId="0" fontId="36" fillId="31" borderId="230">
      <alignment horizontal="right" vertical="center"/>
    </xf>
    <xf numFmtId="0" fontId="49" fillId="42" borderId="227" applyNumberFormat="0" applyAlignment="0" applyProtection="0"/>
    <xf numFmtId="0" fontId="46" fillId="55" borderId="227" applyNumberFormat="0" applyAlignment="0" applyProtection="0"/>
    <xf numFmtId="4" fontId="34" fillId="0" borderId="230">
      <alignment horizontal="right" vertical="center"/>
    </xf>
    <xf numFmtId="0" fontId="34" fillId="33" borderId="233">
      <alignment horizontal="left" vertical="center" wrapText="1" indent="2"/>
    </xf>
    <xf numFmtId="0" fontId="34" fillId="0" borderId="233">
      <alignment horizontal="left" vertical="center" wrapText="1" indent="2"/>
    </xf>
    <xf numFmtId="0" fontId="62" fillId="55" borderId="234" applyNumberFormat="0" applyAlignment="0" applyProtection="0"/>
    <xf numFmtId="0" fontId="58" fillId="42" borderId="227" applyNumberFormat="0" applyAlignment="0" applyProtection="0"/>
    <xf numFmtId="0" fontId="45" fillId="55" borderId="227" applyNumberFormat="0" applyAlignment="0" applyProtection="0"/>
    <xf numFmtId="0" fontId="43" fillId="55" borderId="234" applyNumberFormat="0" applyAlignment="0" applyProtection="0"/>
    <xf numFmtId="0" fontId="32" fillId="33" borderId="232">
      <alignment horizontal="right" vertical="center"/>
    </xf>
    <xf numFmtId="0" fontId="36" fillId="31" borderId="230">
      <alignment horizontal="right" vertical="center"/>
    </xf>
    <xf numFmtId="4" fontId="32" fillId="31" borderId="230">
      <alignment horizontal="right" vertical="center"/>
    </xf>
    <xf numFmtId="4" fontId="32" fillId="33" borderId="230">
      <alignment horizontal="right" vertical="center"/>
    </xf>
    <xf numFmtId="49" fontId="34" fillId="0" borderId="231" applyNumberFormat="0" applyFont="0" applyFill="0" applyBorder="0" applyProtection="0">
      <alignment horizontal="left" vertical="center" indent="5"/>
    </xf>
    <xf numFmtId="4" fontId="34" fillId="0" borderId="230" applyFill="0" applyBorder="0" applyProtection="0">
      <alignment horizontal="right" vertical="center"/>
    </xf>
    <xf numFmtId="4" fontId="32" fillId="31" borderId="230">
      <alignment horizontal="right" vertical="center"/>
    </xf>
    <xf numFmtId="0" fontId="34" fillId="0" borderId="257">
      <alignment horizontal="left" vertical="center" wrapText="1" indent="2"/>
    </xf>
    <xf numFmtId="0" fontId="58" fillId="42" borderId="227" applyNumberFormat="0" applyAlignment="0" applyProtection="0"/>
    <xf numFmtId="0" fontId="49" fillId="42" borderId="227" applyNumberFormat="0" applyAlignment="0" applyProtection="0"/>
    <xf numFmtId="0" fontId="45" fillId="55" borderId="227" applyNumberFormat="0" applyAlignment="0" applyProtection="0"/>
    <xf numFmtId="0" fontId="34" fillId="33" borderId="233">
      <alignment horizontal="left" vertical="center" wrapText="1" indent="2"/>
    </xf>
    <xf numFmtId="0" fontId="34" fillId="0" borderId="233">
      <alignment horizontal="left" vertical="center" wrapText="1" indent="2"/>
    </xf>
    <xf numFmtId="0" fontId="34" fillId="33" borderId="233">
      <alignment horizontal="left" vertical="center" wrapText="1" indent="2"/>
    </xf>
    <xf numFmtId="0" fontId="34" fillId="0" borderId="233">
      <alignment horizontal="left" vertical="center" wrapText="1" indent="2"/>
    </xf>
    <xf numFmtId="0" fontId="43" fillId="55" borderId="234" applyNumberFormat="0" applyAlignment="0" applyProtection="0"/>
    <xf numFmtId="0" fontId="45" fillId="55" borderId="227" applyNumberFormat="0" applyAlignment="0" applyProtection="0"/>
    <xf numFmtId="0" fontId="46" fillId="55" borderId="227" applyNumberFormat="0" applyAlignment="0" applyProtection="0"/>
    <xf numFmtId="0" fontId="49" fillId="42" borderId="227" applyNumberFormat="0" applyAlignment="0" applyProtection="0"/>
    <xf numFmtId="0" fontId="50" fillId="0" borderId="228" applyNumberFormat="0" applyFill="0" applyAlignment="0" applyProtection="0"/>
    <xf numFmtId="0" fontId="58" fillId="42" borderId="227" applyNumberFormat="0" applyAlignment="0" applyProtection="0"/>
    <xf numFmtId="0" fontId="40" fillId="58" borderId="229" applyNumberFormat="0" applyFont="0" applyAlignment="0" applyProtection="0"/>
    <xf numFmtId="0" fontId="5" fillId="58" borderId="229" applyNumberFormat="0" applyFont="0" applyAlignment="0" applyProtection="0"/>
    <xf numFmtId="0" fontId="62" fillId="55" borderId="234" applyNumberFormat="0" applyAlignment="0" applyProtection="0"/>
    <xf numFmtId="0" fontId="65" fillId="0" borderId="228" applyNumberFormat="0" applyFill="0" applyAlignment="0" applyProtection="0"/>
    <xf numFmtId="0" fontId="46" fillId="55" borderId="227" applyNumberFormat="0" applyAlignment="0" applyProtection="0"/>
    <xf numFmtId="0" fontId="58" fillId="42" borderId="227" applyNumberFormat="0" applyAlignment="0" applyProtection="0"/>
    <xf numFmtId="0" fontId="40" fillId="58" borderId="229" applyNumberFormat="0" applyFont="0" applyAlignment="0" applyProtection="0"/>
    <xf numFmtId="0" fontId="62" fillId="55" borderId="234" applyNumberFormat="0" applyAlignment="0" applyProtection="0"/>
    <xf numFmtId="0" fontId="65" fillId="0" borderId="228" applyNumberFormat="0" applyFill="0" applyAlignment="0" applyProtection="0"/>
    <xf numFmtId="0" fontId="32" fillId="33" borderId="241">
      <alignment horizontal="right" vertical="center"/>
    </xf>
    <xf numFmtId="0" fontId="1" fillId="0" borderId="0" applyNumberFormat="0" applyFill="0" applyBorder="0" applyAlignment="0" applyProtection="0"/>
    <xf numFmtId="49" fontId="34" fillId="0" borderId="254" applyNumberFormat="0" applyFont="0" applyFill="0" applyBorder="0" applyProtection="0">
      <alignment horizontal="left" vertical="center" indent="2"/>
    </xf>
    <xf numFmtId="0" fontId="30" fillId="0" borderId="0" applyNumberFormat="0" applyFill="0" applyBorder="0" applyAlignment="0" applyProtection="0"/>
    <xf numFmtId="0" fontId="46" fillId="55" borderId="227" applyNumberFormat="0" applyAlignment="0" applyProtection="0"/>
    <xf numFmtId="0" fontId="12" fillId="21" borderId="0" applyNumberFormat="0" applyBorder="0" applyAlignment="0" applyProtection="0"/>
    <xf numFmtId="0" fontId="32" fillId="31" borderId="239">
      <alignment horizontal="right" vertical="center"/>
    </xf>
    <xf numFmtId="4" fontId="32" fillId="33" borderId="239">
      <alignment horizontal="right" vertical="center"/>
    </xf>
    <xf numFmtId="0" fontId="58" fillId="42" borderId="227" applyNumberFormat="0" applyAlignment="0" applyProtection="0"/>
    <xf numFmtId="0" fontId="62" fillId="55" borderId="234" applyNumberFormat="0" applyAlignment="0" applyProtection="0"/>
    <xf numFmtId="0" fontId="65" fillId="0" borderId="228" applyNumberFormat="0" applyFill="0" applyAlignment="0" applyProtection="0"/>
    <xf numFmtId="49" fontId="34" fillId="0" borderId="239" applyNumberFormat="0" applyFont="0" applyFill="0" applyBorder="0" applyProtection="0">
      <alignment horizontal="left" vertical="center" indent="2"/>
    </xf>
    <xf numFmtId="0" fontId="43" fillId="55" borderId="234" applyNumberFormat="0" applyAlignment="0" applyProtection="0"/>
    <xf numFmtId="0" fontId="45" fillId="55" borderId="227" applyNumberFormat="0" applyAlignment="0" applyProtection="0"/>
    <xf numFmtId="0" fontId="50" fillId="0" borderId="228" applyNumberFormat="0" applyFill="0" applyAlignment="0" applyProtection="0"/>
    <xf numFmtId="49" fontId="34" fillId="0" borderId="230" applyNumberFormat="0" applyFont="0" applyFill="0" applyBorder="0" applyProtection="0">
      <alignment horizontal="left" vertical="center" indent="2"/>
    </xf>
    <xf numFmtId="0" fontId="32" fillId="31" borderId="230">
      <alignment horizontal="right" vertical="center"/>
    </xf>
    <xf numFmtId="4" fontId="32" fillId="31" borderId="230">
      <alignment horizontal="right" vertical="center"/>
    </xf>
    <xf numFmtId="0" fontId="36" fillId="31" borderId="230">
      <alignment horizontal="right" vertical="center"/>
    </xf>
    <xf numFmtId="4" fontId="36" fillId="31" borderId="230">
      <alignment horizontal="right" vertical="center"/>
    </xf>
    <xf numFmtId="0" fontId="32" fillId="33" borderId="230">
      <alignment horizontal="right" vertical="center"/>
    </xf>
    <xf numFmtId="4" fontId="32" fillId="33" borderId="230">
      <alignment horizontal="right" vertical="center"/>
    </xf>
    <xf numFmtId="0" fontId="32" fillId="33" borderId="230">
      <alignment horizontal="right" vertical="center"/>
    </xf>
    <xf numFmtId="4" fontId="32" fillId="33" borderId="230">
      <alignment horizontal="right" vertical="center"/>
    </xf>
    <xf numFmtId="0" fontId="49" fillId="42" borderId="227" applyNumberFormat="0" applyAlignment="0" applyProtection="0"/>
    <xf numFmtId="0" fontId="34" fillId="0" borderId="230">
      <alignment horizontal="right" vertical="center"/>
    </xf>
    <xf numFmtId="4" fontId="34" fillId="0" borderId="230">
      <alignment horizontal="right" vertical="center"/>
    </xf>
    <xf numFmtId="4" fontId="34" fillId="0" borderId="230" applyFill="0" applyBorder="0" applyProtection="0">
      <alignment horizontal="right" vertical="center"/>
    </xf>
    <xf numFmtId="49" fontId="33" fillId="0" borderId="230" applyNumberFormat="0" applyFill="0" applyBorder="0" applyProtection="0">
      <alignment horizontal="left" vertical="center"/>
    </xf>
    <xf numFmtId="0" fontId="34" fillId="0" borderId="230" applyNumberFormat="0" applyFill="0" applyAlignment="0" applyProtection="0"/>
    <xf numFmtId="173" fontId="34" fillId="59" borderId="230" applyNumberFormat="0" applyFont="0" applyBorder="0" applyAlignment="0" applyProtection="0">
      <alignment horizontal="right" vertical="center"/>
    </xf>
    <xf numFmtId="0" fontId="34" fillId="32" borderId="230"/>
    <xf numFmtId="4" fontId="34" fillId="32" borderId="230"/>
    <xf numFmtId="4" fontId="32" fillId="33" borderId="230">
      <alignment horizontal="right" vertical="center"/>
    </xf>
    <xf numFmtId="0" fontId="34" fillId="32" borderId="230"/>
    <xf numFmtId="0" fontId="45" fillId="55" borderId="227" applyNumberFormat="0" applyAlignment="0" applyProtection="0"/>
    <xf numFmtId="0" fontId="32" fillId="31" borderId="230">
      <alignment horizontal="right" vertical="center"/>
    </xf>
    <xf numFmtId="0" fontId="34" fillId="0" borderId="230">
      <alignment horizontal="right" vertical="center"/>
    </xf>
    <xf numFmtId="0" fontId="65" fillId="0" borderId="228" applyNumberFormat="0" applyFill="0" applyAlignment="0" applyProtection="0"/>
    <xf numFmtId="0" fontId="34" fillId="31" borderId="231">
      <alignment horizontal="left" vertical="center"/>
    </xf>
    <xf numFmtId="0" fontId="58" fillId="42" borderId="227" applyNumberFormat="0" applyAlignment="0" applyProtection="0"/>
    <xf numFmtId="173" fontId="34" fillId="59" borderId="230" applyNumberFormat="0" applyFont="0" applyBorder="0" applyAlignment="0" applyProtection="0">
      <alignment horizontal="right" vertical="center"/>
    </xf>
    <xf numFmtId="0" fontId="40" fillId="58" borderId="229" applyNumberFormat="0" applyFont="0" applyAlignment="0" applyProtection="0"/>
    <xf numFmtId="0" fontId="34" fillId="0" borderId="233">
      <alignment horizontal="left" vertical="center" wrapText="1" indent="2"/>
    </xf>
    <xf numFmtId="4" fontId="34" fillId="32" borderId="230"/>
    <xf numFmtId="49" fontId="33" fillId="0" borderId="230" applyNumberFormat="0" applyFill="0" applyBorder="0" applyProtection="0">
      <alignment horizontal="left" vertical="center"/>
    </xf>
    <xf numFmtId="0" fontId="34" fillId="0" borderId="230">
      <alignment horizontal="right" vertical="center"/>
    </xf>
    <xf numFmtId="4" fontId="32" fillId="33" borderId="232">
      <alignment horizontal="right" vertical="center"/>
    </xf>
    <xf numFmtId="4" fontId="32" fillId="33" borderId="230">
      <alignment horizontal="right" vertical="center"/>
    </xf>
    <xf numFmtId="4" fontId="32" fillId="33" borderId="230">
      <alignment horizontal="right" vertical="center"/>
    </xf>
    <xf numFmtId="0" fontId="36" fillId="31" borderId="230">
      <alignment horizontal="right" vertical="center"/>
    </xf>
    <xf numFmtId="0" fontId="32" fillId="31" borderId="230">
      <alignment horizontal="right" vertical="center"/>
    </xf>
    <xf numFmtId="49" fontId="34" fillId="0" borderId="230" applyNumberFormat="0" applyFont="0" applyFill="0" applyBorder="0" applyProtection="0">
      <alignment horizontal="left" vertical="center" indent="2"/>
    </xf>
    <xf numFmtId="0" fontId="58" fillId="42" borderId="227" applyNumberFormat="0" applyAlignment="0" applyProtection="0"/>
    <xf numFmtId="0" fontId="43" fillId="55" borderId="234" applyNumberFormat="0" applyAlignment="0" applyProtection="0"/>
    <xf numFmtId="49" fontId="34" fillId="0" borderId="230" applyNumberFormat="0" applyFont="0" applyFill="0" applyBorder="0" applyProtection="0">
      <alignment horizontal="left" vertical="center" indent="2"/>
    </xf>
    <xf numFmtId="0" fontId="49" fillId="42" borderId="227" applyNumberFormat="0" applyAlignment="0" applyProtection="0"/>
    <xf numFmtId="4" fontId="34" fillId="0" borderId="230" applyFill="0" applyBorder="0" applyProtection="0">
      <alignment horizontal="right" vertical="center"/>
    </xf>
    <xf numFmtId="0" fontId="46" fillId="55" borderId="227" applyNumberFormat="0" applyAlignment="0" applyProtection="0"/>
    <xf numFmtId="0" fontId="65" fillId="0" borderId="228" applyNumberFormat="0" applyFill="0" applyAlignment="0" applyProtection="0"/>
    <xf numFmtId="0" fontId="62" fillId="55" borderId="234" applyNumberFormat="0" applyAlignment="0" applyProtection="0"/>
    <xf numFmtId="0" fontId="34" fillId="0" borderId="230" applyNumberFormat="0" applyFill="0" applyAlignment="0" applyProtection="0"/>
    <xf numFmtId="4" fontId="34" fillId="0" borderId="230">
      <alignment horizontal="right" vertical="center"/>
    </xf>
    <xf numFmtId="0" fontId="34" fillId="0" borderId="230">
      <alignment horizontal="right" vertical="center"/>
    </xf>
    <xf numFmtId="0" fontId="58" fillId="42" borderId="227" applyNumberFormat="0" applyAlignment="0" applyProtection="0"/>
    <xf numFmtId="0" fontId="43" fillId="55" borderId="234" applyNumberFormat="0" applyAlignment="0" applyProtection="0"/>
    <xf numFmtId="0" fontId="45" fillId="55" borderId="227" applyNumberFormat="0" applyAlignment="0" applyProtection="0"/>
    <xf numFmtId="0" fontId="34" fillId="33" borderId="233">
      <alignment horizontal="left" vertical="center" wrapText="1" indent="2"/>
    </xf>
    <xf numFmtId="0" fontId="46" fillId="55" borderId="227" applyNumberFormat="0" applyAlignment="0" applyProtection="0"/>
    <xf numFmtId="0" fontId="46" fillId="55" borderId="227" applyNumberFormat="0" applyAlignment="0" applyProtection="0"/>
    <xf numFmtId="4" fontId="32" fillId="33" borderId="231">
      <alignment horizontal="right" vertical="center"/>
    </xf>
    <xf numFmtId="0" fontId="32" fillId="33" borderId="231">
      <alignment horizontal="right" vertical="center"/>
    </xf>
    <xf numFmtId="0" fontId="32" fillId="33" borderId="230">
      <alignment horizontal="right" vertical="center"/>
    </xf>
    <xf numFmtId="4" fontId="36" fillId="31" borderId="230">
      <alignment horizontal="right" vertical="center"/>
    </xf>
    <xf numFmtId="0" fontId="49" fillId="42" borderId="227" applyNumberFormat="0" applyAlignment="0" applyProtection="0"/>
    <xf numFmtId="0" fontId="50" fillId="0" borderId="228" applyNumberFormat="0" applyFill="0" applyAlignment="0" applyProtection="0"/>
    <xf numFmtId="0" fontId="65" fillId="0" borderId="228" applyNumberFormat="0" applyFill="0" applyAlignment="0" applyProtection="0"/>
    <xf numFmtId="0" fontId="40" fillId="58" borderId="229" applyNumberFormat="0" applyFont="0" applyAlignment="0" applyProtection="0"/>
    <xf numFmtId="0" fontId="58" fillId="42" borderId="227" applyNumberFormat="0" applyAlignment="0" applyProtection="0"/>
    <xf numFmtId="49" fontId="33" fillId="0" borderId="230" applyNumberFormat="0" applyFill="0" applyBorder="0" applyProtection="0">
      <alignment horizontal="left" vertical="center"/>
    </xf>
    <xf numFmtId="0" fontId="34" fillId="33" borderId="233">
      <alignment horizontal="left" vertical="center" wrapText="1" indent="2"/>
    </xf>
    <xf numFmtId="0" fontId="46" fillId="55" borderId="227" applyNumberFormat="0" applyAlignment="0" applyProtection="0"/>
    <xf numFmtId="0" fontId="34" fillId="0" borderId="233">
      <alignment horizontal="left" vertical="center" wrapText="1" indent="2"/>
    </xf>
    <xf numFmtId="0" fontId="40" fillId="58" borderId="229" applyNumberFormat="0" applyFont="0" applyAlignment="0" applyProtection="0"/>
    <xf numFmtId="0" fontId="5" fillId="58" borderId="229" applyNumberFormat="0" applyFont="0" applyAlignment="0" applyProtection="0"/>
    <xf numFmtId="0" fontId="62" fillId="55" borderId="234" applyNumberFormat="0" applyAlignment="0" applyProtection="0"/>
    <xf numFmtId="0" fontId="65" fillId="0" borderId="228" applyNumberFormat="0" applyFill="0" applyAlignment="0" applyProtection="0"/>
    <xf numFmtId="4" fontId="34" fillId="32" borderId="230"/>
    <xf numFmtId="0" fontId="32" fillId="33" borderId="230">
      <alignment horizontal="right" vertical="center"/>
    </xf>
    <xf numFmtId="0" fontId="65" fillId="0" borderId="228" applyNumberFormat="0" applyFill="0" applyAlignment="0" applyProtection="0"/>
    <xf numFmtId="4" fontId="32" fillId="33" borderId="232">
      <alignment horizontal="right" vertical="center"/>
    </xf>
    <xf numFmtId="0" fontId="45" fillId="55" borderId="227" applyNumberFormat="0" applyAlignment="0" applyProtection="0"/>
    <xf numFmtId="0" fontId="32" fillId="33" borderId="231">
      <alignment horizontal="right" vertical="center"/>
    </xf>
    <xf numFmtId="0" fontId="46" fillId="55" borderId="227" applyNumberFormat="0" applyAlignment="0" applyProtection="0"/>
    <xf numFmtId="0" fontId="50" fillId="0" borderId="228" applyNumberFormat="0" applyFill="0" applyAlignment="0" applyProtection="0"/>
    <xf numFmtId="0" fontId="40" fillId="58" borderId="229" applyNumberFormat="0" applyFont="0" applyAlignment="0" applyProtection="0"/>
    <xf numFmtId="4" fontId="32" fillId="33" borderId="231">
      <alignment horizontal="right" vertical="center"/>
    </xf>
    <xf numFmtId="0" fontId="34" fillId="33" borderId="233">
      <alignment horizontal="left" vertical="center" wrapText="1" indent="2"/>
    </xf>
    <xf numFmtId="0" fontId="34" fillId="32" borderId="230"/>
    <xf numFmtId="173" fontId="34" fillId="59" borderId="230" applyNumberFormat="0" applyFont="0" applyBorder="0" applyAlignment="0" applyProtection="0">
      <alignment horizontal="right" vertical="center"/>
    </xf>
    <xf numFmtId="0" fontId="34" fillId="0" borderId="230" applyNumberFormat="0" applyFill="0" applyAlignment="0" applyProtection="0"/>
    <xf numFmtId="4" fontId="34" fillId="0" borderId="230" applyFill="0" applyBorder="0" applyProtection="0">
      <alignment horizontal="right" vertical="center"/>
    </xf>
    <xf numFmtId="4" fontId="32" fillId="31" borderId="230">
      <alignment horizontal="right" vertical="center"/>
    </xf>
    <xf numFmtId="0" fontId="50" fillId="0" borderId="228" applyNumberFormat="0" applyFill="0" applyAlignment="0" applyProtection="0"/>
    <xf numFmtId="49" fontId="33" fillId="0" borderId="230" applyNumberFormat="0" applyFill="0" applyBorder="0" applyProtection="0">
      <alignment horizontal="left" vertical="center"/>
    </xf>
    <xf numFmtId="49" fontId="34" fillId="0" borderId="231" applyNumberFormat="0" applyFont="0" applyFill="0" applyBorder="0" applyProtection="0">
      <alignment horizontal="left" vertical="center" indent="5"/>
    </xf>
    <xf numFmtId="0" fontId="34" fillId="31" borderId="231">
      <alignment horizontal="left" vertical="center"/>
    </xf>
    <xf numFmtId="0" fontId="46" fillId="55" borderId="227" applyNumberFormat="0" applyAlignment="0" applyProtection="0"/>
    <xf numFmtId="4" fontId="32" fillId="33" borderId="232">
      <alignment horizontal="right" vertical="center"/>
    </xf>
    <xf numFmtId="0" fontId="58" fillId="42" borderId="227" applyNumberFormat="0" applyAlignment="0" applyProtection="0"/>
    <xf numFmtId="0" fontId="58" fillId="42" borderId="227" applyNumberFormat="0" applyAlignment="0" applyProtection="0"/>
    <xf numFmtId="0" fontId="40" fillId="58" borderId="229" applyNumberFormat="0" applyFont="0" applyAlignment="0" applyProtection="0"/>
    <xf numFmtId="0" fontId="62" fillId="55" borderId="234" applyNumberFormat="0" applyAlignment="0" applyProtection="0"/>
    <xf numFmtId="0" fontId="65" fillId="0" borderId="228" applyNumberFormat="0" applyFill="0" applyAlignment="0" applyProtection="0"/>
    <xf numFmtId="0" fontId="32" fillId="33" borderId="230">
      <alignment horizontal="right" vertical="center"/>
    </xf>
    <xf numFmtId="0" fontId="5" fillId="58" borderId="229" applyNumberFormat="0" applyFont="0" applyAlignment="0" applyProtection="0"/>
    <xf numFmtId="4" fontId="34" fillId="0" borderId="230">
      <alignment horizontal="right" vertical="center"/>
    </xf>
    <xf numFmtId="0" fontId="65" fillId="0" borderId="228" applyNumberFormat="0" applyFill="0" applyAlignment="0" applyProtection="0"/>
    <xf numFmtId="0" fontId="32" fillId="33" borderId="230">
      <alignment horizontal="right" vertical="center"/>
    </xf>
    <xf numFmtId="0" fontId="32" fillId="33" borderId="230">
      <alignment horizontal="right" vertical="center"/>
    </xf>
    <xf numFmtId="4" fontId="36" fillId="31" borderId="230">
      <alignment horizontal="right" vertical="center"/>
    </xf>
    <xf numFmtId="0" fontId="32" fillId="31" borderId="230">
      <alignment horizontal="right" vertical="center"/>
    </xf>
    <xf numFmtId="4" fontId="32" fillId="31" borderId="230">
      <alignment horizontal="right" vertical="center"/>
    </xf>
    <xf numFmtId="0" fontId="36" fillId="31" borderId="230">
      <alignment horizontal="right" vertical="center"/>
    </xf>
    <xf numFmtId="4" fontId="36" fillId="31" borderId="230">
      <alignment horizontal="right" vertical="center"/>
    </xf>
    <xf numFmtId="0" fontId="32" fillId="33" borderId="230">
      <alignment horizontal="right" vertical="center"/>
    </xf>
    <xf numFmtId="4" fontId="32" fillId="33" borderId="230">
      <alignment horizontal="right" vertical="center"/>
    </xf>
    <xf numFmtId="0" fontId="32" fillId="33" borderId="230">
      <alignment horizontal="right" vertical="center"/>
    </xf>
    <xf numFmtId="4" fontId="32" fillId="33" borderId="230">
      <alignment horizontal="right" vertical="center"/>
    </xf>
    <xf numFmtId="0" fontId="32" fillId="33" borderId="231">
      <alignment horizontal="right" vertical="center"/>
    </xf>
    <xf numFmtId="4" fontId="32" fillId="33" borderId="231">
      <alignment horizontal="right" vertical="center"/>
    </xf>
    <xf numFmtId="0" fontId="32" fillId="33" borderId="232">
      <alignment horizontal="right" vertical="center"/>
    </xf>
    <xf numFmtId="4" fontId="32" fillId="33" borderId="232">
      <alignment horizontal="right" vertical="center"/>
    </xf>
    <xf numFmtId="0" fontId="46" fillId="55" borderId="227" applyNumberFormat="0" applyAlignment="0" applyProtection="0"/>
    <xf numFmtId="0" fontId="34" fillId="33" borderId="233">
      <alignment horizontal="left" vertical="center" wrapText="1" indent="2"/>
    </xf>
    <xf numFmtId="0" fontId="34" fillId="0" borderId="233">
      <alignment horizontal="left" vertical="center" wrapText="1" indent="2"/>
    </xf>
    <xf numFmtId="0" fontId="34" fillId="31" borderId="231">
      <alignment horizontal="left" vertical="center"/>
    </xf>
    <xf numFmtId="0" fontId="58" fillId="42" borderId="227" applyNumberFormat="0" applyAlignment="0" applyProtection="0"/>
    <xf numFmtId="0" fontId="34" fillId="0" borderId="230">
      <alignment horizontal="right" vertical="center"/>
    </xf>
    <xf numFmtId="4" fontId="34" fillId="0" borderId="230">
      <alignment horizontal="right" vertical="center"/>
    </xf>
    <xf numFmtId="0" fontId="34" fillId="0" borderId="230" applyNumberFormat="0" applyFill="0" applyAlignment="0" applyProtection="0"/>
    <xf numFmtId="0" fontId="62" fillId="55" borderId="234" applyNumberFormat="0" applyAlignment="0" applyProtection="0"/>
    <xf numFmtId="173" fontId="34" fillId="59" borderId="230" applyNumberFormat="0" applyFont="0" applyBorder="0" applyAlignment="0" applyProtection="0">
      <alignment horizontal="right" vertical="center"/>
    </xf>
    <xf numFmtId="0" fontId="34" fillId="32" borderId="230"/>
    <xf numFmtId="4" fontId="34" fillId="32" borderId="230"/>
    <xf numFmtId="0" fontId="65" fillId="0" borderId="228" applyNumberFormat="0" applyFill="0" applyAlignment="0" applyProtection="0"/>
    <xf numFmtId="0" fontId="5" fillId="58" borderId="229" applyNumberFormat="0" applyFont="0" applyAlignment="0" applyProtection="0"/>
    <xf numFmtId="0" fontId="40" fillId="58" borderId="229" applyNumberFormat="0" applyFont="0" applyAlignment="0" applyProtection="0"/>
    <xf numFmtId="0" fontId="34" fillId="0" borderId="230" applyNumberFormat="0" applyFill="0" applyAlignment="0" applyProtection="0"/>
    <xf numFmtId="0" fontId="50" fillId="0" borderId="228" applyNumberFormat="0" applyFill="0" applyAlignment="0" applyProtection="0"/>
    <xf numFmtId="0" fontId="65" fillId="0" borderId="228" applyNumberFormat="0" applyFill="0" applyAlignment="0" applyProtection="0"/>
    <xf numFmtId="0" fontId="49" fillId="42" borderId="227" applyNumberFormat="0" applyAlignment="0" applyProtection="0"/>
    <xf numFmtId="0" fontId="46" fillId="55" borderId="227" applyNumberFormat="0" applyAlignment="0" applyProtection="0"/>
    <xf numFmtId="4" fontId="36" fillId="31" borderId="230">
      <alignment horizontal="right" vertical="center"/>
    </xf>
    <xf numFmtId="0" fontId="32" fillId="31" borderId="230">
      <alignment horizontal="right" vertical="center"/>
    </xf>
    <xf numFmtId="173" fontId="34" fillId="59" borderId="230" applyNumberFormat="0" applyFont="0" applyBorder="0" applyAlignment="0" applyProtection="0">
      <alignment horizontal="right" vertical="center"/>
    </xf>
    <xf numFmtId="0" fontId="50" fillId="0" borderId="228" applyNumberFormat="0" applyFill="0" applyAlignment="0" applyProtection="0"/>
    <xf numFmtId="49" fontId="34" fillId="0" borderId="230" applyNumberFormat="0" applyFont="0" applyFill="0" applyBorder="0" applyProtection="0">
      <alignment horizontal="left" vertical="center" indent="2"/>
    </xf>
    <xf numFmtId="49" fontId="34" fillId="0" borderId="231" applyNumberFormat="0" applyFont="0" applyFill="0" applyBorder="0" applyProtection="0">
      <alignment horizontal="left" vertical="center" indent="5"/>
    </xf>
    <xf numFmtId="49" fontId="34" fillId="0" borderId="230" applyNumberFormat="0" applyFont="0" applyFill="0" applyBorder="0" applyProtection="0">
      <alignment horizontal="left" vertical="center" indent="2"/>
    </xf>
    <xf numFmtId="4" fontId="34" fillId="0" borderId="230" applyFill="0" applyBorder="0" applyProtection="0">
      <alignment horizontal="right" vertical="center"/>
    </xf>
    <xf numFmtId="49" fontId="33" fillId="0" borderId="230" applyNumberFormat="0" applyFill="0" applyBorder="0" applyProtection="0">
      <alignment horizontal="left" vertical="center"/>
    </xf>
    <xf numFmtId="0" fontId="34" fillId="0" borderId="233">
      <alignment horizontal="left" vertical="center" wrapText="1" indent="2"/>
    </xf>
    <xf numFmtId="0" fontId="62" fillId="55" borderId="234" applyNumberFormat="0" applyAlignment="0" applyProtection="0"/>
    <xf numFmtId="0" fontId="32" fillId="33" borderId="232">
      <alignment horizontal="right" vertical="center"/>
    </xf>
    <xf numFmtId="0" fontId="49" fillId="42" borderId="227" applyNumberFormat="0" applyAlignment="0" applyProtection="0"/>
    <xf numFmtId="0" fontId="32" fillId="33" borderId="232">
      <alignment horizontal="right" vertical="center"/>
    </xf>
    <xf numFmtId="4" fontId="32" fillId="33" borderId="230">
      <alignment horizontal="right" vertical="center"/>
    </xf>
    <xf numFmtId="0" fontId="32" fillId="33" borderId="230">
      <alignment horizontal="right" vertical="center"/>
    </xf>
    <xf numFmtId="0" fontId="43" fillId="55" borderId="234" applyNumberFormat="0" applyAlignment="0" applyProtection="0"/>
    <xf numFmtId="0" fontId="45" fillId="55" borderId="227" applyNumberFormat="0" applyAlignment="0" applyProtection="0"/>
    <xf numFmtId="0" fontId="50" fillId="0" borderId="228" applyNumberFormat="0" applyFill="0" applyAlignment="0" applyProtection="0"/>
    <xf numFmtId="0" fontId="34" fillId="32" borderId="230"/>
    <xf numFmtId="4" fontId="34" fillId="32" borderId="230"/>
    <xf numFmtId="4" fontId="32" fillId="33" borderId="230">
      <alignment horizontal="right" vertical="center"/>
    </xf>
    <xf numFmtId="0" fontId="36" fillId="31" borderId="230">
      <alignment horizontal="right" vertical="center"/>
    </xf>
    <xf numFmtId="0" fontId="49" fillId="42" borderId="227" applyNumberFormat="0" applyAlignment="0" applyProtection="0"/>
    <xf numFmtId="0" fontId="46" fillId="55" borderId="227" applyNumberFormat="0" applyAlignment="0" applyProtection="0"/>
    <xf numFmtId="4" fontId="34" fillId="0" borderId="230">
      <alignment horizontal="right" vertical="center"/>
    </xf>
    <xf numFmtId="0" fontId="34" fillId="33" borderId="233">
      <alignment horizontal="left" vertical="center" wrapText="1" indent="2"/>
    </xf>
    <xf numFmtId="0" fontId="34" fillId="0" borderId="233">
      <alignment horizontal="left" vertical="center" wrapText="1" indent="2"/>
    </xf>
    <xf numFmtId="0" fontId="62" fillId="55" borderId="234" applyNumberFormat="0" applyAlignment="0" applyProtection="0"/>
    <xf numFmtId="0" fontId="58" fillId="42" borderId="227" applyNumberFormat="0" applyAlignment="0" applyProtection="0"/>
    <xf numFmtId="0" fontId="45" fillId="55" borderId="227" applyNumberFormat="0" applyAlignment="0" applyProtection="0"/>
    <xf numFmtId="0" fontId="43" fillId="55" borderId="234" applyNumberFormat="0" applyAlignment="0" applyProtection="0"/>
    <xf numFmtId="0" fontId="32" fillId="33" borderId="232">
      <alignment horizontal="right" vertical="center"/>
    </xf>
    <xf numFmtId="0" fontId="36" fillId="31" borderId="230">
      <alignment horizontal="right" vertical="center"/>
    </xf>
    <xf numFmtId="4" fontId="32" fillId="31" borderId="230">
      <alignment horizontal="right" vertical="center"/>
    </xf>
    <xf numFmtId="4" fontId="32" fillId="33" borderId="230">
      <alignment horizontal="right" vertical="center"/>
    </xf>
    <xf numFmtId="49" fontId="34" fillId="0" borderId="231" applyNumberFormat="0" applyFont="0" applyFill="0" applyBorder="0" applyProtection="0">
      <alignment horizontal="left" vertical="center" indent="5"/>
    </xf>
    <xf numFmtId="4" fontId="34" fillId="0" borderId="230" applyFill="0" applyBorder="0" applyProtection="0">
      <alignment horizontal="right" vertical="center"/>
    </xf>
    <xf numFmtId="4" fontId="32" fillId="31" borderId="230">
      <alignment horizontal="right" vertical="center"/>
    </xf>
    <xf numFmtId="0" fontId="58" fillId="42" borderId="227" applyNumberFormat="0" applyAlignment="0" applyProtection="0"/>
    <xf numFmtId="0" fontId="49" fillId="42" borderId="227" applyNumberFormat="0" applyAlignment="0" applyProtection="0"/>
    <xf numFmtId="0" fontId="45" fillId="55" borderId="227" applyNumberFormat="0" applyAlignment="0" applyProtection="0"/>
    <xf numFmtId="0" fontId="34" fillId="33" borderId="233">
      <alignment horizontal="left" vertical="center" wrapText="1" indent="2"/>
    </xf>
    <xf numFmtId="0" fontId="34" fillId="0" borderId="233">
      <alignment horizontal="left" vertical="center" wrapText="1" indent="2"/>
    </xf>
    <xf numFmtId="0" fontId="34" fillId="33" borderId="233">
      <alignment horizontal="left" vertical="center" wrapText="1" indent="2"/>
    </xf>
    <xf numFmtId="0" fontId="34" fillId="33" borderId="271">
      <alignment horizontal="left" vertical="center" wrapText="1" indent="2"/>
    </xf>
    <xf numFmtId="4" fontId="36" fillId="31" borderId="239">
      <alignment horizontal="right" vertical="center"/>
    </xf>
    <xf numFmtId="4" fontId="32" fillId="33" borderId="239">
      <alignment horizontal="right" vertical="center"/>
    </xf>
    <xf numFmtId="0" fontId="46" fillId="55" borderId="236" applyNumberFormat="0" applyAlignment="0" applyProtection="0"/>
    <xf numFmtId="0" fontId="65" fillId="0" borderId="237" applyNumberFormat="0" applyFill="0" applyAlignment="0" applyProtection="0"/>
    <xf numFmtId="4" fontId="32" fillId="33" borderId="239">
      <alignment horizontal="right" vertical="center"/>
    </xf>
    <xf numFmtId="4" fontId="36" fillId="31" borderId="239">
      <alignment horizontal="right" vertical="center"/>
    </xf>
    <xf numFmtId="0" fontId="46" fillId="55" borderId="251" applyNumberFormat="0" applyAlignment="0" applyProtection="0"/>
    <xf numFmtId="0" fontId="50" fillId="0" borderId="237" applyNumberFormat="0" applyFill="0" applyAlignment="0" applyProtection="0"/>
    <xf numFmtId="0" fontId="49" fillId="42" borderId="236" applyNumberFormat="0" applyAlignment="0" applyProtection="0"/>
    <xf numFmtId="0" fontId="62" fillId="55" borderId="235" applyNumberFormat="0" applyAlignment="0" applyProtection="0"/>
    <xf numFmtId="0" fontId="43" fillId="55" borderId="235" applyNumberFormat="0" applyAlignment="0" applyProtection="0"/>
    <xf numFmtId="0" fontId="5" fillId="58" borderId="243" applyNumberFormat="0" applyFont="0" applyAlignment="0" applyProtection="0"/>
    <xf numFmtId="0" fontId="34" fillId="0" borderId="247">
      <alignment horizontal="left" vertical="center" wrapText="1" indent="2"/>
    </xf>
    <xf numFmtId="0" fontId="2" fillId="0" borderId="12" applyNumberFormat="0" applyFill="0" applyAlignment="0" applyProtection="0"/>
    <xf numFmtId="0" fontId="46" fillId="55" borderId="236" applyNumberFormat="0" applyAlignment="0" applyProtection="0"/>
    <xf numFmtId="0" fontId="34" fillId="0" borderId="247">
      <alignment horizontal="left" vertical="center" wrapText="1" indent="2"/>
    </xf>
    <xf numFmtId="0" fontId="34" fillId="33" borderId="247">
      <alignment horizontal="left" vertical="center" wrapText="1" indent="2"/>
    </xf>
    <xf numFmtId="0" fontId="32" fillId="33" borderId="244">
      <alignment horizontal="right" vertical="center"/>
    </xf>
    <xf numFmtId="0" fontId="50" fillId="0" borderId="237" applyNumberFormat="0" applyFill="0" applyAlignment="0" applyProtection="0"/>
    <xf numFmtId="0" fontId="62" fillId="55" borderId="235" applyNumberFormat="0" applyAlignment="0" applyProtection="0"/>
    <xf numFmtId="4" fontId="34" fillId="0" borderId="239" applyFill="0" applyBorder="0" applyProtection="0">
      <alignment horizontal="right" vertical="center"/>
    </xf>
    <xf numFmtId="0" fontId="45" fillId="55" borderId="236" applyNumberFormat="0" applyAlignment="0" applyProtection="0"/>
    <xf numFmtId="0" fontId="62" fillId="55" borderId="235" applyNumberFormat="0" applyAlignment="0" applyProtection="0"/>
    <xf numFmtId="0" fontId="34" fillId="33" borderId="242">
      <alignment horizontal="left" vertical="center" wrapText="1" indent="2"/>
    </xf>
    <xf numFmtId="0" fontId="58" fillId="42" borderId="236" applyNumberFormat="0" applyAlignment="0" applyProtection="0"/>
    <xf numFmtId="0" fontId="5" fillId="58" borderId="238" applyNumberFormat="0" applyFont="0" applyAlignment="0" applyProtection="0"/>
    <xf numFmtId="4" fontId="36" fillId="31" borderId="239">
      <alignment horizontal="right" vertical="center"/>
    </xf>
    <xf numFmtId="0" fontId="32" fillId="33" borderId="239">
      <alignment horizontal="right" vertical="center"/>
    </xf>
    <xf numFmtId="0" fontId="49" fillId="42" borderId="236" applyNumberFormat="0" applyAlignment="0" applyProtection="0"/>
    <xf numFmtId="173" fontId="34" fillId="59" borderId="239" applyNumberFormat="0" applyFont="0" applyBorder="0" applyAlignment="0" applyProtection="0">
      <alignment horizontal="right" vertical="center"/>
    </xf>
    <xf numFmtId="49" fontId="34" fillId="0" borderId="239" applyNumberFormat="0" applyFont="0" applyFill="0" applyBorder="0" applyProtection="0">
      <alignment horizontal="left" vertical="center" indent="2"/>
    </xf>
    <xf numFmtId="4" fontId="32" fillId="33" borderId="244">
      <alignment horizontal="right" vertical="center"/>
    </xf>
    <xf numFmtId="0" fontId="34" fillId="33" borderId="263">
      <alignment horizontal="left" vertical="center" wrapText="1" indent="2"/>
    </xf>
    <xf numFmtId="0" fontId="49" fillId="42" borderId="251" applyNumberFormat="0" applyAlignment="0" applyProtection="0"/>
    <xf numFmtId="49" fontId="33" fillId="0" borderId="254" applyNumberFormat="0" applyFill="0" applyBorder="0" applyProtection="0">
      <alignment horizontal="left" vertical="center"/>
    </xf>
    <xf numFmtId="0" fontId="34" fillId="32" borderId="239"/>
    <xf numFmtId="0" fontId="34" fillId="0" borderId="239">
      <alignment horizontal="right" vertical="center"/>
    </xf>
    <xf numFmtId="0" fontId="65" fillId="0" borderId="250" applyNumberFormat="0" applyFill="0" applyAlignment="0" applyProtection="0"/>
    <xf numFmtId="0" fontId="32" fillId="33" borderId="256">
      <alignment horizontal="right" vertical="center"/>
    </xf>
    <xf numFmtId="0" fontId="34" fillId="31" borderId="269">
      <alignment horizontal="left" vertical="center"/>
    </xf>
    <xf numFmtId="0" fontId="43" fillId="55" borderId="272" applyNumberFormat="0" applyAlignment="0" applyProtection="0"/>
    <xf numFmtId="0" fontId="12" fillId="18" borderId="0" applyNumberFormat="0" applyBorder="0" applyAlignment="0" applyProtection="0"/>
    <xf numFmtId="4" fontId="36" fillId="31" borderId="244">
      <alignment horizontal="right" vertical="center"/>
    </xf>
    <xf numFmtId="0" fontId="26" fillId="26" borderId="0" applyNumberFormat="0" applyBorder="0" applyAlignment="0" applyProtection="0"/>
    <xf numFmtId="0" fontId="26" fillId="17" borderId="0" applyNumberFormat="0" applyBorder="0" applyAlignment="0" applyProtection="0"/>
    <xf numFmtId="0" fontId="58" fillId="42" borderId="265" applyNumberFormat="0" applyAlignment="0" applyProtection="0"/>
    <xf numFmtId="4" fontId="34" fillId="0" borderId="244">
      <alignment horizontal="right" vertical="center"/>
    </xf>
    <xf numFmtId="0" fontId="58" fillId="42" borderId="249" applyNumberFormat="0" applyAlignment="0" applyProtection="0"/>
    <xf numFmtId="0" fontId="32" fillId="31" borderId="254">
      <alignment horizontal="right" vertical="center"/>
    </xf>
    <xf numFmtId="0" fontId="26" fillId="29" borderId="0" applyNumberFormat="0" applyBorder="0" applyAlignment="0" applyProtection="0"/>
    <xf numFmtId="4" fontId="32" fillId="33" borderId="239">
      <alignment horizontal="right" vertical="center"/>
    </xf>
    <xf numFmtId="0" fontId="43" fillId="55" borderId="258" applyNumberFormat="0" applyAlignment="0" applyProtection="0"/>
    <xf numFmtId="0" fontId="34" fillId="33" borderId="271">
      <alignment horizontal="left" vertical="center" wrapText="1" indent="2"/>
    </xf>
    <xf numFmtId="0" fontId="49" fillId="42" borderId="249" applyNumberFormat="0" applyAlignment="0" applyProtection="0"/>
    <xf numFmtId="0" fontId="65" fillId="0" borderId="276" applyNumberFormat="0" applyFill="0" applyAlignment="0" applyProtection="0"/>
    <xf numFmtId="0" fontId="34" fillId="32" borderId="268"/>
    <xf numFmtId="0" fontId="49" fillId="42" borderId="251" applyNumberFormat="0" applyAlignment="0" applyProtection="0"/>
    <xf numFmtId="0" fontId="34" fillId="0" borderId="244" applyNumberFormat="0" applyFill="0" applyAlignment="0" applyProtection="0"/>
    <xf numFmtId="49" fontId="33" fillId="0" borderId="244" applyNumberFormat="0" applyFill="0" applyBorder="0" applyProtection="0">
      <alignment horizontal="left" vertical="center"/>
    </xf>
    <xf numFmtId="0" fontId="32" fillId="33" borderId="254">
      <alignment horizontal="right" vertical="center"/>
    </xf>
    <xf numFmtId="0" fontId="50" fillId="0" borderId="237" applyNumberFormat="0" applyFill="0" applyAlignment="0" applyProtection="0"/>
    <xf numFmtId="0" fontId="34" fillId="0" borderId="242">
      <alignment horizontal="left" vertical="center" wrapText="1" indent="2"/>
    </xf>
    <xf numFmtId="0" fontId="32" fillId="33" borderId="256">
      <alignment horizontal="right" vertical="center"/>
    </xf>
    <xf numFmtId="0" fontId="26" fillId="20" borderId="0" applyNumberFormat="0" applyBorder="0" applyAlignment="0" applyProtection="0"/>
    <xf numFmtId="0" fontId="65" fillId="0" borderId="237" applyNumberFormat="0" applyFill="0" applyAlignment="0" applyProtection="0"/>
    <xf numFmtId="4" fontId="32" fillId="33" borderId="261">
      <alignment horizontal="right" vertical="center"/>
    </xf>
    <xf numFmtId="0" fontId="2" fillId="0" borderId="12" applyNumberFormat="0" applyFill="0" applyAlignment="0" applyProtection="0"/>
    <xf numFmtId="0" fontId="32" fillId="33" borderId="244">
      <alignment horizontal="right" vertical="center"/>
    </xf>
    <xf numFmtId="0" fontId="62" fillId="55" borderId="248" applyNumberFormat="0" applyAlignment="0" applyProtection="0"/>
    <xf numFmtId="0" fontId="62" fillId="55" borderId="235" applyNumberFormat="0" applyAlignment="0" applyProtection="0"/>
    <xf numFmtId="173" fontId="34" fillId="59" borderId="239" applyNumberFormat="0" applyFont="0" applyBorder="0" applyAlignment="0" applyProtection="0">
      <alignment horizontal="right" vertical="center"/>
    </xf>
    <xf numFmtId="0" fontId="58" fillId="42" borderId="249" applyNumberFormat="0" applyAlignment="0" applyProtection="0"/>
    <xf numFmtId="0" fontId="12" fillId="27" borderId="0" applyNumberFormat="0" applyBorder="0" applyAlignment="0" applyProtection="0"/>
    <xf numFmtId="0" fontId="34" fillId="0" borderId="268">
      <alignment horizontal="right" vertical="center"/>
    </xf>
    <xf numFmtId="0" fontId="12" fillId="15" borderId="0" applyNumberFormat="0" applyBorder="0" applyAlignment="0" applyProtection="0"/>
    <xf numFmtId="0" fontId="50" fillId="0" borderId="250" applyNumberFormat="0" applyFill="0" applyAlignment="0" applyProtection="0"/>
    <xf numFmtId="0" fontId="36" fillId="31" borderId="254">
      <alignment horizontal="right" vertical="center"/>
    </xf>
    <xf numFmtId="0" fontId="65" fillId="0" borderId="250" applyNumberFormat="0" applyFill="0" applyAlignment="0" applyProtection="0"/>
    <xf numFmtId="0" fontId="26" fillId="28" borderId="0" applyNumberFormat="0" applyBorder="0" applyAlignment="0" applyProtection="0"/>
    <xf numFmtId="0" fontId="58" fillId="42" borderId="251" applyNumberFormat="0" applyAlignment="0" applyProtection="0"/>
    <xf numFmtId="0" fontId="26" fillId="20" borderId="0" applyNumberFormat="0" applyBorder="0" applyAlignment="0" applyProtection="0"/>
    <xf numFmtId="49" fontId="34" fillId="0" borderId="239" applyNumberFormat="0" applyFont="0" applyFill="0" applyBorder="0" applyProtection="0">
      <alignment horizontal="left" vertical="center" indent="2"/>
    </xf>
    <xf numFmtId="4" fontId="34" fillId="0" borderId="239" applyFill="0" applyBorder="0" applyProtection="0">
      <alignment horizontal="right" vertical="center"/>
    </xf>
    <xf numFmtId="4" fontId="32" fillId="31" borderId="239">
      <alignment horizontal="right" vertical="center"/>
    </xf>
    <xf numFmtId="4" fontId="34" fillId="32" borderId="254"/>
    <xf numFmtId="0" fontId="26" fillId="25" borderId="0" applyNumberFormat="0" applyBorder="0" applyAlignment="0" applyProtection="0"/>
    <xf numFmtId="4" fontId="32" fillId="31" borderId="244">
      <alignment horizontal="right" vertical="center"/>
    </xf>
    <xf numFmtId="4" fontId="34" fillId="32" borderId="239"/>
    <xf numFmtId="4" fontId="34" fillId="0" borderId="268" applyFill="0" applyBorder="0" applyProtection="0">
      <alignment horizontal="right" vertical="center"/>
    </xf>
    <xf numFmtId="4" fontId="34" fillId="0" borderId="254" applyFill="0" applyBorder="0" applyProtection="0">
      <alignment horizontal="right" vertical="center"/>
    </xf>
    <xf numFmtId="4" fontId="34" fillId="0" borderId="260" applyFill="0" applyBorder="0" applyProtection="0">
      <alignment horizontal="right" vertical="center"/>
    </xf>
    <xf numFmtId="0" fontId="26" fillId="20" borderId="0" applyNumberFormat="0" applyBorder="0" applyAlignment="0" applyProtection="0"/>
    <xf numFmtId="0" fontId="32" fillId="33" borderId="241">
      <alignment horizontal="right" vertical="center"/>
    </xf>
    <xf numFmtId="4" fontId="32" fillId="33" borderId="268">
      <alignment horizontal="right" vertical="center"/>
    </xf>
    <xf numFmtId="0" fontId="40" fillId="58" borderId="238" applyNumberFormat="0" applyFont="0" applyAlignment="0" applyProtection="0"/>
    <xf numFmtId="4" fontId="32" fillId="33" borderId="260">
      <alignment horizontal="right" vertical="center"/>
    </xf>
    <xf numFmtId="0" fontId="34" fillId="0" borderId="239">
      <alignment horizontal="right" vertical="center"/>
    </xf>
    <xf numFmtId="4" fontId="34" fillId="32" borderId="239"/>
    <xf numFmtId="0" fontId="40" fillId="58" borderId="238" applyNumberFormat="0" applyFont="0" applyAlignment="0" applyProtection="0"/>
    <xf numFmtId="4" fontId="32" fillId="33" borderId="239">
      <alignment horizontal="right" vertical="center"/>
    </xf>
    <xf numFmtId="0" fontId="62" fillId="55" borderId="248" applyNumberFormat="0" applyAlignment="0" applyProtection="0"/>
    <xf numFmtId="4" fontId="32" fillId="33" borderId="244">
      <alignment horizontal="right" vertical="center"/>
    </xf>
    <xf numFmtId="0" fontId="43" fillId="55" borderId="248" applyNumberFormat="0" applyAlignment="0" applyProtection="0"/>
    <xf numFmtId="0" fontId="32" fillId="33" borderId="245">
      <alignment horizontal="right" vertical="center"/>
    </xf>
    <xf numFmtId="0" fontId="62" fillId="55" borderId="235" applyNumberFormat="0" applyAlignment="0" applyProtection="0"/>
    <xf numFmtId="49" fontId="34" fillId="0" borderId="240" applyNumberFormat="0" applyFont="0" applyFill="0" applyBorder="0" applyProtection="0">
      <alignment horizontal="left" vertical="center" indent="5"/>
    </xf>
    <xf numFmtId="0" fontId="58" fillId="42" borderId="249" applyNumberFormat="0" applyAlignment="0" applyProtection="0"/>
    <xf numFmtId="49" fontId="34" fillId="0" borderId="240" applyNumberFormat="0" applyFont="0" applyFill="0" applyBorder="0" applyProtection="0">
      <alignment horizontal="left" vertical="center" indent="5"/>
    </xf>
    <xf numFmtId="4" fontId="34" fillId="0" borderId="254">
      <alignment horizontal="right" vertical="center"/>
    </xf>
    <xf numFmtId="0" fontId="32" fillId="31" borderId="244">
      <alignment horizontal="right" vertical="center"/>
    </xf>
    <xf numFmtId="0" fontId="32" fillId="31" borderId="239">
      <alignment horizontal="right" vertical="center"/>
    </xf>
    <xf numFmtId="0" fontId="40" fillId="58" borderId="267" applyNumberFormat="0" applyFont="0" applyAlignment="0" applyProtection="0"/>
    <xf numFmtId="0" fontId="58" fillId="42" borderId="236" applyNumberFormat="0" applyAlignment="0" applyProtection="0"/>
    <xf numFmtId="0" fontId="46" fillId="55" borderId="236" applyNumberFormat="0" applyAlignment="0" applyProtection="0"/>
    <xf numFmtId="0" fontId="34" fillId="33" borderId="242">
      <alignment horizontal="left" vertical="center" wrapText="1" indent="2"/>
    </xf>
    <xf numFmtId="4" fontId="32" fillId="33" borderId="260">
      <alignment horizontal="right" vertical="center"/>
    </xf>
    <xf numFmtId="0" fontId="50" fillId="0" borderId="237" applyNumberFormat="0" applyFill="0" applyAlignment="0" applyProtection="0"/>
    <xf numFmtId="0" fontId="34" fillId="33" borderId="263">
      <alignment horizontal="left" vertical="center" wrapText="1" indent="2"/>
    </xf>
    <xf numFmtId="0" fontId="50" fillId="0" borderId="250" applyNumberFormat="0" applyFill="0" applyAlignment="0" applyProtection="0"/>
    <xf numFmtId="4" fontId="34" fillId="32" borderId="254"/>
    <xf numFmtId="0" fontId="49" fillId="42" borderId="251" applyNumberFormat="0" applyAlignment="0" applyProtection="0"/>
    <xf numFmtId="0" fontId="45" fillId="55" borderId="236" applyNumberFormat="0" applyAlignment="0" applyProtection="0"/>
    <xf numFmtId="4" fontId="32" fillId="33" borderId="256">
      <alignment horizontal="right" vertical="center"/>
    </xf>
    <xf numFmtId="0" fontId="36" fillId="31" borderId="239">
      <alignment horizontal="right" vertical="center"/>
    </xf>
    <xf numFmtId="0" fontId="46" fillId="55" borderId="249" applyNumberFormat="0" applyAlignment="0" applyProtection="0"/>
    <xf numFmtId="0" fontId="26" fillId="19" borderId="0" applyNumberFormat="0" applyBorder="0" applyAlignment="0" applyProtection="0"/>
    <xf numFmtId="0" fontId="34" fillId="0" borderId="244">
      <alignment horizontal="right" vertical="center"/>
    </xf>
    <xf numFmtId="0" fontId="32" fillId="33" borderId="240">
      <alignment horizontal="right" vertical="center"/>
    </xf>
    <xf numFmtId="0" fontId="34" fillId="0" borderId="244">
      <alignment horizontal="right" vertical="center"/>
    </xf>
    <xf numFmtId="0" fontId="34" fillId="0" borderId="247">
      <alignment horizontal="left" vertical="center" wrapText="1" indent="2"/>
    </xf>
    <xf numFmtId="0" fontId="32" fillId="33" borderId="240">
      <alignment horizontal="right" vertical="center"/>
    </xf>
    <xf numFmtId="0" fontId="34" fillId="31" borderId="245">
      <alignment horizontal="left" vertical="center"/>
    </xf>
    <xf numFmtId="0" fontId="32" fillId="31" borderId="239">
      <alignment horizontal="right" vertical="center"/>
    </xf>
    <xf numFmtId="0" fontId="12" fillId="30" borderId="0" applyNumberFormat="0" applyBorder="0" applyAlignment="0" applyProtection="0"/>
    <xf numFmtId="0" fontId="34" fillId="32" borderId="239"/>
    <xf numFmtId="0" fontId="34" fillId="0" borderId="244" applyNumberFormat="0" applyFill="0" applyAlignment="0" applyProtection="0"/>
    <xf numFmtId="4" fontId="36" fillId="31" borderId="239">
      <alignment horizontal="right" vertical="center"/>
    </xf>
    <xf numFmtId="0" fontId="34" fillId="31" borderId="240">
      <alignment horizontal="left" vertical="center"/>
    </xf>
    <xf numFmtId="0" fontId="65" fillId="0" borderId="237" applyNumberFormat="0" applyFill="0" applyAlignment="0" applyProtection="0"/>
    <xf numFmtId="4" fontId="34" fillId="0" borderId="254">
      <alignment horizontal="right" vertical="center"/>
    </xf>
    <xf numFmtId="4" fontId="34" fillId="32" borderId="244"/>
    <xf numFmtId="49" fontId="33" fillId="0" borderId="239" applyNumberFormat="0" applyFill="0" applyBorder="0" applyProtection="0">
      <alignment horizontal="left" vertical="center"/>
    </xf>
    <xf numFmtId="0" fontId="34" fillId="0" borderId="242">
      <alignment horizontal="left" vertical="center" wrapText="1" indent="2"/>
    </xf>
    <xf numFmtId="0" fontId="34" fillId="0" borderId="244">
      <alignment horizontal="right" vertical="center"/>
    </xf>
    <xf numFmtId="0" fontId="1" fillId="0" borderId="0" applyNumberFormat="0" applyFill="0" applyBorder="0" applyAlignment="0" applyProtection="0"/>
    <xf numFmtId="0" fontId="62" fillId="55" borderId="248" applyNumberFormat="0" applyAlignment="0" applyProtection="0"/>
    <xf numFmtId="0" fontId="65" fillId="0" borderId="237" applyNumberFormat="0" applyFill="0" applyAlignment="0" applyProtection="0"/>
    <xf numFmtId="0" fontId="36" fillId="31" borderId="239">
      <alignment horizontal="right" vertical="center"/>
    </xf>
    <xf numFmtId="0" fontId="34" fillId="0" borderId="242">
      <alignment horizontal="left" vertical="center" wrapText="1" indent="2"/>
    </xf>
    <xf numFmtId="0" fontId="26" fillId="28" borderId="0" applyNumberFormat="0" applyBorder="0" applyAlignment="0" applyProtection="0"/>
    <xf numFmtId="49" fontId="34" fillId="0" borderId="240" applyNumberFormat="0" applyFont="0" applyFill="0" applyBorder="0" applyProtection="0">
      <alignment horizontal="left" vertical="center" indent="5"/>
    </xf>
    <xf numFmtId="0" fontId="36" fillId="31" borderId="254">
      <alignment horizontal="right" vertical="center"/>
    </xf>
    <xf numFmtId="0" fontId="50" fillId="0" borderId="237" applyNumberFormat="0" applyFill="0" applyAlignment="0" applyProtection="0"/>
    <xf numFmtId="0" fontId="46" fillId="55" borderId="251" applyNumberFormat="0" applyAlignment="0" applyProtection="0"/>
    <xf numFmtId="4" fontId="32" fillId="33" borderId="279">
      <alignment horizontal="right" vertical="center"/>
    </xf>
    <xf numFmtId="4" fontId="34" fillId="32" borderId="278"/>
    <xf numFmtId="0" fontId="65" fillId="0" borderId="237" applyNumberFormat="0" applyFill="0" applyAlignment="0" applyProtection="0"/>
    <xf numFmtId="0" fontId="32" fillId="33" borderId="239">
      <alignment horizontal="right" vertical="center"/>
    </xf>
    <xf numFmtId="4" fontId="32" fillId="33" borderId="244">
      <alignment horizontal="right" vertical="center"/>
    </xf>
    <xf numFmtId="173" fontId="34" fillId="59" borderId="239" applyNumberFormat="0" applyFont="0" applyBorder="0" applyAlignment="0" applyProtection="0">
      <alignment horizontal="right" vertical="center"/>
    </xf>
    <xf numFmtId="0" fontId="40" fillId="58" borderId="238" applyNumberFormat="0" applyFont="0" applyAlignment="0" applyProtection="0"/>
    <xf numFmtId="0" fontId="50" fillId="0" borderId="250" applyNumberFormat="0" applyFill="0" applyAlignment="0" applyProtection="0"/>
    <xf numFmtId="0" fontId="5" fillId="58" borderId="243" applyNumberFormat="0" applyFont="0" applyAlignment="0" applyProtection="0"/>
    <xf numFmtId="0" fontId="58" fillId="42" borderId="236" applyNumberFormat="0" applyAlignment="0" applyProtection="0"/>
    <xf numFmtId="0" fontId="34" fillId="0" borderId="271">
      <alignment horizontal="left" vertical="center" wrapText="1" indent="2"/>
    </xf>
    <xf numFmtId="0" fontId="46" fillId="55" borderId="236" applyNumberFormat="0" applyAlignment="0" applyProtection="0"/>
    <xf numFmtId="0" fontId="34" fillId="0" borderId="242">
      <alignment horizontal="left" vertical="center" wrapText="1" indent="2"/>
    </xf>
    <xf numFmtId="0" fontId="58" fillId="42" borderId="236" applyNumberFormat="0" applyAlignment="0" applyProtection="0"/>
    <xf numFmtId="0" fontId="43" fillId="55" borderId="235" applyNumberFormat="0" applyAlignment="0" applyProtection="0"/>
    <xf numFmtId="0" fontId="46" fillId="55" borderId="236" applyNumberFormat="0" applyAlignment="0" applyProtection="0"/>
    <xf numFmtId="0" fontId="34" fillId="33" borderId="242">
      <alignment horizontal="left" vertical="center" wrapText="1" indent="2"/>
    </xf>
    <xf numFmtId="49" fontId="33" fillId="0" borderId="244" applyNumberFormat="0" applyFill="0" applyBorder="0" applyProtection="0">
      <alignment horizontal="left" vertical="center"/>
    </xf>
    <xf numFmtId="0" fontId="34" fillId="33" borderId="242">
      <alignment horizontal="left" vertical="center" wrapText="1" indent="2"/>
    </xf>
    <xf numFmtId="0" fontId="34" fillId="32" borderId="239"/>
    <xf numFmtId="0" fontId="50" fillId="0" borderId="276" applyNumberFormat="0" applyFill="0" applyAlignment="0" applyProtection="0"/>
    <xf numFmtId="0" fontId="62" fillId="55" borderId="248" applyNumberFormat="0" applyAlignment="0" applyProtection="0"/>
    <xf numFmtId="0" fontId="34" fillId="0" borderId="242">
      <alignment horizontal="left" vertical="center" wrapText="1" indent="2"/>
    </xf>
    <xf numFmtId="4" fontId="32" fillId="31" borderId="239">
      <alignment horizontal="right" vertical="center"/>
    </xf>
    <xf numFmtId="0" fontId="40" fillId="58" borderId="243" applyNumberFormat="0" applyFont="0" applyAlignment="0" applyProtection="0"/>
    <xf numFmtId="0" fontId="46" fillId="55" borderId="265" applyNumberFormat="0" applyAlignment="0" applyProtection="0"/>
    <xf numFmtId="0" fontId="26" fillId="26" borderId="0" applyNumberFormat="0" applyBorder="0" applyAlignment="0" applyProtection="0"/>
    <xf numFmtId="0" fontId="46" fillId="55" borderId="251" applyNumberFormat="0" applyAlignment="0" applyProtection="0"/>
    <xf numFmtId="0" fontId="26" fillId="28" borderId="0" applyNumberFormat="0" applyBorder="0" applyAlignment="0" applyProtection="0"/>
    <xf numFmtId="0" fontId="45" fillId="55" borderId="249" applyNumberFormat="0" applyAlignment="0" applyProtection="0"/>
    <xf numFmtId="0" fontId="62" fillId="55" borderId="248" applyNumberFormat="0" applyAlignment="0" applyProtection="0"/>
    <xf numFmtId="0" fontId="5" fillId="58" borderId="238" applyNumberFormat="0" applyFont="0" applyAlignment="0" applyProtection="0"/>
    <xf numFmtId="4" fontId="32" fillId="33" borderId="239">
      <alignment horizontal="right" vertical="center"/>
    </xf>
    <xf numFmtId="49" fontId="34" fillId="0" borderId="239" applyNumberFormat="0" applyFont="0" applyFill="0" applyBorder="0" applyProtection="0">
      <alignment horizontal="left" vertical="center" indent="2"/>
    </xf>
    <xf numFmtId="173" fontId="34" fillId="59" borderId="244" applyNumberFormat="0" applyFont="0" applyBorder="0" applyAlignment="0" applyProtection="0">
      <alignment horizontal="right" vertical="center"/>
    </xf>
    <xf numFmtId="0" fontId="65" fillId="0" borderId="237" applyNumberFormat="0" applyFill="0" applyAlignment="0" applyProtection="0"/>
    <xf numFmtId="0" fontId="12" fillId="24" borderId="0" applyNumberFormat="0" applyBorder="0" applyAlignment="0" applyProtection="0"/>
    <xf numFmtId="4" fontId="32" fillId="33" borderId="246">
      <alignment horizontal="right" vertical="center"/>
    </xf>
    <xf numFmtId="0" fontId="29" fillId="12" borderId="10" applyNumberFormat="0" applyAlignment="0" applyProtection="0"/>
    <xf numFmtId="0" fontId="50" fillId="0" borderId="250" applyNumberFormat="0" applyFill="0" applyAlignment="0" applyProtection="0"/>
    <xf numFmtId="49" fontId="34" fillId="0" borderId="245" applyNumberFormat="0" applyFont="0" applyFill="0" applyBorder="0" applyProtection="0">
      <alignment horizontal="left" vertical="center" indent="5"/>
    </xf>
    <xf numFmtId="0" fontId="62" fillId="55" borderId="235" applyNumberFormat="0" applyAlignment="0" applyProtection="0"/>
    <xf numFmtId="0" fontId="58" fillId="42" borderId="236" applyNumberFormat="0" applyAlignment="0" applyProtection="0"/>
    <xf numFmtId="4" fontId="34" fillId="0" borderId="244" applyFill="0" applyBorder="0" applyProtection="0">
      <alignment horizontal="right" vertical="center"/>
    </xf>
    <xf numFmtId="4" fontId="32" fillId="33" borderId="254">
      <alignment horizontal="right" vertical="center"/>
    </xf>
    <xf numFmtId="0" fontId="46" fillId="55" borderId="273" applyNumberFormat="0" applyAlignment="0" applyProtection="0"/>
    <xf numFmtId="0" fontId="62" fillId="55" borderId="258" applyNumberFormat="0" applyAlignment="0" applyProtection="0"/>
    <xf numFmtId="0" fontId="40" fillId="58" borderId="253" applyNumberFormat="0" applyFont="0" applyAlignment="0" applyProtection="0"/>
    <xf numFmtId="0" fontId="65" fillId="0" borderId="237" applyNumberFormat="0" applyFill="0" applyAlignment="0" applyProtection="0"/>
    <xf numFmtId="0" fontId="34" fillId="33" borderId="247">
      <alignment horizontal="left" vertical="center" wrapText="1" indent="2"/>
    </xf>
    <xf numFmtId="0" fontId="26" fillId="20" borderId="0" applyNumberFormat="0" applyBorder="0" applyAlignment="0" applyProtection="0"/>
    <xf numFmtId="49" fontId="33" fillId="0" borderId="254" applyNumberFormat="0" applyFill="0" applyBorder="0" applyProtection="0">
      <alignment horizontal="left" vertical="center"/>
    </xf>
    <xf numFmtId="0" fontId="65" fillId="0" borderId="250" applyNumberFormat="0" applyFill="0" applyAlignment="0" applyProtection="0"/>
    <xf numFmtId="4" fontId="34" fillId="0" borderId="239">
      <alignment horizontal="right" vertical="center"/>
    </xf>
    <xf numFmtId="0" fontId="34" fillId="32" borderId="244"/>
    <xf numFmtId="173" fontId="34" fillId="59" borderId="244" applyNumberFormat="0" applyFont="0" applyBorder="0" applyAlignment="0" applyProtection="0">
      <alignment horizontal="right" vertical="center"/>
    </xf>
    <xf numFmtId="0" fontId="26" fillId="23" borderId="0" applyNumberFormat="0" applyBorder="0" applyAlignment="0" applyProtection="0"/>
    <xf numFmtId="0" fontId="26" fillId="28" borderId="0" applyNumberFormat="0" applyBorder="0" applyAlignment="0" applyProtection="0"/>
    <xf numFmtId="4" fontId="32" fillId="33" borderId="245">
      <alignment horizontal="right" vertical="center"/>
    </xf>
    <xf numFmtId="0" fontId="49" fillId="42" borderId="249" applyNumberFormat="0" applyAlignment="0" applyProtection="0"/>
    <xf numFmtId="0" fontId="62" fillId="55" borderId="235" applyNumberFormat="0" applyAlignment="0" applyProtection="0"/>
    <xf numFmtId="0" fontId="49" fillId="42" borderId="249" applyNumberFormat="0" applyAlignment="0" applyProtection="0"/>
    <xf numFmtId="4" fontId="32" fillId="33" borderId="246">
      <alignment horizontal="right" vertical="center"/>
    </xf>
    <xf numFmtId="0" fontId="26" fillId="22" borderId="0" applyNumberFormat="0" applyBorder="0" applyAlignment="0" applyProtection="0"/>
    <xf numFmtId="0" fontId="26" fillId="16" borderId="0" applyNumberFormat="0" applyBorder="0" applyAlignment="0" applyProtection="0"/>
    <xf numFmtId="0" fontId="46" fillId="55" borderId="275" applyNumberFormat="0" applyAlignment="0" applyProtection="0"/>
    <xf numFmtId="4" fontId="32" fillId="31" borderId="239">
      <alignment horizontal="right" vertical="center"/>
    </xf>
    <xf numFmtId="0" fontId="26" fillId="13" borderId="0" applyNumberFormat="0" applyBorder="0" applyAlignment="0" applyProtection="0"/>
    <xf numFmtId="0" fontId="34" fillId="33" borderId="247">
      <alignment horizontal="left" vertical="center" wrapText="1" indent="2"/>
    </xf>
    <xf numFmtId="0" fontId="34" fillId="33" borderId="247">
      <alignment horizontal="left" vertical="center" wrapText="1" indent="2"/>
    </xf>
    <xf numFmtId="4" fontId="32" fillId="33" borderId="255">
      <alignment horizontal="right" vertical="center"/>
    </xf>
    <xf numFmtId="0" fontId="65" fillId="0" borderId="237" applyNumberFormat="0" applyFill="0" applyAlignment="0" applyProtection="0"/>
    <xf numFmtId="0" fontId="32" fillId="33" borderId="256">
      <alignment horizontal="right" vertical="center"/>
    </xf>
    <xf numFmtId="0" fontId="5" fillId="58" borderId="238" applyNumberFormat="0" applyFont="0" applyAlignment="0" applyProtection="0"/>
    <xf numFmtId="0" fontId="49" fillId="42" borderId="249" applyNumberFormat="0" applyAlignment="0" applyProtection="0"/>
    <xf numFmtId="0" fontId="34" fillId="31" borderId="245">
      <alignment horizontal="left" vertical="center"/>
    </xf>
    <xf numFmtId="0" fontId="32" fillId="33" borderId="254">
      <alignment horizontal="right" vertical="center"/>
    </xf>
    <xf numFmtId="0" fontId="32" fillId="31" borderId="239">
      <alignment horizontal="right" vertical="center"/>
    </xf>
    <xf numFmtId="0" fontId="12" fillId="27" borderId="0" applyNumberFormat="0" applyBorder="0" applyAlignment="0" applyProtection="0"/>
    <xf numFmtId="0" fontId="46" fillId="55" borderId="249" applyNumberFormat="0" applyAlignment="0" applyProtection="0"/>
    <xf numFmtId="0" fontId="43" fillId="55" borderId="235" applyNumberFormat="0" applyAlignment="0" applyProtection="0"/>
    <xf numFmtId="4" fontId="32" fillId="33" borderId="246">
      <alignment horizontal="right" vertical="center"/>
    </xf>
    <xf numFmtId="0" fontId="28" fillId="12" borderId="11" applyNumberFormat="0" applyAlignment="0" applyProtection="0"/>
    <xf numFmtId="0" fontId="32" fillId="33" borderId="246">
      <alignment horizontal="right" vertical="center"/>
    </xf>
    <xf numFmtId="0" fontId="58" fillId="42" borderId="236" applyNumberFormat="0" applyAlignment="0" applyProtection="0"/>
    <xf numFmtId="0" fontId="43" fillId="55" borderId="258" applyNumberFormat="0" applyAlignment="0" applyProtection="0"/>
    <xf numFmtId="0" fontId="32" fillId="33" borderId="244">
      <alignment horizontal="right" vertical="center"/>
    </xf>
    <xf numFmtId="4" fontId="34" fillId="0" borderId="239">
      <alignment horizontal="right" vertical="center"/>
    </xf>
    <xf numFmtId="4" fontId="34" fillId="0" borderId="244" applyFill="0" applyBorder="0" applyProtection="0">
      <alignment horizontal="right" vertical="center"/>
    </xf>
    <xf numFmtId="0" fontId="26" fillId="28" borderId="0" applyNumberFormat="0" applyBorder="0" applyAlignment="0" applyProtection="0"/>
    <xf numFmtId="0" fontId="65" fillId="0" borderId="237" applyNumberFormat="0" applyFill="0" applyAlignment="0" applyProtection="0"/>
    <xf numFmtId="0" fontId="12" fillId="24" borderId="0" applyNumberFormat="0" applyBorder="0" applyAlignment="0" applyProtection="0"/>
    <xf numFmtId="0" fontId="65" fillId="0" borderId="250" applyNumberFormat="0" applyFill="0" applyAlignment="0" applyProtection="0"/>
    <xf numFmtId="0" fontId="46" fillId="55" borderId="249" applyNumberFormat="0" applyAlignment="0" applyProtection="0"/>
    <xf numFmtId="0" fontId="58" fillId="42" borderId="236" applyNumberFormat="0" applyAlignment="0" applyProtection="0"/>
    <xf numFmtId="0" fontId="32" fillId="33" borderId="256">
      <alignment horizontal="right" vertical="center"/>
    </xf>
    <xf numFmtId="0" fontId="49" fillId="42" borderId="236" applyNumberFormat="0" applyAlignment="0" applyProtection="0"/>
    <xf numFmtId="0" fontId="40" fillId="58" borderId="243" applyNumberFormat="0" applyFont="0" applyAlignment="0" applyProtection="0"/>
    <xf numFmtId="4" fontId="32" fillId="31" borderId="244">
      <alignment horizontal="right" vertical="center"/>
    </xf>
    <xf numFmtId="4" fontId="32" fillId="33" borderId="260">
      <alignment horizontal="right" vertical="center"/>
    </xf>
    <xf numFmtId="0" fontId="58" fillId="42" borderId="236" applyNumberFormat="0" applyAlignment="0" applyProtection="0"/>
    <xf numFmtId="0" fontId="58" fillId="42" borderId="249" applyNumberFormat="0" applyAlignment="0" applyProtection="0"/>
    <xf numFmtId="4" fontId="32" fillId="31" borderId="239">
      <alignment horizontal="right" vertical="center"/>
    </xf>
    <xf numFmtId="0" fontId="30" fillId="0" borderId="0" applyNumberFormat="0" applyFill="0" applyBorder="0" applyAlignment="0" applyProtection="0"/>
    <xf numFmtId="0" fontId="34" fillId="32" borderId="254"/>
    <xf numFmtId="0" fontId="26" fillId="28" borderId="0" applyNumberFormat="0" applyBorder="0" applyAlignment="0" applyProtection="0"/>
    <xf numFmtId="0" fontId="29" fillId="12" borderId="10" applyNumberFormat="0" applyAlignment="0" applyProtection="0"/>
    <xf numFmtId="0" fontId="12" fillId="30" borderId="0" applyNumberFormat="0" applyBorder="0" applyAlignment="0" applyProtection="0"/>
    <xf numFmtId="0" fontId="32" fillId="33" borderId="244">
      <alignment horizontal="right" vertical="center"/>
    </xf>
    <xf numFmtId="0" fontId="46" fillId="55" borderId="236" applyNumberFormat="0" applyAlignment="0" applyProtection="0"/>
    <xf numFmtId="0" fontId="26" fillId="23" borderId="0" applyNumberFormat="0" applyBorder="0" applyAlignment="0" applyProtection="0"/>
    <xf numFmtId="0" fontId="34" fillId="33" borderId="257">
      <alignment horizontal="left" vertical="center" wrapText="1" indent="2"/>
    </xf>
    <xf numFmtId="0" fontId="34" fillId="0" borderId="244">
      <alignment horizontal="right" vertical="center"/>
    </xf>
    <xf numFmtId="49" fontId="34" fillId="0" borderId="244" applyNumberFormat="0" applyFont="0" applyFill="0" applyBorder="0" applyProtection="0">
      <alignment horizontal="left" vertical="center" indent="2"/>
    </xf>
    <xf numFmtId="0" fontId="43" fillId="55" borderId="258" applyNumberFormat="0" applyAlignment="0" applyProtection="0"/>
    <xf numFmtId="0" fontId="43" fillId="55" borderId="235" applyNumberFormat="0" applyAlignment="0" applyProtection="0"/>
    <xf numFmtId="0" fontId="58" fillId="42" borderId="236" applyNumberFormat="0" applyAlignment="0" applyProtection="0"/>
    <xf numFmtId="49" fontId="33" fillId="0" borderId="254" applyNumberFormat="0" applyFill="0" applyBorder="0" applyProtection="0">
      <alignment horizontal="left" vertical="center"/>
    </xf>
    <xf numFmtId="0" fontId="36" fillId="31" borderId="239">
      <alignment horizontal="right" vertical="center"/>
    </xf>
    <xf numFmtId="0" fontId="34" fillId="0" borderId="244" applyNumberFormat="0" applyFill="0" applyAlignment="0" applyProtection="0"/>
    <xf numFmtId="4" fontId="32" fillId="33" borderId="254">
      <alignment horizontal="right" vertical="center"/>
    </xf>
    <xf numFmtId="0" fontId="26" fillId="19" borderId="0" applyNumberFormat="0" applyBorder="0" applyAlignment="0" applyProtection="0"/>
    <xf numFmtId="0" fontId="5" fillId="58" borderId="238" applyNumberFormat="0" applyFont="0" applyAlignment="0" applyProtection="0"/>
    <xf numFmtId="0" fontId="30" fillId="0" borderId="0" applyNumberFormat="0" applyFill="0" applyBorder="0" applyAlignment="0" applyProtection="0"/>
    <xf numFmtId="0" fontId="45" fillId="55" borderId="236" applyNumberFormat="0" applyAlignment="0" applyProtection="0"/>
    <xf numFmtId="0" fontId="32" fillId="33" borderId="262">
      <alignment horizontal="right" vertical="center"/>
    </xf>
    <xf numFmtId="0" fontId="50" fillId="0" borderId="237" applyNumberFormat="0" applyFill="0" applyAlignment="0" applyProtection="0"/>
    <xf numFmtId="49" fontId="33" fillId="0" borderId="244" applyNumberFormat="0" applyFill="0" applyBorder="0" applyProtection="0">
      <alignment horizontal="left" vertical="center"/>
    </xf>
    <xf numFmtId="0" fontId="12" fillId="30" borderId="0" applyNumberFormat="0" applyBorder="0" applyAlignment="0" applyProtection="0"/>
    <xf numFmtId="4" fontId="32" fillId="33" borderId="262">
      <alignment horizontal="right" vertical="center"/>
    </xf>
    <xf numFmtId="0" fontId="34" fillId="33" borderId="242">
      <alignment horizontal="left" vertical="center" wrapText="1" indent="2"/>
    </xf>
    <xf numFmtId="0" fontId="46" fillId="55" borderId="249" applyNumberFormat="0" applyAlignment="0" applyProtection="0"/>
    <xf numFmtId="0" fontId="50" fillId="0" borderId="252" applyNumberFormat="0" applyFill="0" applyAlignment="0" applyProtection="0"/>
    <xf numFmtId="0" fontId="58" fillId="42" borderId="265" applyNumberFormat="0" applyAlignment="0" applyProtection="0"/>
    <xf numFmtId="0" fontId="34" fillId="0" borderId="244">
      <alignment horizontal="right" vertical="center"/>
    </xf>
    <xf numFmtId="0" fontId="34" fillId="32" borderId="254"/>
    <xf numFmtId="0" fontId="34" fillId="0" borderId="254">
      <alignment horizontal="right" vertical="center"/>
    </xf>
    <xf numFmtId="0" fontId="43" fillId="55" borderId="235" applyNumberFormat="0" applyAlignment="0" applyProtection="0"/>
    <xf numFmtId="0" fontId="40" fillId="58" borderId="243" applyNumberFormat="0" applyFont="0" applyAlignment="0" applyProtection="0"/>
    <xf numFmtId="0" fontId="34" fillId="32" borderId="239"/>
    <xf numFmtId="4" fontId="34" fillId="32" borderId="254"/>
    <xf numFmtId="173" fontId="34" fillId="59" borderId="244" applyNumberFormat="0" applyFont="0" applyBorder="0" applyAlignment="0" applyProtection="0">
      <alignment horizontal="right" vertical="center"/>
    </xf>
    <xf numFmtId="4" fontId="36" fillId="31" borderId="254">
      <alignment horizontal="right" vertical="center"/>
    </xf>
    <xf numFmtId="0" fontId="49" fillId="42" borderId="251" applyNumberFormat="0" applyAlignment="0" applyProtection="0"/>
    <xf numFmtId="49" fontId="33" fillId="0" borderId="239" applyNumberFormat="0" applyFill="0" applyBorder="0" applyProtection="0">
      <alignment horizontal="left" vertical="center"/>
    </xf>
    <xf numFmtId="0" fontId="34" fillId="0" borderId="247">
      <alignment horizontal="left" vertical="center" wrapText="1" indent="2"/>
    </xf>
    <xf numFmtId="0" fontId="2" fillId="0" borderId="12" applyNumberFormat="0" applyFill="0" applyAlignment="0" applyProtection="0"/>
    <xf numFmtId="173" fontId="34" fillId="59" borderId="239" applyNumberFormat="0" applyFont="0" applyBorder="0" applyAlignment="0" applyProtection="0">
      <alignment horizontal="right" vertical="center"/>
    </xf>
    <xf numFmtId="4" fontId="34" fillId="0" borderId="244" applyFill="0" applyBorder="0" applyProtection="0">
      <alignment horizontal="right" vertical="center"/>
    </xf>
    <xf numFmtId="0" fontId="62" fillId="55" borderId="235" applyNumberFormat="0" applyAlignment="0" applyProtection="0"/>
    <xf numFmtId="173" fontId="34" fillId="59" borderId="268" applyNumberFormat="0" applyFont="0" applyBorder="0" applyAlignment="0" applyProtection="0">
      <alignment horizontal="right" vertical="center"/>
    </xf>
    <xf numFmtId="173" fontId="34" fillId="59" borderId="239" applyNumberFormat="0" applyFont="0" applyBorder="0" applyAlignment="0" applyProtection="0">
      <alignment horizontal="right" vertical="center"/>
    </xf>
    <xf numFmtId="0" fontId="12" fillId="15" borderId="0" applyNumberFormat="0" applyBorder="0" applyAlignment="0" applyProtection="0"/>
    <xf numFmtId="4" fontId="34" fillId="0" borderId="239">
      <alignment horizontal="right" vertical="center"/>
    </xf>
    <xf numFmtId="0" fontId="46" fillId="55" borderId="236" applyNumberFormat="0" applyAlignment="0" applyProtection="0"/>
    <xf numFmtId="0" fontId="34" fillId="0" borderId="239" applyNumberFormat="0" applyFill="0" applyAlignment="0" applyProtection="0"/>
    <xf numFmtId="0" fontId="12" fillId="15" borderId="0" applyNumberFormat="0" applyBorder="0" applyAlignment="0" applyProtection="0"/>
    <xf numFmtId="0" fontId="34" fillId="0" borderId="239">
      <alignment horizontal="right" vertical="center"/>
    </xf>
    <xf numFmtId="0" fontId="49" fillId="42" borderId="249" applyNumberFormat="0" applyAlignment="0" applyProtection="0"/>
    <xf numFmtId="173" fontId="34" fillId="59" borderId="244" applyNumberFormat="0" applyFont="0" applyBorder="0" applyAlignment="0" applyProtection="0">
      <alignment horizontal="right" vertical="center"/>
    </xf>
    <xf numFmtId="49" fontId="34" fillId="0" borderId="245" applyNumberFormat="0" applyFont="0" applyFill="0" applyBorder="0" applyProtection="0">
      <alignment horizontal="left" vertical="center" indent="5"/>
    </xf>
    <xf numFmtId="4" fontId="32" fillId="33" borderId="241">
      <alignment horizontal="right" vertical="center"/>
    </xf>
    <xf numFmtId="4" fontId="34" fillId="0" borderId="239" applyFill="0" applyBorder="0" applyProtection="0">
      <alignment horizontal="right" vertical="center"/>
    </xf>
    <xf numFmtId="0" fontId="34" fillId="32" borderId="239"/>
    <xf numFmtId="0" fontId="65" fillId="0" borderId="237" applyNumberFormat="0" applyFill="0" applyAlignment="0" applyProtection="0"/>
    <xf numFmtId="4" fontId="32" fillId="33" borderId="244">
      <alignment horizontal="right" vertical="center"/>
    </xf>
    <xf numFmtId="0" fontId="58" fillId="42" borderId="249" applyNumberFormat="0" applyAlignment="0" applyProtection="0"/>
    <xf numFmtId="4" fontId="36" fillId="31" borderId="260">
      <alignment horizontal="right" vertical="center"/>
    </xf>
    <xf numFmtId="0" fontId="12" fillId="30" borderId="0" applyNumberFormat="0" applyBorder="0" applyAlignment="0" applyProtection="0"/>
    <xf numFmtId="0" fontId="45" fillId="55" borderId="249" applyNumberFormat="0" applyAlignment="0" applyProtection="0"/>
    <xf numFmtId="0" fontId="45" fillId="55" borderId="236" applyNumberFormat="0" applyAlignment="0" applyProtection="0"/>
    <xf numFmtId="0" fontId="49" fillId="42" borderId="251" applyNumberFormat="0" applyAlignment="0" applyProtection="0"/>
    <xf numFmtId="0" fontId="32" fillId="31" borderId="239">
      <alignment horizontal="right" vertical="center"/>
    </xf>
    <xf numFmtId="0" fontId="46" fillId="55" borderId="236" applyNumberFormat="0" applyAlignment="0" applyProtection="0"/>
    <xf numFmtId="0" fontId="12" fillId="27" borderId="0" applyNumberFormat="0" applyBorder="0" applyAlignment="0" applyProtection="0"/>
    <xf numFmtId="0" fontId="40" fillId="58" borderId="243" applyNumberFormat="0" applyFont="0" applyAlignment="0" applyProtection="0"/>
    <xf numFmtId="0" fontId="34" fillId="33" borderId="257">
      <alignment horizontal="left" vertical="center" wrapText="1" indent="2"/>
    </xf>
    <xf numFmtId="0" fontId="12" fillId="24" borderId="0" applyNumberFormat="0" applyBorder="0" applyAlignment="0" applyProtection="0"/>
    <xf numFmtId="0" fontId="32" fillId="33" borderId="240">
      <alignment horizontal="right" vertical="center"/>
    </xf>
    <xf numFmtId="4" fontId="34" fillId="32" borderId="244"/>
    <xf numFmtId="0" fontId="45" fillId="55" borderId="236" applyNumberFormat="0" applyAlignment="0" applyProtection="0"/>
    <xf numFmtId="0" fontId="12" fillId="24" borderId="0" applyNumberFormat="0" applyBorder="0" applyAlignment="0" applyProtection="0"/>
    <xf numFmtId="0" fontId="26" fillId="13" borderId="0" applyNumberFormat="0" applyBorder="0" applyAlignment="0" applyProtection="0"/>
    <xf numFmtId="0" fontId="45" fillId="55" borderId="236" applyNumberFormat="0" applyAlignment="0" applyProtection="0"/>
    <xf numFmtId="4" fontId="32" fillId="33" borderId="239">
      <alignment horizontal="right" vertical="center"/>
    </xf>
    <xf numFmtId="4" fontId="36" fillId="31" borderId="239">
      <alignment horizontal="right" vertical="center"/>
    </xf>
    <xf numFmtId="0" fontId="58" fillId="42" borderId="236" applyNumberFormat="0" applyAlignment="0" applyProtection="0"/>
    <xf numFmtId="0" fontId="32" fillId="33" borderId="244">
      <alignment horizontal="right" vertical="center"/>
    </xf>
    <xf numFmtId="0" fontId="65" fillId="0" borderId="250" applyNumberFormat="0" applyFill="0" applyAlignment="0" applyProtection="0"/>
    <xf numFmtId="0" fontId="36" fillId="31" borderId="239">
      <alignment horizontal="right" vertical="center"/>
    </xf>
    <xf numFmtId="0" fontId="26" fillId="29" borderId="0" applyNumberFormat="0" applyBorder="0" applyAlignment="0" applyProtection="0"/>
    <xf numFmtId="0" fontId="50" fillId="0" borderId="274" applyNumberFormat="0" applyFill="0" applyAlignment="0" applyProtection="0"/>
    <xf numFmtId="4" fontId="36" fillId="31" borderId="244">
      <alignment horizontal="right" vertical="center"/>
    </xf>
    <xf numFmtId="49" fontId="34" fillId="0" borderId="239" applyNumberFormat="0" applyFont="0" applyFill="0" applyBorder="0" applyProtection="0">
      <alignment horizontal="left" vertical="center" indent="2"/>
    </xf>
    <xf numFmtId="173" fontId="34" fillId="59" borderId="239" applyNumberFormat="0" applyFont="0" applyBorder="0" applyAlignment="0" applyProtection="0">
      <alignment horizontal="right" vertical="center"/>
    </xf>
    <xf numFmtId="49" fontId="34" fillId="0" borderId="244" applyNumberFormat="0" applyFont="0" applyFill="0" applyBorder="0" applyProtection="0">
      <alignment horizontal="left" vertical="center" indent="2"/>
    </xf>
    <xf numFmtId="4" fontId="32" fillId="33" borderId="254">
      <alignment horizontal="right" vertical="center"/>
    </xf>
    <xf numFmtId="0" fontId="28" fillId="12" borderId="11" applyNumberFormat="0" applyAlignment="0" applyProtection="0"/>
    <xf numFmtId="4" fontId="32" fillId="33" borderId="256">
      <alignment horizontal="right" vertical="center"/>
    </xf>
    <xf numFmtId="0" fontId="36" fillId="31" borderId="239">
      <alignment horizontal="right" vertical="center"/>
    </xf>
    <xf numFmtId="49" fontId="33" fillId="0" borderId="244" applyNumberFormat="0" applyFill="0" applyBorder="0" applyProtection="0">
      <alignment horizontal="left" vertical="center"/>
    </xf>
    <xf numFmtId="0" fontId="34" fillId="33" borderId="257">
      <alignment horizontal="left" vertical="center" wrapText="1" indent="2"/>
    </xf>
    <xf numFmtId="49" fontId="34" fillId="0" borderId="239" applyNumberFormat="0" applyFont="0" applyFill="0" applyBorder="0" applyProtection="0">
      <alignment horizontal="left" vertical="center" indent="2"/>
    </xf>
    <xf numFmtId="49" fontId="34" fillId="0" borderId="239" applyNumberFormat="0" applyFont="0" applyFill="0" applyBorder="0" applyProtection="0">
      <alignment horizontal="left" vertical="center" indent="2"/>
    </xf>
    <xf numFmtId="49" fontId="34" fillId="0" borderId="255" applyNumberFormat="0" applyFont="0" applyFill="0" applyBorder="0" applyProtection="0">
      <alignment horizontal="left" vertical="center" indent="5"/>
    </xf>
    <xf numFmtId="0" fontId="32" fillId="33" borderId="246">
      <alignment horizontal="right" vertical="center"/>
    </xf>
    <xf numFmtId="0" fontId="34" fillId="0" borderId="239" applyNumberFormat="0" applyFill="0" applyAlignment="0" applyProtection="0"/>
    <xf numFmtId="0" fontId="46" fillId="55" borderId="273" applyNumberFormat="0" applyAlignment="0" applyProtection="0"/>
    <xf numFmtId="4" fontId="32" fillId="33" borderId="246">
      <alignment horizontal="right" vertical="center"/>
    </xf>
    <xf numFmtId="49" fontId="34" fillId="0" borderId="240" applyNumberFormat="0" applyFont="0" applyFill="0" applyBorder="0" applyProtection="0">
      <alignment horizontal="left" vertical="center" indent="5"/>
    </xf>
    <xf numFmtId="0" fontId="46" fillId="55" borderId="236" applyNumberFormat="0" applyAlignment="0" applyProtection="0"/>
    <xf numFmtId="4" fontId="32" fillId="33" borderId="260">
      <alignment horizontal="right" vertical="center"/>
    </xf>
    <xf numFmtId="0" fontId="32" fillId="33" borderId="246">
      <alignment horizontal="right" vertical="center"/>
    </xf>
    <xf numFmtId="4" fontId="32" fillId="33" borderId="240">
      <alignment horizontal="right" vertical="center"/>
    </xf>
    <xf numFmtId="0" fontId="26" fillId="16" borderId="0" applyNumberFormat="0" applyBorder="0" applyAlignment="0" applyProtection="0"/>
    <xf numFmtId="49" fontId="34" fillId="0" borderId="260" applyNumberFormat="0" applyFont="0" applyFill="0" applyBorder="0" applyProtection="0">
      <alignment horizontal="left" vertical="center" indent="2"/>
    </xf>
    <xf numFmtId="49" fontId="33" fillId="0" borderId="239" applyNumberFormat="0" applyFill="0" applyBorder="0" applyProtection="0">
      <alignment horizontal="left" vertical="center"/>
    </xf>
    <xf numFmtId="4" fontId="32" fillId="33" borderId="240">
      <alignment horizontal="right" vertical="center"/>
    </xf>
    <xf numFmtId="0" fontId="26" fillId="22" borderId="0" applyNumberFormat="0" applyBorder="0" applyAlignment="0" applyProtection="0"/>
    <xf numFmtId="0" fontId="12" fillId="21" borderId="0" applyNumberFormat="0" applyBorder="0" applyAlignment="0" applyProtection="0"/>
    <xf numFmtId="173" fontId="34" fillId="59" borderId="268" applyNumberFormat="0" applyFont="0" applyBorder="0" applyAlignment="0" applyProtection="0">
      <alignment horizontal="right" vertical="center"/>
    </xf>
    <xf numFmtId="0" fontId="58" fillId="42" borderId="249" applyNumberFormat="0" applyAlignment="0" applyProtection="0"/>
    <xf numFmtId="0" fontId="32" fillId="33" borderId="239">
      <alignment horizontal="right" vertical="center"/>
    </xf>
    <xf numFmtId="0" fontId="58" fillId="42" borderId="236" applyNumberFormat="0" applyAlignment="0" applyProtection="0"/>
    <xf numFmtId="0" fontId="45" fillId="55" borderId="236" applyNumberFormat="0" applyAlignment="0" applyProtection="0"/>
    <xf numFmtId="0" fontId="5" fillId="58" borderId="238" applyNumberFormat="0" applyFont="0" applyAlignment="0" applyProtection="0"/>
    <xf numFmtId="0" fontId="50" fillId="0" borderId="252" applyNumberFormat="0" applyFill="0" applyAlignment="0" applyProtection="0"/>
    <xf numFmtId="0" fontId="40" fillId="58" borderId="238" applyNumberFormat="0" applyFont="0" applyAlignment="0" applyProtection="0"/>
    <xf numFmtId="4" fontId="34" fillId="32" borderId="254"/>
    <xf numFmtId="0" fontId="32" fillId="33" borderId="239">
      <alignment horizontal="right" vertical="center"/>
    </xf>
    <xf numFmtId="4" fontId="32" fillId="33" borderId="239">
      <alignment horizontal="right" vertical="center"/>
    </xf>
    <xf numFmtId="0" fontId="12" fillId="18" borderId="0" applyNumberFormat="0" applyBorder="0" applyAlignment="0" applyProtection="0"/>
    <xf numFmtId="4" fontId="34" fillId="32" borderId="254"/>
    <xf numFmtId="0" fontId="26" fillId="28" borderId="0" applyNumberFormat="0" applyBorder="0" applyAlignment="0" applyProtection="0"/>
    <xf numFmtId="0" fontId="58" fillId="42" borderId="251" applyNumberFormat="0" applyAlignment="0" applyProtection="0"/>
    <xf numFmtId="0" fontId="46" fillId="55" borderId="249" applyNumberFormat="0" applyAlignment="0" applyProtection="0"/>
    <xf numFmtId="0" fontId="34" fillId="32" borderId="244"/>
    <xf numFmtId="0" fontId="12" fillId="21" borderId="0" applyNumberFormat="0" applyBorder="0" applyAlignment="0" applyProtection="0"/>
    <xf numFmtId="0" fontId="34" fillId="0" borderId="244">
      <alignment horizontal="right" vertical="center"/>
    </xf>
    <xf numFmtId="0" fontId="32" fillId="31" borderId="239">
      <alignment horizontal="right" vertical="center"/>
    </xf>
    <xf numFmtId="49" fontId="33" fillId="0" borderId="254" applyNumberFormat="0" applyFill="0" applyBorder="0" applyProtection="0">
      <alignment horizontal="left" vertical="center"/>
    </xf>
    <xf numFmtId="0" fontId="34" fillId="0" borderId="239">
      <alignment horizontal="right" vertical="center"/>
    </xf>
    <xf numFmtId="4" fontId="32" fillId="33" borderId="241">
      <alignment horizontal="right" vertical="center"/>
    </xf>
    <xf numFmtId="49" fontId="33" fillId="0" borderId="239" applyNumberFormat="0" applyFill="0" applyBorder="0" applyProtection="0">
      <alignment horizontal="left" vertical="center"/>
    </xf>
    <xf numFmtId="0" fontId="34" fillId="0" borderId="242">
      <alignment horizontal="left" vertical="center" wrapText="1" indent="2"/>
    </xf>
    <xf numFmtId="49" fontId="33" fillId="0" borderId="239" applyNumberFormat="0" applyFill="0" applyBorder="0" applyProtection="0">
      <alignment horizontal="left" vertical="center"/>
    </xf>
    <xf numFmtId="0" fontId="40" fillId="58" borderId="259" applyNumberFormat="0" applyFont="0" applyAlignment="0" applyProtection="0"/>
    <xf numFmtId="4" fontId="34" fillId="0" borderId="254">
      <alignment horizontal="right" vertical="center"/>
    </xf>
    <xf numFmtId="0" fontId="28" fillId="12" borderId="11" applyNumberFormat="0" applyAlignment="0" applyProtection="0"/>
    <xf numFmtId="0" fontId="50" fillId="0" borderId="250" applyNumberFormat="0" applyFill="0" applyAlignment="0" applyProtection="0"/>
    <xf numFmtId="0" fontId="32" fillId="33" borderId="244">
      <alignment horizontal="right" vertical="center"/>
    </xf>
    <xf numFmtId="0" fontId="34" fillId="33" borderId="242">
      <alignment horizontal="left" vertical="center" wrapText="1" indent="2"/>
    </xf>
    <xf numFmtId="0" fontId="26" fillId="23" borderId="0" applyNumberFormat="0" applyBorder="0" applyAlignment="0" applyProtection="0"/>
    <xf numFmtId="0" fontId="65" fillId="0" borderId="276" applyNumberFormat="0" applyFill="0" applyAlignment="0" applyProtection="0"/>
    <xf numFmtId="0" fontId="26" fillId="20" borderId="0" applyNumberFormat="0" applyBorder="0" applyAlignment="0" applyProtection="0"/>
    <xf numFmtId="0" fontId="34" fillId="32" borderId="260"/>
    <xf numFmtId="4" fontId="34" fillId="0" borderId="239">
      <alignment horizontal="right" vertical="center"/>
    </xf>
    <xf numFmtId="0" fontId="50" fillId="0" borderId="274" applyNumberFormat="0" applyFill="0" applyAlignment="0" applyProtection="0"/>
    <xf numFmtId="0" fontId="34" fillId="0" borderId="239">
      <alignment horizontal="right" vertical="center"/>
    </xf>
    <xf numFmtId="0" fontId="65" fillId="0" borderId="252" applyNumberFormat="0" applyFill="0" applyAlignment="0" applyProtection="0"/>
    <xf numFmtId="0" fontId="65" fillId="0" borderId="266" applyNumberFormat="0" applyFill="0" applyAlignment="0" applyProtection="0"/>
    <xf numFmtId="0" fontId="32" fillId="33" borderId="245">
      <alignment horizontal="right" vertical="center"/>
    </xf>
    <xf numFmtId="0" fontId="34" fillId="31" borderId="245">
      <alignment horizontal="left" vertical="center"/>
    </xf>
    <xf numFmtId="49" fontId="34" fillId="0" borderId="240" applyNumberFormat="0" applyFont="0" applyFill="0" applyBorder="0" applyProtection="0">
      <alignment horizontal="left" vertical="center" indent="5"/>
    </xf>
    <xf numFmtId="0" fontId="46" fillId="55" borderId="249" applyNumberFormat="0" applyAlignment="0" applyProtection="0"/>
    <xf numFmtId="49" fontId="34" fillId="0" borderId="245" applyNumberFormat="0" applyFont="0" applyFill="0" applyBorder="0" applyProtection="0">
      <alignment horizontal="left" vertical="center" indent="5"/>
    </xf>
    <xf numFmtId="0" fontId="30" fillId="0" borderId="0" applyNumberFormat="0" applyFill="0" applyBorder="0" applyAlignment="0" applyProtection="0"/>
    <xf numFmtId="0" fontId="34" fillId="31" borderId="240">
      <alignment horizontal="left" vertical="center"/>
    </xf>
    <xf numFmtId="0" fontId="34" fillId="0" borderId="242">
      <alignment horizontal="left" vertical="center" wrapText="1" indent="2"/>
    </xf>
    <xf numFmtId="0" fontId="65" fillId="0" borderId="250" applyNumberFormat="0" applyFill="0" applyAlignment="0" applyProtection="0"/>
    <xf numFmtId="0" fontId="46" fillId="55" borderId="249" applyNumberFormat="0" applyAlignment="0" applyProtection="0"/>
    <xf numFmtId="0" fontId="40" fillId="58" borderId="253" applyNumberFormat="0" applyFont="0" applyAlignment="0" applyProtection="0"/>
    <xf numFmtId="0" fontId="62" fillId="55" borderId="235" applyNumberFormat="0" applyAlignment="0" applyProtection="0"/>
    <xf numFmtId="0" fontId="62" fillId="55" borderId="264" applyNumberFormat="0" applyAlignment="0" applyProtection="0"/>
    <xf numFmtId="0" fontId="46" fillId="55" borderId="265" applyNumberFormat="0" applyAlignment="0" applyProtection="0"/>
    <xf numFmtId="0" fontId="65" fillId="0" borderId="250" applyNumberFormat="0" applyFill="0" applyAlignment="0" applyProtection="0"/>
    <xf numFmtId="0" fontId="36" fillId="31" borderId="244">
      <alignment horizontal="right" vertical="center"/>
    </xf>
    <xf numFmtId="4" fontId="32" fillId="33" borderId="245">
      <alignment horizontal="right" vertical="center"/>
    </xf>
    <xf numFmtId="49" fontId="33" fillId="0" borderId="244" applyNumberFormat="0" applyFill="0" applyBorder="0" applyProtection="0">
      <alignment horizontal="left" vertical="center"/>
    </xf>
    <xf numFmtId="0" fontId="32" fillId="31" borderId="239">
      <alignment horizontal="right" vertical="center"/>
    </xf>
    <xf numFmtId="0" fontId="50" fillId="0" borderId="237" applyNumberFormat="0" applyFill="0" applyAlignment="0" applyProtection="0"/>
    <xf numFmtId="0" fontId="34" fillId="0" borderId="239" applyNumberFormat="0" applyFill="0" applyAlignment="0" applyProtection="0"/>
    <xf numFmtId="0" fontId="50" fillId="0" borderId="237" applyNumberFormat="0" applyFill="0" applyAlignment="0" applyProtection="0"/>
    <xf numFmtId="4" fontId="34" fillId="0" borderId="239" applyFill="0" applyBorder="0" applyProtection="0">
      <alignment horizontal="right" vertical="center"/>
    </xf>
    <xf numFmtId="49" fontId="34" fillId="0" borderId="240" applyNumberFormat="0" applyFont="0" applyFill="0" applyBorder="0" applyProtection="0">
      <alignment horizontal="left" vertical="center" indent="5"/>
    </xf>
    <xf numFmtId="0" fontId="34" fillId="0" borderId="239" applyNumberFormat="0" applyFill="0" applyAlignment="0" applyProtection="0"/>
    <xf numFmtId="0" fontId="26" fillId="17" borderId="0" applyNumberFormat="0" applyBorder="0" applyAlignment="0" applyProtection="0"/>
    <xf numFmtId="0" fontId="34" fillId="0" borderId="239" applyNumberFormat="0" applyFill="0" applyAlignment="0" applyProtection="0"/>
    <xf numFmtId="4" fontId="34" fillId="0" borderId="244" applyFill="0" applyBorder="0" applyProtection="0">
      <alignment horizontal="right" vertical="center"/>
    </xf>
    <xf numFmtId="0" fontId="26" fillId="13" borderId="0" applyNumberFormat="0" applyBorder="0" applyAlignment="0" applyProtection="0"/>
    <xf numFmtId="4" fontId="32" fillId="33" borderId="239">
      <alignment horizontal="right" vertical="center"/>
    </xf>
    <xf numFmtId="0" fontId="40" fillId="58" borderId="243" applyNumberFormat="0" applyFont="0" applyAlignment="0" applyProtection="0"/>
    <xf numFmtId="4" fontId="32" fillId="33" borderId="244">
      <alignment horizontal="right" vertical="center"/>
    </xf>
    <xf numFmtId="0" fontId="12" fillId="18" borderId="0" applyNumberFormat="0" applyBorder="0" applyAlignment="0" applyProtection="0"/>
    <xf numFmtId="0" fontId="65" fillId="0" borderId="250" applyNumberFormat="0" applyFill="0" applyAlignment="0" applyProtection="0"/>
    <xf numFmtId="0" fontId="49" fillId="42" borderId="236" applyNumberFormat="0" applyAlignment="0" applyProtection="0"/>
    <xf numFmtId="0" fontId="46" fillId="55" borderId="236" applyNumberFormat="0" applyAlignment="0" applyProtection="0"/>
    <xf numFmtId="4" fontId="34" fillId="0" borderId="239">
      <alignment horizontal="right" vertical="center"/>
    </xf>
    <xf numFmtId="0" fontId="34" fillId="33" borderId="242">
      <alignment horizontal="left" vertical="center" wrapText="1" indent="2"/>
    </xf>
    <xf numFmtId="0" fontId="34" fillId="0" borderId="242">
      <alignment horizontal="left" vertical="center" wrapText="1" indent="2"/>
    </xf>
    <xf numFmtId="0" fontId="62" fillId="55" borderId="235" applyNumberFormat="0" applyAlignment="0" applyProtection="0"/>
    <xf numFmtId="0" fontId="58" fillId="42" borderId="236" applyNumberFormat="0" applyAlignment="0" applyProtection="0"/>
    <xf numFmtId="0" fontId="45" fillId="55" borderId="236" applyNumberFormat="0" applyAlignment="0" applyProtection="0"/>
    <xf numFmtId="0" fontId="43" fillId="55" borderId="235" applyNumberFormat="0" applyAlignment="0" applyProtection="0"/>
    <xf numFmtId="0" fontId="32" fillId="33" borderId="241">
      <alignment horizontal="right" vertical="center"/>
    </xf>
    <xf numFmtId="0" fontId="36" fillId="31" borderId="239">
      <alignment horizontal="right" vertical="center"/>
    </xf>
    <xf numFmtId="4" fontId="32" fillId="31" borderId="239">
      <alignment horizontal="right" vertical="center"/>
    </xf>
    <xf numFmtId="4" fontId="32" fillId="33" borderId="239">
      <alignment horizontal="right" vertical="center"/>
    </xf>
    <xf numFmtId="49" fontId="34" fillId="0" borderId="240" applyNumberFormat="0" applyFont="0" applyFill="0" applyBorder="0" applyProtection="0">
      <alignment horizontal="left" vertical="center" indent="5"/>
    </xf>
    <xf numFmtId="4" fontId="34" fillId="0" borderId="239" applyFill="0" applyBorder="0" applyProtection="0">
      <alignment horizontal="right" vertical="center"/>
    </xf>
    <xf numFmtId="4" fontId="32" fillId="31" borderId="239">
      <alignment horizontal="right" vertical="center"/>
    </xf>
    <xf numFmtId="0" fontId="58" fillId="42" borderId="236" applyNumberFormat="0" applyAlignment="0" applyProtection="0"/>
    <xf numFmtId="0" fontId="49" fillId="42" borderId="236" applyNumberFormat="0" applyAlignment="0" applyProtection="0"/>
    <xf numFmtId="0" fontId="45" fillId="55" borderId="236" applyNumberFormat="0" applyAlignment="0" applyProtection="0"/>
    <xf numFmtId="0" fontId="34" fillId="33" borderId="242">
      <alignment horizontal="left" vertical="center" wrapText="1" indent="2"/>
    </xf>
    <xf numFmtId="0" fontId="34" fillId="0" borderId="242">
      <alignment horizontal="left" vertical="center" wrapText="1" indent="2"/>
    </xf>
    <xf numFmtId="0" fontId="34" fillId="33" borderId="242">
      <alignment horizontal="left" vertical="center" wrapText="1" indent="2"/>
    </xf>
    <xf numFmtId="4" fontId="32" fillId="33" borderId="254">
      <alignment horizontal="right" vertical="center"/>
    </xf>
    <xf numFmtId="0" fontId="1" fillId="0" borderId="0" applyNumberFormat="0" applyFill="0" applyBorder="0" applyAlignment="0" applyProtection="0"/>
    <xf numFmtId="4" fontId="32" fillId="33" borderId="256">
      <alignment horizontal="right" vertical="center"/>
    </xf>
    <xf numFmtId="0" fontId="32" fillId="33" borderId="254">
      <alignment horizontal="right" vertical="center"/>
    </xf>
    <xf numFmtId="0" fontId="65" fillId="0" borderId="266" applyNumberFormat="0" applyFill="0" applyAlignment="0" applyProtection="0"/>
    <xf numFmtId="0" fontId="32" fillId="33" borderId="255">
      <alignment horizontal="right" vertical="center"/>
    </xf>
    <xf numFmtId="0" fontId="34" fillId="0" borderId="254">
      <alignment horizontal="right" vertical="center"/>
    </xf>
    <xf numFmtId="0" fontId="36" fillId="31" borderId="254">
      <alignment horizontal="right" vertical="center"/>
    </xf>
    <xf numFmtId="173" fontId="34" fillId="59" borderId="260" applyNumberFormat="0" applyFont="0" applyBorder="0" applyAlignment="0" applyProtection="0">
      <alignment horizontal="right" vertical="center"/>
    </xf>
    <xf numFmtId="0" fontId="34" fillId="0" borderId="278" applyNumberFormat="0" applyFill="0" applyAlignment="0" applyProtection="0"/>
    <xf numFmtId="49" fontId="33" fillId="0" borderId="260" applyNumberFormat="0" applyFill="0" applyBorder="0" applyProtection="0">
      <alignment horizontal="left" vertical="center"/>
    </xf>
    <xf numFmtId="4" fontId="34" fillId="0" borderId="254" applyFill="0" applyBorder="0" applyProtection="0">
      <alignment horizontal="right" vertical="center"/>
    </xf>
    <xf numFmtId="0" fontId="32" fillId="33" borderId="254">
      <alignment horizontal="right" vertical="center"/>
    </xf>
    <xf numFmtId="4" fontId="32" fillId="33" borderId="268">
      <alignment horizontal="right" vertical="center"/>
    </xf>
    <xf numFmtId="49" fontId="33" fillId="0" borderId="260" applyNumberFormat="0" applyFill="0" applyBorder="0" applyProtection="0">
      <alignment horizontal="left" vertical="center"/>
    </xf>
    <xf numFmtId="4" fontId="34" fillId="0" borderId="254">
      <alignment horizontal="right" vertical="center"/>
    </xf>
    <xf numFmtId="0" fontId="43" fillId="55" borderId="258" applyNumberFormat="0" applyAlignment="0" applyProtection="0"/>
    <xf numFmtId="0" fontId="34" fillId="0" borderId="260" applyNumberFormat="0" applyFill="0" applyAlignment="0" applyProtection="0"/>
    <xf numFmtId="0" fontId="5" fillId="58" borderId="253" applyNumberFormat="0" applyFont="0" applyAlignment="0" applyProtection="0"/>
    <xf numFmtId="0" fontId="45" fillId="55" borderId="251" applyNumberFormat="0" applyAlignment="0" applyProtection="0"/>
    <xf numFmtId="4" fontId="32" fillId="33" borderId="254">
      <alignment horizontal="right" vertical="center"/>
    </xf>
    <xf numFmtId="0" fontId="34" fillId="0" borderId="257">
      <alignment horizontal="left" vertical="center" wrapText="1" indent="2"/>
    </xf>
    <xf numFmtId="173" fontId="34" fillId="59" borderId="254" applyNumberFormat="0" applyFont="0" applyBorder="0" applyAlignment="0" applyProtection="0">
      <alignment horizontal="right" vertical="center"/>
    </xf>
    <xf numFmtId="49" fontId="34" fillId="0" borderId="255" applyNumberFormat="0" applyFont="0" applyFill="0" applyBorder="0" applyProtection="0">
      <alignment horizontal="left" vertical="center" indent="5"/>
    </xf>
    <xf numFmtId="49" fontId="34" fillId="0" borderId="260" applyNumberFormat="0" applyFont="0" applyFill="0" applyBorder="0" applyProtection="0">
      <alignment horizontal="left" vertical="center" indent="2"/>
    </xf>
    <xf numFmtId="0" fontId="26" fillId="19" borderId="0" applyNumberFormat="0" applyBorder="0" applyAlignment="0" applyProtection="0"/>
    <xf numFmtId="0" fontId="49" fillId="42" borderId="251" applyNumberFormat="0" applyAlignment="0" applyProtection="0"/>
    <xf numFmtId="0" fontId="34" fillId="0" borderId="271">
      <alignment horizontal="left" vertical="center" wrapText="1" indent="2"/>
    </xf>
    <xf numFmtId="0" fontId="26" fillId="26" borderId="0" applyNumberFormat="0" applyBorder="0" applyAlignment="0" applyProtection="0"/>
    <xf numFmtId="0" fontId="46" fillId="55" borderId="273" applyNumberFormat="0" applyAlignment="0" applyProtection="0"/>
    <xf numFmtId="4" fontId="32" fillId="31" borderId="260">
      <alignment horizontal="right" vertical="center"/>
    </xf>
    <xf numFmtId="0" fontId="30" fillId="0" borderId="0" applyNumberFormat="0" applyFill="0" applyBorder="0" applyAlignment="0" applyProtection="0"/>
    <xf numFmtId="0" fontId="1" fillId="0" borderId="0" applyNumberFormat="0" applyFill="0" applyBorder="0" applyAlignment="0" applyProtection="0"/>
    <xf numFmtId="0" fontId="45" fillId="55" borderId="251" applyNumberFormat="0" applyAlignment="0" applyProtection="0"/>
    <xf numFmtId="0" fontId="50" fillId="0" borderId="252" applyNumberFormat="0" applyFill="0" applyAlignment="0" applyProtection="0"/>
    <xf numFmtId="0" fontId="58" fillId="42" borderId="265" applyNumberFormat="0" applyAlignment="0" applyProtection="0"/>
    <xf numFmtId="0" fontId="46" fillId="55" borderId="251" applyNumberFormat="0" applyAlignment="0" applyProtection="0"/>
    <xf numFmtId="4" fontId="32" fillId="33" borderId="254">
      <alignment horizontal="right" vertical="center"/>
    </xf>
    <xf numFmtId="0" fontId="45" fillId="55" borderId="251" applyNumberFormat="0" applyAlignment="0" applyProtection="0"/>
    <xf numFmtId="4" fontId="32" fillId="33" borderId="260">
      <alignment horizontal="right" vertical="center"/>
    </xf>
    <xf numFmtId="0" fontId="29" fillId="12" borderId="10" applyNumberFormat="0" applyAlignment="0" applyProtection="0"/>
    <xf numFmtId="4" fontId="32" fillId="33" borderId="262">
      <alignment horizontal="right" vertical="center"/>
    </xf>
    <xf numFmtId="0" fontId="32" fillId="33" borderId="260">
      <alignment horizontal="right" vertical="center"/>
    </xf>
    <xf numFmtId="0" fontId="26" fillId="17" borderId="0" applyNumberFormat="0" applyBorder="0" applyAlignment="0" applyProtection="0"/>
    <xf numFmtId="0" fontId="26" fillId="28" borderId="0" applyNumberFormat="0" applyBorder="0" applyAlignment="0" applyProtection="0"/>
    <xf numFmtId="0" fontId="26" fillId="26" borderId="0" applyNumberFormat="0" applyBorder="0" applyAlignment="0" applyProtection="0"/>
    <xf numFmtId="49" fontId="34" fillId="0" borderId="260" applyNumberFormat="0" applyFont="0" applyFill="0" applyBorder="0" applyProtection="0">
      <alignment horizontal="left" vertical="center" indent="2"/>
    </xf>
    <xf numFmtId="4" fontId="32" fillId="33" borderId="260">
      <alignment horizontal="right" vertical="center"/>
    </xf>
    <xf numFmtId="0" fontId="46" fillId="55" borderId="251" applyNumberFormat="0" applyAlignment="0" applyProtection="0"/>
    <xf numFmtId="4" fontId="32" fillId="31" borderId="278">
      <alignment horizontal="right" vertical="center"/>
    </xf>
    <xf numFmtId="0" fontId="34" fillId="33" borderId="263">
      <alignment horizontal="left" vertical="center" wrapText="1" indent="2"/>
    </xf>
    <xf numFmtId="0" fontId="32" fillId="31" borderId="254">
      <alignment horizontal="right" vertical="center"/>
    </xf>
    <xf numFmtId="4" fontId="32" fillId="33" borderId="256">
      <alignment horizontal="right" vertical="center"/>
    </xf>
    <xf numFmtId="0" fontId="1" fillId="0" borderId="0" applyNumberFormat="0" applyFill="0" applyBorder="0" applyAlignment="0" applyProtection="0"/>
    <xf numFmtId="4" fontId="34" fillId="0" borderId="244">
      <alignment horizontal="right" vertical="center"/>
    </xf>
    <xf numFmtId="173" fontId="34" fillId="59" borderId="254" applyNumberFormat="0" applyFont="0" applyBorder="0" applyAlignment="0" applyProtection="0">
      <alignment horizontal="right" vertical="center"/>
    </xf>
    <xf numFmtId="49" fontId="34" fillId="0" borderId="244" applyNumberFormat="0" applyFont="0" applyFill="0" applyBorder="0" applyProtection="0">
      <alignment horizontal="left" vertical="center" indent="2"/>
    </xf>
    <xf numFmtId="0" fontId="46" fillId="55" borderId="249" applyNumberFormat="0" applyAlignment="0" applyProtection="0"/>
    <xf numFmtId="0" fontId="46" fillId="55" borderId="275" applyNumberFormat="0" applyAlignment="0" applyProtection="0"/>
    <xf numFmtId="0" fontId="36" fillId="31" borderId="254">
      <alignment horizontal="right" vertical="center"/>
    </xf>
    <xf numFmtId="0" fontId="50" fillId="0" borderId="252" applyNumberFormat="0" applyFill="0" applyAlignment="0" applyProtection="0"/>
    <xf numFmtId="4" fontId="32" fillId="33" borderId="254">
      <alignment horizontal="right" vertical="center"/>
    </xf>
    <xf numFmtId="0" fontId="65" fillId="0" borderId="252" applyNumberFormat="0" applyFill="0" applyAlignment="0" applyProtection="0"/>
    <xf numFmtId="0" fontId="40" fillId="58" borderId="253" applyNumberFormat="0" applyFont="0" applyAlignment="0" applyProtection="0"/>
    <xf numFmtId="0" fontId="46" fillId="55" borderId="265" applyNumberFormat="0" applyAlignment="0" applyProtection="0"/>
    <xf numFmtId="0" fontId="32" fillId="31" borderId="260">
      <alignment horizontal="right" vertical="center"/>
    </xf>
    <xf numFmtId="0" fontId="50" fillId="0" borderId="274" applyNumberFormat="0" applyFill="0" applyAlignment="0" applyProtection="0"/>
    <xf numFmtId="0" fontId="45" fillId="55" borderId="251" applyNumberFormat="0" applyAlignment="0" applyProtection="0"/>
    <xf numFmtId="49" fontId="34" fillId="0" borderId="245" applyNumberFormat="0" applyFont="0" applyFill="0" applyBorder="0" applyProtection="0">
      <alignment horizontal="left" vertical="center" indent="5"/>
    </xf>
    <xf numFmtId="0" fontId="49" fillId="42" borderId="249" applyNumberFormat="0" applyAlignment="0" applyProtection="0"/>
    <xf numFmtId="0" fontId="43" fillId="55" borderId="248" applyNumberFormat="0" applyAlignment="0" applyProtection="0"/>
    <xf numFmtId="0" fontId="34" fillId="33" borderId="247">
      <alignment horizontal="left" vertical="center" wrapText="1" indent="2"/>
    </xf>
    <xf numFmtId="0" fontId="65" fillId="0" borderId="250" applyNumberFormat="0" applyFill="0" applyAlignment="0" applyProtection="0"/>
    <xf numFmtId="4" fontId="32" fillId="33" borderId="245">
      <alignment horizontal="right" vertical="center"/>
    </xf>
    <xf numFmtId="0" fontId="34" fillId="0" borderId="257">
      <alignment horizontal="left" vertical="center" wrapText="1" indent="2"/>
    </xf>
    <xf numFmtId="0" fontId="32" fillId="33" borderId="244">
      <alignment horizontal="right" vertical="center"/>
    </xf>
    <xf numFmtId="4" fontId="32" fillId="31" borderId="244">
      <alignment horizontal="right" vertical="center"/>
    </xf>
    <xf numFmtId="4" fontId="32" fillId="33" borderId="255">
      <alignment horizontal="right" vertical="center"/>
    </xf>
    <xf numFmtId="0" fontId="2" fillId="0" borderId="12" applyNumberFormat="0" applyFill="0" applyAlignment="0" applyProtection="0"/>
    <xf numFmtId="4" fontId="34" fillId="32" borderId="254"/>
    <xf numFmtId="0" fontId="45" fillId="55" borderId="249" applyNumberFormat="0" applyAlignment="0" applyProtection="0"/>
    <xf numFmtId="0" fontId="32" fillId="33" borderId="260">
      <alignment horizontal="right" vertical="center"/>
    </xf>
    <xf numFmtId="0" fontId="34" fillId="33" borderId="257">
      <alignment horizontal="left" vertical="center" wrapText="1" indent="2"/>
    </xf>
    <xf numFmtId="0" fontId="32" fillId="31" borderId="278">
      <alignment horizontal="right" vertical="center"/>
    </xf>
    <xf numFmtId="0" fontId="32" fillId="33" borderId="254">
      <alignment horizontal="right" vertical="center"/>
    </xf>
    <xf numFmtId="0" fontId="34" fillId="0" borderId="244">
      <alignment horizontal="right" vertical="center"/>
    </xf>
    <xf numFmtId="0" fontId="34" fillId="31" borderId="245">
      <alignment horizontal="left" vertical="center"/>
    </xf>
    <xf numFmtId="0" fontId="34" fillId="0" borderId="257">
      <alignment horizontal="left" vertical="center" wrapText="1" indent="2"/>
    </xf>
    <xf numFmtId="4" fontId="32" fillId="33" borderId="254">
      <alignment horizontal="right" vertical="center"/>
    </xf>
    <xf numFmtId="4" fontId="34" fillId="32" borderId="244"/>
    <xf numFmtId="0" fontId="36" fillId="31" borderId="244">
      <alignment horizontal="right" vertical="center"/>
    </xf>
    <xf numFmtId="0" fontId="32" fillId="33" borderId="244">
      <alignment horizontal="right" vertical="center"/>
    </xf>
    <xf numFmtId="0" fontId="34" fillId="0" borderId="247">
      <alignment horizontal="left" vertical="center" wrapText="1" indent="2"/>
    </xf>
    <xf numFmtId="0" fontId="49" fillId="42" borderId="249" applyNumberFormat="0" applyAlignment="0" applyProtection="0"/>
    <xf numFmtId="0" fontId="34" fillId="0" borderId="257">
      <alignment horizontal="left" vertical="center" wrapText="1" indent="2"/>
    </xf>
    <xf numFmtId="0" fontId="40" fillId="58" borderId="253" applyNumberFormat="0" applyFont="0" applyAlignment="0" applyProtection="0"/>
    <xf numFmtId="0" fontId="58" fillId="42" borderId="265" applyNumberFormat="0" applyAlignment="0" applyProtection="0"/>
    <xf numFmtId="0" fontId="65" fillId="0" borderId="276" applyNumberFormat="0" applyFill="0" applyAlignment="0" applyProtection="0"/>
    <xf numFmtId="0" fontId="49" fillId="42" borderId="273" applyNumberFormat="0" applyAlignment="0" applyProtection="0"/>
    <xf numFmtId="0" fontId="62" fillId="55" borderId="258" applyNumberFormat="0" applyAlignment="0" applyProtection="0"/>
    <xf numFmtId="0" fontId="40" fillId="58" borderId="243" applyNumberFormat="0" applyFont="0" applyAlignment="0" applyProtection="0"/>
    <xf numFmtId="0" fontId="40" fillId="58" borderId="259" applyNumberFormat="0" applyFont="0" applyAlignment="0" applyProtection="0"/>
    <xf numFmtId="0" fontId="26" fillId="16" borderId="0" applyNumberFormat="0" applyBorder="0" applyAlignment="0" applyProtection="0"/>
    <xf numFmtId="0" fontId="26" fillId="29" borderId="0" applyNumberFormat="0" applyBorder="0" applyAlignment="0" applyProtection="0"/>
    <xf numFmtId="0" fontId="26" fillId="23" borderId="0" applyNumberFormat="0" applyBorder="0" applyAlignment="0" applyProtection="0"/>
    <xf numFmtId="0" fontId="34" fillId="0" borderId="257">
      <alignment horizontal="left" vertical="center" wrapText="1" indent="2"/>
    </xf>
    <xf numFmtId="0" fontId="49" fillId="42" borderId="249" applyNumberFormat="0" applyAlignment="0" applyProtection="0"/>
    <xf numFmtId="0" fontId="34" fillId="32" borderId="244"/>
    <xf numFmtId="0" fontId="36" fillId="31" borderId="244">
      <alignment horizontal="right" vertical="center"/>
    </xf>
    <xf numFmtId="0" fontId="62" fillId="55" borderId="248" applyNumberFormat="0" applyAlignment="0" applyProtection="0"/>
    <xf numFmtId="0" fontId="26" fillId="16" borderId="0" applyNumberFormat="0" applyBorder="0" applyAlignment="0" applyProtection="0"/>
    <xf numFmtId="4" fontId="34" fillId="0" borderId="268">
      <alignment horizontal="right" vertical="center"/>
    </xf>
    <xf numFmtId="0" fontId="34" fillId="31" borderId="255">
      <alignment horizontal="left" vertical="center"/>
    </xf>
    <xf numFmtId="0" fontId="32" fillId="31" borderId="244">
      <alignment horizontal="right" vertical="center"/>
    </xf>
    <xf numFmtId="49" fontId="33" fillId="0" borderId="254" applyNumberFormat="0" applyFill="0" applyBorder="0" applyProtection="0">
      <alignment horizontal="left" vertical="center"/>
    </xf>
    <xf numFmtId="0" fontId="26" fillId="13" borderId="0" applyNumberFormat="0" applyBorder="0" applyAlignment="0" applyProtection="0"/>
    <xf numFmtId="0" fontId="34" fillId="31" borderId="255">
      <alignment horizontal="left" vertical="center"/>
    </xf>
    <xf numFmtId="49" fontId="34" fillId="0" borderId="268" applyNumberFormat="0" applyFont="0" applyFill="0" applyBorder="0" applyProtection="0">
      <alignment horizontal="left" vertical="center" indent="2"/>
    </xf>
    <xf numFmtId="4" fontId="32" fillId="33" borderId="244">
      <alignment horizontal="right" vertical="center"/>
    </xf>
    <xf numFmtId="0" fontId="46" fillId="55" borderId="265" applyNumberFormat="0" applyAlignment="0" applyProtection="0"/>
    <xf numFmtId="0" fontId="40" fillId="58" borderId="259" applyNumberFormat="0" applyFont="0" applyAlignment="0" applyProtection="0"/>
    <xf numFmtId="0" fontId="32" fillId="33" borderId="244">
      <alignment horizontal="right" vertical="center"/>
    </xf>
    <xf numFmtId="0" fontId="34" fillId="33" borderId="247">
      <alignment horizontal="left" vertical="center" wrapText="1" indent="2"/>
    </xf>
    <xf numFmtId="0" fontId="26" fillId="19" borderId="0" applyNumberFormat="0" applyBorder="0" applyAlignment="0" applyProtection="0"/>
    <xf numFmtId="0" fontId="34" fillId="0" borderId="244" applyNumberFormat="0" applyFill="0" applyAlignment="0" applyProtection="0"/>
    <xf numFmtId="49" fontId="34" fillId="0" borderId="244" applyNumberFormat="0" applyFont="0" applyFill="0" applyBorder="0" applyProtection="0">
      <alignment horizontal="left" vertical="center" indent="2"/>
    </xf>
    <xf numFmtId="0" fontId="26" fillId="16" borderId="0" applyNumberFormat="0" applyBorder="0" applyAlignment="0" applyProtection="0"/>
    <xf numFmtId="0" fontId="34" fillId="0" borderId="260">
      <alignment horizontal="right" vertical="center"/>
    </xf>
    <xf numFmtId="0" fontId="58" fillId="42" borderId="251" applyNumberFormat="0" applyAlignment="0" applyProtection="0"/>
    <xf numFmtId="0" fontId="12" fillId="15" borderId="0" applyNumberFormat="0" applyBorder="0" applyAlignment="0" applyProtection="0"/>
    <xf numFmtId="4" fontId="32" fillId="33" borderId="244">
      <alignment horizontal="right" vertical="center"/>
    </xf>
    <xf numFmtId="0" fontId="26" fillId="26" borderId="0" applyNumberFormat="0" applyBorder="0" applyAlignment="0" applyProtection="0"/>
    <xf numFmtId="0" fontId="28" fillId="12" borderId="11" applyNumberFormat="0" applyAlignment="0" applyProtection="0"/>
    <xf numFmtId="49" fontId="34" fillId="0" borderId="254" applyNumberFormat="0" applyFont="0" applyFill="0" applyBorder="0" applyProtection="0">
      <alignment horizontal="left" vertical="center" indent="2"/>
    </xf>
    <xf numFmtId="0" fontId="46" fillId="55" borderId="249" applyNumberFormat="0" applyAlignment="0" applyProtection="0"/>
    <xf numFmtId="0" fontId="62" fillId="55" borderId="248" applyNumberFormat="0" applyAlignment="0" applyProtection="0"/>
    <xf numFmtId="0" fontId="65" fillId="0" borderId="250" applyNumberFormat="0" applyFill="0" applyAlignment="0" applyProtection="0"/>
    <xf numFmtId="0" fontId="50" fillId="0" borderId="252" applyNumberFormat="0" applyFill="0" applyAlignment="0" applyProtection="0"/>
    <xf numFmtId="4" fontId="32" fillId="31" borderId="244">
      <alignment horizontal="right" vertical="center"/>
    </xf>
    <xf numFmtId="0" fontId="49" fillId="42" borderId="249" applyNumberFormat="0" applyAlignment="0" applyProtection="0"/>
    <xf numFmtId="0" fontId="58" fillId="42" borderId="249" applyNumberFormat="0" applyAlignment="0" applyProtection="0"/>
    <xf numFmtId="0" fontId="43" fillId="55" borderId="248" applyNumberFormat="0" applyAlignment="0" applyProtection="0"/>
    <xf numFmtId="0" fontId="34" fillId="0" borderId="247">
      <alignment horizontal="left" vertical="center" wrapText="1" indent="2"/>
    </xf>
    <xf numFmtId="0" fontId="58" fillId="42" borderId="249" applyNumberFormat="0" applyAlignment="0" applyProtection="0"/>
    <xf numFmtId="0" fontId="34" fillId="0" borderId="244" applyNumberFormat="0" applyFill="0" applyAlignment="0" applyProtection="0"/>
    <xf numFmtId="4" fontId="34" fillId="0" borderId="244">
      <alignment horizontal="right" vertical="center"/>
    </xf>
    <xf numFmtId="0" fontId="32" fillId="33" borderId="244">
      <alignment horizontal="right" vertical="center"/>
    </xf>
    <xf numFmtId="4" fontId="32" fillId="33" borderId="246">
      <alignment horizontal="right" vertical="center"/>
    </xf>
    <xf numFmtId="4" fontId="32" fillId="31" borderId="244">
      <alignment horizontal="right" vertical="center"/>
    </xf>
    <xf numFmtId="0" fontId="34" fillId="0" borderId="244">
      <alignment horizontal="right" vertical="center"/>
    </xf>
    <xf numFmtId="4" fontId="36" fillId="31" borderId="254">
      <alignment horizontal="right" vertical="center"/>
    </xf>
    <xf numFmtId="0" fontId="40" fillId="58" borderId="267" applyNumberFormat="0" applyFont="0" applyAlignment="0" applyProtection="0"/>
    <xf numFmtId="0" fontId="34" fillId="32" borderId="254"/>
    <xf numFmtId="4" fontId="32" fillId="31" borderId="260">
      <alignment horizontal="right" vertical="center"/>
    </xf>
    <xf numFmtId="0" fontId="26" fillId="16" borderId="0" applyNumberFormat="0" applyBorder="0" applyAlignment="0" applyProtection="0"/>
    <xf numFmtId="0" fontId="40" fillId="58" borderId="253" applyNumberFormat="0" applyFont="0" applyAlignment="0" applyProtection="0"/>
    <xf numFmtId="0" fontId="46" fillId="55" borderId="249" applyNumberFormat="0" applyAlignment="0" applyProtection="0"/>
    <xf numFmtId="4" fontId="32" fillId="33" borderId="254">
      <alignment horizontal="right" vertical="center"/>
    </xf>
    <xf numFmtId="4" fontId="36" fillId="31" borderId="254">
      <alignment horizontal="right" vertical="center"/>
    </xf>
    <xf numFmtId="0" fontId="34" fillId="0" borderId="257">
      <alignment horizontal="left" vertical="center" wrapText="1" indent="2"/>
    </xf>
    <xf numFmtId="0" fontId="26" fillId="25" borderId="0" applyNumberFormat="0" applyBorder="0" applyAlignment="0" applyProtection="0"/>
    <xf numFmtId="0" fontId="34" fillId="33" borderId="271">
      <alignment horizontal="left" vertical="center" wrapText="1" indent="2"/>
    </xf>
    <xf numFmtId="0" fontId="50" fillId="0" borderId="266" applyNumberFormat="0" applyFill="0" applyAlignment="0" applyProtection="0"/>
    <xf numFmtId="4" fontId="34" fillId="32" borderId="254"/>
    <xf numFmtId="4" fontId="32" fillId="33" borderId="254">
      <alignment horizontal="right" vertical="center"/>
    </xf>
    <xf numFmtId="0" fontId="46" fillId="55" borderId="251" applyNumberFormat="0" applyAlignment="0" applyProtection="0"/>
    <xf numFmtId="0" fontId="45" fillId="55" borderId="249" applyNumberFormat="0" applyAlignment="0" applyProtection="0"/>
    <xf numFmtId="0" fontId="40" fillId="58" borderId="277" applyNumberFormat="0" applyFont="0" applyAlignment="0" applyProtection="0"/>
    <xf numFmtId="0" fontId="29" fillId="12" borderId="10" applyNumberFormat="0" applyAlignment="0" applyProtection="0"/>
    <xf numFmtId="0" fontId="32" fillId="33" borderId="254">
      <alignment horizontal="right" vertical="center"/>
    </xf>
    <xf numFmtId="4" fontId="32" fillId="33" borderId="244">
      <alignment horizontal="right" vertical="center"/>
    </xf>
    <xf numFmtId="4" fontId="32" fillId="33" borderId="246">
      <alignment horizontal="right" vertical="center"/>
    </xf>
    <xf numFmtId="4" fontId="36" fillId="31" borderId="244">
      <alignment horizontal="right" vertical="center"/>
    </xf>
    <xf numFmtId="0" fontId="32" fillId="33" borderId="254">
      <alignment horizontal="right" vertical="center"/>
    </xf>
    <xf numFmtId="0" fontId="34" fillId="0" borderId="260">
      <alignment horizontal="right" vertical="center"/>
    </xf>
    <xf numFmtId="0" fontId="26" fillId="17" borderId="0" applyNumberFormat="0" applyBorder="0" applyAlignment="0" applyProtection="0"/>
    <xf numFmtId="0" fontId="32" fillId="33" borderId="244">
      <alignment horizontal="right" vertical="center"/>
    </xf>
    <xf numFmtId="0" fontId="12" fillId="24" borderId="0" applyNumberFormat="0" applyBorder="0" applyAlignment="0" applyProtection="0"/>
    <xf numFmtId="0" fontId="46" fillId="55" borderId="249" applyNumberFormat="0" applyAlignment="0" applyProtection="0"/>
    <xf numFmtId="0" fontId="46" fillId="55" borderId="249" applyNumberFormat="0" applyAlignment="0" applyProtection="0"/>
    <xf numFmtId="4" fontId="34" fillId="32" borderId="244"/>
    <xf numFmtId="0" fontId="49" fillId="42" borderId="249" applyNumberFormat="0" applyAlignment="0" applyProtection="0"/>
    <xf numFmtId="0" fontId="43" fillId="55" borderId="248" applyNumberFormat="0" applyAlignment="0" applyProtection="0"/>
    <xf numFmtId="0" fontId="12" fillId="18" borderId="0" applyNumberFormat="0" applyBorder="0" applyAlignment="0" applyProtection="0"/>
    <xf numFmtId="4" fontId="36" fillId="31" borderId="278">
      <alignment horizontal="right" vertical="center"/>
    </xf>
    <xf numFmtId="0" fontId="5" fillId="58" borderId="243" applyNumberFormat="0" applyFont="0" applyAlignment="0" applyProtection="0"/>
    <xf numFmtId="0" fontId="49" fillId="42" borderId="275" applyNumberFormat="0" applyAlignment="0" applyProtection="0"/>
    <xf numFmtId="0" fontId="65" fillId="0" borderId="266" applyNumberFormat="0" applyFill="0" applyAlignment="0" applyProtection="0"/>
    <xf numFmtId="4" fontId="36" fillId="31" borderId="254">
      <alignment horizontal="right" vertical="center"/>
    </xf>
    <xf numFmtId="0" fontId="36" fillId="31" borderId="254">
      <alignment horizontal="right" vertical="center"/>
    </xf>
    <xf numFmtId="0" fontId="65" fillId="0" borderId="266" applyNumberFormat="0" applyFill="0" applyAlignment="0" applyProtection="0"/>
    <xf numFmtId="49" fontId="34" fillId="0" borderId="260" applyNumberFormat="0" applyFont="0" applyFill="0" applyBorder="0" applyProtection="0">
      <alignment horizontal="left" vertical="center" indent="2"/>
    </xf>
    <xf numFmtId="0" fontId="26" fillId="26" borderId="0" applyNumberFormat="0" applyBorder="0" applyAlignment="0" applyProtection="0"/>
    <xf numFmtId="0" fontId="34" fillId="0" borderId="244">
      <alignment horizontal="right" vertical="center"/>
    </xf>
    <xf numFmtId="0" fontId="34" fillId="0" borderId="244" applyNumberFormat="0" applyFill="0" applyAlignment="0" applyProtection="0"/>
    <xf numFmtId="0" fontId="65" fillId="0" borderId="250" applyNumberFormat="0" applyFill="0" applyAlignment="0" applyProtection="0"/>
    <xf numFmtId="4" fontId="34" fillId="0" borderId="244" applyFill="0" applyBorder="0" applyProtection="0">
      <alignment horizontal="right" vertical="center"/>
    </xf>
    <xf numFmtId="0" fontId="45" fillId="55" borderId="249" applyNumberFormat="0" applyAlignment="0" applyProtection="0"/>
    <xf numFmtId="4" fontId="34" fillId="32" borderId="244"/>
    <xf numFmtId="0" fontId="65" fillId="0" borderId="250" applyNumberFormat="0" applyFill="0" applyAlignment="0" applyProtection="0"/>
    <xf numFmtId="0" fontId="62" fillId="55" borderId="258" applyNumberFormat="0" applyAlignment="0" applyProtection="0"/>
    <xf numFmtId="49" fontId="34" fillId="0" borderId="244" applyNumberFormat="0" applyFont="0" applyFill="0" applyBorder="0" applyProtection="0">
      <alignment horizontal="left" vertical="center" indent="2"/>
    </xf>
    <xf numFmtId="0" fontId="58" fillId="42" borderId="251" applyNumberFormat="0" applyAlignment="0" applyProtection="0"/>
    <xf numFmtId="0" fontId="65" fillId="0" borderId="252" applyNumberFormat="0" applyFill="0" applyAlignment="0" applyProtection="0"/>
    <xf numFmtId="4" fontId="32" fillId="33" borderId="262">
      <alignment horizontal="right" vertical="center"/>
    </xf>
    <xf numFmtId="0" fontId="45" fillId="55" borderId="249" applyNumberFormat="0" applyAlignment="0" applyProtection="0"/>
    <xf numFmtId="0" fontId="5" fillId="58" borderId="253" applyNumberFormat="0" applyFont="0" applyAlignment="0" applyProtection="0"/>
    <xf numFmtId="0" fontId="65" fillId="0" borderId="276" applyNumberFormat="0" applyFill="0" applyAlignment="0" applyProtection="0"/>
    <xf numFmtId="4" fontId="32" fillId="33" borderId="255">
      <alignment horizontal="right" vertical="center"/>
    </xf>
    <xf numFmtId="0" fontId="65" fillId="0" borderId="250" applyNumberFormat="0" applyFill="0" applyAlignment="0" applyProtection="0"/>
    <xf numFmtId="4" fontId="32" fillId="33" borderId="244">
      <alignment horizontal="right" vertical="center"/>
    </xf>
    <xf numFmtId="0" fontId="26" fillId="13" borderId="0" applyNumberFormat="0" applyBorder="0" applyAlignment="0" applyProtection="0"/>
    <xf numFmtId="4" fontId="36" fillId="31" borderId="268">
      <alignment horizontal="right" vertical="center"/>
    </xf>
    <xf numFmtId="4" fontId="32" fillId="33" borderId="280">
      <alignment horizontal="right" vertical="center"/>
    </xf>
    <xf numFmtId="0" fontId="12" fillId="24" borderId="0" applyNumberFormat="0" applyBorder="0" applyAlignment="0" applyProtection="0"/>
    <xf numFmtId="0" fontId="26" fillId="20" borderId="0" applyNumberFormat="0" applyBorder="0" applyAlignment="0" applyProtection="0"/>
    <xf numFmtId="49" fontId="33" fillId="0" borderId="268" applyNumberFormat="0" applyFill="0" applyBorder="0" applyProtection="0">
      <alignment horizontal="left" vertical="center"/>
    </xf>
    <xf numFmtId="0" fontId="26" fillId="26" borderId="0" applyNumberFormat="0" applyBorder="0" applyAlignment="0" applyProtection="0"/>
    <xf numFmtId="0" fontId="40" fillId="58" borderId="253" applyNumberFormat="0" applyFont="0" applyAlignment="0" applyProtection="0"/>
    <xf numFmtId="0" fontId="65" fillId="0" borderId="274" applyNumberFormat="0" applyFill="0" applyAlignment="0" applyProtection="0"/>
    <xf numFmtId="4" fontId="32" fillId="33" borderId="278">
      <alignment horizontal="right" vertical="center"/>
    </xf>
    <xf numFmtId="4" fontId="32" fillId="33" borderId="268">
      <alignment horizontal="right" vertical="center"/>
    </xf>
    <xf numFmtId="0" fontId="58" fillId="42" borderId="249" applyNumberFormat="0" applyAlignment="0" applyProtection="0"/>
    <xf numFmtId="0" fontId="32" fillId="33" borderId="244">
      <alignment horizontal="right" vertical="center"/>
    </xf>
    <xf numFmtId="0" fontId="5" fillId="58" borderId="243" applyNumberFormat="0" applyFont="0" applyAlignment="0" applyProtection="0"/>
    <xf numFmtId="4" fontId="32" fillId="33" borderId="245">
      <alignment horizontal="right" vertical="center"/>
    </xf>
    <xf numFmtId="0" fontId="58" fillId="42" borderId="249" applyNumberFormat="0" applyAlignment="0" applyProtection="0"/>
    <xf numFmtId="0" fontId="32" fillId="33" borderId="255">
      <alignment horizontal="right" vertical="center"/>
    </xf>
    <xf numFmtId="0" fontId="34" fillId="33" borderId="271">
      <alignment horizontal="left" vertical="center" wrapText="1" indent="2"/>
    </xf>
    <xf numFmtId="0" fontId="58" fillId="42" borderId="251" applyNumberFormat="0" applyAlignment="0" applyProtection="0"/>
    <xf numFmtId="0" fontId="46" fillId="55" borderId="251" applyNumberFormat="0" applyAlignment="0" applyProtection="0"/>
    <xf numFmtId="0" fontId="58" fillId="42" borderId="249" applyNumberFormat="0" applyAlignment="0" applyProtection="0"/>
    <xf numFmtId="0" fontId="32" fillId="33" borderId="254">
      <alignment horizontal="right" vertical="center"/>
    </xf>
    <xf numFmtId="0" fontId="5" fillId="58" borderId="243" applyNumberFormat="0" applyFont="0" applyAlignment="0" applyProtection="0"/>
    <xf numFmtId="4" fontId="32" fillId="33" borderId="245">
      <alignment horizontal="right" vertical="center"/>
    </xf>
    <xf numFmtId="4" fontId="32" fillId="33" borderId="244">
      <alignment horizontal="right" vertical="center"/>
    </xf>
    <xf numFmtId="0" fontId="32" fillId="33" borderId="279">
      <alignment horizontal="right" vertical="center"/>
    </xf>
    <xf numFmtId="4" fontId="32" fillId="33" borderId="244">
      <alignment horizontal="right" vertical="center"/>
    </xf>
    <xf numFmtId="0" fontId="58" fillId="42" borderId="249" applyNumberFormat="0" applyAlignment="0" applyProtection="0"/>
    <xf numFmtId="4" fontId="36" fillId="31" borderId="244">
      <alignment horizontal="right" vertical="center"/>
    </xf>
    <xf numFmtId="0" fontId="34" fillId="33" borderId="247">
      <alignment horizontal="left" vertical="center" wrapText="1" indent="2"/>
    </xf>
    <xf numFmtId="0" fontId="5" fillId="58" borderId="243" applyNumberFormat="0" applyFont="0" applyAlignment="0" applyProtection="0"/>
    <xf numFmtId="0" fontId="50" fillId="0" borderId="250" applyNumberFormat="0" applyFill="0" applyAlignment="0" applyProtection="0"/>
    <xf numFmtId="0" fontId="58" fillId="42" borderId="249" applyNumberFormat="0" applyAlignment="0" applyProtection="0"/>
    <xf numFmtId="4" fontId="34" fillId="0" borderId="244">
      <alignment horizontal="right" vertical="center"/>
    </xf>
    <xf numFmtId="0" fontId="65" fillId="0" borderId="250" applyNumberFormat="0" applyFill="0" applyAlignment="0" applyProtection="0"/>
    <xf numFmtId="0" fontId="5" fillId="58" borderId="259" applyNumberFormat="0" applyFont="0" applyAlignment="0" applyProtection="0"/>
    <xf numFmtId="0" fontId="34" fillId="0" borderId="260">
      <alignment horizontal="right" vertical="center"/>
    </xf>
    <xf numFmtId="0" fontId="65" fillId="0" borderId="252" applyNumberFormat="0" applyFill="0" applyAlignment="0" applyProtection="0"/>
    <xf numFmtId="0" fontId="45" fillId="55" borderId="265" applyNumberFormat="0" applyAlignment="0" applyProtection="0"/>
    <xf numFmtId="0" fontId="62" fillId="55" borderId="264" applyNumberFormat="0" applyAlignment="0" applyProtection="0"/>
    <xf numFmtId="4" fontId="34" fillId="0" borderId="254">
      <alignment horizontal="right" vertical="center"/>
    </xf>
    <xf numFmtId="0" fontId="2" fillId="0" borderId="12" applyNumberFormat="0" applyFill="0" applyAlignment="0" applyProtection="0"/>
    <xf numFmtId="0" fontId="46" fillId="55" borderId="249" applyNumberFormat="0" applyAlignment="0" applyProtection="0"/>
    <xf numFmtId="0" fontId="32" fillId="31" borderId="244">
      <alignment horizontal="right" vertical="center"/>
    </xf>
    <xf numFmtId="0" fontId="40" fillId="58" borderId="277" applyNumberFormat="0" applyFont="0" applyAlignment="0" applyProtection="0"/>
    <xf numFmtId="49" fontId="34" fillId="0" borderId="261" applyNumberFormat="0" applyFont="0" applyFill="0" applyBorder="0" applyProtection="0">
      <alignment horizontal="left" vertical="center" indent="5"/>
    </xf>
    <xf numFmtId="0" fontId="5" fillId="58" borderId="253" applyNumberFormat="0" applyFont="0" applyAlignment="0" applyProtection="0"/>
    <xf numFmtId="4" fontId="32" fillId="33" borderId="262">
      <alignment horizontal="right" vertical="center"/>
    </xf>
    <xf numFmtId="0" fontId="32" fillId="33" borderId="254">
      <alignment horizontal="right" vertical="center"/>
    </xf>
    <xf numFmtId="0" fontId="34" fillId="32" borderId="260"/>
    <xf numFmtId="4" fontId="36" fillId="31" borderId="268">
      <alignment horizontal="right" vertical="center"/>
    </xf>
    <xf numFmtId="4" fontId="32" fillId="33" borderId="278">
      <alignment horizontal="right" vertical="center"/>
    </xf>
    <xf numFmtId="0" fontId="32" fillId="31" borderId="254">
      <alignment horizontal="right" vertical="center"/>
    </xf>
    <xf numFmtId="49" fontId="33" fillId="0" borderId="244" applyNumberFormat="0" applyFill="0" applyBorder="0" applyProtection="0">
      <alignment horizontal="left" vertical="center"/>
    </xf>
    <xf numFmtId="0" fontId="36" fillId="31" borderId="244">
      <alignment horizontal="right" vertical="center"/>
    </xf>
    <xf numFmtId="0" fontId="45" fillId="55" borderId="249" applyNumberFormat="0" applyAlignment="0" applyProtection="0"/>
    <xf numFmtId="0" fontId="34" fillId="0" borderId="247">
      <alignment horizontal="left" vertical="center" wrapText="1" indent="2"/>
    </xf>
    <xf numFmtId="0" fontId="62" fillId="55" borderId="248" applyNumberFormat="0" applyAlignment="0" applyProtection="0"/>
    <xf numFmtId="0" fontId="32" fillId="33" borderId="245">
      <alignment horizontal="right" vertical="center"/>
    </xf>
    <xf numFmtId="49" fontId="33" fillId="0" borderId="268" applyNumberFormat="0" applyFill="0" applyBorder="0" applyProtection="0">
      <alignment horizontal="left" vertical="center"/>
    </xf>
    <xf numFmtId="0" fontId="32" fillId="33" borderId="245">
      <alignment horizontal="right" vertical="center"/>
    </xf>
    <xf numFmtId="0" fontId="32" fillId="31" borderId="244">
      <alignment horizontal="right" vertical="center"/>
    </xf>
    <xf numFmtId="0" fontId="34" fillId="0" borderId="268" applyNumberFormat="0" applyFill="0" applyAlignment="0" applyProtection="0"/>
    <xf numFmtId="4" fontId="34" fillId="0" borderId="254">
      <alignment horizontal="right" vertical="center"/>
    </xf>
    <xf numFmtId="0" fontId="26" fillId="14" borderId="0" applyNumberFormat="0" applyBorder="0" applyAlignment="0" applyProtection="0"/>
    <xf numFmtId="0" fontId="32" fillId="33" borderId="260">
      <alignment horizontal="right" vertical="center"/>
    </xf>
    <xf numFmtId="0" fontId="43" fillId="55" borderId="248" applyNumberFormat="0" applyAlignment="0" applyProtection="0"/>
    <xf numFmtId="0" fontId="26" fillId="13" borderId="0" applyNumberFormat="0" applyBorder="0" applyAlignment="0" applyProtection="0"/>
    <xf numFmtId="0" fontId="40" fillId="58" borderId="253" applyNumberFormat="0" applyFont="0" applyAlignment="0" applyProtection="0"/>
    <xf numFmtId="0" fontId="46" fillId="55" borderId="265" applyNumberFormat="0" applyAlignment="0" applyProtection="0"/>
    <xf numFmtId="0" fontId="62" fillId="55" borderId="258" applyNumberFormat="0" applyAlignment="0" applyProtection="0"/>
    <xf numFmtId="4" fontId="34" fillId="0" borderId="244">
      <alignment horizontal="right" vertical="center"/>
    </xf>
    <xf numFmtId="0" fontId="65" fillId="0" borderId="250" applyNumberFormat="0" applyFill="0" applyAlignment="0" applyProtection="0"/>
    <xf numFmtId="0" fontId="32" fillId="33" borderId="261">
      <alignment horizontal="right" vertical="center"/>
    </xf>
    <xf numFmtId="173" fontId="34" fillId="59" borderId="254" applyNumberFormat="0" applyFont="0" applyBorder="0" applyAlignment="0" applyProtection="0">
      <alignment horizontal="right" vertical="center"/>
    </xf>
    <xf numFmtId="0" fontId="34" fillId="0" borderId="247">
      <alignment horizontal="left" vertical="center" wrapText="1" indent="2"/>
    </xf>
    <xf numFmtId="4" fontId="32" fillId="31" borderId="244">
      <alignment horizontal="right" vertical="center"/>
    </xf>
    <xf numFmtId="0" fontId="65" fillId="0" borderId="250" applyNumberFormat="0" applyFill="0" applyAlignment="0" applyProtection="0"/>
    <xf numFmtId="0" fontId="34" fillId="33" borderId="247">
      <alignment horizontal="left" vertical="center" wrapText="1" indent="2"/>
    </xf>
    <xf numFmtId="0" fontId="46" fillId="55" borderId="249" applyNumberFormat="0" applyAlignment="0" applyProtection="0"/>
    <xf numFmtId="0" fontId="45" fillId="55" borderId="251" applyNumberFormat="0" applyAlignment="0" applyProtection="0"/>
    <xf numFmtId="4" fontId="32" fillId="33" borderId="255">
      <alignment horizontal="right" vertical="center"/>
    </xf>
    <xf numFmtId="49" fontId="34" fillId="0" borderId="278" applyNumberFormat="0" applyFont="0" applyFill="0" applyBorder="0" applyProtection="0">
      <alignment horizontal="left" vertical="center" indent="2"/>
    </xf>
    <xf numFmtId="0" fontId="65" fillId="0" borderId="276" applyNumberFormat="0" applyFill="0" applyAlignment="0" applyProtection="0"/>
    <xf numFmtId="4" fontId="32" fillId="33" borderId="254">
      <alignment horizontal="right" vertical="center"/>
    </xf>
    <xf numFmtId="173" fontId="34" fillId="59" borderId="244" applyNumberFormat="0" applyFont="0" applyBorder="0" applyAlignment="0" applyProtection="0">
      <alignment horizontal="right" vertical="center"/>
    </xf>
    <xf numFmtId="49" fontId="34" fillId="0" borderId="268" applyNumberFormat="0" applyFont="0" applyFill="0" applyBorder="0" applyProtection="0">
      <alignment horizontal="left" vertical="center" indent="2"/>
    </xf>
    <xf numFmtId="0" fontId="12" fillId="21" borderId="0" applyNumberFormat="0" applyBorder="0" applyAlignment="0" applyProtection="0"/>
    <xf numFmtId="0" fontId="26" fillId="28" borderId="0" applyNumberFormat="0" applyBorder="0" applyAlignment="0" applyProtection="0"/>
    <xf numFmtId="0" fontId="26" fillId="22" borderId="0" applyNumberFormat="0" applyBorder="0" applyAlignment="0" applyProtection="0"/>
    <xf numFmtId="0" fontId="32" fillId="33" borderId="255">
      <alignment horizontal="right" vertical="center"/>
    </xf>
    <xf numFmtId="0" fontId="34" fillId="32" borderId="254"/>
    <xf numFmtId="0" fontId="32" fillId="33" borderId="246">
      <alignment horizontal="right" vertical="center"/>
    </xf>
    <xf numFmtId="0" fontId="40" fillId="58" borderId="267" applyNumberFormat="0" applyFont="0" applyAlignment="0" applyProtection="0"/>
    <xf numFmtId="0" fontId="34" fillId="33" borderId="247">
      <alignment horizontal="left" vertical="center" wrapText="1" indent="2"/>
    </xf>
    <xf numFmtId="4" fontId="32" fillId="33" borderId="244">
      <alignment horizontal="right" vertical="center"/>
    </xf>
    <xf numFmtId="0" fontId="40" fillId="58" borderId="243" applyNumberFormat="0" applyFont="0" applyAlignment="0" applyProtection="0"/>
    <xf numFmtId="0" fontId="26" fillId="23" borderId="0" applyNumberFormat="0" applyBorder="0" applyAlignment="0" applyProtection="0"/>
    <xf numFmtId="4" fontId="32" fillId="31" borderId="254">
      <alignment horizontal="right" vertical="center"/>
    </xf>
    <xf numFmtId="4" fontId="34" fillId="32" borderId="260"/>
    <xf numFmtId="4" fontId="36" fillId="31" borderId="244">
      <alignment horizontal="right" vertical="center"/>
    </xf>
    <xf numFmtId="0" fontId="46" fillId="55" borderId="251" applyNumberFormat="0" applyAlignment="0" applyProtection="0"/>
    <xf numFmtId="0" fontId="43" fillId="55" borderId="282" applyNumberFormat="0" applyAlignment="0" applyProtection="0"/>
    <xf numFmtId="0" fontId="12" fillId="21" borderId="0" applyNumberFormat="0" applyBorder="0" applyAlignment="0" applyProtection="0"/>
    <xf numFmtId="0" fontId="32" fillId="33" borderId="255">
      <alignment horizontal="right" vertical="center"/>
    </xf>
    <xf numFmtId="0" fontId="34" fillId="33" borderId="263">
      <alignment horizontal="left" vertical="center" wrapText="1" indent="2"/>
    </xf>
    <xf numFmtId="0" fontId="32" fillId="33" borderId="244">
      <alignment horizontal="right" vertical="center"/>
    </xf>
    <xf numFmtId="0" fontId="32" fillId="33" borderId="256">
      <alignment horizontal="right" vertical="center"/>
    </xf>
    <xf numFmtId="0" fontId="40" fillId="58" borderId="253" applyNumberFormat="0" applyFont="0" applyAlignment="0" applyProtection="0"/>
    <xf numFmtId="4" fontId="34" fillId="32" borderId="244"/>
    <xf numFmtId="0" fontId="43" fillId="55" borderId="258" applyNumberFormat="0" applyAlignment="0" applyProtection="0"/>
    <xf numFmtId="49" fontId="33" fillId="0" borderId="260" applyNumberFormat="0" applyFill="0" applyBorder="0" applyProtection="0">
      <alignment horizontal="left" vertical="center"/>
    </xf>
    <xf numFmtId="173" fontId="34" fillId="59" borderId="244" applyNumberFormat="0" applyFont="0" applyBorder="0" applyAlignment="0" applyProtection="0">
      <alignment horizontal="right" vertical="center"/>
    </xf>
    <xf numFmtId="0" fontId="30" fillId="0" borderId="0" applyNumberFormat="0" applyFill="0" applyBorder="0" applyAlignment="0" applyProtection="0"/>
    <xf numFmtId="49" fontId="34" fillId="0" borderId="245" applyNumberFormat="0" applyFont="0" applyFill="0" applyBorder="0" applyProtection="0">
      <alignment horizontal="left" vertical="center" indent="5"/>
    </xf>
    <xf numFmtId="4" fontId="36" fillId="31" borderId="254">
      <alignment horizontal="right" vertical="center"/>
    </xf>
    <xf numFmtId="0" fontId="12" fillId="18" borderId="0" applyNumberFormat="0" applyBorder="0" applyAlignment="0" applyProtection="0"/>
    <xf numFmtId="0" fontId="32" fillId="33" borderId="246">
      <alignment horizontal="right" vertical="center"/>
    </xf>
    <xf numFmtId="0" fontId="26" fillId="25" borderId="0" applyNumberFormat="0" applyBorder="0" applyAlignment="0" applyProtection="0"/>
    <xf numFmtId="0" fontId="34" fillId="0" borderId="254" applyNumberFormat="0" applyFill="0" applyAlignment="0" applyProtection="0"/>
    <xf numFmtId="0" fontId="65" fillId="0" borderId="266" applyNumberFormat="0" applyFill="0" applyAlignment="0" applyProtection="0"/>
    <xf numFmtId="4" fontId="32" fillId="33" borderId="246">
      <alignment horizontal="right" vertical="center"/>
    </xf>
    <xf numFmtId="0" fontId="34" fillId="0" borderId="244" applyNumberFormat="0" applyFill="0" applyAlignment="0" applyProtection="0"/>
    <xf numFmtId="0" fontId="62" fillId="55" borderId="248" applyNumberFormat="0" applyAlignment="0" applyProtection="0"/>
    <xf numFmtId="0" fontId="32" fillId="33" borderId="254">
      <alignment horizontal="right" vertical="center"/>
    </xf>
    <xf numFmtId="0" fontId="32" fillId="31" borderId="244">
      <alignment horizontal="right" vertical="center"/>
    </xf>
    <xf numFmtId="0" fontId="58" fillId="42" borderId="249" applyNumberFormat="0" applyAlignment="0" applyProtection="0"/>
    <xf numFmtId="0" fontId="50" fillId="0" borderId="250" applyNumberFormat="0" applyFill="0" applyAlignment="0" applyProtection="0"/>
    <xf numFmtId="0" fontId="32" fillId="33" borderId="244">
      <alignment horizontal="right" vertical="center"/>
    </xf>
    <xf numFmtId="0" fontId="34" fillId="33" borderId="247">
      <alignment horizontal="left" vertical="center" wrapText="1" indent="2"/>
    </xf>
    <xf numFmtId="0" fontId="34" fillId="31" borderId="245">
      <alignment horizontal="left" vertical="center"/>
    </xf>
    <xf numFmtId="0" fontId="40" fillId="58" borderId="243" applyNumberFormat="0" applyFont="0" applyAlignment="0" applyProtection="0"/>
    <xf numFmtId="0" fontId="5" fillId="58" borderId="243" applyNumberFormat="0" applyFont="0" applyAlignment="0" applyProtection="0"/>
    <xf numFmtId="4" fontId="36" fillId="31" borderId="244">
      <alignment horizontal="right" vertical="center"/>
    </xf>
    <xf numFmtId="0" fontId="65" fillId="0" borderId="250" applyNumberFormat="0" applyFill="0" applyAlignment="0" applyProtection="0"/>
    <xf numFmtId="4" fontId="34" fillId="0" borderId="244" applyFill="0" applyBorder="0" applyProtection="0">
      <alignment horizontal="right" vertical="center"/>
    </xf>
    <xf numFmtId="49" fontId="33" fillId="0" borderId="244" applyNumberFormat="0" applyFill="0" applyBorder="0" applyProtection="0">
      <alignment horizontal="left" vertical="center"/>
    </xf>
    <xf numFmtId="4" fontId="32" fillId="33" borderId="256">
      <alignment horizontal="right" vertical="center"/>
    </xf>
    <xf numFmtId="0" fontId="26" fillId="17" borderId="0" applyNumberFormat="0" applyBorder="0" applyAlignment="0" applyProtection="0"/>
    <xf numFmtId="0" fontId="34" fillId="0" borderId="247">
      <alignment horizontal="left" vertical="center" wrapText="1" indent="2"/>
    </xf>
    <xf numFmtId="4" fontId="34" fillId="0" borderId="254">
      <alignment horizontal="right" vertical="center"/>
    </xf>
    <xf numFmtId="0" fontId="65" fillId="0" borderId="252" applyNumberFormat="0" applyFill="0" applyAlignment="0" applyProtection="0"/>
    <xf numFmtId="0" fontId="46" fillId="55" borderId="251" applyNumberFormat="0" applyAlignment="0" applyProtection="0"/>
    <xf numFmtId="0" fontId="50" fillId="0" borderId="274" applyNumberFormat="0" applyFill="0" applyAlignment="0" applyProtection="0"/>
    <xf numFmtId="0" fontId="34" fillId="33" borderId="247">
      <alignment horizontal="left" vertical="center" wrapText="1" indent="2"/>
    </xf>
    <xf numFmtId="0" fontId="1" fillId="0" borderId="0" applyNumberFormat="0" applyFill="0" applyBorder="0" applyAlignment="0" applyProtection="0"/>
    <xf numFmtId="0" fontId="45" fillId="55" borderId="251" applyNumberFormat="0" applyAlignment="0" applyProtection="0"/>
    <xf numFmtId="49" fontId="33" fillId="0" borderId="268" applyNumberFormat="0" applyFill="0" applyBorder="0" applyProtection="0">
      <alignment horizontal="left" vertical="center"/>
    </xf>
    <xf numFmtId="0" fontId="12" fillId="27" borderId="0" applyNumberFormat="0" applyBorder="0" applyAlignment="0" applyProtection="0"/>
    <xf numFmtId="0" fontId="26" fillId="26" borderId="0" applyNumberFormat="0" applyBorder="0" applyAlignment="0" applyProtection="0"/>
    <xf numFmtId="0" fontId="49" fillId="42" borderId="275" applyNumberFormat="0" applyAlignment="0" applyProtection="0"/>
    <xf numFmtId="0" fontId="46" fillId="55" borderId="251" applyNumberFormat="0" applyAlignment="0" applyProtection="0"/>
    <xf numFmtId="0" fontId="46" fillId="55" borderId="251" applyNumberFormat="0" applyAlignment="0" applyProtection="0"/>
    <xf numFmtId="173" fontId="34" fillId="59" borderId="254" applyNumberFormat="0" applyFont="0" applyBorder="0" applyAlignment="0" applyProtection="0">
      <alignment horizontal="right" vertical="center"/>
    </xf>
    <xf numFmtId="173" fontId="34" fillId="59" borderId="268" applyNumberFormat="0" applyFont="0" applyBorder="0" applyAlignment="0" applyProtection="0">
      <alignment horizontal="right" vertical="center"/>
    </xf>
    <xf numFmtId="0" fontId="43" fillId="55" borderId="248" applyNumberFormat="0" applyAlignment="0" applyProtection="0"/>
    <xf numFmtId="0" fontId="12" fillId="18" borderId="0" applyNumberFormat="0" applyBorder="0" applyAlignment="0" applyProtection="0"/>
    <xf numFmtId="0" fontId="28" fillId="12" borderId="11" applyNumberFormat="0" applyAlignment="0" applyProtection="0"/>
    <xf numFmtId="0" fontId="12" fillId="30" borderId="0" applyNumberFormat="0" applyBorder="0" applyAlignment="0" applyProtection="0"/>
    <xf numFmtId="0" fontId="32" fillId="33" borderId="244">
      <alignment horizontal="right" vertical="center"/>
    </xf>
    <xf numFmtId="0" fontId="65" fillId="0" borderId="250" applyNumberFormat="0" applyFill="0" applyAlignment="0" applyProtection="0"/>
    <xf numFmtId="0" fontId="36" fillId="31" borderId="244">
      <alignment horizontal="right" vertical="center"/>
    </xf>
    <xf numFmtId="0" fontId="49" fillId="42" borderId="251" applyNumberFormat="0" applyAlignment="0" applyProtection="0"/>
    <xf numFmtId="0" fontId="26" fillId="17" borderId="0" applyNumberFormat="0" applyBorder="0" applyAlignment="0" applyProtection="0"/>
    <xf numFmtId="0" fontId="32" fillId="33" borderId="260">
      <alignment horizontal="right" vertical="center"/>
    </xf>
    <xf numFmtId="0" fontId="26" fillId="16" borderId="0" applyNumberFormat="0" applyBorder="0" applyAlignment="0" applyProtection="0"/>
    <xf numFmtId="4" fontId="34" fillId="32" borderId="244"/>
    <xf numFmtId="0" fontId="65" fillId="0" borderId="252" applyNumberFormat="0" applyFill="0" applyAlignment="0" applyProtection="0"/>
    <xf numFmtId="0" fontId="32" fillId="33" borderId="245">
      <alignment horizontal="right" vertical="center"/>
    </xf>
    <xf numFmtId="0" fontId="49" fillId="42" borderId="249" applyNumberFormat="0" applyAlignment="0" applyProtection="0"/>
    <xf numFmtId="0" fontId="34" fillId="32" borderId="244"/>
    <xf numFmtId="4" fontId="36" fillId="31" borderId="244">
      <alignment horizontal="right" vertical="center"/>
    </xf>
    <xf numFmtId="0" fontId="58" fillId="42" borderId="249" applyNumberFormat="0" applyAlignment="0" applyProtection="0"/>
    <xf numFmtId="0" fontId="34" fillId="33" borderId="281">
      <alignment horizontal="left" vertical="center" wrapText="1" indent="2"/>
    </xf>
    <xf numFmtId="0" fontId="65" fillId="0" borderId="250" applyNumberFormat="0" applyFill="0" applyAlignment="0" applyProtection="0"/>
    <xf numFmtId="4" fontId="32" fillId="31" borderId="244">
      <alignment horizontal="right" vertical="center"/>
    </xf>
    <xf numFmtId="0" fontId="29" fillId="12" borderId="10" applyNumberFormat="0" applyAlignment="0" applyProtection="0"/>
    <xf numFmtId="0" fontId="12" fillId="27" borderId="0" applyNumberFormat="0" applyBorder="0" applyAlignment="0" applyProtection="0"/>
    <xf numFmtId="0" fontId="32" fillId="33" borderId="255">
      <alignment horizontal="right" vertical="center"/>
    </xf>
    <xf numFmtId="0" fontId="62" fillId="55" borderId="258" applyNumberFormat="0" applyAlignment="0" applyProtection="0"/>
    <xf numFmtId="0" fontId="46" fillId="55" borderId="275" applyNumberFormat="0" applyAlignment="0" applyProtection="0"/>
    <xf numFmtId="0" fontId="12" fillId="21" borderId="0" applyNumberFormat="0" applyBorder="0" applyAlignment="0" applyProtection="0"/>
    <xf numFmtId="0" fontId="46" fillId="55" borderId="251" applyNumberFormat="0" applyAlignment="0" applyProtection="0"/>
    <xf numFmtId="0" fontId="32" fillId="31" borderId="244">
      <alignment horizontal="right" vertical="center"/>
    </xf>
    <xf numFmtId="0" fontId="62" fillId="55" borderId="248" applyNumberFormat="0" applyAlignment="0" applyProtection="0"/>
    <xf numFmtId="0" fontId="62" fillId="55" borderId="248" applyNumberFormat="0" applyAlignment="0" applyProtection="0"/>
    <xf numFmtId="49" fontId="34" fillId="0" borderId="245" applyNumberFormat="0" applyFont="0" applyFill="0" applyBorder="0" applyProtection="0">
      <alignment horizontal="left" vertical="center" indent="5"/>
    </xf>
    <xf numFmtId="0" fontId="43" fillId="55" borderId="248" applyNumberFormat="0" applyAlignment="0" applyProtection="0"/>
    <xf numFmtId="0" fontId="34" fillId="32" borderId="244"/>
    <xf numFmtId="0" fontId="62" fillId="55" borderId="248" applyNumberFormat="0" applyAlignment="0" applyProtection="0"/>
    <xf numFmtId="49" fontId="34" fillId="0" borderId="279" applyNumberFormat="0" applyFont="0" applyFill="0" applyBorder="0" applyProtection="0">
      <alignment horizontal="left" vertical="center" indent="5"/>
    </xf>
    <xf numFmtId="0" fontId="50" fillId="0" borderId="250" applyNumberFormat="0" applyFill="0" applyAlignment="0" applyProtection="0"/>
    <xf numFmtId="0" fontId="32" fillId="33" borderId="262">
      <alignment horizontal="right" vertical="center"/>
    </xf>
    <xf numFmtId="0" fontId="26" fillId="19" borderId="0" applyNumberFormat="0" applyBorder="0" applyAlignment="0" applyProtection="0"/>
    <xf numFmtId="0" fontId="34" fillId="32" borderId="244"/>
    <xf numFmtId="0" fontId="65" fillId="0" borderId="252" applyNumberFormat="0" applyFill="0" applyAlignment="0" applyProtection="0"/>
    <xf numFmtId="0" fontId="26" fillId="19" borderId="0" applyNumberFormat="0" applyBorder="0" applyAlignment="0" applyProtection="0"/>
    <xf numFmtId="0" fontId="34" fillId="0" borderId="254" applyNumberFormat="0" applyFill="0" applyAlignment="0" applyProtection="0"/>
    <xf numFmtId="0" fontId="46" fillId="55" borderId="265" applyNumberFormat="0" applyAlignment="0" applyProtection="0"/>
    <xf numFmtId="49" fontId="33" fillId="0" borderId="244" applyNumberFormat="0" applyFill="0" applyBorder="0" applyProtection="0">
      <alignment horizontal="left" vertical="center"/>
    </xf>
    <xf numFmtId="0" fontId="34" fillId="0" borderId="247">
      <alignment horizontal="left" vertical="center" wrapText="1" indent="2"/>
    </xf>
    <xf numFmtId="0" fontId="62" fillId="55" borderId="248" applyNumberFormat="0" applyAlignment="0" applyProtection="0"/>
    <xf numFmtId="0" fontId="32" fillId="33" borderId="246">
      <alignment horizontal="right" vertical="center"/>
    </xf>
    <xf numFmtId="0" fontId="49" fillId="42" borderId="249" applyNumberFormat="0" applyAlignment="0" applyProtection="0"/>
    <xf numFmtId="0" fontId="32" fillId="33" borderId="246">
      <alignment horizontal="right" vertical="center"/>
    </xf>
    <xf numFmtId="4" fontId="32" fillId="33" borderId="244">
      <alignment horizontal="right" vertical="center"/>
    </xf>
    <xf numFmtId="0" fontId="32" fillId="33" borderId="244">
      <alignment horizontal="right" vertical="center"/>
    </xf>
    <xf numFmtId="0" fontId="43" fillId="55" borderId="248" applyNumberFormat="0" applyAlignment="0" applyProtection="0"/>
    <xf numFmtId="0" fontId="45" fillId="55" borderId="249" applyNumberFormat="0" applyAlignment="0" applyProtection="0"/>
    <xf numFmtId="0" fontId="50" fillId="0" borderId="250" applyNumberFormat="0" applyFill="0" applyAlignment="0" applyProtection="0"/>
    <xf numFmtId="0" fontId="34" fillId="32" borderId="244"/>
    <xf numFmtId="4" fontId="34" fillId="32" borderId="244"/>
    <xf numFmtId="4" fontId="32" fillId="33" borderId="244">
      <alignment horizontal="right" vertical="center"/>
    </xf>
    <xf numFmtId="0" fontId="36" fillId="31" borderId="244">
      <alignment horizontal="right" vertical="center"/>
    </xf>
    <xf numFmtId="0" fontId="49" fillId="42" borderId="249" applyNumberFormat="0" applyAlignment="0" applyProtection="0"/>
    <xf numFmtId="0" fontId="46" fillId="55" borderId="249" applyNumberFormat="0" applyAlignment="0" applyProtection="0"/>
    <xf numFmtId="4" fontId="34" fillId="0" borderId="244">
      <alignment horizontal="right" vertical="center"/>
    </xf>
    <xf numFmtId="0" fontId="34" fillId="33" borderId="247">
      <alignment horizontal="left" vertical="center" wrapText="1" indent="2"/>
    </xf>
    <xf numFmtId="0" fontId="34" fillId="0" borderId="247">
      <alignment horizontal="left" vertical="center" wrapText="1" indent="2"/>
    </xf>
    <xf numFmtId="0" fontId="62" fillId="55" borderId="248" applyNumberFormat="0" applyAlignment="0" applyProtection="0"/>
    <xf numFmtId="0" fontId="58" fillId="42" borderId="249" applyNumberFormat="0" applyAlignment="0" applyProtection="0"/>
    <xf numFmtId="0" fontId="45" fillId="55" borderId="249" applyNumberFormat="0" applyAlignment="0" applyProtection="0"/>
    <xf numFmtId="0" fontId="43" fillId="55" borderId="248" applyNumberFormat="0" applyAlignment="0" applyProtection="0"/>
    <xf numFmtId="0" fontId="32" fillId="33" borderId="246">
      <alignment horizontal="right" vertical="center"/>
    </xf>
    <xf numFmtId="0" fontId="36" fillId="31" borderId="244">
      <alignment horizontal="right" vertical="center"/>
    </xf>
    <xf numFmtId="4" fontId="32" fillId="31" borderId="244">
      <alignment horizontal="right" vertical="center"/>
    </xf>
    <xf numFmtId="4" fontId="32" fillId="33" borderId="244">
      <alignment horizontal="right" vertical="center"/>
    </xf>
    <xf numFmtId="49" fontId="34" fillId="0" borderId="245" applyNumberFormat="0" applyFont="0" applyFill="0" applyBorder="0" applyProtection="0">
      <alignment horizontal="left" vertical="center" indent="5"/>
    </xf>
    <xf numFmtId="4" fontId="34" fillId="0" borderId="244" applyFill="0" applyBorder="0" applyProtection="0">
      <alignment horizontal="right" vertical="center"/>
    </xf>
    <xf numFmtId="4" fontId="32" fillId="31" borderId="244">
      <alignment horizontal="right" vertical="center"/>
    </xf>
    <xf numFmtId="0" fontId="58" fillId="42" borderId="249" applyNumberFormat="0" applyAlignment="0" applyProtection="0"/>
    <xf numFmtId="0" fontId="49" fillId="42" borderId="249" applyNumberFormat="0" applyAlignment="0" applyProtection="0"/>
    <xf numFmtId="0" fontId="45" fillId="55" borderId="249" applyNumberFormat="0" applyAlignment="0" applyProtection="0"/>
    <xf numFmtId="0" fontId="34" fillId="33" borderId="247">
      <alignment horizontal="left" vertical="center" wrapText="1" indent="2"/>
    </xf>
    <xf numFmtId="0" fontId="34" fillId="0" borderId="247">
      <alignment horizontal="left" vertical="center" wrapText="1" indent="2"/>
    </xf>
    <xf numFmtId="0" fontId="34" fillId="33" borderId="247">
      <alignment horizontal="left" vertical="center" wrapText="1" indent="2"/>
    </xf>
    <xf numFmtId="0" fontId="32" fillId="33" borderId="255">
      <alignment horizontal="right" vertical="center"/>
    </xf>
    <xf numFmtId="0" fontId="32" fillId="33" borderId="254">
      <alignment horizontal="right" vertical="center"/>
    </xf>
    <xf numFmtId="4" fontId="32" fillId="31" borderId="254">
      <alignment horizontal="right" vertical="center"/>
    </xf>
    <xf numFmtId="4" fontId="34" fillId="32" borderId="260"/>
    <xf numFmtId="0" fontId="46" fillId="55" borderId="275" applyNumberFormat="0" applyAlignment="0" applyProtection="0"/>
    <xf numFmtId="0" fontId="32" fillId="33" borderId="262">
      <alignment horizontal="right" vertical="center"/>
    </xf>
    <xf numFmtId="0" fontId="32" fillId="33" borderId="261">
      <alignment horizontal="right" vertical="center"/>
    </xf>
    <xf numFmtId="0" fontId="12" fillId="24" borderId="0" applyNumberFormat="0" applyBorder="0" applyAlignment="0" applyProtection="0"/>
    <xf numFmtId="0" fontId="5" fillId="58" borderId="267" applyNumberFormat="0" applyFont="0" applyAlignment="0" applyProtection="0"/>
    <xf numFmtId="49" fontId="33" fillId="0" borderId="260" applyNumberFormat="0" applyFill="0" applyBorder="0" applyProtection="0">
      <alignment horizontal="left" vertical="center"/>
    </xf>
    <xf numFmtId="0" fontId="26" fillId="16" borderId="0" applyNumberFormat="0" applyBorder="0" applyAlignment="0" applyProtection="0"/>
    <xf numFmtId="0" fontId="26" fillId="23" borderId="0" applyNumberFormat="0" applyBorder="0" applyAlignment="0" applyProtection="0"/>
    <xf numFmtId="0" fontId="65" fillId="0" borderId="252" applyNumberFormat="0" applyFill="0" applyAlignment="0" applyProtection="0"/>
    <xf numFmtId="0" fontId="36" fillId="31" borderId="268">
      <alignment horizontal="right" vertical="center"/>
    </xf>
    <xf numFmtId="0" fontId="26" fillId="14" borderId="0" applyNumberFormat="0" applyBorder="0" applyAlignment="0" applyProtection="0"/>
    <xf numFmtId="0" fontId="58" fillId="42" borderId="251" applyNumberFormat="0" applyAlignment="0" applyProtection="0"/>
    <xf numFmtId="4" fontId="32" fillId="33" borderId="268">
      <alignment horizontal="right" vertical="center"/>
    </xf>
    <xf numFmtId="0" fontId="32" fillId="33" borderId="261">
      <alignment horizontal="right" vertical="center"/>
    </xf>
    <xf numFmtId="4" fontId="32" fillId="33" borderId="260">
      <alignment horizontal="right" vertical="center"/>
    </xf>
    <xf numFmtId="0" fontId="30" fillId="0" borderId="0" applyNumberFormat="0" applyFill="0" applyBorder="0" applyAlignment="0" applyProtection="0"/>
    <xf numFmtId="0" fontId="46" fillId="55" borderId="251" applyNumberFormat="0" applyAlignment="0" applyProtection="0"/>
    <xf numFmtId="0" fontId="34" fillId="31" borderId="279">
      <alignment horizontal="left" vertical="center"/>
    </xf>
    <xf numFmtId="0" fontId="26" fillId="20" borderId="0" applyNumberFormat="0" applyBorder="0" applyAlignment="0" applyProtection="0"/>
    <xf numFmtId="4" fontId="32" fillId="33" borderId="261">
      <alignment horizontal="right" vertical="center"/>
    </xf>
    <xf numFmtId="0" fontId="34" fillId="32" borderId="278"/>
    <xf numFmtId="0" fontId="12" fillId="21" borderId="0" applyNumberFormat="0" applyBorder="0" applyAlignment="0" applyProtection="0"/>
    <xf numFmtId="4" fontId="36" fillId="31" borderId="260">
      <alignment horizontal="right" vertical="center"/>
    </xf>
    <xf numFmtId="4" fontId="32" fillId="33" borderId="262">
      <alignment horizontal="right" vertical="center"/>
    </xf>
    <xf numFmtId="0" fontId="36" fillId="31" borderId="260">
      <alignment horizontal="right" vertical="center"/>
    </xf>
    <xf numFmtId="0" fontId="29" fillId="12" borderId="10" applyNumberFormat="0" applyAlignment="0" applyProtection="0"/>
    <xf numFmtId="4" fontId="34" fillId="32" borderId="268"/>
    <xf numFmtId="4" fontId="32" fillId="33" borderId="260">
      <alignment horizontal="right" vertical="center"/>
    </xf>
    <xf numFmtId="4" fontId="32" fillId="33" borderId="270">
      <alignment horizontal="right" vertical="center"/>
    </xf>
    <xf numFmtId="0" fontId="58" fillId="42" borderId="273" applyNumberFormat="0" applyAlignment="0" applyProtection="0"/>
    <xf numFmtId="4" fontId="32" fillId="33" borderId="260">
      <alignment horizontal="right" vertical="center"/>
    </xf>
    <xf numFmtId="0" fontId="34" fillId="31" borderId="261">
      <alignment horizontal="left" vertical="center"/>
    </xf>
    <xf numFmtId="4" fontId="32" fillId="31" borderId="260">
      <alignment horizontal="right" vertical="center"/>
    </xf>
    <xf numFmtId="0" fontId="46" fillId="55" borderId="265" applyNumberFormat="0" applyAlignment="0" applyProtection="0"/>
    <xf numFmtId="0" fontId="43" fillId="55" borderId="272" applyNumberFormat="0" applyAlignment="0" applyProtection="0"/>
    <xf numFmtId="0" fontId="26" fillId="19" borderId="0" applyNumberFormat="0" applyBorder="0" applyAlignment="0" applyProtection="0"/>
    <xf numFmtId="0" fontId="65" fillId="0" borderId="252" applyNumberFormat="0" applyFill="0" applyAlignment="0" applyProtection="0"/>
    <xf numFmtId="0" fontId="65" fillId="0" borderId="266" applyNumberFormat="0" applyFill="0" applyAlignment="0" applyProtection="0"/>
    <xf numFmtId="0" fontId="26" fillId="19" borderId="0" applyNumberFormat="0" applyBorder="0" applyAlignment="0" applyProtection="0"/>
    <xf numFmtId="0" fontId="34" fillId="33" borderId="271">
      <alignment horizontal="left" vertical="center" wrapText="1" indent="2"/>
    </xf>
    <xf numFmtId="0" fontId="26" fillId="20" borderId="0" applyNumberFormat="0" applyBorder="0" applyAlignment="0" applyProtection="0"/>
    <xf numFmtId="0" fontId="45" fillId="55" borderId="265" applyNumberFormat="0" applyAlignment="0" applyProtection="0"/>
    <xf numFmtId="0" fontId="29" fillId="12" borderId="10" applyNumberFormat="0" applyAlignment="0" applyProtection="0"/>
    <xf numFmtId="4" fontId="32" fillId="33" borderId="280">
      <alignment horizontal="right" vertical="center"/>
    </xf>
    <xf numFmtId="0" fontId="32" fillId="33" borderId="261">
      <alignment horizontal="right" vertical="center"/>
    </xf>
    <xf numFmtId="0" fontId="34" fillId="31" borderId="269">
      <alignment horizontal="left" vertical="center"/>
    </xf>
    <xf numFmtId="0" fontId="30" fillId="0" borderId="0" applyNumberFormat="0" applyFill="0" applyBorder="0" applyAlignment="0" applyProtection="0"/>
    <xf numFmtId="0" fontId="49" fillId="42" borderId="265" applyNumberFormat="0" applyAlignment="0" applyProtection="0"/>
    <xf numFmtId="0" fontId="34" fillId="31" borderId="261">
      <alignment horizontal="left" vertical="center"/>
    </xf>
    <xf numFmtId="0" fontId="62" fillId="55" borderId="272" applyNumberFormat="0" applyAlignment="0" applyProtection="0"/>
    <xf numFmtId="0" fontId="34" fillId="0" borderId="268">
      <alignment horizontal="right" vertical="center"/>
    </xf>
    <xf numFmtId="0" fontId="58" fillId="42" borderId="251" applyNumberFormat="0" applyAlignment="0" applyProtection="0"/>
    <xf numFmtId="0" fontId="43" fillId="55" borderId="258" applyNumberFormat="0" applyAlignment="0" applyProtection="0"/>
    <xf numFmtId="4" fontId="36" fillId="31" borderId="254">
      <alignment horizontal="right" vertical="center"/>
    </xf>
    <xf numFmtId="4" fontId="32" fillId="33" borderId="260">
      <alignment horizontal="right" vertical="center"/>
    </xf>
    <xf numFmtId="0" fontId="58" fillId="42" borderId="265" applyNumberFormat="0" applyAlignment="0" applyProtection="0"/>
    <xf numFmtId="4" fontId="32" fillId="33" borderId="260">
      <alignment horizontal="right" vertical="center"/>
    </xf>
    <xf numFmtId="0" fontId="34" fillId="33" borderId="263">
      <alignment horizontal="left" vertical="center" wrapText="1" indent="2"/>
    </xf>
    <xf numFmtId="0" fontId="30" fillId="0" borderId="0" applyNumberFormat="0" applyFill="0" applyBorder="0" applyAlignment="0" applyProtection="0"/>
    <xf numFmtId="0" fontId="32" fillId="33" borderId="268">
      <alignment horizontal="right" vertical="center"/>
    </xf>
    <xf numFmtId="0" fontId="5" fillId="58" borderId="259" applyNumberFormat="0" applyFont="0" applyAlignment="0" applyProtection="0"/>
    <xf numFmtId="0" fontId="40" fillId="58" borderId="267" applyNumberFormat="0" applyFont="0" applyAlignment="0" applyProtection="0"/>
    <xf numFmtId="0" fontId="12" fillId="18" borderId="0" applyNumberFormat="0" applyBorder="0" applyAlignment="0" applyProtection="0"/>
    <xf numFmtId="0" fontId="32" fillId="33" borderId="254">
      <alignment horizontal="right" vertical="center"/>
    </xf>
    <xf numFmtId="4" fontId="32" fillId="31" borderId="254">
      <alignment horizontal="right" vertical="center"/>
    </xf>
    <xf numFmtId="0" fontId="34" fillId="0" borderId="257">
      <alignment horizontal="left" vertical="center" wrapText="1" indent="2"/>
    </xf>
    <xf numFmtId="0" fontId="62" fillId="55" borderId="258" applyNumberFormat="0" applyAlignment="0" applyProtection="0"/>
    <xf numFmtId="0" fontId="34" fillId="0" borderId="254">
      <alignment horizontal="right" vertical="center"/>
    </xf>
    <xf numFmtId="0" fontId="65" fillId="0" borderId="252" applyNumberFormat="0" applyFill="0" applyAlignment="0" applyProtection="0"/>
    <xf numFmtId="0" fontId="12" fillId="27" borderId="0" applyNumberFormat="0" applyBorder="0" applyAlignment="0" applyProtection="0"/>
    <xf numFmtId="0" fontId="62" fillId="55" borderId="258" applyNumberFormat="0" applyAlignment="0" applyProtection="0"/>
    <xf numFmtId="0" fontId="58" fillId="42" borderId="251" applyNumberFormat="0" applyAlignment="0" applyProtection="0"/>
    <xf numFmtId="0" fontId="34" fillId="33" borderId="257">
      <alignment horizontal="left" vertical="center" wrapText="1" indent="2"/>
    </xf>
    <xf numFmtId="4" fontId="34" fillId="0" borderId="260" applyFill="0" applyBorder="0" applyProtection="0">
      <alignment horizontal="right" vertical="center"/>
    </xf>
    <xf numFmtId="0" fontId="34" fillId="31" borderId="255">
      <alignment horizontal="left" vertical="center"/>
    </xf>
    <xf numFmtId="0" fontId="34" fillId="33" borderId="281">
      <alignment horizontal="left" vertical="center" wrapText="1" indent="2"/>
    </xf>
    <xf numFmtId="49" fontId="33" fillId="0" borderId="254" applyNumberFormat="0" applyFill="0" applyBorder="0" applyProtection="0">
      <alignment horizontal="left" vertical="center"/>
    </xf>
    <xf numFmtId="0" fontId="34" fillId="0" borderId="260">
      <alignment horizontal="right" vertical="center"/>
    </xf>
    <xf numFmtId="0" fontId="26" fillId="23" borderId="0" applyNumberFormat="0" applyBorder="0" applyAlignment="0" applyProtection="0"/>
    <xf numFmtId="173" fontId="34" fillId="59" borderId="260" applyNumberFormat="0" applyFont="0" applyBorder="0" applyAlignment="0" applyProtection="0">
      <alignment horizontal="right" vertical="center"/>
    </xf>
    <xf numFmtId="4" fontId="34" fillId="0" borderId="268">
      <alignment horizontal="right" vertical="center"/>
    </xf>
    <xf numFmtId="0" fontId="65" fillId="0" borderId="252" applyNumberFormat="0" applyFill="0" applyAlignment="0" applyProtection="0"/>
    <xf numFmtId="49" fontId="34" fillId="0" borderId="254" applyNumberFormat="0" applyFont="0" applyFill="0" applyBorder="0" applyProtection="0">
      <alignment horizontal="left" vertical="center" indent="2"/>
    </xf>
    <xf numFmtId="0" fontId="65" fillId="0" borderId="266" applyNumberFormat="0" applyFill="0" applyAlignment="0" applyProtection="0"/>
    <xf numFmtId="0" fontId="34" fillId="0" borderId="257">
      <alignment horizontal="left" vertical="center" wrapText="1" indent="2"/>
    </xf>
    <xf numFmtId="4" fontId="34" fillId="0" borderId="254" applyFill="0" applyBorder="0" applyProtection="0">
      <alignment horizontal="right" vertical="center"/>
    </xf>
    <xf numFmtId="0" fontId="34" fillId="31" borderId="255">
      <alignment horizontal="left" vertical="center"/>
    </xf>
    <xf numFmtId="0" fontId="32" fillId="33" borderId="254">
      <alignment horizontal="right" vertical="center"/>
    </xf>
    <xf numFmtId="0" fontId="34" fillId="0" borderId="254" applyNumberFormat="0" applyFill="0" applyAlignment="0" applyProtection="0"/>
    <xf numFmtId="0" fontId="62" fillId="55" borderId="264" applyNumberFormat="0" applyAlignment="0" applyProtection="0"/>
    <xf numFmtId="0" fontId="26" fillId="29" borderId="0" applyNumberFormat="0" applyBorder="0" applyAlignment="0" applyProtection="0"/>
    <xf numFmtId="4" fontId="34" fillId="32" borderId="260"/>
    <xf numFmtId="0" fontId="32" fillId="33" borderId="260">
      <alignment horizontal="right" vertical="center"/>
    </xf>
    <xf numFmtId="0" fontId="65" fillId="0" borderId="276" applyNumberFormat="0" applyFill="0" applyAlignment="0" applyProtection="0"/>
    <xf numFmtId="0" fontId="32" fillId="33" borderId="268">
      <alignment horizontal="right" vertical="center"/>
    </xf>
    <xf numFmtId="49" fontId="34" fillId="0" borderId="254" applyNumberFormat="0" applyFont="0" applyFill="0" applyBorder="0" applyProtection="0">
      <alignment horizontal="left" vertical="center" indent="2"/>
    </xf>
    <xf numFmtId="0" fontId="34" fillId="0" borderId="260" applyNumberFormat="0" applyFill="0" applyAlignment="0" applyProtection="0"/>
    <xf numFmtId="0" fontId="34" fillId="32" borderId="260"/>
    <xf numFmtId="49" fontId="33" fillId="0" borderId="260" applyNumberFormat="0" applyFill="0" applyBorder="0" applyProtection="0">
      <alignment horizontal="left" vertical="center"/>
    </xf>
    <xf numFmtId="0" fontId="26" fillId="25" borderId="0" applyNumberFormat="0" applyBorder="0" applyAlignment="0" applyProtection="0"/>
    <xf numFmtId="4" fontId="34" fillId="32" borderId="260"/>
    <xf numFmtId="0" fontId="28" fillId="12" borderId="11" applyNumberFormat="0" applyAlignment="0" applyProtection="0"/>
    <xf numFmtId="0" fontId="34" fillId="0" borderId="257">
      <alignment horizontal="left" vertical="center" wrapText="1" indent="2"/>
    </xf>
    <xf numFmtId="0" fontId="46" fillId="55" borderId="275" applyNumberFormat="0" applyAlignment="0" applyProtection="0"/>
    <xf numFmtId="0" fontId="40" fillId="58" borderId="253" applyNumberFormat="0" applyFont="0" applyAlignment="0" applyProtection="0"/>
    <xf numFmtId="0" fontId="34" fillId="0" borderId="254">
      <alignment horizontal="right" vertical="center"/>
    </xf>
    <xf numFmtId="0" fontId="32" fillId="33" borderId="254">
      <alignment horizontal="right" vertical="center"/>
    </xf>
    <xf numFmtId="4" fontId="32" fillId="33" borderId="254">
      <alignment horizontal="right" vertical="center"/>
    </xf>
    <xf numFmtId="4" fontId="34" fillId="32" borderId="260"/>
    <xf numFmtId="0" fontId="2" fillId="0" borderId="12" applyNumberFormat="0" applyFill="0" applyAlignment="0" applyProtection="0"/>
    <xf numFmtId="0" fontId="34" fillId="33" borderId="257">
      <alignment horizontal="left" vertical="center" wrapText="1" indent="2"/>
    </xf>
    <xf numFmtId="0" fontId="46" fillId="55" borderId="265" applyNumberFormat="0" applyAlignment="0" applyProtection="0"/>
    <xf numFmtId="0" fontId="26" fillId="20" borderId="0" applyNumberFormat="0" applyBorder="0" applyAlignment="0" applyProtection="0"/>
    <xf numFmtId="0" fontId="32" fillId="33" borderId="270">
      <alignment horizontal="right" vertical="center"/>
    </xf>
    <xf numFmtId="4" fontId="34" fillId="32" borderId="268"/>
    <xf numFmtId="0" fontId="46" fillId="55" borderId="265" applyNumberFormat="0" applyAlignment="0" applyProtection="0"/>
    <xf numFmtId="0" fontId="32" fillId="31" borderId="254">
      <alignment horizontal="right" vertical="center"/>
    </xf>
    <xf numFmtId="4" fontId="32" fillId="33" borderId="270">
      <alignment horizontal="right" vertical="center"/>
    </xf>
    <xf numFmtId="0" fontId="34" fillId="0" borderId="268">
      <alignment horizontal="right" vertical="center"/>
    </xf>
    <xf numFmtId="0" fontId="50" fillId="0" borderId="252" applyNumberFormat="0" applyFill="0" applyAlignment="0" applyProtection="0"/>
    <xf numFmtId="49" fontId="33" fillId="0" borderId="260" applyNumberFormat="0" applyFill="0" applyBorder="0" applyProtection="0">
      <alignment horizontal="left" vertical="center"/>
    </xf>
    <xf numFmtId="0" fontId="45" fillId="55" borderId="251" applyNumberFormat="0" applyAlignment="0" applyProtection="0"/>
    <xf numFmtId="0" fontId="65" fillId="0" borderId="252" applyNumberFormat="0" applyFill="0" applyAlignment="0" applyProtection="0"/>
    <xf numFmtId="49" fontId="33" fillId="0" borderId="254" applyNumberFormat="0" applyFill="0" applyBorder="0" applyProtection="0">
      <alignment horizontal="left" vertical="center"/>
    </xf>
    <xf numFmtId="0" fontId="58" fillId="42" borderId="265" applyNumberFormat="0" applyAlignment="0" applyProtection="0"/>
    <xf numFmtId="4" fontId="32" fillId="31" borderId="268">
      <alignment horizontal="right" vertical="center"/>
    </xf>
    <xf numFmtId="0" fontId="12" fillId="21" borderId="0" applyNumberFormat="0" applyBorder="0" applyAlignment="0" applyProtection="0"/>
    <xf numFmtId="4" fontId="34" fillId="0" borderId="260">
      <alignment horizontal="right" vertical="center"/>
    </xf>
    <xf numFmtId="0" fontId="58" fillId="42" borderId="251" applyNumberFormat="0" applyAlignment="0" applyProtection="0"/>
    <xf numFmtId="0" fontId="26" fillId="28" borderId="0" applyNumberFormat="0" applyBorder="0" applyAlignment="0" applyProtection="0"/>
    <xf numFmtId="0" fontId="49" fillId="42" borderId="273" applyNumberFormat="0" applyAlignment="0" applyProtection="0"/>
    <xf numFmtId="0" fontId="65" fillId="0" borderId="266" applyNumberFormat="0" applyFill="0" applyAlignment="0" applyProtection="0"/>
    <xf numFmtId="0" fontId="5" fillId="58" borderId="253" applyNumberFormat="0" applyFont="0" applyAlignment="0" applyProtection="0"/>
    <xf numFmtId="0" fontId="32" fillId="31" borderId="254">
      <alignment horizontal="right" vertical="center"/>
    </xf>
    <xf numFmtId="0" fontId="62" fillId="55" borderId="258" applyNumberFormat="0" applyAlignment="0" applyProtection="0"/>
    <xf numFmtId="4" fontId="32" fillId="33" borderId="254">
      <alignment horizontal="right" vertical="center"/>
    </xf>
    <xf numFmtId="4" fontId="34" fillId="32" borderId="254"/>
    <xf numFmtId="0" fontId="65" fillId="0" borderId="252" applyNumberFormat="0" applyFill="0" applyAlignment="0" applyProtection="0"/>
    <xf numFmtId="0" fontId="50" fillId="0" borderId="276" applyNumberFormat="0" applyFill="0" applyAlignment="0" applyProtection="0"/>
    <xf numFmtId="0" fontId="43" fillId="55" borderId="258" applyNumberFormat="0" applyAlignment="0" applyProtection="0"/>
    <xf numFmtId="0" fontId="45" fillId="55" borderId="251" applyNumberFormat="0" applyAlignment="0" applyProtection="0"/>
    <xf numFmtId="0" fontId="65" fillId="0" borderId="252" applyNumberFormat="0" applyFill="0" applyAlignment="0" applyProtection="0"/>
    <xf numFmtId="49" fontId="33" fillId="0" borderId="254" applyNumberFormat="0" applyFill="0" applyBorder="0" applyProtection="0">
      <alignment horizontal="left" vertical="center"/>
    </xf>
    <xf numFmtId="0" fontId="32" fillId="33" borderId="255">
      <alignment horizontal="right" vertical="center"/>
    </xf>
    <xf numFmtId="0" fontId="34" fillId="0" borderId="254">
      <alignment horizontal="right" vertical="center"/>
    </xf>
    <xf numFmtId="0" fontId="50" fillId="0" borderId="252" applyNumberFormat="0" applyFill="0" applyAlignment="0" applyProtection="0"/>
    <xf numFmtId="0" fontId="5" fillId="58" borderId="253" applyNumberFormat="0" applyFont="0" applyAlignment="0" applyProtection="0"/>
    <xf numFmtId="0" fontId="65" fillId="0" borderId="252" applyNumberFormat="0" applyFill="0" applyAlignment="0" applyProtection="0"/>
    <xf numFmtId="4" fontId="34" fillId="0" borderId="268" applyFill="0" applyBorder="0" applyProtection="0">
      <alignment horizontal="right" vertical="center"/>
    </xf>
    <xf numFmtId="0" fontId="50" fillId="0" borderId="266" applyNumberFormat="0" applyFill="0" applyAlignment="0" applyProtection="0"/>
    <xf numFmtId="0" fontId="34" fillId="33" borderId="263">
      <alignment horizontal="left" vertical="center" wrapText="1" indent="2"/>
    </xf>
    <xf numFmtId="4" fontId="32" fillId="33" borderId="260">
      <alignment horizontal="right" vertical="center"/>
    </xf>
    <xf numFmtId="0" fontId="40" fillId="58" borderId="259" applyNumberFormat="0" applyFont="0" applyAlignment="0" applyProtection="0"/>
    <xf numFmtId="0" fontId="26" fillId="20" borderId="0" applyNumberFormat="0" applyBorder="0" applyAlignment="0" applyProtection="0"/>
    <xf numFmtId="0" fontId="62" fillId="55" borderId="264" applyNumberFormat="0" applyAlignment="0" applyProtection="0"/>
    <xf numFmtId="0" fontId="46" fillId="55" borderId="251" applyNumberFormat="0" applyAlignment="0" applyProtection="0"/>
    <xf numFmtId="49" fontId="34" fillId="0" borderId="278" applyNumberFormat="0" applyFont="0" applyFill="0" applyBorder="0" applyProtection="0">
      <alignment horizontal="left" vertical="center" indent="2"/>
    </xf>
    <xf numFmtId="0" fontId="26" fillId="29" borderId="0" applyNumberFormat="0" applyBorder="0" applyAlignment="0" applyProtection="0"/>
    <xf numFmtId="0" fontId="45" fillId="55" borderId="265" applyNumberFormat="0" applyAlignment="0" applyProtection="0"/>
    <xf numFmtId="4" fontId="32" fillId="31" borderId="268">
      <alignment horizontal="right" vertical="center"/>
    </xf>
    <xf numFmtId="0" fontId="12" fillId="30" borderId="0" applyNumberFormat="0" applyBorder="0" applyAlignment="0" applyProtection="0"/>
    <xf numFmtId="0" fontId="26" fillId="16" borderId="0" applyNumberFormat="0" applyBorder="0" applyAlignment="0" applyProtection="0"/>
    <xf numFmtId="0" fontId="29" fillId="12" borderId="10" applyNumberFormat="0" applyAlignment="0" applyProtection="0"/>
    <xf numFmtId="0" fontId="34" fillId="0" borderId="260">
      <alignment horizontal="right" vertical="center"/>
    </xf>
    <xf numFmtId="4" fontId="32" fillId="33" borderId="278">
      <alignment horizontal="right" vertical="center"/>
    </xf>
    <xf numFmtId="173" fontId="34" fillId="59" borderId="254" applyNumberFormat="0" applyFont="0" applyBorder="0" applyAlignment="0" applyProtection="0">
      <alignment horizontal="right" vertical="center"/>
    </xf>
    <xf numFmtId="0" fontId="34" fillId="0" borderId="263">
      <alignment horizontal="left" vertical="center" wrapText="1" indent="2"/>
    </xf>
    <xf numFmtId="4" fontId="32" fillId="31" borderId="254">
      <alignment horizontal="right" vertical="center"/>
    </xf>
    <xf numFmtId="0" fontId="1" fillId="0" borderId="0" applyNumberFormat="0" applyFill="0" applyBorder="0" applyAlignment="0" applyProtection="0"/>
    <xf numFmtId="0" fontId="62" fillId="55" borderId="258" applyNumberFormat="0" applyAlignment="0" applyProtection="0"/>
    <xf numFmtId="49" fontId="34" fillId="0" borderId="255" applyNumberFormat="0" applyFont="0" applyFill="0" applyBorder="0" applyProtection="0">
      <alignment horizontal="left" vertical="center" indent="5"/>
    </xf>
    <xf numFmtId="4" fontId="34" fillId="0" borderId="254">
      <alignment horizontal="right" vertical="center"/>
    </xf>
    <xf numFmtId="0" fontId="58" fillId="42" borderId="275" applyNumberFormat="0" applyAlignment="0" applyProtection="0"/>
    <xf numFmtId="0" fontId="46" fillId="55" borderId="251" applyNumberFormat="0" applyAlignment="0" applyProtection="0"/>
    <xf numFmtId="4" fontId="34" fillId="32" borderId="260"/>
    <xf numFmtId="0" fontId="26" fillId="19" borderId="0" applyNumberFormat="0" applyBorder="0" applyAlignment="0" applyProtection="0"/>
    <xf numFmtId="4" fontId="34" fillId="0" borderId="254" applyFill="0" applyBorder="0" applyProtection="0">
      <alignment horizontal="right" vertical="center"/>
    </xf>
    <xf numFmtId="0" fontId="12" fillId="27" borderId="0" applyNumberFormat="0" applyBorder="0" applyAlignment="0" applyProtection="0"/>
    <xf numFmtId="0" fontId="34" fillId="31" borderId="255">
      <alignment horizontal="left" vertical="center"/>
    </xf>
    <xf numFmtId="0" fontId="49" fillId="42" borderId="251" applyNumberFormat="0" applyAlignment="0" applyProtection="0"/>
    <xf numFmtId="4" fontId="32" fillId="33" borderId="254">
      <alignment horizontal="right" vertical="center"/>
    </xf>
    <xf numFmtId="4" fontId="34" fillId="32" borderId="254"/>
    <xf numFmtId="0" fontId="34" fillId="33" borderId="257">
      <alignment horizontal="left" vertical="center" wrapText="1" indent="2"/>
    </xf>
    <xf numFmtId="0" fontId="32" fillId="31" borderId="260">
      <alignment horizontal="right" vertical="center"/>
    </xf>
    <xf numFmtId="0" fontId="34" fillId="0" borderId="263">
      <alignment horizontal="left" vertical="center" wrapText="1" indent="2"/>
    </xf>
    <xf numFmtId="49" fontId="34" fillId="0" borderId="254" applyNumberFormat="0" applyFont="0" applyFill="0" applyBorder="0" applyProtection="0">
      <alignment horizontal="left" vertical="center" indent="2"/>
    </xf>
    <xf numFmtId="0" fontId="5" fillId="58" borderId="253" applyNumberFormat="0" applyFont="0" applyAlignment="0" applyProtection="0"/>
    <xf numFmtId="4" fontId="32" fillId="33" borderId="261">
      <alignment horizontal="right" vertical="center"/>
    </xf>
    <xf numFmtId="0" fontId="26" fillId="14" borderId="0" applyNumberFormat="0" applyBorder="0" applyAlignment="0" applyProtection="0"/>
    <xf numFmtId="0" fontId="28" fillId="12" borderId="11" applyNumberFormat="0" applyAlignment="0" applyProtection="0"/>
    <xf numFmtId="0" fontId="2" fillId="0" borderId="12" applyNumberFormat="0" applyFill="0" applyAlignment="0" applyProtection="0"/>
    <xf numFmtId="0" fontId="50" fillId="0" borderId="266" applyNumberFormat="0" applyFill="0" applyAlignment="0" applyProtection="0"/>
    <xf numFmtId="0" fontId="12" fillId="24" borderId="0" applyNumberFormat="0" applyBorder="0" applyAlignment="0" applyProtection="0"/>
    <xf numFmtId="0" fontId="40" fillId="58" borderId="259" applyNumberFormat="0" applyFont="0" applyAlignment="0" applyProtection="0"/>
    <xf numFmtId="0" fontId="36" fillId="31" borderId="254">
      <alignment horizontal="right" vertical="center"/>
    </xf>
    <xf numFmtId="0" fontId="49" fillId="42" borderId="251" applyNumberFormat="0" applyAlignment="0" applyProtection="0"/>
    <xf numFmtId="173" fontId="34" fillId="59" borderId="254" applyNumberFormat="0" applyFont="0" applyBorder="0" applyAlignment="0" applyProtection="0">
      <alignment horizontal="right" vertical="center"/>
    </xf>
    <xf numFmtId="0" fontId="58" fillId="42" borderId="251" applyNumberFormat="0" applyAlignment="0" applyProtection="0"/>
    <xf numFmtId="49" fontId="33" fillId="0" borderId="254" applyNumberFormat="0" applyFill="0" applyBorder="0" applyProtection="0">
      <alignment horizontal="left" vertical="center"/>
    </xf>
    <xf numFmtId="49" fontId="34" fillId="0" borderId="254" applyNumberFormat="0" applyFont="0" applyFill="0" applyBorder="0" applyProtection="0">
      <alignment horizontal="left" vertical="center" indent="2"/>
    </xf>
    <xf numFmtId="4" fontId="34" fillId="0" borderId="254" applyFill="0" applyBorder="0" applyProtection="0">
      <alignment horizontal="right" vertical="center"/>
    </xf>
    <xf numFmtId="0" fontId="49" fillId="42" borderId="265" applyNumberFormat="0" applyAlignment="0" applyProtection="0"/>
    <xf numFmtId="173" fontId="34" fillId="59" borderId="254" applyNumberFormat="0" applyFont="0" applyBorder="0" applyAlignment="0" applyProtection="0">
      <alignment horizontal="right" vertical="center"/>
    </xf>
    <xf numFmtId="0" fontId="65" fillId="0" borderId="276" applyNumberFormat="0" applyFill="0" applyAlignment="0" applyProtection="0"/>
    <xf numFmtId="0" fontId="58" fillId="42" borderId="273" applyNumberFormat="0" applyAlignment="0" applyProtection="0"/>
    <xf numFmtId="0" fontId="26" fillId="20" borderId="0" applyNumberFormat="0" applyBorder="0" applyAlignment="0" applyProtection="0"/>
    <xf numFmtId="4" fontId="32" fillId="33" borderId="254">
      <alignment horizontal="right" vertical="center"/>
    </xf>
    <xf numFmtId="0" fontId="26" fillId="26" borderId="0" applyNumberFormat="0" applyBorder="0" applyAlignment="0" applyProtection="0"/>
    <xf numFmtId="4" fontId="32" fillId="33" borderId="280">
      <alignment horizontal="right" vertical="center"/>
    </xf>
    <xf numFmtId="0" fontId="34" fillId="0" borderId="278" applyNumberFormat="0" applyFill="0" applyAlignment="0" applyProtection="0"/>
    <xf numFmtId="0" fontId="34" fillId="33" borderId="263">
      <alignment horizontal="left" vertical="center" wrapText="1" indent="2"/>
    </xf>
    <xf numFmtId="0" fontId="32" fillId="33" borderId="254">
      <alignment horizontal="right" vertical="center"/>
    </xf>
    <xf numFmtId="0" fontId="34" fillId="0" borderId="254">
      <alignment horizontal="right" vertical="center"/>
    </xf>
    <xf numFmtId="0" fontId="34" fillId="0" borderId="254">
      <alignment horizontal="right" vertical="center"/>
    </xf>
    <xf numFmtId="0" fontId="32" fillId="33" borderId="260">
      <alignment horizontal="right" vertical="center"/>
    </xf>
    <xf numFmtId="0" fontId="5" fillId="58" borderId="259" applyNumberFormat="0" applyFont="0" applyAlignment="0" applyProtection="0"/>
    <xf numFmtId="0" fontId="49" fillId="42" borderId="265" applyNumberFormat="0" applyAlignment="0" applyProtection="0"/>
    <xf numFmtId="0" fontId="36" fillId="31" borderId="260">
      <alignment horizontal="right" vertical="center"/>
    </xf>
    <xf numFmtId="0" fontId="12" fillId="27" borderId="0" applyNumberFormat="0" applyBorder="0" applyAlignment="0" applyProtection="0"/>
    <xf numFmtId="0" fontId="26" fillId="22" borderId="0" applyNumberFormat="0" applyBorder="0" applyAlignment="0" applyProtection="0"/>
    <xf numFmtId="49" fontId="34" fillId="0" borderId="261" applyNumberFormat="0" applyFont="0" applyFill="0" applyBorder="0" applyProtection="0">
      <alignment horizontal="left" vertical="center" indent="5"/>
    </xf>
    <xf numFmtId="0" fontId="36" fillId="31" borderId="260">
      <alignment horizontal="right" vertical="center"/>
    </xf>
    <xf numFmtId="0" fontId="12" fillId="18" borderId="0" applyNumberFormat="0" applyBorder="0" applyAlignment="0" applyProtection="0"/>
    <xf numFmtId="0" fontId="12" fillId="24" borderId="0" applyNumberFormat="0" applyBorder="0" applyAlignment="0" applyProtection="0"/>
    <xf numFmtId="0" fontId="36" fillId="31" borderId="254">
      <alignment horizontal="right" vertical="center"/>
    </xf>
    <xf numFmtId="4" fontId="32" fillId="33" borderId="256">
      <alignment horizontal="right" vertical="center"/>
    </xf>
    <xf numFmtId="0" fontId="34" fillId="33" borderId="257">
      <alignment horizontal="left" vertical="center" wrapText="1" indent="2"/>
    </xf>
    <xf numFmtId="0" fontId="58" fillId="42" borderId="251" applyNumberFormat="0" applyAlignment="0" applyProtection="0"/>
    <xf numFmtId="0" fontId="58" fillId="42" borderId="251" applyNumberFormat="0" applyAlignment="0" applyProtection="0"/>
    <xf numFmtId="0" fontId="26" fillId="13" borderId="0" applyNumberFormat="0" applyBorder="0" applyAlignment="0" applyProtection="0"/>
    <xf numFmtId="0" fontId="40" fillId="58" borderId="253" applyNumberFormat="0" applyFont="0" applyAlignment="0" applyProtection="0"/>
    <xf numFmtId="0" fontId="1" fillId="0" borderId="0" applyNumberFormat="0" applyFill="0" applyBorder="0" applyAlignment="0" applyProtection="0"/>
    <xf numFmtId="173" fontId="34" fillId="59" borderId="254" applyNumberFormat="0" applyFont="0" applyBorder="0" applyAlignment="0" applyProtection="0">
      <alignment horizontal="right" vertical="center"/>
    </xf>
    <xf numFmtId="0" fontId="40" fillId="58" borderId="253" applyNumberFormat="0" applyFont="0" applyAlignment="0" applyProtection="0"/>
    <xf numFmtId="0" fontId="34" fillId="0" borderId="254" applyNumberFormat="0" applyFill="0" applyAlignment="0" applyProtection="0"/>
    <xf numFmtId="0" fontId="34" fillId="32" borderId="254"/>
    <xf numFmtId="4" fontId="32" fillId="33" borderId="254">
      <alignment horizontal="right" vertical="center"/>
    </xf>
    <xf numFmtId="0" fontId="34" fillId="32" borderId="254"/>
    <xf numFmtId="0" fontId="58" fillId="42" borderId="251" applyNumberFormat="0" applyAlignment="0" applyProtection="0"/>
    <xf numFmtId="0" fontId="50" fillId="0" borderId="266" applyNumberFormat="0" applyFill="0" applyAlignment="0" applyProtection="0"/>
    <xf numFmtId="0" fontId="36" fillId="31" borderId="254">
      <alignment horizontal="right" vertical="center"/>
    </xf>
    <xf numFmtId="0" fontId="34" fillId="0" borderId="257">
      <alignment horizontal="left" vertical="center" wrapText="1" indent="2"/>
    </xf>
    <xf numFmtId="0" fontId="46" fillId="55" borderId="251" applyNumberFormat="0" applyAlignment="0" applyProtection="0"/>
    <xf numFmtId="0" fontId="62" fillId="55" borderId="258" applyNumberFormat="0" applyAlignment="0" applyProtection="0"/>
    <xf numFmtId="0" fontId="26" fillId="29" borderId="0" applyNumberFormat="0" applyBorder="0" applyAlignment="0" applyProtection="0"/>
    <xf numFmtId="0" fontId="32" fillId="33" borderId="260">
      <alignment horizontal="right" vertical="center"/>
    </xf>
    <xf numFmtId="0" fontId="26" fillId="13" borderId="0" applyNumberFormat="0" applyBorder="0" applyAlignment="0" applyProtection="0"/>
    <xf numFmtId="0" fontId="12" fillId="30" borderId="0" applyNumberFormat="0" applyBorder="0" applyAlignment="0" applyProtection="0"/>
    <xf numFmtId="0" fontId="43" fillId="55" borderId="264" applyNumberFormat="0" applyAlignment="0" applyProtection="0"/>
    <xf numFmtId="0" fontId="26" fillId="14" borderId="0" applyNumberFormat="0" applyBorder="0" applyAlignment="0" applyProtection="0"/>
    <xf numFmtId="0" fontId="40" fillId="58" borderId="267" applyNumberFormat="0" applyFont="0" applyAlignment="0" applyProtection="0"/>
    <xf numFmtId="0" fontId="58" fillId="42" borderId="273" applyNumberFormat="0" applyAlignment="0" applyProtection="0"/>
    <xf numFmtId="0" fontId="34" fillId="0" borderId="263">
      <alignment horizontal="left" vertical="center" wrapText="1" indent="2"/>
    </xf>
    <xf numFmtId="4" fontId="34" fillId="0" borderId="278">
      <alignment horizontal="right" vertical="center"/>
    </xf>
    <xf numFmtId="0" fontId="58" fillId="42" borderId="251" applyNumberFormat="0" applyAlignment="0" applyProtection="0"/>
    <xf numFmtId="0" fontId="36" fillId="31" borderId="254">
      <alignment horizontal="right" vertical="center"/>
    </xf>
    <xf numFmtId="0" fontId="26" fillId="17" borderId="0" applyNumberFormat="0" applyBorder="0" applyAlignment="0" applyProtection="0"/>
    <xf numFmtId="49" fontId="34" fillId="0" borderId="268" applyNumberFormat="0" applyFont="0" applyFill="0" applyBorder="0" applyProtection="0">
      <alignment horizontal="left" vertical="center" indent="2"/>
    </xf>
    <xf numFmtId="0" fontId="34" fillId="0" borderId="263">
      <alignment horizontal="left" vertical="center" wrapText="1" indent="2"/>
    </xf>
    <xf numFmtId="0" fontId="26" fillId="13" borderId="0" applyNumberFormat="0" applyBorder="0" applyAlignment="0" applyProtection="0"/>
    <xf numFmtId="0" fontId="58" fillId="42" borderId="273" applyNumberFormat="0" applyAlignment="0" applyProtection="0"/>
    <xf numFmtId="0" fontId="46" fillId="55" borderId="273" applyNumberFormat="0" applyAlignment="0" applyProtection="0"/>
    <xf numFmtId="4" fontId="34" fillId="0" borderId="278" applyFill="0" applyBorder="0" applyProtection="0">
      <alignment horizontal="right" vertical="center"/>
    </xf>
    <xf numFmtId="0" fontId="46" fillId="55" borderId="275" applyNumberFormat="0" applyAlignment="0" applyProtection="0"/>
    <xf numFmtId="4" fontId="34" fillId="0" borderId="278">
      <alignment horizontal="right" vertical="center"/>
    </xf>
    <xf numFmtId="0" fontId="32" fillId="33" borderId="278">
      <alignment horizontal="right" vertical="center"/>
    </xf>
    <xf numFmtId="0" fontId="65" fillId="0" borderId="252" applyNumberFormat="0" applyFill="0" applyAlignment="0" applyProtection="0"/>
    <xf numFmtId="4" fontId="34" fillId="0" borderId="254" applyFill="0" applyBorder="0" applyProtection="0">
      <alignment horizontal="right" vertical="center"/>
    </xf>
    <xf numFmtId="0" fontId="34" fillId="33" borderId="257">
      <alignment horizontal="left" vertical="center" wrapText="1" indent="2"/>
    </xf>
    <xf numFmtId="0" fontId="40" fillId="58" borderId="253" applyNumberFormat="0" applyFont="0" applyAlignment="0" applyProtection="0"/>
    <xf numFmtId="0" fontId="49" fillId="42" borderId="251" applyNumberFormat="0" applyAlignment="0" applyProtection="0"/>
    <xf numFmtId="4" fontId="34" fillId="32" borderId="254"/>
    <xf numFmtId="0" fontId="5" fillId="58" borderId="253" applyNumberFormat="0" applyFont="0" applyAlignment="0" applyProtection="0"/>
    <xf numFmtId="0" fontId="34" fillId="31" borderId="255">
      <alignment horizontal="left" vertical="center"/>
    </xf>
    <xf numFmtId="0" fontId="65" fillId="0" borderId="266" applyNumberFormat="0" applyFill="0" applyAlignment="0" applyProtection="0"/>
    <xf numFmtId="0" fontId="34" fillId="0" borderId="260" applyNumberFormat="0" applyFill="0" applyAlignment="0" applyProtection="0"/>
    <xf numFmtId="0" fontId="65" fillId="0" borderId="252" applyNumberFormat="0" applyFill="0" applyAlignment="0" applyProtection="0"/>
    <xf numFmtId="0" fontId="5" fillId="58" borderId="259" applyNumberFormat="0" applyFont="0" applyAlignment="0" applyProtection="0"/>
    <xf numFmtId="0" fontId="58" fillId="42" borderId="251" applyNumberFormat="0" applyAlignment="0" applyProtection="0"/>
    <xf numFmtId="0" fontId="58" fillId="42" borderId="273" applyNumberFormat="0" applyAlignment="0" applyProtection="0"/>
    <xf numFmtId="4" fontId="36" fillId="31" borderId="260">
      <alignment horizontal="right" vertical="center"/>
    </xf>
    <xf numFmtId="0" fontId="32" fillId="33" borderId="260">
      <alignment horizontal="right" vertical="center"/>
    </xf>
    <xf numFmtId="49" fontId="34" fillId="0" borderId="261" applyNumberFormat="0" applyFont="0" applyFill="0" applyBorder="0" applyProtection="0">
      <alignment horizontal="left" vertical="center" indent="5"/>
    </xf>
    <xf numFmtId="0" fontId="50" fillId="0" borderId="252" applyNumberFormat="0" applyFill="0" applyAlignment="0" applyProtection="0"/>
    <xf numFmtId="0" fontId="32" fillId="31" borderId="254">
      <alignment horizontal="right" vertical="center"/>
    </xf>
    <xf numFmtId="4" fontId="32" fillId="31" borderId="260">
      <alignment horizontal="right" vertical="center"/>
    </xf>
    <xf numFmtId="0" fontId="40" fillId="58" borderId="253" applyNumberFormat="0" applyFont="0" applyAlignment="0" applyProtection="0"/>
    <xf numFmtId="0" fontId="49" fillId="42" borderId="251" applyNumberFormat="0" applyAlignment="0" applyProtection="0"/>
    <xf numFmtId="0" fontId="34" fillId="0" borderId="257">
      <alignment horizontal="left" vertical="center" wrapText="1" indent="2"/>
    </xf>
    <xf numFmtId="4" fontId="32" fillId="33" borderId="254">
      <alignment horizontal="right" vertical="center"/>
    </xf>
    <xf numFmtId="0" fontId="40" fillId="58" borderId="253" applyNumberFormat="0" applyFont="0" applyAlignment="0" applyProtection="0"/>
    <xf numFmtId="0" fontId="32" fillId="33" borderId="268">
      <alignment horizontal="right" vertical="center"/>
    </xf>
    <xf numFmtId="0" fontId="5" fillId="58" borderId="267" applyNumberFormat="0" applyFont="0" applyAlignment="0" applyProtection="0"/>
    <xf numFmtId="0" fontId="45" fillId="55" borderId="265" applyNumberFormat="0" applyAlignment="0" applyProtection="0"/>
    <xf numFmtId="0" fontId="12" fillId="21" borderId="0" applyNumberFormat="0" applyBorder="0" applyAlignment="0" applyProtection="0"/>
    <xf numFmtId="49" fontId="34" fillId="0" borderId="260" applyNumberFormat="0" applyFont="0" applyFill="0" applyBorder="0" applyProtection="0">
      <alignment horizontal="left" vertical="center" indent="2"/>
    </xf>
    <xf numFmtId="0" fontId="58" fillId="42" borderId="265" applyNumberFormat="0" applyAlignment="0" applyProtection="0"/>
    <xf numFmtId="0" fontId="32" fillId="31" borderId="260">
      <alignment horizontal="right" vertical="center"/>
    </xf>
    <xf numFmtId="0" fontId="43" fillId="55" borderId="258" applyNumberFormat="0" applyAlignment="0" applyProtection="0"/>
    <xf numFmtId="0" fontId="43" fillId="55" borderId="264" applyNumberFormat="0" applyAlignment="0" applyProtection="0"/>
    <xf numFmtId="0" fontId="65" fillId="0" borderId="274" applyNumberFormat="0" applyFill="0" applyAlignment="0" applyProtection="0"/>
    <xf numFmtId="4" fontId="36" fillId="31" borderId="260">
      <alignment horizontal="right" vertical="center"/>
    </xf>
    <xf numFmtId="173" fontId="34" fillId="59" borderId="278" applyNumberFormat="0" applyFont="0" applyBorder="0" applyAlignment="0" applyProtection="0">
      <alignment horizontal="right" vertical="center"/>
    </xf>
    <xf numFmtId="0" fontId="32" fillId="33" borderId="278">
      <alignment horizontal="right" vertical="center"/>
    </xf>
    <xf numFmtId="0" fontId="34" fillId="33" borderId="257">
      <alignment horizontal="left" vertical="center" wrapText="1" indent="2"/>
    </xf>
    <xf numFmtId="173" fontId="34" fillId="59" borderId="260" applyNumberFormat="0" applyFont="0" applyBorder="0" applyAlignment="0" applyProtection="0">
      <alignment horizontal="right" vertical="center"/>
    </xf>
    <xf numFmtId="0" fontId="58" fillId="42" borderId="251" applyNumberFormat="0" applyAlignment="0" applyProtection="0"/>
    <xf numFmtId="4" fontId="34" fillId="0" borderId="254">
      <alignment horizontal="right" vertical="center"/>
    </xf>
    <xf numFmtId="4" fontId="36" fillId="31" borderId="254">
      <alignment horizontal="right" vertical="center"/>
    </xf>
    <xf numFmtId="0" fontId="26" fillId="25" borderId="0" applyNumberFormat="0" applyBorder="0" applyAlignment="0" applyProtection="0"/>
    <xf numFmtId="0" fontId="65" fillId="0" borderId="266" applyNumberFormat="0" applyFill="0" applyAlignment="0" applyProtection="0"/>
    <xf numFmtId="0" fontId="32" fillId="33" borderId="268">
      <alignment horizontal="right" vertical="center"/>
    </xf>
    <xf numFmtId="0" fontId="46" fillId="55" borderId="251" applyNumberFormat="0" applyAlignment="0" applyProtection="0"/>
    <xf numFmtId="0" fontId="5" fillId="58" borderId="259" applyNumberFormat="0" applyFont="0" applyAlignment="0" applyProtection="0"/>
    <xf numFmtId="0" fontId="2" fillId="0" borderId="12" applyNumberFormat="0" applyFill="0" applyAlignment="0" applyProtection="0"/>
    <xf numFmtId="0" fontId="12" fillId="15" borderId="0" applyNumberFormat="0" applyBorder="0" applyAlignment="0" applyProtection="0"/>
    <xf numFmtId="0" fontId="26" fillId="16" borderId="0" applyNumberFormat="0" applyBorder="0" applyAlignment="0" applyProtection="0"/>
    <xf numFmtId="0" fontId="12" fillId="30" borderId="0" applyNumberFormat="0" applyBorder="0" applyAlignment="0" applyProtection="0"/>
    <xf numFmtId="0" fontId="45" fillId="55" borderId="251" applyNumberFormat="0" applyAlignment="0" applyProtection="0"/>
    <xf numFmtId="0" fontId="26" fillId="25" borderId="0" applyNumberFormat="0" applyBorder="0" applyAlignment="0" applyProtection="0"/>
    <xf numFmtId="0" fontId="26" fillId="13" borderId="0" applyNumberFormat="0" applyBorder="0" applyAlignment="0" applyProtection="0"/>
    <xf numFmtId="4" fontId="32" fillId="31" borderId="254">
      <alignment horizontal="right" vertical="center"/>
    </xf>
    <xf numFmtId="0" fontId="65" fillId="0" borderId="274" applyNumberFormat="0" applyFill="0" applyAlignment="0" applyProtection="0"/>
    <xf numFmtId="0" fontId="34" fillId="32" borderId="254"/>
    <xf numFmtId="0" fontId="62" fillId="55" borderId="258" applyNumberFormat="0" applyAlignment="0" applyProtection="0"/>
    <xf numFmtId="4" fontId="34" fillId="0" borderId="254" applyFill="0" applyBorder="0" applyProtection="0">
      <alignment horizontal="right" vertical="center"/>
    </xf>
    <xf numFmtId="0" fontId="34" fillId="0" borderId="271">
      <alignment horizontal="left" vertical="center" wrapText="1" indent="2"/>
    </xf>
    <xf numFmtId="49" fontId="34" fillId="0" borderId="260" applyNumberFormat="0" applyFont="0" applyFill="0" applyBorder="0" applyProtection="0">
      <alignment horizontal="left" vertical="center" indent="2"/>
    </xf>
    <xf numFmtId="0" fontId="26" fillId="20" borderId="0" applyNumberFormat="0" applyBorder="0" applyAlignment="0" applyProtection="0"/>
    <xf numFmtId="0" fontId="50" fillId="0" borderId="266" applyNumberFormat="0" applyFill="0" applyAlignment="0" applyProtection="0"/>
    <xf numFmtId="0" fontId="62" fillId="55" borderId="258" applyNumberFormat="0" applyAlignment="0" applyProtection="0"/>
    <xf numFmtId="4" fontId="34" fillId="32" borderId="268"/>
    <xf numFmtId="0" fontId="26" fillId="25" borderId="0" applyNumberFormat="0" applyBorder="0" applyAlignment="0" applyProtection="0"/>
    <xf numFmtId="0" fontId="65" fillId="0" borderId="252" applyNumberFormat="0" applyFill="0" applyAlignment="0" applyProtection="0"/>
    <xf numFmtId="4" fontId="36" fillId="31" borderId="254">
      <alignment horizontal="right" vertical="center"/>
    </xf>
    <xf numFmtId="0" fontId="58" fillId="42" borderId="251" applyNumberFormat="0" applyAlignment="0" applyProtection="0"/>
    <xf numFmtId="0" fontId="32" fillId="33" borderId="254">
      <alignment horizontal="right" vertical="center"/>
    </xf>
    <xf numFmtId="0" fontId="34" fillId="32" borderId="254"/>
    <xf numFmtId="0" fontId="62" fillId="55" borderId="258" applyNumberFormat="0" applyAlignment="0" applyProtection="0"/>
    <xf numFmtId="0" fontId="46" fillId="55" borderId="251" applyNumberFormat="0" applyAlignment="0" applyProtection="0"/>
    <xf numFmtId="0" fontId="45" fillId="55" borderId="251" applyNumberFormat="0" applyAlignment="0" applyProtection="0"/>
    <xf numFmtId="0" fontId="49" fillId="42" borderId="251" applyNumberFormat="0" applyAlignment="0" applyProtection="0"/>
    <xf numFmtId="0" fontId="50" fillId="0" borderId="252" applyNumberFormat="0" applyFill="0" applyAlignment="0" applyProtection="0"/>
    <xf numFmtId="4" fontId="34" fillId="0" borderId="254" applyFill="0" applyBorder="0" applyProtection="0">
      <alignment horizontal="right" vertical="center"/>
    </xf>
    <xf numFmtId="4" fontId="32" fillId="33" borderId="254">
      <alignment horizontal="right" vertical="center"/>
    </xf>
    <xf numFmtId="0" fontId="58" fillId="42" borderId="251" applyNumberFormat="0" applyAlignment="0" applyProtection="0"/>
    <xf numFmtId="4" fontId="32" fillId="31" borderId="254">
      <alignment horizontal="right" vertical="center"/>
    </xf>
    <xf numFmtId="0" fontId="32" fillId="33" borderId="254">
      <alignment horizontal="right" vertical="center"/>
    </xf>
    <xf numFmtId="0" fontId="46" fillId="55" borderId="251" applyNumberFormat="0" applyAlignment="0" applyProtection="0"/>
    <xf numFmtId="0" fontId="12" fillId="27" borderId="0" applyNumberFormat="0" applyBorder="0" applyAlignment="0" applyProtection="0"/>
    <xf numFmtId="0" fontId="46" fillId="55" borderId="275" applyNumberFormat="0" applyAlignment="0" applyProtection="0"/>
    <xf numFmtId="0" fontId="26" fillId="29" borderId="0" applyNumberFormat="0" applyBorder="0" applyAlignment="0" applyProtection="0"/>
    <xf numFmtId="4" fontId="32" fillId="31" borderId="278">
      <alignment horizontal="right" vertical="center"/>
    </xf>
    <xf numFmtId="0" fontId="26" fillId="25" borderId="0" applyNumberFormat="0" applyBorder="0" applyAlignment="0" applyProtection="0"/>
    <xf numFmtId="0" fontId="45" fillId="55" borderId="275" applyNumberFormat="0" applyAlignment="0" applyProtection="0"/>
    <xf numFmtId="0" fontId="34" fillId="33" borderId="257">
      <alignment horizontal="left" vertical="center" wrapText="1" indent="2"/>
    </xf>
    <xf numFmtId="0" fontId="2" fillId="0" borderId="12" applyNumberFormat="0" applyFill="0" applyAlignment="0" applyProtection="0"/>
    <xf numFmtId="173" fontId="34" fillId="59" borderId="260" applyNumberFormat="0" applyFont="0" applyBorder="0" applyAlignment="0" applyProtection="0">
      <alignment horizontal="right" vertical="center"/>
    </xf>
    <xf numFmtId="0" fontId="12" fillId="18" borderId="0" applyNumberFormat="0" applyBorder="0" applyAlignment="0" applyProtection="0"/>
    <xf numFmtId="0" fontId="26" fillId="26" borderId="0" applyNumberFormat="0" applyBorder="0" applyAlignment="0" applyProtection="0"/>
    <xf numFmtId="0" fontId="26" fillId="29" borderId="0" applyNumberFormat="0" applyBorder="0" applyAlignment="0" applyProtection="0"/>
    <xf numFmtId="0" fontId="34" fillId="33" borderId="281">
      <alignment horizontal="left" vertical="center" wrapText="1" indent="2"/>
    </xf>
    <xf numFmtId="0" fontId="34" fillId="0" borderId="263">
      <alignment horizontal="left" vertical="center" wrapText="1" indent="2"/>
    </xf>
    <xf numFmtId="0" fontId="58" fillId="42" borderId="273" applyNumberFormat="0" applyAlignment="0" applyProtection="0"/>
    <xf numFmtId="0" fontId="58" fillId="42" borderId="251" applyNumberFormat="0" applyAlignment="0" applyProtection="0"/>
    <xf numFmtId="4" fontId="34" fillId="0" borderId="260">
      <alignment horizontal="right" vertical="center"/>
    </xf>
    <xf numFmtId="0" fontId="32" fillId="31" borderId="254">
      <alignment horizontal="right" vertical="center"/>
    </xf>
    <xf numFmtId="0" fontId="32" fillId="33" borderId="268">
      <alignment horizontal="right" vertical="center"/>
    </xf>
    <xf numFmtId="4" fontId="32" fillId="33" borderId="268">
      <alignment horizontal="right" vertical="center"/>
    </xf>
    <xf numFmtId="0" fontId="34" fillId="0" borderId="254" applyNumberFormat="0" applyFill="0" applyAlignment="0" applyProtection="0"/>
    <xf numFmtId="49" fontId="33" fillId="0" borderId="254" applyNumberFormat="0" applyFill="0" applyBorder="0" applyProtection="0">
      <alignment horizontal="left" vertical="center"/>
    </xf>
    <xf numFmtId="0" fontId="34" fillId="0" borderId="254">
      <alignment horizontal="right" vertical="center"/>
    </xf>
    <xf numFmtId="0" fontId="58" fillId="42" borderId="251" applyNumberFormat="0" applyAlignment="0" applyProtection="0"/>
    <xf numFmtId="0" fontId="28" fillId="12" borderId="11" applyNumberFormat="0" applyAlignment="0" applyProtection="0"/>
    <xf numFmtId="0" fontId="43" fillId="55" borderId="272" applyNumberFormat="0" applyAlignment="0" applyProtection="0"/>
    <xf numFmtId="0" fontId="34" fillId="0" borderId="254" applyNumberFormat="0" applyFill="0" applyAlignment="0" applyProtection="0"/>
    <xf numFmtId="0" fontId="34" fillId="0" borderId="257">
      <alignment horizontal="left" vertical="center" wrapText="1" indent="2"/>
    </xf>
    <xf numFmtId="49" fontId="34" fillId="0" borderId="255" applyNumberFormat="0" applyFont="0" applyFill="0" applyBorder="0" applyProtection="0">
      <alignment horizontal="left" vertical="center" indent="5"/>
    </xf>
    <xf numFmtId="0" fontId="32" fillId="33" borderId="256">
      <alignment horizontal="right" vertical="center"/>
    </xf>
    <xf numFmtId="4" fontId="32" fillId="31" borderId="254">
      <alignment horizontal="right" vertical="center"/>
    </xf>
    <xf numFmtId="0" fontId="65" fillId="0" borderId="252" applyNumberFormat="0" applyFill="0" applyAlignment="0" applyProtection="0"/>
    <xf numFmtId="0" fontId="45" fillId="55" borderId="251" applyNumberFormat="0" applyAlignment="0" applyProtection="0"/>
    <xf numFmtId="49" fontId="33" fillId="0" borderId="260" applyNumberFormat="0" applyFill="0" applyBorder="0" applyProtection="0">
      <alignment horizontal="left" vertical="center"/>
    </xf>
    <xf numFmtId="0" fontId="46" fillId="55" borderId="275" applyNumberFormat="0" applyAlignment="0" applyProtection="0"/>
    <xf numFmtId="4" fontId="34" fillId="0" borderId="278">
      <alignment horizontal="right" vertical="center"/>
    </xf>
    <xf numFmtId="49" fontId="34" fillId="0" borderId="255" applyNumberFormat="0" applyFont="0" applyFill="0" applyBorder="0" applyProtection="0">
      <alignment horizontal="left" vertical="center" indent="5"/>
    </xf>
    <xf numFmtId="0" fontId="40" fillId="58" borderId="253" applyNumberFormat="0" applyFont="0" applyAlignment="0" applyProtection="0"/>
    <xf numFmtId="4" fontId="32" fillId="31" borderId="268">
      <alignment horizontal="right" vertical="center"/>
    </xf>
    <xf numFmtId="0" fontId="34" fillId="32" borderId="260"/>
    <xf numFmtId="0" fontId="5" fillId="58" borderId="259" applyNumberFormat="0" applyFont="0" applyAlignment="0" applyProtection="0"/>
    <xf numFmtId="0" fontId="26" fillId="23" borderId="0" applyNumberFormat="0" applyBorder="0" applyAlignment="0" applyProtection="0"/>
    <xf numFmtId="0" fontId="26" fillId="14" borderId="0" applyNumberFormat="0" applyBorder="0" applyAlignment="0" applyProtection="0"/>
    <xf numFmtId="4" fontId="32" fillId="33" borderId="254">
      <alignment horizontal="right" vertical="center"/>
    </xf>
    <xf numFmtId="4" fontId="36" fillId="31" borderId="254">
      <alignment horizontal="right" vertical="center"/>
    </xf>
    <xf numFmtId="0" fontId="34" fillId="32" borderId="254"/>
    <xf numFmtId="0" fontId="50" fillId="0" borderId="252" applyNumberFormat="0" applyFill="0" applyAlignment="0" applyProtection="0"/>
    <xf numFmtId="4" fontId="34" fillId="0" borderId="254" applyFill="0" applyBorder="0" applyProtection="0">
      <alignment horizontal="right" vertical="center"/>
    </xf>
    <xf numFmtId="0" fontId="50" fillId="0" borderId="252" applyNumberFormat="0" applyFill="0" applyAlignment="0" applyProtection="0"/>
    <xf numFmtId="0" fontId="34" fillId="0" borderId="254" applyNumberFormat="0" applyFill="0" applyAlignment="0" applyProtection="0"/>
    <xf numFmtId="0" fontId="12" fillId="15" borderId="0" applyNumberFormat="0" applyBorder="0" applyAlignment="0" applyProtection="0"/>
    <xf numFmtId="0" fontId="34" fillId="0" borderId="254" applyNumberFormat="0" applyFill="0" applyAlignment="0" applyProtection="0"/>
    <xf numFmtId="0" fontId="50" fillId="0" borderId="266" applyNumberFormat="0" applyFill="0" applyAlignment="0" applyProtection="0"/>
    <xf numFmtId="0" fontId="34" fillId="0" borderId="260">
      <alignment horizontal="right" vertical="center"/>
    </xf>
    <xf numFmtId="4" fontId="32" fillId="33" borderId="256">
      <alignment horizontal="right" vertical="center"/>
    </xf>
    <xf numFmtId="0" fontId="26" fillId="28" borderId="0" applyNumberFormat="0" applyBorder="0" applyAlignment="0" applyProtection="0"/>
    <xf numFmtId="0" fontId="40" fillId="58" borderId="277" applyNumberFormat="0" applyFont="0" applyAlignment="0" applyProtection="0"/>
    <xf numFmtId="0" fontId="26" fillId="16" borderId="0" applyNumberFormat="0" applyBorder="0" applyAlignment="0" applyProtection="0"/>
    <xf numFmtId="0" fontId="46" fillId="55" borderId="265" applyNumberFormat="0" applyAlignment="0" applyProtection="0"/>
    <xf numFmtId="0" fontId="49" fillId="42" borderId="251" applyNumberFormat="0" applyAlignment="0" applyProtection="0"/>
    <xf numFmtId="0" fontId="46" fillId="55" borderId="251" applyNumberFormat="0" applyAlignment="0" applyProtection="0"/>
    <xf numFmtId="4" fontId="34" fillId="0" borderId="254">
      <alignment horizontal="right" vertical="center"/>
    </xf>
    <xf numFmtId="0" fontId="34" fillId="33" borderId="257">
      <alignment horizontal="left" vertical="center" wrapText="1" indent="2"/>
    </xf>
    <xf numFmtId="0" fontId="34" fillId="0" borderId="257">
      <alignment horizontal="left" vertical="center" wrapText="1" indent="2"/>
    </xf>
    <xf numFmtId="0" fontId="62" fillId="55" borderId="258" applyNumberFormat="0" applyAlignment="0" applyProtection="0"/>
    <xf numFmtId="0" fontId="58" fillId="42" borderId="251" applyNumberFormat="0" applyAlignment="0" applyProtection="0"/>
    <xf numFmtId="0" fontId="45" fillId="55" borderId="251" applyNumberFormat="0" applyAlignment="0" applyProtection="0"/>
    <xf numFmtId="0" fontId="43" fillId="55" borderId="258" applyNumberFormat="0" applyAlignment="0" applyProtection="0"/>
    <xf numFmtId="0" fontId="32" fillId="33" borderId="256">
      <alignment horizontal="right" vertical="center"/>
    </xf>
    <xf numFmtId="0" fontId="36" fillId="31" borderId="254">
      <alignment horizontal="right" vertical="center"/>
    </xf>
    <xf numFmtId="4" fontId="32" fillId="31" borderId="254">
      <alignment horizontal="right" vertical="center"/>
    </xf>
    <xf numFmtId="4" fontId="32" fillId="33" borderId="254">
      <alignment horizontal="right" vertical="center"/>
    </xf>
    <xf numFmtId="49" fontId="34" fillId="0" borderId="255" applyNumberFormat="0" applyFont="0" applyFill="0" applyBorder="0" applyProtection="0">
      <alignment horizontal="left" vertical="center" indent="5"/>
    </xf>
    <xf numFmtId="4" fontId="34" fillId="0" borderId="254" applyFill="0" applyBorder="0" applyProtection="0">
      <alignment horizontal="right" vertical="center"/>
    </xf>
    <xf numFmtId="4" fontId="32" fillId="31" borderId="254">
      <alignment horizontal="right" vertical="center"/>
    </xf>
    <xf numFmtId="0" fontId="58" fillId="42" borderId="251" applyNumberFormat="0" applyAlignment="0" applyProtection="0"/>
    <xf numFmtId="0" fontId="49" fillId="42" borderId="251" applyNumberFormat="0" applyAlignment="0" applyProtection="0"/>
    <xf numFmtId="0" fontId="45" fillId="55" borderId="251" applyNumberFormat="0" applyAlignment="0" applyProtection="0"/>
    <xf numFmtId="0" fontId="34" fillId="33" borderId="257">
      <alignment horizontal="left" vertical="center" wrapText="1" indent="2"/>
    </xf>
    <xf numFmtId="0" fontId="34" fillId="0" borderId="257">
      <alignment horizontal="left" vertical="center" wrapText="1" indent="2"/>
    </xf>
    <xf numFmtId="0" fontId="34" fillId="33" borderId="257">
      <alignment horizontal="left" vertical="center" wrapText="1" indent="2"/>
    </xf>
    <xf numFmtId="0" fontId="26" fillId="16" borderId="0" applyNumberFormat="0" applyBorder="0" applyAlignment="0" applyProtection="0"/>
    <xf numFmtId="0" fontId="28" fillId="12" borderId="11" applyNumberFormat="0" applyAlignment="0" applyProtection="0"/>
    <xf numFmtId="0" fontId="45" fillId="55" borderId="265" applyNumberFormat="0" applyAlignment="0" applyProtection="0"/>
    <xf numFmtId="4" fontId="32" fillId="33" borderId="261">
      <alignment horizontal="right" vertical="center"/>
    </xf>
    <xf numFmtId="0" fontId="34" fillId="31" borderId="261">
      <alignment horizontal="left" vertical="center"/>
    </xf>
    <xf numFmtId="4" fontId="32" fillId="31" borderId="260">
      <alignment horizontal="right" vertical="center"/>
    </xf>
    <xf numFmtId="0" fontId="62" fillId="55" borderId="264" applyNumberFormat="0" applyAlignment="0" applyProtection="0"/>
    <xf numFmtId="0" fontId="36" fillId="31" borderId="260">
      <alignment horizontal="right" vertical="center"/>
    </xf>
    <xf numFmtId="0" fontId="40" fillId="58" borderId="259" applyNumberFormat="0" applyFont="0" applyAlignment="0" applyProtection="0"/>
    <xf numFmtId="0" fontId="49" fillId="42" borderId="273" applyNumberFormat="0" applyAlignment="0" applyProtection="0"/>
    <xf numFmtId="4" fontId="34" fillId="0" borderId="260" applyFill="0" applyBorder="0" applyProtection="0">
      <alignment horizontal="right" vertical="center"/>
    </xf>
    <xf numFmtId="0" fontId="34" fillId="0" borderId="260" applyNumberFormat="0" applyFill="0" applyAlignment="0" applyProtection="0"/>
    <xf numFmtId="0" fontId="45" fillId="55" borderId="265" applyNumberFormat="0" applyAlignment="0" applyProtection="0"/>
    <xf numFmtId="0" fontId="34" fillId="0" borderId="268" applyNumberFormat="0" applyFill="0" applyAlignment="0" applyProtection="0"/>
    <xf numFmtId="0" fontId="65" fillId="0" borderId="266" applyNumberFormat="0" applyFill="0" applyAlignment="0" applyProtection="0"/>
    <xf numFmtId="0" fontId="65" fillId="0" borderId="266" applyNumberFormat="0" applyFill="0" applyAlignment="0" applyProtection="0"/>
    <xf numFmtId="0" fontId="34" fillId="33" borderId="263">
      <alignment horizontal="left" vertical="center" wrapText="1" indent="2"/>
    </xf>
    <xf numFmtId="0" fontId="45" fillId="55" borderId="265" applyNumberFormat="0" applyAlignment="0" applyProtection="0"/>
    <xf numFmtId="0" fontId="49" fillId="42" borderId="265" applyNumberFormat="0" applyAlignment="0" applyProtection="0"/>
    <xf numFmtId="0" fontId="36" fillId="31" borderId="260">
      <alignment horizontal="right" vertical="center"/>
    </xf>
    <xf numFmtId="0" fontId="49" fillId="42" borderId="273" applyNumberFormat="0" applyAlignment="0" applyProtection="0"/>
    <xf numFmtId="173" fontId="34" fillId="59" borderId="260" applyNumberFormat="0" applyFont="0" applyBorder="0" applyAlignment="0" applyProtection="0">
      <alignment horizontal="right" vertical="center"/>
    </xf>
    <xf numFmtId="0" fontId="65" fillId="0" borderId="274" applyNumberFormat="0" applyFill="0" applyAlignment="0" applyProtection="0"/>
    <xf numFmtId="0" fontId="46" fillId="55" borderId="273" applyNumberFormat="0" applyAlignment="0" applyProtection="0"/>
    <xf numFmtId="4" fontId="32" fillId="33" borderId="260">
      <alignment horizontal="right" vertical="center"/>
    </xf>
    <xf numFmtId="4" fontId="36" fillId="31" borderId="268">
      <alignment horizontal="right" vertical="center"/>
    </xf>
    <xf numFmtId="0" fontId="34" fillId="0" borderId="263">
      <alignment horizontal="left" vertical="center" wrapText="1" indent="2"/>
    </xf>
    <xf numFmtId="0" fontId="34" fillId="0" borderId="263">
      <alignment horizontal="left" vertical="center" wrapText="1" indent="2"/>
    </xf>
    <xf numFmtId="173" fontId="34" fillId="59" borderId="268" applyNumberFormat="0" applyFont="0" applyBorder="0" applyAlignment="0" applyProtection="0">
      <alignment horizontal="right" vertical="center"/>
    </xf>
    <xf numFmtId="0" fontId="34" fillId="33" borderId="281">
      <alignment horizontal="left" vertical="center" wrapText="1" indent="2"/>
    </xf>
    <xf numFmtId="0" fontId="26" fillId="16" borderId="0" applyNumberFormat="0" applyBorder="0" applyAlignment="0" applyProtection="0"/>
    <xf numFmtId="0" fontId="26" fillId="26" borderId="0" applyNumberFormat="0" applyBorder="0" applyAlignment="0" applyProtection="0"/>
    <xf numFmtId="0" fontId="40" fillId="58" borderId="259" applyNumberFormat="0" applyFont="0" applyAlignment="0" applyProtection="0"/>
    <xf numFmtId="0" fontId="34" fillId="0" borderId="260" applyNumberFormat="0" applyFill="0" applyAlignment="0" applyProtection="0"/>
    <xf numFmtId="0" fontId="32" fillId="33" borderId="261">
      <alignment horizontal="right" vertical="center"/>
    </xf>
    <xf numFmtId="0" fontId="32" fillId="31" borderId="268">
      <alignment horizontal="right" vertical="center"/>
    </xf>
    <xf numFmtId="0" fontId="29" fillId="12" borderId="10" applyNumberFormat="0" applyAlignment="0" applyProtection="0"/>
    <xf numFmtId="0" fontId="40" fillId="58" borderId="277" applyNumberFormat="0" applyFont="0" applyAlignment="0" applyProtection="0"/>
    <xf numFmtId="0" fontId="46" fillId="55" borderId="273" applyNumberFormat="0" applyAlignment="0" applyProtection="0"/>
    <xf numFmtId="49" fontId="33" fillId="0" borderId="268" applyNumberFormat="0" applyFill="0" applyBorder="0" applyProtection="0">
      <alignment horizontal="left" vertical="center"/>
    </xf>
    <xf numFmtId="4" fontId="34" fillId="32" borderId="260"/>
    <xf numFmtId="4" fontId="32" fillId="33" borderId="280">
      <alignment horizontal="right" vertical="center"/>
    </xf>
    <xf numFmtId="0" fontId="46" fillId="55" borderId="275" applyNumberFormat="0" applyAlignment="0" applyProtection="0"/>
    <xf numFmtId="0" fontId="65" fillId="0" borderId="266" applyNumberFormat="0" applyFill="0" applyAlignment="0" applyProtection="0"/>
    <xf numFmtId="0" fontId="50" fillId="0" borderId="274" applyNumberFormat="0" applyFill="0" applyAlignment="0" applyProtection="0"/>
    <xf numFmtId="0" fontId="32" fillId="33" borderId="270">
      <alignment horizontal="right" vertical="center"/>
    </xf>
    <xf numFmtId="4" fontId="36" fillId="31" borderId="278">
      <alignment horizontal="right" vertical="center"/>
    </xf>
    <xf numFmtId="0" fontId="34" fillId="33" borderId="271">
      <alignment horizontal="left" vertical="center" wrapText="1" indent="2"/>
    </xf>
    <xf numFmtId="0" fontId="28" fillId="12" borderId="11" applyNumberFormat="0" applyAlignment="0" applyProtection="0"/>
    <xf numFmtId="0" fontId="32" fillId="33" borderId="262">
      <alignment horizontal="right" vertical="center"/>
    </xf>
    <xf numFmtId="0" fontId="45" fillId="55" borderId="273" applyNumberFormat="0" applyAlignment="0" applyProtection="0"/>
    <xf numFmtId="0" fontId="46" fillId="55" borderId="265" applyNumberFormat="0" applyAlignment="0" applyProtection="0"/>
    <xf numFmtId="4" fontId="36" fillId="31" borderId="278">
      <alignment horizontal="right" vertical="center"/>
    </xf>
    <xf numFmtId="4" fontId="34" fillId="0" borderId="260">
      <alignment horizontal="right" vertical="center"/>
    </xf>
    <xf numFmtId="0" fontId="32" fillId="33" borderId="269">
      <alignment horizontal="right" vertical="center"/>
    </xf>
    <xf numFmtId="0" fontId="40" fillId="58" borderId="267" applyNumberFormat="0" applyFont="0" applyAlignment="0" applyProtection="0"/>
    <xf numFmtId="0" fontId="30" fillId="0" borderId="0" applyNumberFormat="0" applyFill="0" applyBorder="0" applyAlignment="0" applyProtection="0"/>
    <xf numFmtId="0" fontId="32" fillId="31" borderId="268">
      <alignment horizontal="right" vertical="center"/>
    </xf>
    <xf numFmtId="0" fontId="32" fillId="33" borderId="261">
      <alignment horizontal="right" vertical="center"/>
    </xf>
    <xf numFmtId="0" fontId="49" fillId="42" borderId="275" applyNumberFormat="0" applyAlignment="0" applyProtection="0"/>
    <xf numFmtId="0" fontId="46" fillId="55" borderId="275" applyNumberFormat="0" applyAlignment="0" applyProtection="0"/>
    <xf numFmtId="173" fontId="34" fillId="59" borderId="260" applyNumberFormat="0" applyFont="0" applyBorder="0" applyAlignment="0" applyProtection="0">
      <alignment horizontal="right" vertical="center"/>
    </xf>
    <xf numFmtId="0" fontId="62" fillId="55" borderId="264" applyNumberFormat="0" applyAlignment="0" applyProtection="0"/>
    <xf numFmtId="0" fontId="26" fillId="17" borderId="0" applyNumberFormat="0" applyBorder="0" applyAlignment="0" applyProtection="0"/>
    <xf numFmtId="0" fontId="32" fillId="33" borderId="260">
      <alignment horizontal="right" vertical="center"/>
    </xf>
    <xf numFmtId="4" fontId="34" fillId="0" borderId="260" applyFill="0" applyBorder="0" applyProtection="0">
      <alignment horizontal="right" vertical="center"/>
    </xf>
    <xf numFmtId="0" fontId="34" fillId="33" borderId="263">
      <alignment horizontal="left" vertical="center" wrapText="1" indent="2"/>
    </xf>
    <xf numFmtId="0" fontId="58" fillId="42" borderId="265" applyNumberFormat="0" applyAlignment="0" applyProtection="0"/>
    <xf numFmtId="0" fontId="46" fillId="55" borderId="265" applyNumberFormat="0" applyAlignment="0" applyProtection="0"/>
    <xf numFmtId="4" fontId="32" fillId="31" borderId="260">
      <alignment horizontal="right" vertical="center"/>
    </xf>
    <xf numFmtId="0" fontId="50" fillId="0" borderId="276" applyNumberFormat="0" applyFill="0" applyAlignment="0" applyProtection="0"/>
    <xf numFmtId="0" fontId="62" fillId="55" borderId="264" applyNumberFormat="0" applyAlignment="0" applyProtection="0"/>
    <xf numFmtId="0" fontId="34" fillId="0" borderId="260">
      <alignment horizontal="right" vertical="center"/>
    </xf>
    <xf numFmtId="0" fontId="58" fillId="42" borderId="265" applyNumberFormat="0" applyAlignment="0" applyProtection="0"/>
    <xf numFmtId="0" fontId="58" fillId="42" borderId="265" applyNumberFormat="0" applyAlignment="0" applyProtection="0"/>
    <xf numFmtId="0" fontId="26" fillId="20" borderId="0" applyNumberFormat="0" applyBorder="0" applyAlignment="0" applyProtection="0"/>
    <xf numFmtId="49" fontId="34" fillId="0" borderId="261" applyNumberFormat="0" applyFont="0" applyFill="0" applyBorder="0" applyProtection="0">
      <alignment horizontal="left" vertical="center" indent="5"/>
    </xf>
    <xf numFmtId="0" fontId="34" fillId="0" borderId="260">
      <alignment horizontal="right" vertical="center"/>
    </xf>
    <xf numFmtId="0" fontId="46" fillId="55" borderId="265" applyNumberFormat="0" applyAlignment="0" applyProtection="0"/>
    <xf numFmtId="0" fontId="32" fillId="33" borderId="260">
      <alignment horizontal="right" vertical="center"/>
    </xf>
    <xf numFmtId="4" fontId="34" fillId="32" borderId="260"/>
    <xf numFmtId="0" fontId="36" fillId="31" borderId="268">
      <alignment horizontal="right" vertical="center"/>
    </xf>
    <xf numFmtId="4" fontId="32" fillId="33" borderId="268">
      <alignment horizontal="right" vertical="center"/>
    </xf>
    <xf numFmtId="4" fontId="32" fillId="33" borderId="262">
      <alignment horizontal="right" vertical="center"/>
    </xf>
    <xf numFmtId="4" fontId="32" fillId="33" borderId="260">
      <alignment horizontal="right" vertical="center"/>
    </xf>
    <xf numFmtId="4" fontId="32" fillId="33" borderId="279">
      <alignment horizontal="right" vertical="center"/>
    </xf>
    <xf numFmtId="4" fontId="32" fillId="33" borderId="268">
      <alignment horizontal="right" vertical="center"/>
    </xf>
    <xf numFmtId="0" fontId="32" fillId="31" borderId="260">
      <alignment horizontal="right" vertical="center"/>
    </xf>
    <xf numFmtId="4" fontId="32" fillId="33" borderId="268">
      <alignment horizontal="right" vertical="center"/>
    </xf>
    <xf numFmtId="49" fontId="34" fillId="0" borderId="260" applyNumberFormat="0" applyFont="0" applyFill="0" applyBorder="0" applyProtection="0">
      <alignment horizontal="left" vertical="center" indent="2"/>
    </xf>
    <xf numFmtId="0" fontId="28" fillId="12" borderId="11" applyNumberFormat="0" applyAlignment="0" applyProtection="0"/>
    <xf numFmtId="0" fontId="26" fillId="25" borderId="0" applyNumberFormat="0" applyBorder="0" applyAlignment="0" applyProtection="0"/>
    <xf numFmtId="0" fontId="12" fillId="18" borderId="0" applyNumberFormat="0" applyBorder="0" applyAlignment="0" applyProtection="0"/>
    <xf numFmtId="0" fontId="46" fillId="55" borderId="275" applyNumberFormat="0" applyAlignment="0" applyProtection="0"/>
    <xf numFmtId="0" fontId="34" fillId="33" borderId="263">
      <alignment horizontal="left" vertical="center" wrapText="1" indent="2"/>
    </xf>
    <xf numFmtId="0" fontId="12" fillId="18" borderId="0" applyNumberFormat="0" applyBorder="0" applyAlignment="0" applyProtection="0"/>
    <xf numFmtId="0" fontId="34" fillId="32" borderId="260"/>
    <xf numFmtId="0" fontId="65" fillId="0" borderId="266" applyNumberFormat="0" applyFill="0" applyAlignment="0" applyProtection="0"/>
    <xf numFmtId="0" fontId="62" fillId="55" borderId="264" applyNumberFormat="0" applyAlignment="0" applyProtection="0"/>
    <xf numFmtId="4" fontId="34" fillId="32" borderId="278"/>
    <xf numFmtId="0" fontId="43" fillId="55" borderId="264" applyNumberFormat="0" applyAlignment="0" applyProtection="0"/>
    <xf numFmtId="0" fontId="43" fillId="55" borderId="272" applyNumberFormat="0" applyAlignment="0" applyProtection="0"/>
    <xf numFmtId="173" fontId="34" fillId="59" borderId="260" applyNumberFormat="0" applyFont="0" applyBorder="0" applyAlignment="0" applyProtection="0">
      <alignment horizontal="right" vertical="center"/>
    </xf>
    <xf numFmtId="0" fontId="26" fillId="26" borderId="0" applyNumberFormat="0" applyBorder="0" applyAlignment="0" applyProtection="0"/>
    <xf numFmtId="4" fontId="32" fillId="33" borderId="268">
      <alignment horizontal="right" vertical="center"/>
    </xf>
    <xf numFmtId="0" fontId="12" fillId="15" borderId="0" applyNumberFormat="0" applyBorder="0" applyAlignment="0" applyProtection="0"/>
    <xf numFmtId="0" fontId="58" fillId="42" borderId="265" applyNumberFormat="0" applyAlignment="0" applyProtection="0"/>
    <xf numFmtId="0" fontId="26" fillId="13" borderId="0" applyNumberFormat="0" applyBorder="0" applyAlignment="0" applyProtection="0"/>
    <xf numFmtId="0" fontId="65" fillId="0" borderId="276" applyNumberFormat="0" applyFill="0" applyAlignment="0" applyProtection="0"/>
    <xf numFmtId="0" fontId="32" fillId="31" borderId="268">
      <alignment horizontal="right" vertical="center"/>
    </xf>
    <xf numFmtId="4" fontId="32" fillId="33" borderId="270">
      <alignment horizontal="right" vertical="center"/>
    </xf>
    <xf numFmtId="0" fontId="65" fillId="0" borderId="266" applyNumberFormat="0" applyFill="0" applyAlignment="0" applyProtection="0"/>
    <xf numFmtId="0" fontId="34" fillId="0" borderId="260">
      <alignment horizontal="right" vertical="center"/>
    </xf>
    <xf numFmtId="49" fontId="33" fillId="0" borderId="278" applyNumberFormat="0" applyFill="0" applyBorder="0" applyProtection="0">
      <alignment horizontal="left" vertical="center"/>
    </xf>
    <xf numFmtId="0" fontId="34" fillId="0" borderId="278">
      <alignment horizontal="right" vertical="center"/>
    </xf>
    <xf numFmtId="0" fontId="34" fillId="0" borderId="263">
      <alignment horizontal="left" vertical="center" wrapText="1" indent="2"/>
    </xf>
    <xf numFmtId="0" fontId="12" fillId="21" borderId="0" applyNumberFormat="0" applyBorder="0" applyAlignment="0" applyProtection="0"/>
    <xf numFmtId="0" fontId="32" fillId="33" borderId="280">
      <alignment horizontal="right" vertical="center"/>
    </xf>
    <xf numFmtId="4" fontId="32" fillId="33" borderId="268">
      <alignment horizontal="right" vertical="center"/>
    </xf>
    <xf numFmtId="0" fontId="26" fillId="28" borderId="0" applyNumberFormat="0" applyBorder="0" applyAlignment="0" applyProtection="0"/>
    <xf numFmtId="0" fontId="32" fillId="33" borderId="269">
      <alignment horizontal="right" vertical="center"/>
    </xf>
    <xf numFmtId="0" fontId="62" fillId="55" borderId="264" applyNumberFormat="0" applyAlignment="0" applyProtection="0"/>
    <xf numFmtId="0" fontId="26" fillId="29" borderId="0" applyNumberFormat="0" applyBorder="0" applyAlignment="0" applyProtection="0"/>
    <xf numFmtId="0" fontId="62" fillId="55" borderId="264" applyNumberFormat="0" applyAlignment="0" applyProtection="0"/>
    <xf numFmtId="0" fontId="46" fillId="55" borderId="265" applyNumberFormat="0" applyAlignment="0" applyProtection="0"/>
    <xf numFmtId="0" fontId="50" fillId="0" borderId="276" applyNumberFormat="0" applyFill="0" applyAlignment="0" applyProtection="0"/>
    <xf numFmtId="4" fontId="32" fillId="33" borderId="260">
      <alignment horizontal="right" vertical="center"/>
    </xf>
    <xf numFmtId="0" fontId="58" fillId="42" borderId="265" applyNumberFormat="0" applyAlignment="0" applyProtection="0"/>
    <xf numFmtId="0" fontId="58" fillId="42" borderId="265" applyNumberFormat="0" applyAlignment="0" applyProtection="0"/>
    <xf numFmtId="0" fontId="5" fillId="58" borderId="259" applyNumberFormat="0" applyFont="0" applyAlignment="0" applyProtection="0"/>
    <xf numFmtId="0" fontId="32" fillId="33" borderId="279">
      <alignment horizontal="right" vertical="center"/>
    </xf>
    <xf numFmtId="0" fontId="46" fillId="55" borderId="273" applyNumberFormat="0" applyAlignment="0" applyProtection="0"/>
    <xf numFmtId="0" fontId="12" fillId="24" borderId="0" applyNumberFormat="0" applyBorder="0" applyAlignment="0" applyProtection="0"/>
    <xf numFmtId="49" fontId="34" fillId="0" borderId="278" applyNumberFormat="0" applyFont="0" applyFill="0" applyBorder="0" applyProtection="0">
      <alignment horizontal="left" vertical="center" indent="2"/>
    </xf>
    <xf numFmtId="0" fontId="32" fillId="31" borderId="260">
      <alignment horizontal="right" vertical="center"/>
    </xf>
    <xf numFmtId="4" fontId="34" fillId="0" borderId="268">
      <alignment horizontal="right" vertical="center"/>
    </xf>
    <xf numFmtId="4" fontId="34" fillId="32" borderId="268"/>
    <xf numFmtId="0" fontId="49" fillId="42" borderId="265" applyNumberFormat="0" applyAlignment="0" applyProtection="0"/>
    <xf numFmtId="0" fontId="65" fillId="0" borderId="274" applyNumberFormat="0" applyFill="0" applyAlignment="0" applyProtection="0"/>
    <xf numFmtId="0" fontId="58" fillId="42" borderId="275" applyNumberFormat="0" applyAlignment="0" applyProtection="0"/>
    <xf numFmtId="0" fontId="40" fillId="58" borderId="259" applyNumberFormat="0" applyFont="0" applyAlignment="0" applyProtection="0"/>
    <xf numFmtId="0" fontId="34" fillId="0" borderId="260" applyNumberFormat="0" applyFill="0" applyAlignment="0" applyProtection="0"/>
    <xf numFmtId="0" fontId="26" fillId="25" borderId="0" applyNumberFormat="0" applyBorder="0" applyAlignment="0" applyProtection="0"/>
    <xf numFmtId="4" fontId="34" fillId="0" borderId="260" applyFill="0" applyBorder="0" applyProtection="0">
      <alignment horizontal="right" vertical="center"/>
    </xf>
    <xf numFmtId="0" fontId="34" fillId="0" borderId="263">
      <alignment horizontal="left" vertical="center" wrapText="1" indent="2"/>
    </xf>
    <xf numFmtId="4" fontId="32" fillId="33" borderId="261">
      <alignment horizontal="right" vertical="center"/>
    </xf>
    <xf numFmtId="0" fontId="34" fillId="32" borderId="260"/>
    <xf numFmtId="0" fontId="12" fillId="30" borderId="0" applyNumberFormat="0" applyBorder="0" applyAlignment="0" applyProtection="0"/>
    <xf numFmtId="0" fontId="36" fillId="31" borderId="260">
      <alignment horizontal="right" vertical="center"/>
    </xf>
    <xf numFmtId="0" fontId="65" fillId="0" borderId="276" applyNumberFormat="0" applyFill="0" applyAlignment="0" applyProtection="0"/>
    <xf numFmtId="0" fontId="43" fillId="55" borderId="264" applyNumberFormat="0" applyAlignment="0" applyProtection="0"/>
    <xf numFmtId="49" fontId="34" fillId="0" borderId="260" applyNumberFormat="0" applyFont="0" applyFill="0" applyBorder="0" applyProtection="0">
      <alignment horizontal="left" vertical="center" indent="2"/>
    </xf>
    <xf numFmtId="0" fontId="43" fillId="55" borderId="272" applyNumberFormat="0" applyAlignment="0" applyProtection="0"/>
    <xf numFmtId="0" fontId="26" fillId="25" borderId="0" applyNumberFormat="0" applyBorder="0" applyAlignment="0" applyProtection="0"/>
    <xf numFmtId="0" fontId="26" fillId="25" borderId="0" applyNumberFormat="0" applyBorder="0" applyAlignment="0" applyProtection="0"/>
    <xf numFmtId="0" fontId="1" fillId="0" borderId="0" applyNumberFormat="0" applyFill="0" applyBorder="0" applyAlignment="0" applyProtection="0"/>
    <xf numFmtId="0" fontId="32" fillId="33" borderId="269">
      <alignment horizontal="right" vertical="center"/>
    </xf>
    <xf numFmtId="4" fontId="32" fillId="33" borderId="262">
      <alignment horizontal="right" vertical="center"/>
    </xf>
    <xf numFmtId="0" fontId="45" fillId="55" borderId="275" applyNumberFormat="0" applyAlignment="0" applyProtection="0"/>
    <xf numFmtId="4" fontId="32" fillId="33" borderId="268">
      <alignment horizontal="right" vertical="center"/>
    </xf>
    <xf numFmtId="0" fontId="34" fillId="0" borderId="271">
      <alignment horizontal="left" vertical="center" wrapText="1" indent="2"/>
    </xf>
    <xf numFmtId="4" fontId="34" fillId="0" borderId="268">
      <alignment horizontal="right" vertical="center"/>
    </xf>
    <xf numFmtId="0" fontId="26" fillId="19" borderId="0" applyNumberFormat="0" applyBorder="0" applyAlignment="0" applyProtection="0"/>
    <xf numFmtId="0" fontId="34" fillId="0" borderId="268">
      <alignment horizontal="right" vertical="center"/>
    </xf>
    <xf numFmtId="0" fontId="45" fillId="55" borderId="265" applyNumberFormat="0" applyAlignment="0" applyProtection="0"/>
    <xf numFmtId="4" fontId="34" fillId="0" borderId="260">
      <alignment horizontal="right" vertical="center"/>
    </xf>
    <xf numFmtId="0" fontId="65" fillId="0" borderId="274" applyNumberFormat="0" applyFill="0" applyAlignment="0" applyProtection="0"/>
    <xf numFmtId="49" fontId="34" fillId="0" borderId="269" applyNumberFormat="0" applyFont="0" applyFill="0" applyBorder="0" applyProtection="0">
      <alignment horizontal="left" vertical="center" indent="5"/>
    </xf>
    <xf numFmtId="0" fontId="32" fillId="33" borderId="260">
      <alignment horizontal="right" vertical="center"/>
    </xf>
    <xf numFmtId="4" fontId="36" fillId="31" borderId="260">
      <alignment horizontal="right" vertical="center"/>
    </xf>
    <xf numFmtId="0" fontId="49" fillId="42" borderId="265" applyNumberFormat="0" applyAlignment="0" applyProtection="0"/>
    <xf numFmtId="0" fontId="32" fillId="31" borderId="268">
      <alignment horizontal="right" vertical="center"/>
    </xf>
    <xf numFmtId="0" fontId="34" fillId="31" borderId="261">
      <alignment horizontal="left" vertical="center"/>
    </xf>
    <xf numFmtId="0" fontId="26" fillId="13" borderId="0" applyNumberFormat="0" applyBorder="0" applyAlignment="0" applyProtection="0"/>
    <xf numFmtId="0" fontId="26" fillId="26" borderId="0" applyNumberFormat="0" applyBorder="0" applyAlignment="0" applyProtection="0"/>
    <xf numFmtId="4" fontId="34" fillId="0" borderId="260" applyFill="0" applyBorder="0" applyProtection="0">
      <alignment horizontal="right" vertical="center"/>
    </xf>
    <xf numFmtId="0" fontId="32" fillId="31" borderId="260">
      <alignment horizontal="right" vertical="center"/>
    </xf>
    <xf numFmtId="0" fontId="34" fillId="32" borderId="268"/>
    <xf numFmtId="0" fontId="45" fillId="55" borderId="265" applyNumberFormat="0" applyAlignment="0" applyProtection="0"/>
    <xf numFmtId="0" fontId="32" fillId="31" borderId="260">
      <alignment horizontal="right" vertical="center"/>
    </xf>
    <xf numFmtId="0" fontId="12" fillId="24" borderId="0" applyNumberFormat="0" applyBorder="0" applyAlignment="0" applyProtection="0"/>
    <xf numFmtId="0" fontId="50" fillId="0" borderId="276" applyNumberFormat="0" applyFill="0" applyAlignment="0" applyProtection="0"/>
    <xf numFmtId="0" fontId="12" fillId="15" borderId="0" applyNumberFormat="0" applyBorder="0" applyAlignment="0" applyProtection="0"/>
    <xf numFmtId="0" fontId="32" fillId="33" borderId="260">
      <alignment horizontal="right" vertical="center"/>
    </xf>
    <xf numFmtId="0" fontId="26" fillId="17" borderId="0" applyNumberFormat="0" applyBorder="0" applyAlignment="0" applyProtection="0"/>
    <xf numFmtId="0" fontId="1" fillId="0" borderId="0" applyNumberFormat="0" applyFill="0" applyBorder="0" applyAlignment="0" applyProtection="0"/>
    <xf numFmtId="0" fontId="26" fillId="16" borderId="0" applyNumberFormat="0" applyBorder="0" applyAlignment="0" applyProtection="0"/>
    <xf numFmtId="4" fontId="32" fillId="33" borderId="260">
      <alignment horizontal="right" vertical="center"/>
    </xf>
    <xf numFmtId="0" fontId="26" fillId="13" borderId="0" applyNumberFormat="0" applyBorder="0" applyAlignment="0" applyProtection="0"/>
    <xf numFmtId="4" fontId="34" fillId="32" borderId="278"/>
    <xf numFmtId="0" fontId="26" fillId="19" borderId="0" applyNumberFormat="0" applyBorder="0" applyAlignment="0" applyProtection="0"/>
    <xf numFmtId="0" fontId="32" fillId="33" borderId="262">
      <alignment horizontal="right" vertical="center"/>
    </xf>
    <xf numFmtId="0" fontId="2" fillId="0" borderId="12" applyNumberFormat="0" applyFill="0" applyAlignment="0" applyProtection="0"/>
    <xf numFmtId="0" fontId="50" fillId="0" borderId="266" applyNumberFormat="0" applyFill="0" applyAlignment="0" applyProtection="0"/>
    <xf numFmtId="0" fontId="34" fillId="31" borderId="261">
      <alignment horizontal="left" vertical="center"/>
    </xf>
    <xf numFmtId="0" fontId="5" fillId="58" borderId="259" applyNumberFormat="0" applyFont="0" applyAlignment="0" applyProtection="0"/>
    <xf numFmtId="0" fontId="32" fillId="31" borderId="260">
      <alignment horizontal="right" vertical="center"/>
    </xf>
    <xf numFmtId="4" fontId="36" fillId="31" borderId="260">
      <alignment horizontal="right" vertical="center"/>
    </xf>
    <xf numFmtId="0" fontId="50" fillId="0" borderId="266" applyNumberFormat="0" applyFill="0" applyAlignment="0" applyProtection="0"/>
    <xf numFmtId="0" fontId="62" fillId="55" borderId="272" applyNumberFormat="0" applyAlignment="0" applyProtection="0"/>
    <xf numFmtId="0" fontId="32" fillId="33" borderId="280">
      <alignment horizontal="right" vertical="center"/>
    </xf>
    <xf numFmtId="0" fontId="46" fillId="55" borderId="265" applyNumberFormat="0" applyAlignment="0" applyProtection="0"/>
    <xf numFmtId="49" fontId="33" fillId="0" borderId="260" applyNumberFormat="0" applyFill="0" applyBorder="0" applyProtection="0">
      <alignment horizontal="left" vertical="center"/>
    </xf>
    <xf numFmtId="0" fontId="12" fillId="27" borderId="0" applyNumberFormat="0" applyBorder="0" applyAlignment="0" applyProtection="0"/>
    <xf numFmtId="0" fontId="26" fillId="22" borderId="0" applyNumberFormat="0" applyBorder="0" applyAlignment="0" applyProtection="0"/>
    <xf numFmtId="0" fontId="12" fillId="30" borderId="0" applyNumberFormat="0" applyBorder="0" applyAlignment="0" applyProtection="0"/>
    <xf numFmtId="0" fontId="49" fillId="42" borderId="265" applyNumberFormat="0" applyAlignment="0" applyProtection="0"/>
    <xf numFmtId="0" fontId="12" fillId="27" borderId="0" applyNumberFormat="0" applyBorder="0" applyAlignment="0" applyProtection="0"/>
    <xf numFmtId="0" fontId="32" fillId="33" borderId="261">
      <alignment horizontal="right" vertical="center"/>
    </xf>
    <xf numFmtId="0" fontId="12" fillId="18" borderId="0" applyNumberFormat="0" applyBorder="0" applyAlignment="0" applyProtection="0"/>
    <xf numFmtId="4" fontId="36" fillId="31" borderId="260">
      <alignment horizontal="right" vertical="center"/>
    </xf>
    <xf numFmtId="0" fontId="26" fillId="22" borderId="0" applyNumberFormat="0" applyBorder="0" applyAlignment="0" applyProtection="0"/>
    <xf numFmtId="4" fontId="32" fillId="33" borderId="269">
      <alignment horizontal="right" vertical="center"/>
    </xf>
    <xf numFmtId="0" fontId="36" fillId="31" borderId="278">
      <alignment horizontal="right" vertical="center"/>
    </xf>
    <xf numFmtId="0" fontId="1" fillId="0" borderId="0" applyNumberFormat="0" applyFill="0" applyBorder="0" applyAlignment="0" applyProtection="0"/>
    <xf numFmtId="4" fontId="36" fillId="31" borderId="260">
      <alignment horizontal="right" vertical="center"/>
    </xf>
    <xf numFmtId="0" fontId="12" fillId="18" borderId="0" applyNumberFormat="0" applyBorder="0" applyAlignment="0" applyProtection="0"/>
    <xf numFmtId="0" fontId="46" fillId="55" borderId="265" applyNumberFormat="0" applyAlignment="0" applyProtection="0"/>
    <xf numFmtId="0" fontId="29" fillId="12" borderId="10" applyNumberFormat="0" applyAlignment="0" applyProtection="0"/>
    <xf numFmtId="0" fontId="50" fillId="0" borderId="276" applyNumberFormat="0" applyFill="0" applyAlignment="0" applyProtection="0"/>
    <xf numFmtId="4" fontId="32" fillId="33" borderId="270">
      <alignment horizontal="right" vertical="center"/>
    </xf>
    <xf numFmtId="0" fontId="26" fillId="14" borderId="0" applyNumberFormat="0" applyBorder="0" applyAlignment="0" applyProtection="0"/>
    <xf numFmtId="0" fontId="58" fillId="42" borderId="265" applyNumberFormat="0" applyAlignment="0" applyProtection="0"/>
    <xf numFmtId="0" fontId="32" fillId="31" borderId="268">
      <alignment horizontal="right" vertical="center"/>
    </xf>
    <xf numFmtId="0" fontId="29" fillId="12" borderId="10" applyNumberFormat="0" applyAlignment="0" applyProtection="0"/>
    <xf numFmtId="0" fontId="58" fillId="42" borderId="265" applyNumberFormat="0" applyAlignment="0" applyProtection="0"/>
    <xf numFmtId="0" fontId="12" fillId="21" borderId="0" applyNumberFormat="0" applyBorder="0" applyAlignment="0" applyProtection="0"/>
    <xf numFmtId="0" fontId="26" fillId="23" borderId="0" applyNumberFormat="0" applyBorder="0" applyAlignment="0" applyProtection="0"/>
    <xf numFmtId="0" fontId="45" fillId="55" borderId="265" applyNumberFormat="0" applyAlignment="0" applyProtection="0"/>
    <xf numFmtId="4" fontId="34" fillId="0" borderId="268" applyFill="0" applyBorder="0" applyProtection="0">
      <alignment horizontal="right" vertical="center"/>
    </xf>
    <xf numFmtId="0" fontId="58" fillId="42" borderId="273" applyNumberFormat="0" applyAlignment="0" applyProtection="0"/>
    <xf numFmtId="4" fontId="32" fillId="33" borderId="261">
      <alignment horizontal="right" vertical="center"/>
    </xf>
    <xf numFmtId="0" fontId="26" fillId="19" borderId="0" applyNumberFormat="0" applyBorder="0" applyAlignment="0" applyProtection="0"/>
    <xf numFmtId="4" fontId="34" fillId="0" borderId="278">
      <alignment horizontal="right" vertical="center"/>
    </xf>
    <xf numFmtId="0" fontId="40" fillId="58" borderId="259" applyNumberFormat="0" applyFont="0" applyAlignment="0" applyProtection="0"/>
    <xf numFmtId="0" fontId="62" fillId="55" borderId="264" applyNumberFormat="0" applyAlignment="0" applyProtection="0"/>
    <xf numFmtId="0" fontId="65" fillId="0" borderId="274" applyNumberFormat="0" applyFill="0" applyAlignment="0" applyProtection="0"/>
    <xf numFmtId="0" fontId="43" fillId="55" borderId="264" applyNumberFormat="0" applyAlignment="0" applyProtection="0"/>
    <xf numFmtId="0" fontId="34" fillId="0" borderId="268">
      <alignment horizontal="right" vertical="center"/>
    </xf>
    <xf numFmtId="0" fontId="45" fillId="55" borderId="265" applyNumberFormat="0" applyAlignment="0" applyProtection="0"/>
    <xf numFmtId="0" fontId="26" fillId="14" borderId="0" applyNumberFormat="0" applyBorder="0" applyAlignment="0" applyProtection="0"/>
    <xf numFmtId="0" fontId="34" fillId="0" borderId="263">
      <alignment horizontal="left" vertical="center" wrapText="1" indent="2"/>
    </xf>
    <xf numFmtId="0" fontId="32" fillId="33" borderId="268">
      <alignment horizontal="right" vertical="center"/>
    </xf>
    <xf numFmtId="0" fontId="49" fillId="42" borderId="265" applyNumberFormat="0" applyAlignment="0" applyProtection="0"/>
    <xf numFmtId="4" fontId="32" fillId="33" borderId="270">
      <alignment horizontal="right" vertical="center"/>
    </xf>
    <xf numFmtId="0" fontId="12" fillId="30" borderId="0" applyNumberFormat="0" applyBorder="0" applyAlignment="0" applyProtection="0"/>
    <xf numFmtId="0" fontId="40" fillId="58" borderId="267" applyNumberFormat="0" applyFont="0" applyAlignment="0" applyProtection="0"/>
    <xf numFmtId="0" fontId="26" fillId="26" borderId="0" applyNumberFormat="0" applyBorder="0" applyAlignment="0" applyProtection="0"/>
    <xf numFmtId="0" fontId="2" fillId="0" borderId="12" applyNumberFormat="0" applyFill="0" applyAlignment="0" applyProtection="0"/>
    <xf numFmtId="49" fontId="33" fillId="0" borderId="260" applyNumberFormat="0" applyFill="0" applyBorder="0" applyProtection="0">
      <alignment horizontal="left" vertical="center"/>
    </xf>
    <xf numFmtId="0" fontId="34" fillId="32" borderId="260"/>
    <xf numFmtId="0" fontId="32" fillId="33" borderId="260">
      <alignment horizontal="right" vertical="center"/>
    </xf>
    <xf numFmtId="4" fontId="34" fillId="32" borderId="268"/>
    <xf numFmtId="0" fontId="32" fillId="33" borderId="260">
      <alignment horizontal="right" vertical="center"/>
    </xf>
    <xf numFmtId="0" fontId="34" fillId="32" borderId="278"/>
    <xf numFmtId="0" fontId="32" fillId="33" borderId="278">
      <alignment horizontal="right" vertical="center"/>
    </xf>
    <xf numFmtId="0" fontId="62" fillId="55" borderId="272" applyNumberFormat="0" applyAlignment="0" applyProtection="0"/>
    <xf numFmtId="0" fontId="36" fillId="31" borderId="260">
      <alignment horizontal="right" vertical="center"/>
    </xf>
    <xf numFmtId="0" fontId="40" fillId="58" borderId="259" applyNumberFormat="0" applyFont="0" applyAlignment="0" applyProtection="0"/>
    <xf numFmtId="0" fontId="32" fillId="33" borderId="280">
      <alignment horizontal="right" vertical="center"/>
    </xf>
    <xf numFmtId="0" fontId="32" fillId="33" borderId="270">
      <alignment horizontal="right" vertical="center"/>
    </xf>
    <xf numFmtId="0" fontId="29" fillId="12" borderId="10" applyNumberFormat="0" applyAlignment="0" applyProtection="0"/>
    <xf numFmtId="4" fontId="32" fillId="33" borderId="268">
      <alignment horizontal="right" vertical="center"/>
    </xf>
    <xf numFmtId="0" fontId="49" fillId="42" borderId="265" applyNumberFormat="0" applyAlignment="0" applyProtection="0"/>
    <xf numFmtId="0" fontId="43" fillId="55" borderId="264" applyNumberFormat="0" applyAlignment="0" applyProtection="0"/>
    <xf numFmtId="4" fontId="34" fillId="0" borderId="260">
      <alignment horizontal="right" vertical="center"/>
    </xf>
    <xf numFmtId="0" fontId="26" fillId="29" borderId="0" applyNumberFormat="0" applyBorder="0" applyAlignment="0" applyProtection="0"/>
    <xf numFmtId="0" fontId="46" fillId="55" borderId="265" applyNumberFormat="0" applyAlignment="0" applyProtection="0"/>
    <xf numFmtId="0" fontId="34" fillId="0" borderId="281">
      <alignment horizontal="left" vertical="center" wrapText="1" indent="2"/>
    </xf>
    <xf numFmtId="0" fontId="32" fillId="31" borderId="260">
      <alignment horizontal="right" vertical="center"/>
    </xf>
    <xf numFmtId="4" fontId="34" fillId="0" borderId="260" applyFill="0" applyBorder="0" applyProtection="0">
      <alignment horizontal="right" vertical="center"/>
    </xf>
    <xf numFmtId="0" fontId="5" fillId="58" borderId="267" applyNumberFormat="0" applyFont="0" applyAlignment="0" applyProtection="0"/>
    <xf numFmtId="0" fontId="50" fillId="0" borderId="274" applyNumberFormat="0" applyFill="0" applyAlignment="0" applyProtection="0"/>
    <xf numFmtId="0" fontId="26" fillId="29" borderId="0" applyNumberFormat="0" applyBorder="0" applyAlignment="0" applyProtection="0"/>
    <xf numFmtId="0" fontId="34" fillId="32" borderId="260"/>
    <xf numFmtId="0" fontId="32" fillId="33" borderId="278">
      <alignment horizontal="right" vertical="center"/>
    </xf>
    <xf numFmtId="0" fontId="34" fillId="33" borderId="271">
      <alignment horizontal="left" vertical="center" wrapText="1" indent="2"/>
    </xf>
    <xf numFmtId="0" fontId="26" fillId="23" borderId="0" applyNumberFormat="0" applyBorder="0" applyAlignment="0" applyProtection="0"/>
    <xf numFmtId="0" fontId="45" fillId="55" borderId="275" applyNumberFormat="0" applyAlignment="0" applyProtection="0"/>
    <xf numFmtId="4" fontId="32" fillId="33" borderId="278">
      <alignment horizontal="right" vertical="center"/>
    </xf>
    <xf numFmtId="0" fontId="34" fillId="0" borderId="263">
      <alignment horizontal="left" vertical="center" wrapText="1" indent="2"/>
    </xf>
    <xf numFmtId="0" fontId="43" fillId="55" borderId="264" applyNumberFormat="0" applyAlignment="0" applyProtection="0"/>
    <xf numFmtId="0" fontId="29" fillId="12" borderId="10" applyNumberFormat="0" applyAlignment="0" applyProtection="0"/>
    <xf numFmtId="0" fontId="58" fillId="42" borderId="273" applyNumberFormat="0" applyAlignment="0" applyProtection="0"/>
    <xf numFmtId="0" fontId="45" fillId="55" borderId="275" applyNumberFormat="0" applyAlignment="0" applyProtection="0"/>
    <xf numFmtId="0" fontId="65" fillId="0" borderId="266" applyNumberFormat="0" applyFill="0" applyAlignment="0" applyProtection="0"/>
    <xf numFmtId="4" fontId="34" fillId="32" borderId="260"/>
    <xf numFmtId="0" fontId="34" fillId="0" borderId="263">
      <alignment horizontal="left" vertical="center" wrapText="1" indent="2"/>
    </xf>
    <xf numFmtId="0" fontId="32" fillId="33" borderId="262">
      <alignment horizontal="right" vertical="center"/>
    </xf>
    <xf numFmtId="0" fontId="34" fillId="31" borderId="261">
      <alignment horizontal="left" vertical="center"/>
    </xf>
    <xf numFmtId="0" fontId="34" fillId="32" borderId="260"/>
    <xf numFmtId="0" fontId="58" fillId="42" borderId="265" applyNumberFormat="0" applyAlignment="0" applyProtection="0"/>
    <xf numFmtId="0" fontId="32" fillId="33" borderId="260">
      <alignment horizontal="right" vertical="center"/>
    </xf>
    <xf numFmtId="0" fontId="34" fillId="0" borderId="281">
      <alignment horizontal="left" vertical="center" wrapText="1" indent="2"/>
    </xf>
    <xf numFmtId="4" fontId="32" fillId="33" borderId="261">
      <alignment horizontal="right" vertical="center"/>
    </xf>
    <xf numFmtId="0" fontId="49" fillId="42" borderId="265" applyNumberFormat="0" applyAlignment="0" applyProtection="0"/>
    <xf numFmtId="0" fontId="28" fillId="12" borderId="11" applyNumberFormat="0" applyAlignment="0" applyProtection="0"/>
    <xf numFmtId="0" fontId="34" fillId="0" borderId="268" applyNumberFormat="0" applyFill="0" applyAlignment="0" applyProtection="0"/>
    <xf numFmtId="4" fontId="32" fillId="31" borderId="268">
      <alignment horizontal="right" vertical="center"/>
    </xf>
    <xf numFmtId="49" fontId="34" fillId="0" borderId="269" applyNumberFormat="0" applyFont="0" applyFill="0" applyBorder="0" applyProtection="0">
      <alignment horizontal="left" vertical="center" indent="5"/>
    </xf>
    <xf numFmtId="0" fontId="65" fillId="0" borderId="274" applyNumberFormat="0" applyFill="0" applyAlignment="0" applyProtection="0"/>
    <xf numFmtId="0" fontId="12" fillId="15" borderId="0" applyNumberFormat="0" applyBorder="0" applyAlignment="0" applyProtection="0"/>
    <xf numFmtId="4" fontId="32" fillId="31" borderId="260">
      <alignment horizontal="right" vertical="center"/>
    </xf>
    <xf numFmtId="0" fontId="34" fillId="33" borderId="263">
      <alignment horizontal="left" vertical="center" wrapText="1" indent="2"/>
    </xf>
    <xf numFmtId="0" fontId="12" fillId="30" borderId="0" applyNumberFormat="0" applyBorder="0" applyAlignment="0" applyProtection="0"/>
    <xf numFmtId="0" fontId="65" fillId="0" borderId="274" applyNumberFormat="0" applyFill="0" applyAlignment="0" applyProtection="0"/>
    <xf numFmtId="0" fontId="5" fillId="58" borderId="277" applyNumberFormat="0" applyFont="0" applyAlignment="0" applyProtection="0"/>
    <xf numFmtId="0" fontId="26" fillId="20" borderId="0" applyNumberFormat="0" applyBorder="0" applyAlignment="0" applyProtection="0"/>
    <xf numFmtId="0" fontId="65" fillId="0" borderId="266" applyNumberFormat="0" applyFill="0" applyAlignment="0" applyProtection="0"/>
    <xf numFmtId="0" fontId="62" fillId="55" borderId="282" applyNumberFormat="0" applyAlignment="0" applyProtection="0"/>
    <xf numFmtId="0" fontId="32" fillId="33" borderId="262">
      <alignment horizontal="right" vertical="center"/>
    </xf>
    <xf numFmtId="0" fontId="26" fillId="20" borderId="0" applyNumberFormat="0" applyBorder="0" applyAlignment="0" applyProtection="0"/>
    <xf numFmtId="49" fontId="34" fillId="0" borderId="260" applyNumberFormat="0" applyFont="0" applyFill="0" applyBorder="0" applyProtection="0">
      <alignment horizontal="left" vertical="center" indent="2"/>
    </xf>
    <xf numFmtId="0" fontId="26" fillId="23" borderId="0" applyNumberFormat="0" applyBorder="0" applyAlignment="0" applyProtection="0"/>
    <xf numFmtId="173" fontId="34" fillId="59" borderId="268" applyNumberFormat="0" applyFont="0" applyBorder="0" applyAlignment="0" applyProtection="0">
      <alignment horizontal="right" vertical="center"/>
    </xf>
    <xf numFmtId="49" fontId="33" fillId="0" borderId="268" applyNumberFormat="0" applyFill="0" applyBorder="0" applyProtection="0">
      <alignment horizontal="left" vertical="center"/>
    </xf>
    <xf numFmtId="0" fontId="32" fillId="33" borderId="260">
      <alignment horizontal="right" vertical="center"/>
    </xf>
    <xf numFmtId="0" fontId="65" fillId="0" borderId="266" applyNumberFormat="0" applyFill="0" applyAlignment="0" applyProtection="0"/>
    <xf numFmtId="0" fontId="46" fillId="55" borderId="273" applyNumberFormat="0" applyAlignment="0" applyProtection="0"/>
    <xf numFmtId="0" fontId="58" fillId="42" borderId="265" applyNumberFormat="0" applyAlignment="0" applyProtection="0"/>
    <xf numFmtId="0" fontId="26" fillId="22" borderId="0" applyNumberFormat="0" applyBorder="0" applyAlignment="0" applyProtection="0"/>
    <xf numFmtId="0" fontId="50" fillId="0" borderId="276" applyNumberFormat="0" applyFill="0" applyAlignment="0" applyProtection="0"/>
    <xf numFmtId="4" fontId="34" fillId="32" borderId="260"/>
    <xf numFmtId="0" fontId="62" fillId="55" borderId="272" applyNumberFormat="0" applyAlignment="0" applyProtection="0"/>
    <xf numFmtId="49" fontId="34" fillId="0" borderId="269" applyNumberFormat="0" applyFont="0" applyFill="0" applyBorder="0" applyProtection="0">
      <alignment horizontal="left" vertical="center" indent="5"/>
    </xf>
    <xf numFmtId="0" fontId="43" fillId="55" borderId="272" applyNumberFormat="0" applyAlignment="0" applyProtection="0"/>
    <xf numFmtId="49" fontId="33" fillId="0" borderId="260" applyNumberFormat="0" applyFill="0" applyBorder="0" applyProtection="0">
      <alignment horizontal="left" vertical="center"/>
    </xf>
    <xf numFmtId="0" fontId="30" fillId="0" borderId="0" applyNumberFormat="0" applyFill="0" applyBorder="0" applyAlignment="0" applyProtection="0"/>
    <xf numFmtId="0" fontId="12" fillId="24" borderId="0" applyNumberFormat="0" applyBorder="0" applyAlignment="0" applyProtection="0"/>
    <xf numFmtId="0" fontId="36" fillId="31" borderId="260">
      <alignment horizontal="right" vertical="center"/>
    </xf>
    <xf numFmtId="0" fontId="34" fillId="0" borderId="260" applyNumberFormat="0" applyFill="0" applyAlignment="0" applyProtection="0"/>
    <xf numFmtId="0" fontId="43" fillId="55" borderId="264" applyNumberFormat="0" applyAlignment="0" applyProtection="0"/>
    <xf numFmtId="4" fontId="34" fillId="0" borderId="268" applyFill="0" applyBorder="0" applyProtection="0">
      <alignment horizontal="right" vertical="center"/>
    </xf>
    <xf numFmtId="0" fontId="43" fillId="55" borderId="264" applyNumberFormat="0" applyAlignment="0" applyProtection="0"/>
    <xf numFmtId="4" fontId="36" fillId="31" borderId="260">
      <alignment horizontal="right" vertical="center"/>
    </xf>
    <xf numFmtId="0" fontId="40" fillId="58" borderId="259" applyNumberFormat="0" applyFont="0" applyAlignment="0" applyProtection="0"/>
    <xf numFmtId="4" fontId="34" fillId="0" borderId="260">
      <alignment horizontal="right" vertical="center"/>
    </xf>
    <xf numFmtId="4" fontId="34" fillId="0" borderId="260">
      <alignment horizontal="right" vertical="center"/>
    </xf>
    <xf numFmtId="0" fontId="2" fillId="0" borderId="12" applyNumberFormat="0" applyFill="0" applyAlignment="0" applyProtection="0"/>
    <xf numFmtId="4" fontId="36" fillId="31" borderId="268">
      <alignment horizontal="right" vertical="center"/>
    </xf>
    <xf numFmtId="0" fontId="2" fillId="0" borderId="12" applyNumberFormat="0" applyFill="0" applyAlignment="0" applyProtection="0"/>
    <xf numFmtId="0" fontId="12" fillId="30" borderId="0" applyNumberFormat="0" applyBorder="0" applyAlignment="0" applyProtection="0"/>
    <xf numFmtId="0" fontId="26" fillId="29" borderId="0" applyNumberFormat="0" applyBorder="0" applyAlignment="0" applyProtection="0"/>
    <xf numFmtId="0" fontId="2" fillId="0" borderId="12" applyNumberFormat="0" applyFill="0" applyAlignment="0" applyProtection="0"/>
    <xf numFmtId="49" fontId="34" fillId="0" borderId="269" applyNumberFormat="0" applyFont="0" applyFill="0" applyBorder="0" applyProtection="0">
      <alignment horizontal="left" vertical="center" indent="5"/>
    </xf>
    <xf numFmtId="173" fontId="34" fillId="59" borderId="278" applyNumberFormat="0" applyFont="0" applyBorder="0" applyAlignment="0" applyProtection="0">
      <alignment horizontal="right" vertical="center"/>
    </xf>
    <xf numFmtId="0" fontId="58" fillId="42" borderId="273" applyNumberFormat="0" applyAlignment="0" applyProtection="0"/>
    <xf numFmtId="4" fontId="32" fillId="33" borderId="270">
      <alignment horizontal="right" vertical="center"/>
    </xf>
    <xf numFmtId="173" fontId="34" fillId="59" borderId="260" applyNumberFormat="0" applyFont="0" applyBorder="0" applyAlignment="0" applyProtection="0">
      <alignment horizontal="right" vertical="center"/>
    </xf>
    <xf numFmtId="0" fontId="32" fillId="33" borderId="260">
      <alignment horizontal="right" vertical="center"/>
    </xf>
    <xf numFmtId="0" fontId="32" fillId="33" borderId="278">
      <alignment horizontal="right" vertical="center"/>
    </xf>
    <xf numFmtId="0" fontId="40" fillId="58" borderId="259" applyNumberFormat="0" applyFont="0" applyAlignment="0" applyProtection="0"/>
    <xf numFmtId="4" fontId="34" fillId="0" borderId="260" applyFill="0" applyBorder="0" applyProtection="0">
      <alignment horizontal="right" vertical="center"/>
    </xf>
    <xf numFmtId="0" fontId="32" fillId="33" borderId="270">
      <alignment horizontal="right" vertical="center"/>
    </xf>
    <xf numFmtId="4" fontId="32" fillId="33" borderId="268">
      <alignment horizontal="right" vertical="center"/>
    </xf>
    <xf numFmtId="0" fontId="34" fillId="33" borderId="263">
      <alignment horizontal="left" vertical="center" wrapText="1" indent="2"/>
    </xf>
    <xf numFmtId="0" fontId="62" fillId="55" borderId="264" applyNumberFormat="0" applyAlignment="0" applyProtection="0"/>
    <xf numFmtId="0" fontId="62" fillId="55" borderId="264" applyNumberFormat="0" applyAlignment="0" applyProtection="0"/>
    <xf numFmtId="0" fontId="58" fillId="42" borderId="265" applyNumberFormat="0" applyAlignment="0" applyProtection="0"/>
    <xf numFmtId="0" fontId="50" fillId="0" borderId="266" applyNumberFormat="0" applyFill="0" applyAlignment="0" applyProtection="0"/>
    <xf numFmtId="0" fontId="12" fillId="18" borderId="0" applyNumberFormat="0" applyBorder="0" applyAlignment="0" applyProtection="0"/>
    <xf numFmtId="0" fontId="34" fillId="0" borderId="271">
      <alignment horizontal="left" vertical="center" wrapText="1" indent="2"/>
    </xf>
    <xf numFmtId="0" fontId="40" fillId="58" borderId="267" applyNumberFormat="0" applyFont="0" applyAlignment="0" applyProtection="0"/>
    <xf numFmtId="0" fontId="40" fillId="58" borderId="267" applyNumberFormat="0" applyFont="0" applyAlignment="0" applyProtection="0"/>
    <xf numFmtId="49" fontId="34" fillId="0" borderId="261" applyNumberFormat="0" applyFont="0" applyFill="0" applyBorder="0" applyProtection="0">
      <alignment horizontal="left" vertical="center" indent="5"/>
    </xf>
    <xf numFmtId="0" fontId="40" fillId="58" borderId="259" applyNumberFormat="0" applyFont="0" applyAlignment="0" applyProtection="0"/>
    <xf numFmtId="0" fontId="65" fillId="0" borderId="266" applyNumberFormat="0" applyFill="0" applyAlignment="0" applyProtection="0"/>
    <xf numFmtId="0" fontId="28" fillId="12" borderId="11" applyNumberFormat="0" applyAlignment="0" applyProtection="0"/>
    <xf numFmtId="0" fontId="65" fillId="0" borderId="274" applyNumberFormat="0" applyFill="0" applyAlignment="0" applyProtection="0"/>
    <xf numFmtId="0" fontId="2" fillId="0" borderId="12" applyNumberFormat="0" applyFill="0" applyAlignment="0" applyProtection="0"/>
    <xf numFmtId="0" fontId="34" fillId="31" borderId="261">
      <alignment horizontal="left" vertical="center"/>
    </xf>
    <xf numFmtId="0" fontId="58" fillId="42" borderId="275" applyNumberFormat="0" applyAlignment="0" applyProtection="0"/>
    <xf numFmtId="0" fontId="26" fillId="23" borderId="0" applyNumberFormat="0" applyBorder="0" applyAlignment="0" applyProtection="0"/>
    <xf numFmtId="0" fontId="50" fillId="0" borderId="266" applyNumberFormat="0" applyFill="0" applyAlignment="0" applyProtection="0"/>
    <xf numFmtId="0" fontId="40" fillId="58" borderId="267" applyNumberFormat="0" applyFont="0" applyAlignment="0" applyProtection="0"/>
    <xf numFmtId="0" fontId="26" fillId="29" borderId="0" applyNumberFormat="0" applyBorder="0" applyAlignment="0" applyProtection="0"/>
    <xf numFmtId="0" fontId="36" fillId="31" borderId="260">
      <alignment horizontal="right" vertical="center"/>
    </xf>
    <xf numFmtId="0" fontId="46" fillId="55" borderId="265" applyNumberFormat="0" applyAlignment="0" applyProtection="0"/>
    <xf numFmtId="0" fontId="46" fillId="55" borderId="265" applyNumberFormat="0" applyAlignment="0" applyProtection="0"/>
    <xf numFmtId="0" fontId="26" fillId="17" borderId="0" applyNumberFormat="0" applyBorder="0" applyAlignment="0" applyProtection="0"/>
    <xf numFmtId="0" fontId="49" fillId="42" borderId="265" applyNumberFormat="0" applyAlignment="0" applyProtection="0"/>
    <xf numFmtId="49" fontId="34" fillId="0" borderId="261" applyNumberFormat="0" applyFont="0" applyFill="0" applyBorder="0" applyProtection="0">
      <alignment horizontal="left" vertical="center" indent="5"/>
    </xf>
    <xf numFmtId="0" fontId="1" fillId="0" borderId="0" applyNumberFormat="0" applyFill="0" applyBorder="0" applyAlignment="0" applyProtection="0"/>
    <xf numFmtId="0" fontId="46" fillId="55" borderId="273" applyNumberFormat="0" applyAlignment="0" applyProtection="0"/>
    <xf numFmtId="4" fontId="32" fillId="33" borderId="260">
      <alignment horizontal="right" vertical="center"/>
    </xf>
    <xf numFmtId="0" fontId="34" fillId="0" borderId="271">
      <alignment horizontal="left" vertical="center" wrapText="1" indent="2"/>
    </xf>
    <xf numFmtId="4" fontId="34" fillId="0" borderId="260">
      <alignment horizontal="right" vertical="center"/>
    </xf>
    <xf numFmtId="4" fontId="34" fillId="0" borderId="260">
      <alignment horizontal="right" vertical="center"/>
    </xf>
    <xf numFmtId="49" fontId="34" fillId="0" borderId="268" applyNumberFormat="0" applyFont="0" applyFill="0" applyBorder="0" applyProtection="0">
      <alignment horizontal="left" vertical="center" indent="2"/>
    </xf>
    <xf numFmtId="0" fontId="58" fillId="42" borderId="265" applyNumberFormat="0" applyAlignment="0" applyProtection="0"/>
    <xf numFmtId="4" fontId="36" fillId="31" borderId="268">
      <alignment horizontal="right" vertical="center"/>
    </xf>
    <xf numFmtId="0" fontId="26" fillId="17" borderId="0" applyNumberFormat="0" applyBorder="0" applyAlignment="0" applyProtection="0"/>
    <xf numFmtId="4" fontId="32" fillId="33" borderId="279">
      <alignment horizontal="right" vertical="center"/>
    </xf>
    <xf numFmtId="0" fontId="26" fillId="22" borderId="0" applyNumberFormat="0" applyBorder="0" applyAlignment="0" applyProtection="0"/>
    <xf numFmtId="0" fontId="45" fillId="55" borderId="265" applyNumberFormat="0" applyAlignment="0" applyProtection="0"/>
    <xf numFmtId="173" fontId="34" fillId="59" borderId="260" applyNumberFormat="0" applyFont="0" applyBorder="0" applyAlignment="0" applyProtection="0">
      <alignment horizontal="right" vertical="center"/>
    </xf>
    <xf numFmtId="49" fontId="33" fillId="0" borderId="268" applyNumberFormat="0" applyFill="0" applyBorder="0" applyProtection="0">
      <alignment horizontal="left" vertical="center"/>
    </xf>
    <xf numFmtId="0" fontId="43" fillId="55" borderId="282" applyNumberFormat="0" applyAlignment="0" applyProtection="0"/>
    <xf numFmtId="0" fontId="26" fillId="22" borderId="0" applyNumberFormat="0" applyBorder="0" applyAlignment="0" applyProtection="0"/>
    <xf numFmtId="0" fontId="1" fillId="0" borderId="0" applyNumberFormat="0" applyFill="0" applyBorder="0" applyAlignment="0" applyProtection="0"/>
    <xf numFmtId="0" fontId="12" fillId="15" borderId="0" applyNumberFormat="0" applyBorder="0" applyAlignment="0" applyProtection="0"/>
    <xf numFmtId="0" fontId="46" fillId="55" borderId="265" applyNumberFormat="0" applyAlignment="0" applyProtection="0"/>
    <xf numFmtId="0" fontId="12" fillId="21" borderId="0" applyNumberFormat="0" applyBorder="0" applyAlignment="0" applyProtection="0"/>
    <xf numFmtId="0" fontId="32" fillId="33" borderId="262">
      <alignment horizontal="right" vertical="center"/>
    </xf>
    <xf numFmtId="0" fontId="30" fillId="0" borderId="0" applyNumberFormat="0" applyFill="0" applyBorder="0" applyAlignment="0" applyProtection="0"/>
    <xf numFmtId="0" fontId="34" fillId="0" borderId="260">
      <alignment horizontal="right" vertical="center"/>
    </xf>
    <xf numFmtId="0" fontId="65" fillId="0" borderId="276" applyNumberFormat="0" applyFill="0" applyAlignment="0" applyProtection="0"/>
    <xf numFmtId="0" fontId="30" fillId="0" borderId="0" applyNumberFormat="0" applyFill="0" applyBorder="0" applyAlignment="0" applyProtection="0"/>
    <xf numFmtId="0" fontId="50" fillId="0" borderId="274" applyNumberFormat="0" applyFill="0" applyAlignment="0" applyProtection="0"/>
    <xf numFmtId="0" fontId="32" fillId="33" borderId="278">
      <alignment horizontal="right" vertical="center"/>
    </xf>
    <xf numFmtId="0" fontId="34" fillId="0" borderId="271">
      <alignment horizontal="left" vertical="center" wrapText="1" indent="2"/>
    </xf>
    <xf numFmtId="4" fontId="32" fillId="33" borderId="269">
      <alignment horizontal="right" vertical="center"/>
    </xf>
    <xf numFmtId="0" fontId="26" fillId="29" borderId="0" applyNumberFormat="0" applyBorder="0" applyAlignment="0" applyProtection="0"/>
    <xf numFmtId="0" fontId="26" fillId="23" borderId="0" applyNumberFormat="0" applyBorder="0" applyAlignment="0" applyProtection="0"/>
    <xf numFmtId="0" fontId="46" fillId="55" borderId="273" applyNumberFormat="0" applyAlignment="0" applyProtection="0"/>
    <xf numFmtId="0" fontId="34" fillId="0" borderId="263">
      <alignment horizontal="left" vertical="center" wrapText="1" indent="2"/>
    </xf>
    <xf numFmtId="0" fontId="32" fillId="33" borderId="268">
      <alignment horizontal="right" vertical="center"/>
    </xf>
    <xf numFmtId="4" fontId="32" fillId="33" borderId="278">
      <alignment horizontal="right" vertical="center"/>
    </xf>
    <xf numFmtId="0" fontId="12" fillId="27" borderId="0" applyNumberFormat="0" applyBorder="0" applyAlignment="0" applyProtection="0"/>
    <xf numFmtId="0" fontId="32" fillId="33" borderId="268">
      <alignment horizontal="right" vertical="center"/>
    </xf>
    <xf numFmtId="0" fontId="62" fillId="55" borderId="272" applyNumberFormat="0" applyAlignment="0" applyProtection="0"/>
    <xf numFmtId="0" fontId="26" fillId="28" borderId="0" applyNumberFormat="0" applyBorder="0" applyAlignment="0" applyProtection="0"/>
    <xf numFmtId="0" fontId="34" fillId="0" borderId="268" applyNumberFormat="0" applyFill="0" applyAlignment="0" applyProtection="0"/>
    <xf numFmtId="0" fontId="32" fillId="33" borderId="260">
      <alignment horizontal="right" vertical="center"/>
    </xf>
    <xf numFmtId="0" fontId="40" fillId="58" borderId="267" applyNumberFormat="0" applyFont="0" applyAlignment="0" applyProtection="0"/>
    <xf numFmtId="0" fontId="58" fillId="42" borderId="275" applyNumberFormat="0" applyAlignment="0" applyProtection="0"/>
    <xf numFmtId="0" fontId="32" fillId="33" borderId="278">
      <alignment horizontal="right" vertical="center"/>
    </xf>
    <xf numFmtId="49" fontId="34" fillId="0" borderId="268" applyNumberFormat="0" applyFont="0" applyFill="0" applyBorder="0" applyProtection="0">
      <alignment horizontal="left" vertical="center" indent="2"/>
    </xf>
    <xf numFmtId="0" fontId="34" fillId="31" borderId="279">
      <alignment horizontal="left" vertical="center"/>
    </xf>
    <xf numFmtId="4" fontId="32" fillId="33" borderId="268">
      <alignment horizontal="right" vertical="center"/>
    </xf>
    <xf numFmtId="0" fontId="34" fillId="0" borderId="271">
      <alignment horizontal="left" vertical="center" wrapText="1" indent="2"/>
    </xf>
    <xf numFmtId="0" fontId="26" fillId="23" borderId="0" applyNumberFormat="0" applyBorder="0" applyAlignment="0" applyProtection="0"/>
    <xf numFmtId="0" fontId="12" fillId="24" borderId="0" applyNumberFormat="0" applyBorder="0" applyAlignment="0" applyProtection="0"/>
    <xf numFmtId="4" fontId="32" fillId="33" borderId="260">
      <alignment horizontal="right" vertical="center"/>
    </xf>
    <xf numFmtId="4" fontId="36" fillId="31" borderId="260">
      <alignment horizontal="right" vertical="center"/>
    </xf>
    <xf numFmtId="0" fontId="34" fillId="32" borderId="260"/>
    <xf numFmtId="0" fontId="50" fillId="0" borderId="266" applyNumberFormat="0" applyFill="0" applyAlignment="0" applyProtection="0"/>
    <xf numFmtId="4" fontId="34" fillId="0" borderId="260" applyFill="0" applyBorder="0" applyProtection="0">
      <alignment horizontal="right" vertical="center"/>
    </xf>
    <xf numFmtId="0" fontId="50" fillId="0" borderId="266" applyNumberFormat="0" applyFill="0" applyAlignment="0" applyProtection="0"/>
    <xf numFmtId="0" fontId="34" fillId="0" borderId="260" applyNumberFormat="0" applyFill="0" applyAlignment="0" applyProtection="0"/>
    <xf numFmtId="0" fontId="46" fillId="55" borderId="273" applyNumberFormat="0" applyAlignment="0" applyProtection="0"/>
    <xf numFmtId="0" fontId="34" fillId="0" borderId="260" applyNumberFormat="0" applyFill="0" applyAlignment="0" applyProtection="0"/>
    <xf numFmtId="0" fontId="28" fillId="12" borderId="11" applyNumberFormat="0" applyAlignment="0" applyProtection="0"/>
    <xf numFmtId="0" fontId="62" fillId="55" borderId="272" applyNumberFormat="0" applyAlignment="0" applyProtection="0"/>
    <xf numFmtId="4" fontId="32" fillId="33" borderId="262">
      <alignment horizontal="right" vertical="center"/>
    </xf>
    <xf numFmtId="0" fontId="12" fillId="15" borderId="0" applyNumberFormat="0" applyBorder="0" applyAlignment="0" applyProtection="0"/>
    <xf numFmtId="0" fontId="26" fillId="19" borderId="0" applyNumberFormat="0" applyBorder="0" applyAlignment="0" applyProtection="0"/>
    <xf numFmtId="4" fontId="36" fillId="31" borderId="278">
      <alignment horizontal="right" vertical="center"/>
    </xf>
    <xf numFmtId="0" fontId="49" fillId="42" borderId="265" applyNumberFormat="0" applyAlignment="0" applyProtection="0"/>
    <xf numFmtId="0" fontId="46" fillId="55" borderId="265" applyNumberFormat="0" applyAlignment="0" applyProtection="0"/>
    <xf numFmtId="4" fontId="34" fillId="0" borderId="260">
      <alignment horizontal="right" vertical="center"/>
    </xf>
    <xf numFmtId="0" fontId="34" fillId="33" borderId="263">
      <alignment horizontal="left" vertical="center" wrapText="1" indent="2"/>
    </xf>
    <xf numFmtId="0" fontId="34" fillId="0" borderId="263">
      <alignment horizontal="left" vertical="center" wrapText="1" indent="2"/>
    </xf>
    <xf numFmtId="0" fontId="62" fillId="55" borderId="264" applyNumberFormat="0" applyAlignment="0" applyProtection="0"/>
    <xf numFmtId="0" fontId="58" fillId="42" borderId="265" applyNumberFormat="0" applyAlignment="0" applyProtection="0"/>
    <xf numFmtId="0" fontId="45" fillId="55" borderId="265" applyNumberFormat="0" applyAlignment="0" applyProtection="0"/>
    <xf numFmtId="0" fontId="43" fillId="55" borderId="264" applyNumberFormat="0" applyAlignment="0" applyProtection="0"/>
    <xf numFmtId="0" fontId="32" fillId="33" borderId="262">
      <alignment horizontal="right" vertical="center"/>
    </xf>
    <xf numFmtId="0" fontId="36" fillId="31" borderId="260">
      <alignment horizontal="right" vertical="center"/>
    </xf>
    <xf numFmtId="4" fontId="32" fillId="31" borderId="260">
      <alignment horizontal="right" vertical="center"/>
    </xf>
    <xf numFmtId="4" fontId="32" fillId="33" borderId="260">
      <alignment horizontal="right" vertical="center"/>
    </xf>
    <xf numFmtId="49" fontId="34" fillId="0" borderId="261" applyNumberFormat="0" applyFont="0" applyFill="0" applyBorder="0" applyProtection="0">
      <alignment horizontal="left" vertical="center" indent="5"/>
    </xf>
    <xf numFmtId="4" fontId="34" fillId="0" borderId="260" applyFill="0" applyBorder="0" applyProtection="0">
      <alignment horizontal="right" vertical="center"/>
    </xf>
    <xf numFmtId="4" fontId="32" fillId="31" borderId="260">
      <alignment horizontal="right" vertical="center"/>
    </xf>
    <xf numFmtId="0" fontId="58" fillId="42" borderId="265" applyNumberFormat="0" applyAlignment="0" applyProtection="0"/>
    <xf numFmtId="0" fontId="49" fillId="42" borderId="265" applyNumberFormat="0" applyAlignment="0" applyProtection="0"/>
    <xf numFmtId="0" fontId="45" fillId="55" borderId="265" applyNumberFormat="0" applyAlignment="0" applyProtection="0"/>
    <xf numFmtId="0" fontId="34" fillId="33" borderId="263">
      <alignment horizontal="left" vertical="center" wrapText="1" indent="2"/>
    </xf>
    <xf numFmtId="0" fontId="34" fillId="0" borderId="263">
      <alignment horizontal="left" vertical="center" wrapText="1" indent="2"/>
    </xf>
    <xf numFmtId="0" fontId="34" fillId="33" borderId="263">
      <alignment horizontal="left" vertical="center" wrapText="1" indent="2"/>
    </xf>
    <xf numFmtId="4" fontId="34" fillId="32" borderId="268"/>
    <xf numFmtId="0" fontId="34" fillId="0" borderId="271">
      <alignment horizontal="left" vertical="center" wrapText="1" indent="2"/>
    </xf>
    <xf numFmtId="0" fontId="34" fillId="0" borderId="278">
      <alignment horizontal="right" vertical="center"/>
    </xf>
    <xf numFmtId="49" fontId="34" fillId="0" borderId="279" applyNumberFormat="0" applyFont="0" applyFill="0" applyBorder="0" applyProtection="0">
      <alignment horizontal="left" vertical="center" indent="5"/>
    </xf>
    <xf numFmtId="0" fontId="34" fillId="0" borderId="278">
      <alignment horizontal="right" vertical="center"/>
    </xf>
    <xf numFmtId="0" fontId="32" fillId="33" borderId="268">
      <alignment horizontal="right" vertical="center"/>
    </xf>
    <xf numFmtId="0" fontId="40" fillId="58" borderId="277" applyNumberFormat="0" applyFont="0" applyAlignment="0" applyProtection="0"/>
    <xf numFmtId="0" fontId="32" fillId="33" borderId="269">
      <alignment horizontal="right" vertical="center"/>
    </xf>
    <xf numFmtId="49" fontId="33" fillId="0" borderId="268" applyNumberFormat="0" applyFill="0" applyBorder="0" applyProtection="0">
      <alignment horizontal="left" vertical="center"/>
    </xf>
    <xf numFmtId="0" fontId="26" fillId="13" borderId="0" applyNumberFormat="0" applyBorder="0" applyAlignment="0" applyProtection="0"/>
    <xf numFmtId="0" fontId="26" fillId="28" borderId="0" applyNumberFormat="0" applyBorder="0" applyAlignment="0" applyProtection="0"/>
    <xf numFmtId="0" fontId="46" fillId="55" borderId="273" applyNumberFormat="0" applyAlignment="0" applyProtection="0"/>
    <xf numFmtId="0" fontId="34" fillId="0" borderId="268" applyNumberFormat="0" applyFill="0" applyAlignment="0" applyProtection="0"/>
    <xf numFmtId="0" fontId="26" fillId="26" borderId="0" applyNumberFormat="0" applyBorder="0" applyAlignment="0" applyProtection="0"/>
    <xf numFmtId="0" fontId="26" fillId="17" borderId="0" applyNumberFormat="0" applyBorder="0" applyAlignment="0" applyProtection="0"/>
    <xf numFmtId="0" fontId="36" fillId="31" borderId="268">
      <alignment horizontal="right" vertical="center"/>
    </xf>
    <xf numFmtId="4" fontId="32" fillId="33" borderId="279">
      <alignment horizontal="right" vertical="center"/>
    </xf>
    <xf numFmtId="0" fontId="1" fillId="0" borderId="0" applyNumberFormat="0" applyFill="0" applyBorder="0" applyAlignment="0" applyProtection="0"/>
    <xf numFmtId="4" fontId="32" fillId="33" borderId="278">
      <alignment horizontal="right" vertical="center"/>
    </xf>
    <xf numFmtId="0" fontId="36" fillId="31" borderId="268">
      <alignment horizontal="right" vertical="center"/>
    </xf>
    <xf numFmtId="4" fontId="36" fillId="31" borderId="268">
      <alignment horizontal="right" vertical="center"/>
    </xf>
    <xf numFmtId="0" fontId="12" fillId="27" borderId="0" applyNumberFormat="0" applyBorder="0" applyAlignment="0" applyProtection="0"/>
    <xf numFmtId="0" fontId="40" fillId="58" borderId="277" applyNumberFormat="0" applyFont="0" applyAlignment="0" applyProtection="0"/>
    <xf numFmtId="0" fontId="49" fillId="42" borderId="273" applyNumberFormat="0" applyAlignment="0" applyProtection="0"/>
    <xf numFmtId="0" fontId="58" fillId="42" borderId="273" applyNumberFormat="0" applyAlignment="0" applyProtection="0"/>
    <xf numFmtId="0" fontId="62" fillId="55" borderId="282" applyNumberFormat="0" applyAlignment="0" applyProtection="0"/>
    <xf numFmtId="0" fontId="5" fillId="58" borderId="267" applyNumberFormat="0" applyFont="0" applyAlignment="0" applyProtection="0"/>
    <xf numFmtId="0" fontId="26" fillId="17" borderId="0" applyNumberFormat="0" applyBorder="0" applyAlignment="0" applyProtection="0"/>
    <xf numFmtId="0" fontId="65" fillId="0" borderId="276" applyNumberFormat="0" applyFill="0" applyAlignment="0" applyProtection="0"/>
    <xf numFmtId="0" fontId="36" fillId="31" borderId="268">
      <alignment horizontal="right" vertical="center"/>
    </xf>
    <xf numFmtId="0" fontId="58" fillId="42" borderId="273" applyNumberFormat="0" applyAlignment="0" applyProtection="0"/>
    <xf numFmtId="0" fontId="26" fillId="26" borderId="0" applyNumberFormat="0" applyBorder="0" applyAlignment="0" applyProtection="0"/>
    <xf numFmtId="0" fontId="32" fillId="33" borderId="270">
      <alignment horizontal="right" vertical="center"/>
    </xf>
    <xf numFmtId="0" fontId="32" fillId="33" borderId="268">
      <alignment horizontal="right" vertical="center"/>
    </xf>
    <xf numFmtId="4" fontId="34" fillId="32" borderId="268"/>
    <xf numFmtId="4" fontId="32" fillId="33" borderId="268">
      <alignment horizontal="right" vertical="center"/>
    </xf>
    <xf numFmtId="0" fontId="46" fillId="55" borderId="273" applyNumberFormat="0" applyAlignment="0" applyProtection="0"/>
    <xf numFmtId="0" fontId="12" fillId="21" borderId="0" applyNumberFormat="0" applyBorder="0" applyAlignment="0" applyProtection="0"/>
    <xf numFmtId="4" fontId="32" fillId="33" borderId="269">
      <alignment horizontal="right" vertical="center"/>
    </xf>
    <xf numFmtId="0" fontId="30" fillId="0" borderId="0" applyNumberFormat="0" applyFill="0" applyBorder="0" applyAlignment="0" applyProtection="0"/>
    <xf numFmtId="0" fontId="43" fillId="55" borderId="282" applyNumberFormat="0" applyAlignment="0" applyProtection="0"/>
    <xf numFmtId="0" fontId="34" fillId="33" borderId="271">
      <alignment horizontal="left" vertical="center" wrapText="1" indent="2"/>
    </xf>
    <xf numFmtId="0" fontId="32" fillId="33" borderId="278">
      <alignment horizontal="right" vertical="center"/>
    </xf>
    <xf numFmtId="0" fontId="5" fillId="58" borderId="277" applyNumberFormat="0" applyFont="0" applyAlignment="0" applyProtection="0"/>
    <xf numFmtId="0" fontId="34" fillId="32" borderId="278"/>
    <xf numFmtId="0" fontId="26" fillId="29" borderId="0" applyNumberFormat="0" applyBorder="0" applyAlignment="0" applyProtection="0"/>
    <xf numFmtId="0" fontId="12" fillId="18" borderId="0" applyNumberFormat="0" applyBorder="0" applyAlignment="0" applyProtection="0"/>
    <xf numFmtId="0" fontId="49" fillId="42" borderId="273" applyNumberFormat="0" applyAlignment="0" applyProtection="0"/>
    <xf numFmtId="4" fontId="34" fillId="32" borderId="278"/>
    <xf numFmtId="0" fontId="34" fillId="32" borderId="278"/>
    <xf numFmtId="0" fontId="26" fillId="25" borderId="0" applyNumberFormat="0" applyBorder="0" applyAlignment="0" applyProtection="0"/>
    <xf numFmtId="0" fontId="58" fillId="42" borderId="273" applyNumberFormat="0" applyAlignment="0" applyProtection="0"/>
    <xf numFmtId="0" fontId="36" fillId="31" borderId="278">
      <alignment horizontal="right" vertical="center"/>
    </xf>
    <xf numFmtId="0" fontId="34" fillId="0" borderId="278">
      <alignment horizontal="right" vertical="center"/>
    </xf>
    <xf numFmtId="0" fontId="32" fillId="31" borderId="268">
      <alignment horizontal="right" vertical="center"/>
    </xf>
    <xf numFmtId="0" fontId="34" fillId="31" borderId="269">
      <alignment horizontal="left" vertical="center"/>
    </xf>
    <xf numFmtId="0" fontId="36" fillId="31" borderId="268">
      <alignment horizontal="right" vertical="center"/>
    </xf>
    <xf numFmtId="49" fontId="34" fillId="0" borderId="268" applyNumberFormat="0" applyFont="0" applyFill="0" applyBorder="0" applyProtection="0">
      <alignment horizontal="left" vertical="center" indent="2"/>
    </xf>
    <xf numFmtId="4" fontId="36" fillId="31" borderId="278">
      <alignment horizontal="right" vertical="center"/>
    </xf>
    <xf numFmtId="0" fontId="26" fillId="25" borderId="0" applyNumberFormat="0" applyBorder="0" applyAlignment="0" applyProtection="0"/>
    <xf numFmtId="49" fontId="34" fillId="0" borderId="268" applyNumberFormat="0" applyFont="0" applyFill="0" applyBorder="0" applyProtection="0">
      <alignment horizontal="left" vertical="center" indent="2"/>
    </xf>
    <xf numFmtId="0" fontId="32" fillId="31" borderId="268">
      <alignment horizontal="right" vertical="center"/>
    </xf>
    <xf numFmtId="0" fontId="58" fillId="42" borderId="275" applyNumberFormat="0" applyAlignment="0" applyProtection="0"/>
    <xf numFmtId="0" fontId="32" fillId="33" borderId="268">
      <alignment horizontal="right" vertical="center"/>
    </xf>
    <xf numFmtId="0" fontId="62" fillId="55" borderId="272" applyNumberFormat="0" applyAlignment="0" applyProtection="0"/>
    <xf numFmtId="0" fontId="34" fillId="33" borderId="271">
      <alignment horizontal="left" vertical="center" wrapText="1" indent="2"/>
    </xf>
    <xf numFmtId="4" fontId="34" fillId="0" borderId="268" applyFill="0" applyBorder="0" applyProtection="0">
      <alignment horizontal="right" vertical="center"/>
    </xf>
    <xf numFmtId="0" fontId="30" fillId="0" borderId="0" applyNumberFormat="0" applyFill="0" applyBorder="0" applyAlignment="0" applyProtection="0"/>
    <xf numFmtId="0" fontId="29" fillId="12" borderId="10" applyNumberFormat="0" applyAlignment="0" applyProtection="0"/>
    <xf numFmtId="0" fontId="65" fillId="0" borderId="276" applyNumberFormat="0" applyFill="0" applyAlignment="0" applyProtection="0"/>
    <xf numFmtId="0" fontId="32" fillId="33" borderId="270">
      <alignment horizontal="right" vertical="center"/>
    </xf>
    <xf numFmtId="0" fontId="32" fillId="33" borderId="268">
      <alignment horizontal="right" vertical="center"/>
    </xf>
    <xf numFmtId="0" fontId="32" fillId="33" borderId="278">
      <alignment horizontal="right" vertical="center"/>
    </xf>
    <xf numFmtId="0" fontId="58" fillId="42" borderId="273" applyNumberFormat="0" applyAlignment="0" applyProtection="0"/>
    <xf numFmtId="0" fontId="43" fillId="55" borderId="282" applyNumberFormat="0" applyAlignment="0" applyProtection="0"/>
    <xf numFmtId="0" fontId="65" fillId="0" borderId="274" applyNumberFormat="0" applyFill="0" applyAlignment="0" applyProtection="0"/>
    <xf numFmtId="49" fontId="33" fillId="0" borderId="278" applyNumberFormat="0" applyFill="0" applyBorder="0" applyProtection="0">
      <alignment horizontal="left" vertical="center"/>
    </xf>
    <xf numFmtId="0" fontId="26" fillId="25" borderId="0" applyNumberFormat="0" applyBorder="0" applyAlignment="0" applyProtection="0"/>
    <xf numFmtId="4" fontId="32" fillId="31" borderId="278">
      <alignment horizontal="right" vertical="center"/>
    </xf>
    <xf numFmtId="0" fontId="32" fillId="33" borderId="279">
      <alignment horizontal="right" vertical="center"/>
    </xf>
    <xf numFmtId="0" fontId="62" fillId="55" borderId="272" applyNumberFormat="0" applyAlignment="0" applyProtection="0"/>
    <xf numFmtId="4" fontId="34" fillId="0" borderId="278">
      <alignment horizontal="right" vertical="center"/>
    </xf>
    <xf numFmtId="0" fontId="62" fillId="55" borderId="282" applyNumberFormat="0" applyAlignment="0" applyProtection="0"/>
    <xf numFmtId="4" fontId="32" fillId="33" borderId="268">
      <alignment horizontal="right" vertical="center"/>
    </xf>
    <xf numFmtId="0" fontId="50" fillId="0" borderId="274" applyNumberFormat="0" applyFill="0" applyAlignment="0" applyProtection="0"/>
    <xf numFmtId="0" fontId="49" fillId="42" borderId="273" applyNumberFormat="0" applyAlignment="0" applyProtection="0"/>
    <xf numFmtId="4" fontId="32" fillId="31" borderId="268">
      <alignment horizontal="right" vertical="center"/>
    </xf>
    <xf numFmtId="0" fontId="26" fillId="17" borderId="0" applyNumberFormat="0" applyBorder="0" applyAlignment="0" applyProtection="0"/>
    <xf numFmtId="0" fontId="26" fillId="14" borderId="0" applyNumberFormat="0" applyBorder="0" applyAlignment="0" applyProtection="0"/>
    <xf numFmtId="173" fontId="34" fillId="59" borderId="268" applyNumberFormat="0" applyFont="0" applyBorder="0" applyAlignment="0" applyProtection="0">
      <alignment horizontal="right" vertical="center"/>
    </xf>
    <xf numFmtId="0" fontId="26" fillId="29" borderId="0" applyNumberFormat="0" applyBorder="0" applyAlignment="0" applyProtection="0"/>
    <xf numFmtId="0" fontId="34" fillId="0" borderId="268" applyNumberFormat="0" applyFill="0" applyAlignment="0" applyProtection="0"/>
    <xf numFmtId="0" fontId="43" fillId="55" borderId="272" applyNumberFormat="0" applyAlignment="0" applyProtection="0"/>
    <xf numFmtId="4" fontId="32" fillId="33" borderId="269">
      <alignment horizontal="right" vertical="center"/>
    </xf>
    <xf numFmtId="0" fontId="58" fillId="42" borderId="275" applyNumberFormat="0" applyAlignment="0" applyProtection="0"/>
    <xf numFmtId="0" fontId="12" fillId="21" borderId="0" applyNumberFormat="0" applyBorder="0" applyAlignment="0" applyProtection="0"/>
    <xf numFmtId="0" fontId="36" fillId="31" borderId="278">
      <alignment horizontal="right" vertical="center"/>
    </xf>
    <xf numFmtId="0" fontId="34" fillId="0" borderId="278" applyNumberFormat="0" applyFill="0" applyAlignment="0" applyProtection="0"/>
    <xf numFmtId="0" fontId="26" fillId="28" borderId="0" applyNumberFormat="0" applyBorder="0" applyAlignment="0" applyProtection="0"/>
    <xf numFmtId="0" fontId="12" fillId="15" borderId="0" applyNumberFormat="0" applyBorder="0" applyAlignment="0" applyProtection="0"/>
    <xf numFmtId="0" fontId="49" fillId="42" borderId="273" applyNumberFormat="0" applyAlignment="0" applyProtection="0"/>
    <xf numFmtId="0" fontId="12" fillId="30" borderId="0" applyNumberFormat="0" applyBorder="0" applyAlignment="0" applyProtection="0"/>
    <xf numFmtId="49" fontId="34" fillId="0" borderId="269" applyNumberFormat="0" applyFont="0" applyFill="0" applyBorder="0" applyProtection="0">
      <alignment horizontal="left" vertical="center" indent="5"/>
    </xf>
    <xf numFmtId="4" fontId="32" fillId="33" borderId="280">
      <alignment horizontal="right" vertical="center"/>
    </xf>
    <xf numFmtId="4" fontId="34" fillId="0" borderId="278" applyFill="0" applyBorder="0" applyProtection="0">
      <alignment horizontal="right" vertical="center"/>
    </xf>
    <xf numFmtId="0" fontId="5" fillId="58" borderId="267" applyNumberFormat="0" applyFont="0" applyAlignment="0" applyProtection="0"/>
    <xf numFmtId="0" fontId="34" fillId="0" borderId="281">
      <alignment horizontal="left" vertical="center" wrapText="1" indent="2"/>
    </xf>
    <xf numFmtId="4" fontId="32" fillId="33" borderId="280">
      <alignment horizontal="right" vertical="center"/>
    </xf>
    <xf numFmtId="0" fontId="5" fillId="58" borderId="267" applyNumberFormat="0" applyFont="0" applyAlignment="0" applyProtection="0"/>
    <xf numFmtId="0" fontId="62" fillId="55" borderId="272" applyNumberFormat="0" applyAlignment="0" applyProtection="0"/>
    <xf numFmtId="0" fontId="26" fillId="14" borderId="0" applyNumberFormat="0" applyBorder="0" applyAlignment="0" applyProtection="0"/>
    <xf numFmtId="0" fontId="65" fillId="0" borderId="274" applyNumberFormat="0" applyFill="0" applyAlignment="0" applyProtection="0"/>
    <xf numFmtId="0" fontId="36" fillId="31" borderId="278">
      <alignment horizontal="right" vertical="center"/>
    </xf>
    <xf numFmtId="0" fontId="26" fillId="28" borderId="0" applyNumberFormat="0" applyBorder="0" applyAlignment="0" applyProtection="0"/>
    <xf numFmtId="0" fontId="36" fillId="31" borderId="268">
      <alignment horizontal="right" vertical="center"/>
    </xf>
    <xf numFmtId="0" fontId="32" fillId="33" borderId="270">
      <alignment horizontal="right" vertical="center"/>
    </xf>
    <xf numFmtId="0" fontId="32" fillId="31" borderId="278">
      <alignment horizontal="right" vertical="center"/>
    </xf>
    <xf numFmtId="0" fontId="62" fillId="55" borderId="272" applyNumberFormat="0" applyAlignment="0" applyProtection="0"/>
    <xf numFmtId="0" fontId="26" fillId="16" borderId="0" applyNumberFormat="0" applyBorder="0" applyAlignment="0" applyProtection="0"/>
    <xf numFmtId="173" fontId="34" fillId="59" borderId="278" applyNumberFormat="0" applyFont="0" applyBorder="0" applyAlignment="0" applyProtection="0">
      <alignment horizontal="right" vertical="center"/>
    </xf>
    <xf numFmtId="0" fontId="65" fillId="0" borderId="274" applyNumberFormat="0" applyFill="0" applyAlignment="0" applyProtection="0"/>
    <xf numFmtId="0" fontId="46" fillId="55" borderId="275" applyNumberFormat="0" applyAlignment="0" applyProtection="0"/>
    <xf numFmtId="0" fontId="26" fillId="14" borderId="0" applyNumberFormat="0" applyBorder="0" applyAlignment="0" applyProtection="0"/>
    <xf numFmtId="0" fontId="26" fillId="14" borderId="0" applyNumberFormat="0" applyBorder="0" applyAlignment="0" applyProtection="0"/>
    <xf numFmtId="0" fontId="12" fillId="30" borderId="0" applyNumberFormat="0" applyBorder="0" applyAlignment="0" applyProtection="0"/>
    <xf numFmtId="0" fontId="32" fillId="31" borderId="268">
      <alignment horizontal="right" vertical="center"/>
    </xf>
    <xf numFmtId="0" fontId="65" fillId="0" borderId="274" applyNumberFormat="0" applyFill="0" applyAlignment="0" applyProtection="0"/>
    <xf numFmtId="0" fontId="45" fillId="55" borderId="273" applyNumberFormat="0" applyAlignment="0" applyProtection="0"/>
    <xf numFmtId="0" fontId="46" fillId="55" borderId="275" applyNumberFormat="0" applyAlignment="0" applyProtection="0"/>
    <xf numFmtId="0" fontId="30" fillId="0" borderId="0" applyNumberFormat="0" applyFill="0" applyBorder="0" applyAlignment="0" applyProtection="0"/>
    <xf numFmtId="4" fontId="32" fillId="33" borderId="268">
      <alignment horizontal="right" vertical="center"/>
    </xf>
    <xf numFmtId="0" fontId="1" fillId="0" borderId="0" applyNumberFormat="0" applyFill="0" applyBorder="0" applyAlignment="0" applyProtection="0"/>
    <xf numFmtId="4" fontId="32" fillId="33" borderId="278">
      <alignment horizontal="right" vertical="center"/>
    </xf>
    <xf numFmtId="0" fontId="26" fillId="13" borderId="0" applyNumberFormat="0" applyBorder="0" applyAlignment="0" applyProtection="0"/>
    <xf numFmtId="0" fontId="29" fillId="12" borderId="10" applyNumberFormat="0" applyAlignment="0" applyProtection="0"/>
    <xf numFmtId="0" fontId="40" fillId="58" borderId="267" applyNumberFormat="0" applyFont="0" applyAlignment="0" applyProtection="0"/>
    <xf numFmtId="0" fontId="29" fillId="12" borderId="10" applyNumberFormat="0" applyAlignment="0" applyProtection="0"/>
    <xf numFmtId="0" fontId="32" fillId="33" borderId="280">
      <alignment horizontal="right" vertical="center"/>
    </xf>
    <xf numFmtId="0" fontId="26" fillId="19" borderId="0" applyNumberFormat="0" applyBorder="0" applyAlignment="0" applyProtection="0"/>
    <xf numFmtId="0" fontId="34" fillId="0" borderId="271">
      <alignment horizontal="left" vertical="center" wrapText="1" indent="2"/>
    </xf>
    <xf numFmtId="0" fontId="32" fillId="33" borderId="268">
      <alignment horizontal="right" vertical="center"/>
    </xf>
    <xf numFmtId="0" fontId="32" fillId="33" borderId="268">
      <alignment horizontal="right" vertical="center"/>
    </xf>
    <xf numFmtId="0" fontId="28" fillId="12" borderId="11" applyNumberFormat="0" applyAlignment="0" applyProtection="0"/>
    <xf numFmtId="0" fontId="26" fillId="20" borderId="0" applyNumberFormat="0" applyBorder="0" applyAlignment="0" applyProtection="0"/>
    <xf numFmtId="0" fontId="12" fillId="27" borderId="0" applyNumberFormat="0" applyBorder="0" applyAlignment="0" applyProtection="0"/>
    <xf numFmtId="4" fontId="34" fillId="0" borderId="268">
      <alignment horizontal="right" vertical="center"/>
    </xf>
    <xf numFmtId="0" fontId="12" fillId="18" borderId="0" applyNumberFormat="0" applyBorder="0" applyAlignment="0" applyProtection="0"/>
    <xf numFmtId="0" fontId="43" fillId="55" borderId="272" applyNumberFormat="0" applyAlignment="0" applyProtection="0"/>
    <xf numFmtId="0" fontId="45" fillId="55" borderId="273" applyNumberFormat="0" applyAlignment="0" applyProtection="0"/>
    <xf numFmtId="0" fontId="46" fillId="55" borderId="273" applyNumberFormat="0" applyAlignment="0" applyProtection="0"/>
    <xf numFmtId="0" fontId="12" fillId="24" borderId="0" applyNumberFormat="0" applyBorder="0" applyAlignment="0" applyProtection="0"/>
    <xf numFmtId="0" fontId="26" fillId="22" borderId="0" applyNumberFormat="0" applyBorder="0" applyAlignment="0" applyProtection="0"/>
    <xf numFmtId="0" fontId="26" fillId="20" borderId="0" applyNumberFormat="0" applyBorder="0" applyAlignment="0" applyProtection="0"/>
    <xf numFmtId="0" fontId="46" fillId="55" borderId="273" applyNumberFormat="0" applyAlignment="0" applyProtection="0"/>
    <xf numFmtId="0" fontId="34" fillId="0" borderId="281">
      <alignment horizontal="left" vertical="center" wrapText="1" indent="2"/>
    </xf>
    <xf numFmtId="0" fontId="45" fillId="55" borderId="275" applyNumberFormat="0" applyAlignment="0" applyProtection="0"/>
    <xf numFmtId="0" fontId="62" fillId="55" borderId="272" applyNumberFormat="0" applyAlignment="0" applyProtection="0"/>
    <xf numFmtId="0" fontId="26" fillId="14" borderId="0" applyNumberFormat="0" applyBorder="0" applyAlignment="0" applyProtection="0"/>
    <xf numFmtId="0" fontId="34" fillId="0" borderId="268" applyNumberFormat="0" applyFill="0" applyAlignment="0" applyProtection="0"/>
    <xf numFmtId="0" fontId="36" fillId="31" borderId="268">
      <alignment horizontal="right" vertical="center"/>
    </xf>
    <xf numFmtId="0" fontId="50" fillId="0" borderId="274" applyNumberFormat="0" applyFill="0" applyAlignment="0" applyProtection="0"/>
    <xf numFmtId="0" fontId="12" fillId="24" borderId="0" applyNumberFormat="0" applyBorder="0" applyAlignment="0" applyProtection="0"/>
    <xf numFmtId="4" fontId="34" fillId="0" borderId="268" applyFill="0" applyBorder="0" applyProtection="0">
      <alignment horizontal="right" vertical="center"/>
    </xf>
    <xf numFmtId="0" fontId="34" fillId="32" borderId="268"/>
    <xf numFmtId="0" fontId="32" fillId="33" borderId="279">
      <alignment horizontal="right" vertical="center"/>
    </xf>
    <xf numFmtId="4" fontId="34" fillId="32" borderId="268"/>
    <xf numFmtId="0" fontId="32" fillId="33" borderId="278">
      <alignment horizontal="right" vertical="center"/>
    </xf>
    <xf numFmtId="0" fontId="36" fillId="31" borderId="278">
      <alignment horizontal="right" vertical="center"/>
    </xf>
    <xf numFmtId="0" fontId="12" fillId="27" borderId="0" applyNumberFormat="0" applyBorder="0" applyAlignment="0" applyProtection="0"/>
    <xf numFmtId="0" fontId="26" fillId="22" borderId="0" applyNumberFormat="0" applyBorder="0" applyAlignment="0" applyProtection="0"/>
    <xf numFmtId="0" fontId="32" fillId="31" borderId="278">
      <alignment horizontal="right" vertical="center"/>
    </xf>
    <xf numFmtId="0" fontId="62" fillId="55" borderId="282" applyNumberFormat="0" applyAlignment="0" applyProtection="0"/>
    <xf numFmtId="0" fontId="12" fillId="18" borderId="0" applyNumberFormat="0" applyBorder="0" applyAlignment="0" applyProtection="0"/>
    <xf numFmtId="0" fontId="62" fillId="55" borderId="272" applyNumberFormat="0" applyAlignment="0" applyProtection="0"/>
    <xf numFmtId="0" fontId="32" fillId="33" borderId="279">
      <alignment horizontal="right" vertical="center"/>
    </xf>
    <xf numFmtId="4" fontId="32" fillId="33" borderId="279">
      <alignment horizontal="right" vertical="center"/>
    </xf>
    <xf numFmtId="0" fontId="49" fillId="42" borderId="273" applyNumberFormat="0" applyAlignment="0" applyProtection="0"/>
    <xf numFmtId="0" fontId="34" fillId="0" borderId="271">
      <alignment horizontal="left" vertical="center" wrapText="1" indent="2"/>
    </xf>
    <xf numFmtId="0" fontId="45" fillId="55" borderId="273" applyNumberFormat="0" applyAlignment="0" applyProtection="0"/>
    <xf numFmtId="0" fontId="49" fillId="42" borderId="275" applyNumberFormat="0" applyAlignment="0" applyProtection="0"/>
    <xf numFmtId="4" fontId="34" fillId="32" borderId="278"/>
    <xf numFmtId="0" fontId="34" fillId="31" borderId="269">
      <alignment horizontal="left" vertical="center"/>
    </xf>
    <xf numFmtId="0" fontId="12" fillId="15" borderId="0" applyNumberFormat="0" applyBorder="0" applyAlignment="0" applyProtection="0"/>
    <xf numFmtId="0" fontId="2" fillId="0" borderId="12" applyNumberFormat="0" applyFill="0" applyAlignment="0" applyProtection="0"/>
    <xf numFmtId="0" fontId="58" fillId="42" borderId="275" applyNumberFormat="0" applyAlignment="0" applyProtection="0"/>
    <xf numFmtId="0" fontId="58" fillId="42" borderId="273" applyNumberFormat="0" applyAlignment="0" applyProtection="0"/>
    <xf numFmtId="0" fontId="12" fillId="24" borderId="0" applyNumberFormat="0" applyBorder="0" applyAlignment="0" applyProtection="0"/>
    <xf numFmtId="4" fontId="34" fillId="32" borderId="278"/>
    <xf numFmtId="0" fontId="26" fillId="19" borderId="0" applyNumberFormat="0" applyBorder="0" applyAlignment="0" applyProtection="0"/>
    <xf numFmtId="0" fontId="46" fillId="55" borderId="273" applyNumberFormat="0" applyAlignment="0" applyProtection="0"/>
    <xf numFmtId="0" fontId="40" fillId="58" borderId="267" applyNumberFormat="0" applyFont="0" applyAlignment="0" applyProtection="0"/>
    <xf numFmtId="4" fontId="32" fillId="33" borderId="278">
      <alignment horizontal="right" vertical="center"/>
    </xf>
    <xf numFmtId="4" fontId="32" fillId="33" borderId="278">
      <alignment horizontal="right" vertical="center"/>
    </xf>
    <xf numFmtId="0" fontId="26" fillId="14" borderId="0" applyNumberFormat="0" applyBorder="0" applyAlignment="0" applyProtection="0"/>
    <xf numFmtId="0" fontId="65" fillId="0" borderId="274" applyNumberFormat="0" applyFill="0" applyAlignment="0" applyProtection="0"/>
    <xf numFmtId="0" fontId="62" fillId="55" borderId="272" applyNumberFormat="0" applyAlignment="0" applyProtection="0"/>
    <xf numFmtId="4" fontId="34" fillId="0" borderId="268">
      <alignment horizontal="right" vertical="center"/>
    </xf>
    <xf numFmtId="4" fontId="32" fillId="33" borderId="270">
      <alignment horizontal="right" vertical="center"/>
    </xf>
    <xf numFmtId="0" fontId="32" fillId="33" borderId="269">
      <alignment horizontal="right" vertical="center"/>
    </xf>
    <xf numFmtId="49" fontId="34" fillId="0" borderId="278" applyNumberFormat="0" applyFont="0" applyFill="0" applyBorder="0" applyProtection="0">
      <alignment horizontal="left" vertical="center" indent="2"/>
    </xf>
    <xf numFmtId="0" fontId="50" fillId="0" borderId="276" applyNumberFormat="0" applyFill="0" applyAlignment="0" applyProtection="0"/>
    <xf numFmtId="0" fontId="34" fillId="33" borderId="281">
      <alignment horizontal="left" vertical="center" wrapText="1" indent="2"/>
    </xf>
    <xf numFmtId="0" fontId="34" fillId="0" borderId="268">
      <alignment horizontal="right" vertical="center"/>
    </xf>
    <xf numFmtId="0" fontId="58" fillId="42" borderId="273" applyNumberFormat="0" applyAlignment="0" applyProtection="0"/>
    <xf numFmtId="0" fontId="65" fillId="0" borderId="274" applyNumberFormat="0" applyFill="0" applyAlignment="0" applyProtection="0"/>
    <xf numFmtId="49" fontId="33" fillId="0" borderId="268" applyNumberFormat="0" applyFill="0" applyBorder="0" applyProtection="0">
      <alignment horizontal="left" vertical="center"/>
    </xf>
    <xf numFmtId="0" fontId="58" fillId="42" borderId="273" applyNumberFormat="0" applyAlignment="0" applyProtection="0"/>
    <xf numFmtId="0" fontId="49" fillId="42" borderId="273" applyNumberFormat="0" applyAlignment="0" applyProtection="0"/>
    <xf numFmtId="4" fontId="34" fillId="0" borderId="268">
      <alignment horizontal="right" vertical="center"/>
    </xf>
    <xf numFmtId="0" fontId="32" fillId="33" borderId="280">
      <alignment horizontal="right" vertical="center"/>
    </xf>
    <xf numFmtId="4" fontId="36" fillId="31" borderId="268">
      <alignment horizontal="right" vertical="center"/>
    </xf>
    <xf numFmtId="0" fontId="65" fillId="0" borderId="276" applyNumberFormat="0" applyFill="0" applyAlignment="0" applyProtection="0"/>
    <xf numFmtId="0" fontId="12" fillId="27" borderId="0" applyNumberFormat="0" applyBorder="0" applyAlignment="0" applyProtection="0"/>
    <xf numFmtId="49" fontId="34" fillId="0" borderId="268" applyNumberFormat="0" applyFont="0" applyFill="0" applyBorder="0" applyProtection="0">
      <alignment horizontal="left" vertical="center" indent="2"/>
    </xf>
    <xf numFmtId="4" fontId="36" fillId="31" borderId="278">
      <alignment horizontal="right" vertical="center"/>
    </xf>
    <xf numFmtId="173" fontId="34" fillId="59" borderId="278" applyNumberFormat="0" applyFont="0" applyBorder="0" applyAlignment="0" applyProtection="0">
      <alignment horizontal="right" vertical="center"/>
    </xf>
    <xf numFmtId="0" fontId="45" fillId="55" borderId="275" applyNumberFormat="0" applyAlignment="0" applyProtection="0"/>
    <xf numFmtId="0" fontId="34" fillId="31" borderId="279">
      <alignment horizontal="left" vertical="center"/>
    </xf>
    <xf numFmtId="0" fontId="49" fillId="42" borderId="273" applyNumberFormat="0" applyAlignment="0" applyProtection="0"/>
    <xf numFmtId="4" fontId="32" fillId="31" borderId="268">
      <alignment horizontal="right" vertical="center"/>
    </xf>
    <xf numFmtId="0" fontId="40" fillId="58" borderId="267" applyNumberFormat="0" applyFont="0" applyAlignment="0" applyProtection="0"/>
    <xf numFmtId="0" fontId="34" fillId="33" borderId="271">
      <alignment horizontal="left" vertical="center" wrapText="1" indent="2"/>
    </xf>
    <xf numFmtId="4" fontId="34" fillId="32" borderId="268"/>
    <xf numFmtId="0" fontId="32" fillId="33" borderId="278">
      <alignment horizontal="right" vertical="center"/>
    </xf>
    <xf numFmtId="0" fontId="50" fillId="0" borderId="276" applyNumberFormat="0" applyFill="0" applyAlignment="0" applyProtection="0"/>
    <xf numFmtId="0" fontId="32" fillId="33" borderId="269">
      <alignment horizontal="right" vertical="center"/>
    </xf>
    <xf numFmtId="0" fontId="34" fillId="32" borderId="268"/>
    <xf numFmtId="0" fontId="40" fillId="58" borderId="277" applyNumberFormat="0" applyFont="0" applyAlignment="0" applyProtection="0"/>
    <xf numFmtId="0" fontId="46" fillId="55" borderId="273" applyNumberFormat="0" applyAlignment="0" applyProtection="0"/>
    <xf numFmtId="0" fontId="65" fillId="0" borderId="274" applyNumberFormat="0" applyFill="0" applyAlignment="0" applyProtection="0"/>
    <xf numFmtId="0" fontId="34" fillId="32" borderId="268"/>
    <xf numFmtId="0" fontId="12" fillId="30" borderId="0" applyNumberFormat="0" applyBorder="0" applyAlignment="0" applyProtection="0"/>
    <xf numFmtId="0" fontId="32" fillId="33" borderId="268">
      <alignment horizontal="right" vertical="center"/>
    </xf>
    <xf numFmtId="4" fontId="36" fillId="31" borderId="278">
      <alignment horizontal="right" vertical="center"/>
    </xf>
    <xf numFmtId="0" fontId="34" fillId="33" borderId="271">
      <alignment horizontal="left" vertical="center" wrapText="1" indent="2"/>
    </xf>
    <xf numFmtId="0" fontId="45" fillId="55" borderId="273" applyNumberFormat="0" applyAlignment="0" applyProtection="0"/>
    <xf numFmtId="0" fontId="34" fillId="0" borderId="268">
      <alignment horizontal="right" vertical="center"/>
    </xf>
    <xf numFmtId="0" fontId="26" fillId="20" borderId="0" applyNumberFormat="0" applyBorder="0" applyAlignment="0" applyProtection="0"/>
    <xf numFmtId="0" fontId="34" fillId="32" borderId="278"/>
    <xf numFmtId="0" fontId="50" fillId="0" borderId="274" applyNumberFormat="0" applyFill="0" applyAlignment="0" applyProtection="0"/>
    <xf numFmtId="0" fontId="50" fillId="0" borderId="274" applyNumberFormat="0" applyFill="0" applyAlignment="0" applyProtection="0"/>
    <xf numFmtId="0" fontId="58" fillId="42" borderId="273" applyNumberFormat="0" applyAlignment="0" applyProtection="0"/>
    <xf numFmtId="0" fontId="34" fillId="0" borderId="271">
      <alignment horizontal="left" vertical="center" wrapText="1" indent="2"/>
    </xf>
    <xf numFmtId="0" fontId="12" fillId="15" borderId="0" applyNumberFormat="0" applyBorder="0" applyAlignment="0" applyProtection="0"/>
    <xf numFmtId="0" fontId="34" fillId="32" borderId="268"/>
    <xf numFmtId="0" fontId="32" fillId="33" borderId="270">
      <alignment horizontal="right" vertical="center"/>
    </xf>
    <xf numFmtId="0" fontId="34" fillId="33" borderId="281">
      <alignment horizontal="left" vertical="center" wrapText="1" indent="2"/>
    </xf>
    <xf numFmtId="0" fontId="32" fillId="31" borderId="268">
      <alignment horizontal="right" vertical="center"/>
    </xf>
    <xf numFmtId="0" fontId="34" fillId="0" borderId="268">
      <alignment horizontal="right" vertical="center"/>
    </xf>
    <xf numFmtId="4" fontId="34" fillId="32" borderId="268"/>
    <xf numFmtId="0" fontId="40" fillId="58" borderId="267" applyNumberFormat="0" applyFont="0" applyAlignment="0" applyProtection="0"/>
    <xf numFmtId="0" fontId="12" fillId="21" borderId="0" applyNumberFormat="0" applyBorder="0" applyAlignment="0" applyProtection="0"/>
    <xf numFmtId="0" fontId="26" fillId="20" borderId="0" applyNumberFormat="0" applyBorder="0" applyAlignment="0" applyProtection="0"/>
    <xf numFmtId="0" fontId="26" fillId="17" borderId="0" applyNumberFormat="0" applyBorder="0" applyAlignment="0" applyProtection="0"/>
    <xf numFmtId="0" fontId="12" fillId="24" borderId="0" applyNumberFormat="0" applyBorder="0" applyAlignment="0" applyProtection="0"/>
    <xf numFmtId="0" fontId="46" fillId="55" borderId="273" applyNumberFormat="0" applyAlignment="0" applyProtection="0"/>
    <xf numFmtId="4" fontId="32" fillId="33" borderId="270">
      <alignment horizontal="right" vertical="center"/>
    </xf>
    <xf numFmtId="0" fontId="26" fillId="22" borderId="0" applyNumberFormat="0" applyBorder="0" applyAlignment="0" applyProtection="0"/>
    <xf numFmtId="0" fontId="58" fillId="42" borderId="275" applyNumberFormat="0" applyAlignment="0" applyProtection="0"/>
    <xf numFmtId="0" fontId="26" fillId="22" borderId="0" applyNumberFormat="0" applyBorder="0" applyAlignment="0" applyProtection="0"/>
    <xf numFmtId="49" fontId="34" fillId="0" borderId="268" applyNumberFormat="0" applyFont="0" applyFill="0" applyBorder="0" applyProtection="0">
      <alignment horizontal="left" vertical="center" indent="2"/>
    </xf>
    <xf numFmtId="4" fontId="32" fillId="33" borderId="270">
      <alignment horizontal="right" vertical="center"/>
    </xf>
    <xf numFmtId="0" fontId="58" fillId="42" borderId="275" applyNumberFormat="0" applyAlignment="0" applyProtection="0"/>
    <xf numFmtId="0" fontId="62" fillId="55" borderId="282" applyNumberFormat="0" applyAlignment="0" applyProtection="0"/>
    <xf numFmtId="0" fontId="12" fillId="21" borderId="0" applyNumberFormat="0" applyBorder="0" applyAlignment="0" applyProtection="0"/>
    <xf numFmtId="0" fontId="34" fillId="33" borderId="271">
      <alignment horizontal="left" vertical="center" wrapText="1" indent="2"/>
    </xf>
    <xf numFmtId="0" fontId="45" fillId="55" borderId="273" applyNumberFormat="0" applyAlignment="0" applyProtection="0"/>
    <xf numFmtId="4" fontId="32" fillId="33" borderId="268">
      <alignment horizontal="right" vertical="center"/>
    </xf>
    <xf numFmtId="0" fontId="5" fillId="58" borderId="277" applyNumberFormat="0" applyFont="0" applyAlignment="0" applyProtection="0"/>
    <xf numFmtId="0" fontId="1" fillId="0" borderId="0" applyNumberFormat="0" applyFill="0" applyBorder="0" applyAlignment="0" applyProtection="0"/>
    <xf numFmtId="0" fontId="32" fillId="33" borderId="280">
      <alignment horizontal="right" vertical="center"/>
    </xf>
    <xf numFmtId="0" fontId="58" fillId="42" borderId="273" applyNumberFormat="0" applyAlignment="0" applyProtection="0"/>
    <xf numFmtId="0" fontId="5" fillId="58" borderId="267" applyNumberFormat="0" applyFont="0" applyAlignment="0" applyProtection="0"/>
    <xf numFmtId="4" fontId="32" fillId="31" borderId="268">
      <alignment horizontal="right" vertical="center"/>
    </xf>
    <xf numFmtId="0" fontId="65" fillId="0" borderId="274" applyNumberFormat="0" applyFill="0" applyAlignment="0" applyProtection="0"/>
    <xf numFmtId="0" fontId="2" fillId="0" borderId="12" applyNumberFormat="0" applyFill="0" applyAlignment="0" applyProtection="0"/>
    <xf numFmtId="4" fontId="32" fillId="33" borderId="269">
      <alignment horizontal="right" vertical="center"/>
    </xf>
    <xf numFmtId="0" fontId="26" fillId="23" borderId="0" applyNumberFormat="0" applyBorder="0" applyAlignment="0" applyProtection="0"/>
    <xf numFmtId="0" fontId="26" fillId="29" borderId="0" applyNumberFormat="0" applyBorder="0" applyAlignment="0" applyProtection="0"/>
    <xf numFmtId="4" fontId="34" fillId="0" borderId="268">
      <alignment horizontal="right" vertical="center"/>
    </xf>
    <xf numFmtId="0" fontId="26" fillId="16" borderId="0" applyNumberFormat="0" applyBorder="0" applyAlignment="0" applyProtection="0"/>
    <xf numFmtId="0" fontId="32" fillId="33" borderId="268">
      <alignment horizontal="right" vertical="center"/>
    </xf>
    <xf numFmtId="0" fontId="65" fillId="0" borderId="274" applyNumberFormat="0" applyFill="0" applyAlignment="0" applyProtection="0"/>
    <xf numFmtId="0" fontId="34" fillId="33" borderId="271">
      <alignment horizontal="left" vertical="center" wrapText="1" indent="2"/>
    </xf>
    <xf numFmtId="0" fontId="45" fillId="55" borderId="273" applyNumberFormat="0" applyAlignment="0" applyProtection="0"/>
    <xf numFmtId="0" fontId="34" fillId="32" borderId="268"/>
    <xf numFmtId="0" fontId="32" fillId="31" borderId="278">
      <alignment horizontal="right" vertical="center"/>
    </xf>
    <xf numFmtId="0" fontId="34" fillId="31" borderId="269">
      <alignment horizontal="left" vertical="center"/>
    </xf>
    <xf numFmtId="0" fontId="5" fillId="58" borderId="277" applyNumberFormat="0" applyFont="0" applyAlignment="0" applyProtection="0"/>
    <xf numFmtId="0" fontId="45" fillId="55" borderId="273" applyNumberFormat="0" applyAlignment="0" applyProtection="0"/>
    <xf numFmtId="173" fontId="34" fillId="59" borderId="268" applyNumberFormat="0" applyFont="0" applyBorder="0" applyAlignment="0" applyProtection="0">
      <alignment horizontal="right" vertical="center"/>
    </xf>
    <xf numFmtId="4" fontId="34" fillId="0" borderId="268" applyFill="0" applyBorder="0" applyProtection="0">
      <alignment horizontal="right" vertical="center"/>
    </xf>
    <xf numFmtId="49" fontId="33" fillId="0" borderId="278" applyNumberFormat="0" applyFill="0" applyBorder="0" applyProtection="0">
      <alignment horizontal="left" vertical="center"/>
    </xf>
    <xf numFmtId="0" fontId="34" fillId="33" borderId="281">
      <alignment horizontal="left" vertical="center" wrapText="1" indent="2"/>
    </xf>
    <xf numFmtId="4" fontId="32" fillId="33" borderId="280">
      <alignment horizontal="right" vertical="center"/>
    </xf>
    <xf numFmtId="0" fontId="45" fillId="55" borderId="275" applyNumberFormat="0" applyAlignment="0" applyProtection="0"/>
    <xf numFmtId="0" fontId="36" fillId="31" borderId="278">
      <alignment horizontal="right" vertical="center"/>
    </xf>
    <xf numFmtId="0" fontId="34" fillId="31" borderId="269">
      <alignment horizontal="left" vertical="center"/>
    </xf>
    <xf numFmtId="0" fontId="32" fillId="33" borderId="268">
      <alignment horizontal="right" vertical="center"/>
    </xf>
    <xf numFmtId="4" fontId="32" fillId="31" borderId="268">
      <alignment horizontal="right" vertical="center"/>
    </xf>
    <xf numFmtId="4" fontId="32" fillId="33" borderId="269">
      <alignment horizontal="right" vertical="center"/>
    </xf>
    <xf numFmtId="173" fontId="34" fillId="59" borderId="278" applyNumberFormat="0" applyFont="0" applyBorder="0" applyAlignment="0" applyProtection="0">
      <alignment horizontal="right" vertical="center"/>
    </xf>
    <xf numFmtId="0" fontId="34" fillId="31" borderId="269">
      <alignment horizontal="left" vertical="center"/>
    </xf>
    <xf numFmtId="49" fontId="34" fillId="0" borderId="278" applyNumberFormat="0" applyFont="0" applyFill="0" applyBorder="0" applyProtection="0">
      <alignment horizontal="left" vertical="center" indent="2"/>
    </xf>
    <xf numFmtId="0" fontId="5" fillId="58" borderId="277" applyNumberFormat="0" applyFont="0" applyAlignment="0" applyProtection="0"/>
    <xf numFmtId="0" fontId="26" fillId="23" borderId="0" applyNumberFormat="0" applyBorder="0" applyAlignment="0" applyProtection="0"/>
    <xf numFmtId="0" fontId="49" fillId="42" borderId="275" applyNumberFormat="0" applyAlignment="0" applyProtection="0"/>
    <xf numFmtId="4" fontId="32" fillId="33" borderId="278">
      <alignment horizontal="right" vertical="center"/>
    </xf>
    <xf numFmtId="4" fontId="32" fillId="33" borderId="279">
      <alignment horizontal="right" vertical="center"/>
    </xf>
    <xf numFmtId="0" fontId="65" fillId="0" borderId="274" applyNumberFormat="0" applyFill="0" applyAlignment="0" applyProtection="0"/>
    <xf numFmtId="173" fontId="34" fillId="59" borderId="268" applyNumberFormat="0" applyFont="0" applyBorder="0" applyAlignment="0" applyProtection="0">
      <alignment horizontal="right" vertical="center"/>
    </xf>
    <xf numFmtId="4" fontId="34" fillId="0" borderId="268">
      <alignment horizontal="right" vertical="center"/>
    </xf>
    <xf numFmtId="0" fontId="45" fillId="55" borderId="275" applyNumberFormat="0" applyAlignment="0" applyProtection="0"/>
    <xf numFmtId="0" fontId="45" fillId="55" borderId="273" applyNumberFormat="0" applyAlignment="0" applyProtection="0"/>
    <xf numFmtId="0" fontId="32" fillId="33" borderId="278">
      <alignment horizontal="right" vertical="center"/>
    </xf>
    <xf numFmtId="0" fontId="46" fillId="55" borderId="273" applyNumberFormat="0" applyAlignment="0" applyProtection="0"/>
    <xf numFmtId="0" fontId="34" fillId="0" borderId="271">
      <alignment horizontal="left" vertical="center" wrapText="1" indent="2"/>
    </xf>
    <xf numFmtId="4" fontId="34" fillId="0" borderId="278">
      <alignment horizontal="right" vertical="center"/>
    </xf>
    <xf numFmtId="4" fontId="36" fillId="31" borderId="268">
      <alignment horizontal="right" vertical="center"/>
    </xf>
    <xf numFmtId="0" fontId="32" fillId="33" borderId="268">
      <alignment horizontal="right" vertical="center"/>
    </xf>
    <xf numFmtId="0" fontId="46" fillId="55" borderId="275" applyNumberFormat="0" applyAlignment="0" applyProtection="0"/>
    <xf numFmtId="0" fontId="34" fillId="32" borderId="268"/>
    <xf numFmtId="0" fontId="65" fillId="0" borderId="276" applyNumberFormat="0" applyFill="0" applyAlignment="0" applyProtection="0"/>
    <xf numFmtId="0" fontId="45" fillId="55" borderId="273" applyNumberFormat="0" applyAlignment="0" applyProtection="0"/>
    <xf numFmtId="0" fontId="26" fillId="23" borderId="0" applyNumberFormat="0" applyBorder="0" applyAlignment="0" applyProtection="0"/>
    <xf numFmtId="0" fontId="36" fillId="31" borderId="268">
      <alignment horizontal="right" vertical="center"/>
    </xf>
    <xf numFmtId="0" fontId="26" fillId="13" borderId="0" applyNumberFormat="0" applyBorder="0" applyAlignment="0" applyProtection="0"/>
    <xf numFmtId="49" fontId="33" fillId="0" borderId="268" applyNumberFormat="0" applyFill="0" applyBorder="0" applyProtection="0">
      <alignment horizontal="left" vertical="center"/>
    </xf>
    <xf numFmtId="0" fontId="34" fillId="32" borderId="278"/>
    <xf numFmtId="0" fontId="46" fillId="55" borderId="273" applyNumberFormat="0" applyAlignment="0" applyProtection="0"/>
    <xf numFmtId="0" fontId="34" fillId="0" borderId="268">
      <alignment horizontal="right" vertical="center"/>
    </xf>
    <xf numFmtId="0" fontId="45" fillId="55" borderId="273" applyNumberFormat="0" applyAlignment="0" applyProtection="0"/>
    <xf numFmtId="4" fontId="32" fillId="33" borderId="269">
      <alignment horizontal="right" vertical="center"/>
    </xf>
    <xf numFmtId="0" fontId="32" fillId="33" borderId="269">
      <alignment horizontal="right" vertical="center"/>
    </xf>
    <xf numFmtId="0" fontId="32" fillId="33" borderId="268">
      <alignment horizontal="right" vertical="center"/>
    </xf>
    <xf numFmtId="0" fontId="40" fillId="58" borderId="267" applyNumberFormat="0" applyFont="0" applyAlignment="0" applyProtection="0"/>
    <xf numFmtId="0" fontId="65" fillId="0" borderId="276" applyNumberFormat="0" applyFill="0" applyAlignment="0" applyProtection="0"/>
    <xf numFmtId="49" fontId="34" fillId="0" borderId="268" applyNumberFormat="0" applyFont="0" applyFill="0" applyBorder="0" applyProtection="0">
      <alignment horizontal="left" vertical="center" indent="2"/>
    </xf>
    <xf numFmtId="0" fontId="32" fillId="31" borderId="278">
      <alignment horizontal="right" vertical="center"/>
    </xf>
    <xf numFmtId="4" fontId="36" fillId="31" borderId="268">
      <alignment horizontal="right" vertical="center"/>
    </xf>
    <xf numFmtId="4" fontId="36" fillId="31" borderId="278">
      <alignment horizontal="right" vertical="center"/>
    </xf>
    <xf numFmtId="0" fontId="34" fillId="32" borderId="268"/>
    <xf numFmtId="0" fontId="58" fillId="42" borderId="273" applyNumberFormat="0" applyAlignment="0" applyProtection="0"/>
    <xf numFmtId="0" fontId="26" fillId="16" borderId="0" applyNumberFormat="0" applyBorder="0" applyAlignment="0" applyProtection="0"/>
    <xf numFmtId="0" fontId="32" fillId="33" borderId="278">
      <alignment horizontal="right" vertical="center"/>
    </xf>
    <xf numFmtId="49" fontId="34" fillId="0" borderId="278" applyNumberFormat="0" applyFont="0" applyFill="0" applyBorder="0" applyProtection="0">
      <alignment horizontal="left" vertical="center" indent="2"/>
    </xf>
    <xf numFmtId="0" fontId="12" fillId="30" borderId="0" applyNumberFormat="0" applyBorder="0" applyAlignment="0" applyProtection="0"/>
    <xf numFmtId="0" fontId="26" fillId="29" borderId="0" applyNumberFormat="0" applyBorder="0" applyAlignment="0" applyProtection="0"/>
    <xf numFmtId="0" fontId="45" fillId="55" borderId="273" applyNumberFormat="0" applyAlignment="0" applyProtection="0"/>
    <xf numFmtId="0" fontId="29" fillId="12" borderId="10" applyNumberFormat="0" applyAlignment="0" applyProtection="0"/>
    <xf numFmtId="49" fontId="33" fillId="0" borderId="268" applyNumberFormat="0" applyFill="0" applyBorder="0" applyProtection="0">
      <alignment horizontal="left" vertical="center"/>
    </xf>
    <xf numFmtId="0" fontId="58" fillId="42" borderId="275" applyNumberFormat="0" applyAlignment="0" applyProtection="0"/>
    <xf numFmtId="0" fontId="43" fillId="55" borderId="282" applyNumberFormat="0" applyAlignment="0" applyProtection="0"/>
    <xf numFmtId="4" fontId="32" fillId="33" borderId="280">
      <alignment horizontal="right" vertical="center"/>
    </xf>
    <xf numFmtId="0" fontId="49" fillId="42" borderId="275" applyNumberFormat="0" applyAlignment="0" applyProtection="0"/>
    <xf numFmtId="0" fontId="32" fillId="31" borderId="268">
      <alignment horizontal="right" vertical="center"/>
    </xf>
    <xf numFmtId="0" fontId="50" fillId="0" borderId="274" applyNumberFormat="0" applyFill="0" applyAlignment="0" applyProtection="0"/>
    <xf numFmtId="0" fontId="34" fillId="0" borderId="268" applyNumberFormat="0" applyFill="0" applyAlignment="0" applyProtection="0"/>
    <xf numFmtId="0" fontId="50" fillId="0" borderId="274" applyNumberFormat="0" applyFill="0" applyAlignment="0" applyProtection="0"/>
    <xf numFmtId="4" fontId="34" fillId="0" borderId="268" applyFill="0" applyBorder="0" applyProtection="0">
      <alignment horizontal="right" vertical="center"/>
    </xf>
    <xf numFmtId="49" fontId="34" fillId="0" borderId="269" applyNumberFormat="0" applyFont="0" applyFill="0" applyBorder="0" applyProtection="0">
      <alignment horizontal="left" vertical="center" indent="5"/>
    </xf>
    <xf numFmtId="0" fontId="34" fillId="0" borderId="268" applyNumberFormat="0" applyFill="0" applyAlignment="0" applyProtection="0"/>
    <xf numFmtId="0" fontId="34" fillId="0" borderId="268" applyNumberFormat="0" applyFill="0" applyAlignment="0" applyProtection="0"/>
    <xf numFmtId="0" fontId="5" fillId="58" borderId="277" applyNumberFormat="0" applyFont="0" applyAlignment="0" applyProtection="0"/>
    <xf numFmtId="4" fontId="32" fillId="33" borderId="268">
      <alignment horizontal="right" vertical="center"/>
    </xf>
    <xf numFmtId="0" fontId="43" fillId="55" borderId="282" applyNumberFormat="0" applyAlignment="0" applyProtection="0"/>
    <xf numFmtId="0" fontId="26" fillId="20" borderId="0" applyNumberFormat="0" applyBorder="0" applyAlignment="0" applyProtection="0"/>
    <xf numFmtId="0" fontId="34" fillId="0" borderId="278">
      <alignment horizontal="right" vertical="center"/>
    </xf>
    <xf numFmtId="0" fontId="49" fillId="42" borderId="273" applyNumberFormat="0" applyAlignment="0" applyProtection="0"/>
    <xf numFmtId="0" fontId="46" fillId="55" borderId="273" applyNumberFormat="0" applyAlignment="0" applyProtection="0"/>
    <xf numFmtId="4" fontId="34" fillId="0" borderId="268">
      <alignment horizontal="right" vertical="center"/>
    </xf>
    <xf numFmtId="0" fontId="34" fillId="33" borderId="271">
      <alignment horizontal="left" vertical="center" wrapText="1" indent="2"/>
    </xf>
    <xf numFmtId="0" fontId="34" fillId="0" borderId="271">
      <alignment horizontal="left" vertical="center" wrapText="1" indent="2"/>
    </xf>
    <xf numFmtId="0" fontId="62" fillId="55" borderId="272" applyNumberFormat="0" applyAlignment="0" applyProtection="0"/>
    <xf numFmtId="0" fontId="58" fillId="42" borderId="273" applyNumberFormat="0" applyAlignment="0" applyProtection="0"/>
    <xf numFmtId="0" fontId="45" fillId="55" borderId="273" applyNumberFormat="0" applyAlignment="0" applyProtection="0"/>
    <xf numFmtId="0" fontId="43" fillId="55" borderId="272" applyNumberFormat="0" applyAlignment="0" applyProtection="0"/>
    <xf numFmtId="0" fontId="32" fillId="33" borderId="270">
      <alignment horizontal="right" vertical="center"/>
    </xf>
    <xf numFmtId="0" fontId="36" fillId="31" borderId="268">
      <alignment horizontal="right" vertical="center"/>
    </xf>
    <xf numFmtId="4" fontId="32" fillId="31" borderId="268">
      <alignment horizontal="right" vertical="center"/>
    </xf>
    <xf numFmtId="4" fontId="32" fillId="33" borderId="268">
      <alignment horizontal="right" vertical="center"/>
    </xf>
    <xf numFmtId="49" fontId="34" fillId="0" borderId="269" applyNumberFormat="0" applyFont="0" applyFill="0" applyBorder="0" applyProtection="0">
      <alignment horizontal="left" vertical="center" indent="5"/>
    </xf>
    <xf numFmtId="4" fontId="34" fillId="0" borderId="268" applyFill="0" applyBorder="0" applyProtection="0">
      <alignment horizontal="right" vertical="center"/>
    </xf>
    <xf numFmtId="4" fontId="32" fillId="31" borderId="268">
      <alignment horizontal="right" vertical="center"/>
    </xf>
    <xf numFmtId="0" fontId="58" fillId="42" borderId="273" applyNumberFormat="0" applyAlignment="0" applyProtection="0"/>
    <xf numFmtId="0" fontId="49" fillId="42" borderId="273" applyNumberFormat="0" applyAlignment="0" applyProtection="0"/>
    <xf numFmtId="0" fontId="45" fillId="55" borderId="273" applyNumberFormat="0" applyAlignment="0" applyProtection="0"/>
    <xf numFmtId="0" fontId="34" fillId="33" borderId="271">
      <alignment horizontal="left" vertical="center" wrapText="1" indent="2"/>
    </xf>
    <xf numFmtId="0" fontId="34" fillId="0" borderId="271">
      <alignment horizontal="left" vertical="center" wrapText="1" indent="2"/>
    </xf>
    <xf numFmtId="0" fontId="34" fillId="33" borderId="271">
      <alignment horizontal="left" vertical="center" wrapText="1" indent="2"/>
    </xf>
    <xf numFmtId="0" fontId="34" fillId="31" borderId="279">
      <alignment horizontal="left" vertical="center"/>
    </xf>
    <xf numFmtId="0" fontId="40" fillId="58" borderId="277" applyNumberFormat="0" applyFont="0" applyAlignment="0" applyProtection="0"/>
    <xf numFmtId="0" fontId="46" fillId="55" borderId="275" applyNumberFormat="0" applyAlignment="0" applyProtection="0"/>
    <xf numFmtId="0" fontId="28" fillId="12" borderId="11" applyNumberFormat="0" applyAlignment="0" applyProtection="0"/>
    <xf numFmtId="0" fontId="40" fillId="58" borderId="277" applyNumberFormat="0" applyFont="0" applyAlignment="0" applyProtection="0"/>
    <xf numFmtId="0" fontId="58" fillId="42" borderId="275" applyNumberFormat="0" applyAlignment="0" applyProtection="0"/>
    <xf numFmtId="0" fontId="34" fillId="33" borderId="281">
      <alignment horizontal="left" vertical="center" wrapText="1" indent="2"/>
    </xf>
    <xf numFmtId="4" fontId="36" fillId="31" borderId="278">
      <alignment horizontal="right" vertical="center"/>
    </xf>
    <xf numFmtId="0" fontId="26" fillId="14" borderId="0" applyNumberFormat="0" applyBorder="0" applyAlignment="0" applyProtection="0"/>
    <xf numFmtId="4" fontId="36" fillId="31" borderId="278">
      <alignment horizontal="right" vertical="center"/>
    </xf>
    <xf numFmtId="4" fontId="32" fillId="31" borderId="278">
      <alignment horizontal="right" vertical="center"/>
    </xf>
    <xf numFmtId="0" fontId="34" fillId="0" borderId="281">
      <alignment horizontal="left" vertical="center" wrapText="1" indent="2"/>
    </xf>
    <xf numFmtId="0" fontId="62" fillId="55" borderId="282" applyNumberFormat="0" applyAlignment="0" applyProtection="0"/>
    <xf numFmtId="0" fontId="34" fillId="0" borderId="278">
      <alignment horizontal="right" vertical="center"/>
    </xf>
    <xf numFmtId="0" fontId="65" fillId="0" borderId="276" applyNumberFormat="0" applyFill="0" applyAlignment="0" applyProtection="0"/>
    <xf numFmtId="49" fontId="33" fillId="0" borderId="278" applyNumberFormat="0" applyFill="0" applyBorder="0" applyProtection="0">
      <alignment horizontal="left" vertical="center"/>
    </xf>
    <xf numFmtId="4" fontId="34" fillId="32" borderId="278"/>
    <xf numFmtId="0" fontId="58" fillId="42" borderId="275" applyNumberFormat="0" applyAlignment="0" applyProtection="0"/>
    <xf numFmtId="173" fontId="34" fillId="59" borderId="278" applyNumberFormat="0" applyFont="0" applyBorder="0" applyAlignment="0" applyProtection="0">
      <alignment horizontal="right" vertical="center"/>
    </xf>
    <xf numFmtId="0" fontId="46" fillId="55" borderId="275" applyNumberFormat="0" applyAlignment="0" applyProtection="0"/>
    <xf numFmtId="0" fontId="58" fillId="42" borderId="275" applyNumberFormat="0" applyAlignment="0" applyProtection="0"/>
    <xf numFmtId="0" fontId="43" fillId="55" borderId="282" applyNumberFormat="0" applyAlignment="0" applyProtection="0"/>
    <xf numFmtId="49" fontId="33" fillId="0" borderId="278" applyNumberFormat="0" applyFill="0" applyBorder="0" applyProtection="0">
      <alignment horizontal="left" vertical="center"/>
    </xf>
    <xf numFmtId="0" fontId="65" fillId="0" borderId="276" applyNumberFormat="0" applyFill="0" applyAlignment="0" applyProtection="0"/>
    <xf numFmtId="0" fontId="34" fillId="0" borderId="278">
      <alignment horizontal="right" vertical="center"/>
    </xf>
    <xf numFmtId="0" fontId="32" fillId="33" borderId="279">
      <alignment horizontal="right" vertical="center"/>
    </xf>
    <xf numFmtId="0" fontId="65" fillId="0" borderId="276" applyNumberFormat="0" applyFill="0" applyAlignment="0" applyProtection="0"/>
    <xf numFmtId="0" fontId="26" fillId="16" borderId="0" applyNumberFormat="0" applyBorder="0" applyAlignment="0" applyProtection="0"/>
    <xf numFmtId="0" fontId="46" fillId="55" borderId="275" applyNumberFormat="0" applyAlignment="0" applyProtection="0"/>
    <xf numFmtId="4" fontId="34" fillId="0" borderId="278" applyFill="0" applyBorder="0" applyProtection="0">
      <alignment horizontal="right" vertical="center"/>
    </xf>
    <xf numFmtId="0" fontId="26" fillId="28" borderId="0" applyNumberFormat="0" applyBorder="0" applyAlignment="0" applyProtection="0"/>
    <xf numFmtId="0" fontId="34" fillId="0" borderId="281">
      <alignment horizontal="left" vertical="center" wrapText="1" indent="2"/>
    </xf>
    <xf numFmtId="0" fontId="65" fillId="0" borderId="276" applyNumberFormat="0" applyFill="0" applyAlignment="0" applyProtection="0"/>
    <xf numFmtId="0" fontId="43" fillId="55" borderId="282" applyNumberFormat="0" applyAlignment="0" applyProtection="0"/>
    <xf numFmtId="0" fontId="32" fillId="33" borderId="278">
      <alignment horizontal="right" vertical="center"/>
    </xf>
    <xf numFmtId="0" fontId="45" fillId="55" borderId="275" applyNumberFormat="0" applyAlignment="0" applyProtection="0"/>
    <xf numFmtId="0" fontId="34" fillId="31" borderId="279">
      <alignment horizontal="left" vertical="center"/>
    </xf>
    <xf numFmtId="0" fontId="32" fillId="31" borderId="278">
      <alignment horizontal="right" vertical="center"/>
    </xf>
    <xf numFmtId="0" fontId="50" fillId="0" borderId="276" applyNumberFormat="0" applyFill="0" applyAlignment="0" applyProtection="0"/>
    <xf numFmtId="0" fontId="34" fillId="0" borderId="278">
      <alignment horizontal="right" vertical="center"/>
    </xf>
    <xf numFmtId="0" fontId="5" fillId="58" borderId="277" applyNumberFormat="0" applyFont="0" applyAlignment="0" applyProtection="0"/>
    <xf numFmtId="0" fontId="12" fillId="24" borderId="0" applyNumberFormat="0" applyBorder="0" applyAlignment="0" applyProtection="0"/>
    <xf numFmtId="0" fontId="58" fillId="42" borderId="275" applyNumberFormat="0" applyAlignment="0" applyProtection="0"/>
    <xf numFmtId="49" fontId="34" fillId="0" borderId="279" applyNumberFormat="0" applyFont="0" applyFill="0" applyBorder="0" applyProtection="0">
      <alignment horizontal="left" vertical="center" indent="5"/>
    </xf>
    <xf numFmtId="0" fontId="34" fillId="0" borderId="278" applyNumberFormat="0" applyFill="0" applyAlignment="0" applyProtection="0"/>
    <xf numFmtId="0" fontId="50" fillId="0" borderId="276" applyNumberFormat="0" applyFill="0" applyAlignment="0" applyProtection="0"/>
    <xf numFmtId="0" fontId="62" fillId="55" borderId="282" applyNumberFormat="0" applyAlignment="0" applyProtection="0"/>
    <xf numFmtId="4" fontId="32" fillId="33" borderId="278">
      <alignment horizontal="right" vertical="center"/>
    </xf>
    <xf numFmtId="4" fontId="34" fillId="32" borderId="278"/>
    <xf numFmtId="0" fontId="65" fillId="0" borderId="276" applyNumberFormat="0" applyFill="0" applyAlignment="0" applyProtection="0"/>
    <xf numFmtId="0" fontId="43" fillId="55" borderId="282" applyNumberFormat="0" applyAlignment="0" applyProtection="0"/>
    <xf numFmtId="0" fontId="45" fillId="55" borderId="275" applyNumberFormat="0" applyAlignment="0" applyProtection="0"/>
    <xf numFmtId="0" fontId="46" fillId="55" borderId="275" applyNumberFormat="0" applyAlignment="0" applyProtection="0"/>
    <xf numFmtId="0" fontId="62" fillId="55" borderId="282" applyNumberFormat="0" applyAlignment="0" applyProtection="0"/>
    <xf numFmtId="0" fontId="32" fillId="33" borderId="280">
      <alignment horizontal="right" vertical="center"/>
    </xf>
    <xf numFmtId="0" fontId="34" fillId="0" borderId="278" applyNumberFormat="0" applyFill="0" applyAlignment="0" applyProtection="0"/>
    <xf numFmtId="49" fontId="34" fillId="0" borderId="279" applyNumberFormat="0" applyFont="0" applyFill="0" applyBorder="0" applyProtection="0">
      <alignment horizontal="left" vertical="center" indent="5"/>
    </xf>
    <xf numFmtId="0" fontId="65" fillId="0" borderId="276" applyNumberFormat="0" applyFill="0" applyAlignment="0" applyProtection="0"/>
    <xf numFmtId="0" fontId="34" fillId="0" borderId="278" applyNumberFormat="0" applyFill="0" applyAlignment="0" applyProtection="0"/>
    <xf numFmtId="0" fontId="12" fillId="21" borderId="0" applyNumberFormat="0" applyBorder="0" applyAlignment="0" applyProtection="0"/>
    <xf numFmtId="0" fontId="40" fillId="58" borderId="277" applyNumberFormat="0" applyFont="0" applyAlignment="0" applyProtection="0"/>
    <xf numFmtId="0" fontId="34" fillId="0" borderId="281">
      <alignment horizontal="left" vertical="center" wrapText="1" indent="2"/>
    </xf>
    <xf numFmtId="4" fontId="32" fillId="31" borderId="278">
      <alignment horizontal="right" vertical="center"/>
    </xf>
    <xf numFmtId="0" fontId="62" fillId="55" borderId="282" applyNumberFormat="0" applyAlignment="0" applyProtection="0"/>
    <xf numFmtId="49" fontId="34" fillId="0" borderId="279" applyNumberFormat="0" applyFont="0" applyFill="0" applyBorder="0" applyProtection="0">
      <alignment horizontal="left" vertical="center" indent="5"/>
    </xf>
    <xf numFmtId="4" fontId="34" fillId="0" borderId="278">
      <alignment horizontal="right" vertical="center"/>
    </xf>
    <xf numFmtId="0" fontId="26" fillId="22" borderId="0" applyNumberFormat="0" applyBorder="0" applyAlignment="0" applyProtection="0"/>
    <xf numFmtId="0" fontId="50" fillId="0" borderId="276" applyNumberFormat="0" applyFill="0" applyAlignment="0" applyProtection="0"/>
    <xf numFmtId="4" fontId="32" fillId="33" borderId="280">
      <alignment horizontal="right" vertical="center"/>
    </xf>
    <xf numFmtId="4" fontId="32" fillId="33" borderId="278">
      <alignment horizontal="right" vertical="center"/>
    </xf>
    <xf numFmtId="4" fontId="32" fillId="33" borderId="278">
      <alignment horizontal="right" vertical="center"/>
    </xf>
    <xf numFmtId="0" fontId="65" fillId="0" borderId="276" applyNumberFormat="0" applyFill="0" applyAlignment="0" applyProtection="0"/>
    <xf numFmtId="0" fontId="46" fillId="55" borderId="275" applyNumberFormat="0" applyAlignment="0" applyProtection="0"/>
    <xf numFmtId="0" fontId="49" fillId="42" borderId="275" applyNumberFormat="0" applyAlignment="0" applyProtection="0"/>
    <xf numFmtId="49" fontId="33" fillId="0" borderId="278" applyNumberFormat="0" applyFill="0" applyBorder="0" applyProtection="0">
      <alignment horizontal="left" vertical="center"/>
    </xf>
    <xf numFmtId="0" fontId="5" fillId="58" borderId="277" applyNumberFormat="0" applyFont="0" applyAlignment="0" applyProtection="0"/>
    <xf numFmtId="4" fontId="32" fillId="33" borderId="278">
      <alignment horizontal="right" vertical="center"/>
    </xf>
    <xf numFmtId="0" fontId="26" fillId="23" borderId="0" applyNumberFormat="0" applyBorder="0" applyAlignment="0" applyProtection="0"/>
    <xf numFmtId="0" fontId="1" fillId="0" borderId="0" applyNumberFormat="0" applyFill="0" applyBorder="0" applyAlignment="0" applyProtection="0"/>
    <xf numFmtId="0" fontId="12" fillId="27" borderId="0" applyNumberFormat="0" applyBorder="0" applyAlignment="0" applyProtection="0"/>
    <xf numFmtId="49" fontId="34" fillId="0" borderId="278" applyNumberFormat="0" applyFont="0" applyFill="0" applyBorder="0" applyProtection="0">
      <alignment horizontal="left" vertical="center" indent="2"/>
    </xf>
    <xf numFmtId="0" fontId="65" fillId="0" borderId="276" applyNumberFormat="0" applyFill="0" applyAlignment="0" applyProtection="0"/>
    <xf numFmtId="4" fontId="34" fillId="0" borderId="278" applyFill="0" applyBorder="0" applyProtection="0">
      <alignment horizontal="right" vertical="center"/>
    </xf>
    <xf numFmtId="0" fontId="58" fillId="42" borderId="275" applyNumberFormat="0" applyAlignment="0" applyProtection="0"/>
    <xf numFmtId="49" fontId="33" fillId="0" borderId="278" applyNumberFormat="0" applyFill="0" applyBorder="0" applyProtection="0">
      <alignment horizontal="left" vertical="center"/>
    </xf>
    <xf numFmtId="49" fontId="34" fillId="0" borderId="278" applyNumberFormat="0" applyFont="0" applyFill="0" applyBorder="0" applyProtection="0">
      <alignment horizontal="left" vertical="center" indent="2"/>
    </xf>
    <xf numFmtId="4" fontId="34" fillId="0" borderId="278" applyFill="0" applyBorder="0" applyProtection="0">
      <alignment horizontal="right" vertical="center"/>
    </xf>
    <xf numFmtId="173" fontId="34" fillId="59" borderId="278" applyNumberFormat="0" applyFont="0" applyBorder="0" applyAlignment="0" applyProtection="0">
      <alignment horizontal="right" vertical="center"/>
    </xf>
    <xf numFmtId="0" fontId="36" fillId="31" borderId="278">
      <alignment horizontal="right" vertical="center"/>
    </xf>
    <xf numFmtId="0" fontId="49" fillId="42" borderId="275" applyNumberFormat="0" applyAlignment="0" applyProtection="0"/>
    <xf numFmtId="4" fontId="32" fillId="33" borderId="278">
      <alignment horizontal="right" vertical="center"/>
    </xf>
    <xf numFmtId="0" fontId="34" fillId="31" borderId="279">
      <alignment horizontal="left" vertical="center"/>
    </xf>
    <xf numFmtId="0" fontId="26" fillId="19" borderId="0" applyNumberFormat="0" applyBorder="0" applyAlignment="0" applyProtection="0"/>
    <xf numFmtId="0" fontId="12" fillId="30" borderId="0" applyNumberFormat="0" applyBorder="0" applyAlignment="0" applyProtection="0"/>
    <xf numFmtId="0" fontId="26" fillId="25" borderId="0" applyNumberFormat="0" applyBorder="0" applyAlignment="0" applyProtection="0"/>
    <xf numFmtId="0" fontId="12" fillId="21" borderId="0" applyNumberFormat="0" applyBorder="0" applyAlignment="0" applyProtection="0"/>
    <xf numFmtId="0" fontId="32" fillId="33" borderId="278">
      <alignment horizontal="right" vertical="center"/>
    </xf>
    <xf numFmtId="0" fontId="34" fillId="33" borderId="281">
      <alignment horizontal="left" vertical="center" wrapText="1" indent="2"/>
    </xf>
    <xf numFmtId="173" fontId="34" fillId="59" borderId="278" applyNumberFormat="0" applyFont="0" applyBorder="0" applyAlignment="0" applyProtection="0">
      <alignment horizontal="right" vertical="center"/>
    </xf>
    <xf numFmtId="0" fontId="40" fillId="58" borderId="277" applyNumberFormat="0" applyFont="0" applyAlignment="0" applyProtection="0"/>
    <xf numFmtId="49" fontId="34" fillId="0" borderId="278" applyNumberFormat="0" applyFont="0" applyFill="0" applyBorder="0" applyProtection="0">
      <alignment horizontal="left" vertical="center" indent="2"/>
    </xf>
    <xf numFmtId="0" fontId="30" fillId="0" borderId="0" applyNumberFormat="0" applyFill="0" applyBorder="0" applyAlignment="0" applyProtection="0"/>
    <xf numFmtId="49" fontId="33" fillId="0" borderId="278" applyNumberFormat="0" applyFill="0" applyBorder="0" applyProtection="0">
      <alignment horizontal="left" vertical="center"/>
    </xf>
    <xf numFmtId="173" fontId="34" fillId="59" borderId="278" applyNumberFormat="0" applyFont="0" applyBorder="0" applyAlignment="0" applyProtection="0">
      <alignment horizontal="right" vertical="center"/>
    </xf>
    <xf numFmtId="0" fontId="62" fillId="55" borderId="282" applyNumberFormat="0" applyAlignment="0" applyProtection="0"/>
    <xf numFmtId="0" fontId="34" fillId="0" borderId="278">
      <alignment horizontal="right" vertical="center"/>
    </xf>
    <xf numFmtId="0" fontId="34" fillId="32" borderId="278"/>
    <xf numFmtId="4" fontId="32" fillId="33" borderId="278">
      <alignment horizontal="right" vertical="center"/>
    </xf>
    <xf numFmtId="0" fontId="34" fillId="32" borderId="278"/>
    <xf numFmtId="0" fontId="58" fillId="42" borderId="275" applyNumberFormat="0" applyAlignment="0" applyProtection="0"/>
    <xf numFmtId="0" fontId="36" fillId="31" borderId="278">
      <alignment horizontal="right" vertical="center"/>
    </xf>
    <xf numFmtId="0" fontId="34" fillId="0" borderId="281">
      <alignment horizontal="left" vertical="center" wrapText="1" indent="2"/>
    </xf>
    <xf numFmtId="0" fontId="32" fillId="31" borderId="278">
      <alignment horizontal="right" vertical="center"/>
    </xf>
    <xf numFmtId="0" fontId="49" fillId="42" borderId="275" applyNumberFormat="0" applyAlignment="0" applyProtection="0"/>
    <xf numFmtId="0" fontId="34" fillId="33" borderId="281">
      <alignment horizontal="left" vertical="center" wrapText="1" indent="2"/>
    </xf>
    <xf numFmtId="0" fontId="26" fillId="19" borderId="0" applyNumberFormat="0" applyBorder="0" applyAlignment="0" applyProtection="0"/>
    <xf numFmtId="0" fontId="26" fillId="17" borderId="0" applyNumberFormat="0" applyBorder="0" applyAlignment="0" applyProtection="0"/>
    <xf numFmtId="0" fontId="45" fillId="55" borderId="275" applyNumberFormat="0" applyAlignment="0" applyProtection="0"/>
    <xf numFmtId="0" fontId="36" fillId="31" borderId="278">
      <alignment horizontal="right" vertical="center"/>
    </xf>
    <xf numFmtId="0" fontId="29" fillId="12" borderId="10" applyNumberFormat="0" applyAlignment="0" applyProtection="0"/>
    <xf numFmtId="0" fontId="26" fillId="13" borderId="0" applyNumberFormat="0" applyBorder="0" applyAlignment="0" applyProtection="0"/>
    <xf numFmtId="0" fontId="32" fillId="33" borderId="278">
      <alignment horizontal="right" vertical="center"/>
    </xf>
    <xf numFmtId="4" fontId="34" fillId="0" borderId="278" applyFill="0" applyBorder="0" applyProtection="0">
      <alignment horizontal="right" vertical="center"/>
    </xf>
    <xf numFmtId="0" fontId="34" fillId="33" borderId="281">
      <alignment horizontal="left" vertical="center" wrapText="1" indent="2"/>
    </xf>
    <xf numFmtId="0" fontId="40" fillId="58" borderId="277" applyNumberFormat="0" applyFont="0" applyAlignment="0" applyProtection="0"/>
    <xf numFmtId="0" fontId="49" fillId="42" borderId="275" applyNumberFormat="0" applyAlignment="0" applyProtection="0"/>
    <xf numFmtId="4" fontId="34" fillId="32" borderId="278"/>
    <xf numFmtId="4" fontId="34" fillId="0" borderId="278" applyFill="0" applyBorder="0" applyProtection="0">
      <alignment horizontal="right" vertical="center"/>
    </xf>
    <xf numFmtId="0" fontId="65" fillId="0" borderId="276" applyNumberFormat="0" applyFill="0" applyAlignment="0" applyProtection="0"/>
    <xf numFmtId="0" fontId="34" fillId="31" borderId="279">
      <alignment horizontal="left" vertical="center"/>
    </xf>
    <xf numFmtId="0" fontId="34" fillId="0" borderId="281">
      <alignment horizontal="left" vertical="center" wrapText="1" indent="2"/>
    </xf>
    <xf numFmtId="0" fontId="58" fillId="42" borderId="275" applyNumberFormat="0" applyAlignment="0" applyProtection="0"/>
    <xf numFmtId="0" fontId="34" fillId="33" borderId="281">
      <alignment horizontal="left" vertical="center" wrapText="1" indent="2"/>
    </xf>
    <xf numFmtId="0" fontId="12" fillId="15" borderId="0" applyNumberFormat="0" applyBorder="0" applyAlignment="0" applyProtection="0"/>
    <xf numFmtId="0" fontId="40" fillId="58" borderId="277" applyNumberFormat="0" applyFont="0" applyAlignment="0" applyProtection="0"/>
    <xf numFmtId="0" fontId="58" fillId="42" borderId="275" applyNumberFormat="0" applyAlignment="0" applyProtection="0"/>
    <xf numFmtId="4" fontId="34" fillId="32" borderId="278"/>
    <xf numFmtId="0" fontId="46" fillId="55" borderId="275" applyNumberFormat="0" applyAlignment="0" applyProtection="0"/>
    <xf numFmtId="0" fontId="58" fillId="42" borderId="275" applyNumberFormat="0" applyAlignment="0" applyProtection="0"/>
    <xf numFmtId="4" fontId="32" fillId="33" borderId="278">
      <alignment horizontal="right" vertical="center"/>
    </xf>
    <xf numFmtId="0" fontId="50" fillId="0" borderId="276" applyNumberFormat="0" applyFill="0" applyAlignment="0" applyProtection="0"/>
    <xf numFmtId="0" fontId="49" fillId="42" borderId="275" applyNumberFormat="0" applyAlignment="0" applyProtection="0"/>
    <xf numFmtId="0" fontId="34" fillId="33" borderId="281">
      <alignment horizontal="left" vertical="center" wrapText="1" indent="2"/>
    </xf>
    <xf numFmtId="0" fontId="62" fillId="55" borderId="282" applyNumberFormat="0" applyAlignment="0" applyProtection="0"/>
    <xf numFmtId="0" fontId="58" fillId="42" borderId="275" applyNumberFormat="0" applyAlignment="0" applyProtection="0"/>
    <xf numFmtId="4" fontId="32" fillId="33" borderId="278">
      <alignment horizontal="right" vertical="center"/>
    </xf>
    <xf numFmtId="0" fontId="34" fillId="32" borderId="278"/>
    <xf numFmtId="0" fontId="34" fillId="0" borderId="281">
      <alignment horizontal="left" vertical="center" wrapText="1" indent="2"/>
    </xf>
    <xf numFmtId="0" fontId="12" fillId="18" borderId="0" applyNumberFormat="0" applyBorder="0" applyAlignment="0" applyProtection="0"/>
    <xf numFmtId="0" fontId="45" fillId="55" borderId="275" applyNumberFormat="0" applyAlignment="0" applyProtection="0"/>
    <xf numFmtId="4" fontId="32" fillId="31" borderId="278">
      <alignment horizontal="right" vertical="center"/>
    </xf>
    <xf numFmtId="0" fontId="32" fillId="31" borderId="278">
      <alignment horizontal="right" vertical="center"/>
    </xf>
    <xf numFmtId="0" fontId="32" fillId="33" borderId="278">
      <alignment horizontal="right" vertical="center"/>
    </xf>
    <xf numFmtId="0" fontId="26" fillId="23" borderId="0" applyNumberFormat="0" applyBorder="0" applyAlignment="0" applyProtection="0"/>
    <xf numFmtId="0" fontId="62" fillId="55" borderId="282" applyNumberFormat="0" applyAlignment="0" applyProtection="0"/>
    <xf numFmtId="49" fontId="34" fillId="0" borderId="278" applyNumberFormat="0" applyFont="0" applyFill="0" applyBorder="0" applyProtection="0">
      <alignment horizontal="left" vertical="center" indent="2"/>
    </xf>
    <xf numFmtId="0" fontId="40" fillId="58" borderId="277" applyNumberFormat="0" applyFont="0" applyAlignment="0" applyProtection="0"/>
    <xf numFmtId="173" fontId="34" fillId="59" borderId="278" applyNumberFormat="0" applyFont="0" applyBorder="0" applyAlignment="0" applyProtection="0">
      <alignment horizontal="right" vertical="center"/>
    </xf>
    <xf numFmtId="0" fontId="58" fillId="42" borderId="275" applyNumberFormat="0" applyAlignment="0" applyProtection="0"/>
    <xf numFmtId="0" fontId="32" fillId="33" borderId="278">
      <alignment horizontal="right" vertical="center"/>
    </xf>
    <xf numFmtId="0" fontId="34" fillId="32" borderId="278"/>
    <xf numFmtId="0" fontId="62" fillId="55" borderId="282" applyNumberFormat="0" applyAlignment="0" applyProtection="0"/>
    <xf numFmtId="0" fontId="46" fillId="55" borderId="275" applyNumberFormat="0" applyAlignment="0" applyProtection="0"/>
    <xf numFmtId="0" fontId="45" fillId="55" borderId="275" applyNumberFormat="0" applyAlignment="0" applyProtection="0"/>
    <xf numFmtId="0" fontId="49" fillId="42" borderId="275" applyNumberFormat="0" applyAlignment="0" applyProtection="0"/>
    <xf numFmtId="0" fontId="49" fillId="42" borderId="275" applyNumberFormat="0" applyAlignment="0" applyProtection="0"/>
    <xf numFmtId="0" fontId="34" fillId="0" borderId="281">
      <alignment horizontal="left" vertical="center" wrapText="1" indent="2"/>
    </xf>
    <xf numFmtId="4" fontId="32" fillId="33" borderId="279">
      <alignment horizontal="right" vertical="center"/>
    </xf>
    <xf numFmtId="4" fontId="34" fillId="0" borderId="278">
      <alignment horizontal="right" vertical="center"/>
    </xf>
    <xf numFmtId="49" fontId="33" fillId="0" borderId="278" applyNumberFormat="0" applyFill="0" applyBorder="0" applyProtection="0">
      <alignment horizontal="left" vertical="center"/>
    </xf>
    <xf numFmtId="4" fontId="34" fillId="0" borderId="278">
      <alignment horizontal="right" vertical="center"/>
    </xf>
    <xf numFmtId="0" fontId="62" fillId="55" borderId="282" applyNumberFormat="0" applyAlignment="0" applyProtection="0"/>
    <xf numFmtId="0" fontId="34" fillId="0" borderId="281">
      <alignment horizontal="left" vertical="center" wrapText="1" indent="2"/>
    </xf>
    <xf numFmtId="0" fontId="12" fillId="15" borderId="0" applyNumberFormat="0" applyBorder="0" applyAlignment="0" applyProtection="0"/>
    <xf numFmtId="0" fontId="40" fillId="58" borderId="277" applyNumberFormat="0" applyFont="0" applyAlignment="0" applyProtection="0"/>
    <xf numFmtId="0" fontId="32" fillId="31" borderId="278">
      <alignment horizontal="right" vertical="center"/>
    </xf>
    <xf numFmtId="0" fontId="2" fillId="0" borderId="12" applyNumberFormat="0" applyFill="0" applyAlignment="0" applyProtection="0"/>
    <xf numFmtId="0" fontId="34" fillId="0" borderId="278" applyNumberFormat="0" applyFill="0" applyAlignment="0" applyProtection="0"/>
    <xf numFmtId="49" fontId="33" fillId="0" borderId="278" applyNumberFormat="0" applyFill="0" applyBorder="0" applyProtection="0">
      <alignment horizontal="left" vertical="center"/>
    </xf>
    <xf numFmtId="0" fontId="34" fillId="0" borderId="278">
      <alignment horizontal="right" vertical="center"/>
    </xf>
    <xf numFmtId="4" fontId="32" fillId="31" borderId="278">
      <alignment horizontal="right" vertical="center"/>
    </xf>
    <xf numFmtId="0" fontId="46" fillId="55" borderId="275" applyNumberFormat="0" applyAlignment="0" applyProtection="0"/>
    <xf numFmtId="0" fontId="32" fillId="33" borderId="280">
      <alignment horizontal="right" vertical="center"/>
    </xf>
    <xf numFmtId="4" fontId="32" fillId="31" borderId="278">
      <alignment horizontal="right" vertical="center"/>
    </xf>
    <xf numFmtId="0" fontId="32" fillId="33" borderId="278">
      <alignment horizontal="right" vertical="center"/>
    </xf>
    <xf numFmtId="0" fontId="46" fillId="55" borderId="275" applyNumberFormat="0" applyAlignment="0" applyProtection="0"/>
    <xf numFmtId="4" fontId="34" fillId="0" borderId="278" applyFill="0" applyBorder="0" applyProtection="0">
      <alignment horizontal="right" vertical="center"/>
    </xf>
    <xf numFmtId="0" fontId="40" fillId="58" borderId="277" applyNumberFormat="0" applyFont="0" applyAlignment="0" applyProtection="0"/>
    <xf numFmtId="0" fontId="26" fillId="28" borderId="0" applyNumberFormat="0" applyBorder="0" applyAlignment="0" applyProtection="0"/>
    <xf numFmtId="0" fontId="26" fillId="26" borderId="0" applyNumberFormat="0" applyBorder="0" applyAlignment="0" applyProtection="0"/>
    <xf numFmtId="0" fontId="32" fillId="31" borderId="278">
      <alignment horizontal="right" vertical="center"/>
    </xf>
    <xf numFmtId="0" fontId="50" fillId="0" borderId="276" applyNumberFormat="0" applyFill="0" applyAlignment="0" applyProtection="0"/>
    <xf numFmtId="0" fontId="34" fillId="0" borderId="278" applyNumberFormat="0" applyFill="0" applyAlignment="0" applyProtection="0"/>
    <xf numFmtId="0" fontId="50" fillId="0" borderId="276" applyNumberFormat="0" applyFill="0" applyAlignment="0" applyProtection="0"/>
    <xf numFmtId="4" fontId="34" fillId="0" borderId="278" applyFill="0" applyBorder="0" applyProtection="0">
      <alignment horizontal="right" vertical="center"/>
    </xf>
    <xf numFmtId="49" fontId="34" fillId="0" borderId="279" applyNumberFormat="0" applyFont="0" applyFill="0" applyBorder="0" applyProtection="0">
      <alignment horizontal="left" vertical="center" indent="5"/>
    </xf>
    <xf numFmtId="0" fontId="34" fillId="0" borderId="278" applyNumberFormat="0" applyFill="0" applyAlignment="0" applyProtection="0"/>
    <xf numFmtId="0" fontId="58" fillId="42" borderId="275" applyNumberFormat="0" applyAlignment="0" applyProtection="0"/>
    <xf numFmtId="0" fontId="34" fillId="0" borderId="278" applyNumberFormat="0" applyFill="0" applyAlignment="0" applyProtection="0"/>
    <xf numFmtId="4" fontId="32" fillId="33" borderId="278">
      <alignment horizontal="right" vertical="center"/>
    </xf>
    <xf numFmtId="0" fontId="49" fillId="42" borderId="275" applyNumberFormat="0" applyAlignment="0" applyProtection="0"/>
    <xf numFmtId="0" fontId="46" fillId="55" borderId="275" applyNumberFormat="0" applyAlignment="0" applyProtection="0"/>
    <xf numFmtId="4" fontId="34" fillId="0" borderId="278">
      <alignment horizontal="right" vertical="center"/>
    </xf>
    <xf numFmtId="0" fontId="34" fillId="33" borderId="281">
      <alignment horizontal="left" vertical="center" wrapText="1" indent="2"/>
    </xf>
    <xf numFmtId="0" fontId="34" fillId="0" borderId="281">
      <alignment horizontal="left" vertical="center" wrapText="1" indent="2"/>
    </xf>
    <xf numFmtId="0" fontId="62" fillId="55" borderId="282" applyNumberFormat="0" applyAlignment="0" applyProtection="0"/>
    <xf numFmtId="0" fontId="58" fillId="42" borderId="275" applyNumberFormat="0" applyAlignment="0" applyProtection="0"/>
    <xf numFmtId="0" fontId="45" fillId="55" borderId="275" applyNumberFormat="0" applyAlignment="0" applyProtection="0"/>
    <xf numFmtId="0" fontId="43" fillId="55" borderId="282" applyNumberFormat="0" applyAlignment="0" applyProtection="0"/>
    <xf numFmtId="0" fontId="32" fillId="33" borderId="280">
      <alignment horizontal="right" vertical="center"/>
    </xf>
    <xf numFmtId="0" fontId="36" fillId="31" borderId="278">
      <alignment horizontal="right" vertical="center"/>
    </xf>
    <xf numFmtId="4" fontId="32" fillId="31" borderId="278">
      <alignment horizontal="right" vertical="center"/>
    </xf>
    <xf numFmtId="4" fontId="32" fillId="33" borderId="278">
      <alignment horizontal="right" vertical="center"/>
    </xf>
    <xf numFmtId="49" fontId="34" fillId="0" borderId="279" applyNumberFormat="0" applyFont="0" applyFill="0" applyBorder="0" applyProtection="0">
      <alignment horizontal="left" vertical="center" indent="5"/>
    </xf>
    <xf numFmtId="4" fontId="34" fillId="0" borderId="278" applyFill="0" applyBorder="0" applyProtection="0">
      <alignment horizontal="right" vertical="center"/>
    </xf>
    <xf numFmtId="4" fontId="32" fillId="31" borderId="278">
      <alignment horizontal="right" vertical="center"/>
    </xf>
    <xf numFmtId="0" fontId="58" fillId="42" borderId="275" applyNumberFormat="0" applyAlignment="0" applyProtection="0"/>
    <xf numFmtId="0" fontId="49" fillId="42" borderId="275" applyNumberFormat="0" applyAlignment="0" applyProtection="0"/>
    <xf numFmtId="0" fontId="45" fillId="55" borderId="275" applyNumberFormat="0" applyAlignment="0" applyProtection="0"/>
    <xf numFmtId="0" fontId="34" fillId="33" borderId="281">
      <alignment horizontal="left" vertical="center" wrapText="1" indent="2"/>
    </xf>
    <xf numFmtId="0" fontId="34" fillId="0" borderId="281">
      <alignment horizontal="left" vertical="center" wrapText="1" indent="2"/>
    </xf>
    <xf numFmtId="0" fontId="34" fillId="33" borderId="281">
      <alignment horizontal="left" vertical="center" wrapText="1" indent="2"/>
    </xf>
    <xf numFmtId="0" fontId="26" fillId="14" borderId="0" applyNumberFormat="0" applyBorder="0" applyAlignment="0" applyProtection="0"/>
    <xf numFmtId="0" fontId="26" fillId="28" borderId="0" applyNumberFormat="0" applyBorder="0" applyAlignment="0" applyProtection="0"/>
    <xf numFmtId="0" fontId="12" fillId="24" borderId="0" applyNumberFormat="0" applyBorder="0" applyAlignment="0" applyProtection="0"/>
    <xf numFmtId="0" fontId="26" fillId="22" borderId="0" applyNumberFormat="0" applyBorder="0" applyAlignment="0" applyProtection="0"/>
    <xf numFmtId="0" fontId="12" fillId="27" borderId="0" applyNumberFormat="0" applyBorder="0" applyAlignment="0" applyProtection="0"/>
    <xf numFmtId="0" fontId="12" fillId="30" borderId="0" applyNumberFormat="0" applyBorder="0" applyAlignment="0" applyProtection="0"/>
    <xf numFmtId="0" fontId="26" fillId="25" borderId="0" applyNumberFormat="0" applyBorder="0" applyAlignment="0" applyProtection="0"/>
    <xf numFmtId="0" fontId="12" fillId="21" borderId="0" applyNumberFormat="0" applyBorder="0" applyAlignment="0" applyProtection="0"/>
    <xf numFmtId="0" fontId="26" fillId="17" borderId="0" applyNumberFormat="0" applyBorder="0" applyAlignment="0" applyProtection="0"/>
    <xf numFmtId="0" fontId="26" fillId="13" borderId="0" applyNumberFormat="0" applyBorder="0" applyAlignment="0" applyProtection="0"/>
    <xf numFmtId="0" fontId="12" fillId="18" borderId="0" applyNumberFormat="0" applyBorder="0" applyAlignment="0" applyProtection="0"/>
    <xf numFmtId="0" fontId="26" fillId="23" borderId="0" applyNumberFormat="0" applyBorder="0" applyAlignment="0" applyProtection="0"/>
    <xf numFmtId="0" fontId="12" fillId="15" borderId="0" applyNumberFormat="0" applyBorder="0" applyAlignment="0" applyProtection="0"/>
    <xf numFmtId="0" fontId="2" fillId="0" borderId="12" applyNumberFormat="0" applyFill="0" applyAlignment="0" applyProtection="0"/>
    <xf numFmtId="0" fontId="26" fillId="26" borderId="0" applyNumberFormat="0" applyBorder="0" applyAlignment="0" applyProtection="0"/>
    <xf numFmtId="0" fontId="34" fillId="32" borderId="295"/>
    <xf numFmtId="0" fontId="2" fillId="0" borderId="12" applyNumberFormat="0" applyFill="0" applyAlignment="0" applyProtection="0"/>
    <xf numFmtId="0" fontId="34" fillId="0" borderId="298">
      <alignment horizontal="left" vertical="center" wrapText="1" indent="2"/>
    </xf>
    <xf numFmtId="4" fontId="32" fillId="33" borderId="296">
      <alignment horizontal="right" vertical="center"/>
    </xf>
    <xf numFmtId="4" fontId="34" fillId="0" borderId="319">
      <alignment horizontal="right" vertical="center"/>
    </xf>
    <xf numFmtId="4" fontId="36" fillId="31" borderId="310">
      <alignment horizontal="right" vertical="center"/>
    </xf>
    <xf numFmtId="0" fontId="26" fillId="25" borderId="0" applyNumberFormat="0" applyBorder="0" applyAlignment="0" applyProtection="0"/>
    <xf numFmtId="0" fontId="34" fillId="0" borderId="295" applyNumberFormat="0" applyFill="0" applyAlignment="0" applyProtection="0"/>
    <xf numFmtId="4" fontId="32" fillId="33" borderId="297">
      <alignment horizontal="right" vertical="center"/>
    </xf>
    <xf numFmtId="0" fontId="34" fillId="0" borderId="300">
      <alignment horizontal="right" vertical="center"/>
    </xf>
    <xf numFmtId="0" fontId="32" fillId="33" borderId="295">
      <alignment horizontal="right" vertical="center"/>
    </xf>
    <xf numFmtId="0" fontId="65" fillId="0" borderId="317" applyNumberFormat="0" applyFill="0" applyAlignment="0" applyProtection="0"/>
    <xf numFmtId="0" fontId="36" fillId="31" borderId="310">
      <alignment horizontal="right" vertical="center"/>
    </xf>
    <xf numFmtId="0" fontId="26" fillId="20" borderId="0" applyNumberFormat="0" applyBorder="0" applyAlignment="0" applyProtection="0"/>
    <xf numFmtId="0" fontId="65" fillId="0" borderId="306" applyNumberFormat="0" applyFill="0" applyAlignment="0" applyProtection="0"/>
    <xf numFmtId="0" fontId="32" fillId="31" borderId="310">
      <alignment horizontal="right" vertical="center"/>
    </xf>
    <xf numFmtId="0" fontId="34" fillId="0" borderId="310" applyNumberFormat="0" applyFill="0" applyAlignment="0" applyProtection="0"/>
    <xf numFmtId="0" fontId="43" fillId="55" borderId="291" applyNumberFormat="0" applyAlignment="0" applyProtection="0"/>
    <xf numFmtId="0" fontId="34" fillId="0" borderId="300">
      <alignment horizontal="right" vertical="center"/>
    </xf>
    <xf numFmtId="0" fontId="49" fillId="42" borderId="292" applyNumberFormat="0" applyAlignment="0" applyProtection="0"/>
    <xf numFmtId="173" fontId="34" fillId="59" borderId="310" applyNumberFormat="0" applyFont="0" applyBorder="0" applyAlignment="0" applyProtection="0">
      <alignment horizontal="right" vertical="center"/>
    </xf>
    <xf numFmtId="0" fontId="34" fillId="32" borderId="300"/>
    <xf numFmtId="4" fontId="34" fillId="32" borderId="295"/>
    <xf numFmtId="0" fontId="32" fillId="33" borderId="295">
      <alignment horizontal="right" vertical="center"/>
    </xf>
    <xf numFmtId="0" fontId="26" fillId="14" borderId="0" applyNumberFormat="0" applyBorder="0" applyAlignment="0" applyProtection="0"/>
    <xf numFmtId="49" fontId="34" fillId="0" borderId="295" applyNumberFormat="0" applyFont="0" applyFill="0" applyBorder="0" applyProtection="0">
      <alignment horizontal="left" vertical="center" indent="2"/>
    </xf>
    <xf numFmtId="0" fontId="32" fillId="31" borderId="295">
      <alignment horizontal="right" vertical="center"/>
    </xf>
    <xf numFmtId="0" fontId="5" fillId="58" borderId="294" applyNumberFormat="0" applyFont="0" applyAlignment="0" applyProtection="0"/>
    <xf numFmtId="0" fontId="45" fillId="55" borderId="305" applyNumberFormat="0" applyAlignment="0" applyProtection="0"/>
    <xf numFmtId="0" fontId="26" fillId="22" borderId="0" applyNumberFormat="0" applyBorder="0" applyAlignment="0" applyProtection="0"/>
    <xf numFmtId="4" fontId="36" fillId="31" borderId="295">
      <alignment horizontal="right" vertical="center"/>
    </xf>
    <xf numFmtId="4" fontId="34" fillId="0" borderId="319" applyFill="0" applyBorder="0" applyProtection="0">
      <alignment horizontal="right" vertical="center"/>
    </xf>
    <xf numFmtId="0" fontId="26" fillId="14" borderId="0" applyNumberFormat="0" applyBorder="0" applyAlignment="0" applyProtection="0"/>
    <xf numFmtId="0" fontId="30" fillId="0" borderId="0" applyNumberFormat="0" applyFill="0" applyBorder="0" applyAlignment="0" applyProtection="0"/>
    <xf numFmtId="0" fontId="32" fillId="33" borderId="327">
      <alignment horizontal="right" vertical="center"/>
    </xf>
    <xf numFmtId="0" fontId="40" fillId="58" borderId="299" applyNumberFormat="0" applyFont="0" applyAlignment="0" applyProtection="0"/>
    <xf numFmtId="0" fontId="34" fillId="0" borderId="310">
      <alignment horizontal="right" vertical="center"/>
    </xf>
    <xf numFmtId="0" fontId="12" fillId="15" borderId="0" applyNumberFormat="0" applyBorder="0" applyAlignment="0" applyProtection="0"/>
    <xf numFmtId="4" fontId="32" fillId="33" borderId="300">
      <alignment horizontal="right" vertical="center"/>
    </xf>
    <xf numFmtId="0" fontId="5" fillId="58" borderId="294" applyNumberFormat="0" applyFont="0" applyAlignment="0" applyProtection="0"/>
    <xf numFmtId="0" fontId="46" fillId="55" borderId="292" applyNumberFormat="0" applyAlignment="0" applyProtection="0"/>
    <xf numFmtId="0" fontId="62" fillId="55" borderId="291" applyNumberFormat="0" applyAlignment="0" applyProtection="0"/>
    <xf numFmtId="4" fontId="36" fillId="31" borderId="310">
      <alignment horizontal="right" vertical="center"/>
    </xf>
    <xf numFmtId="0" fontId="40" fillId="58" borderId="294" applyNumberFormat="0" applyFont="0" applyAlignment="0" applyProtection="0"/>
    <xf numFmtId="4" fontId="32" fillId="31" borderId="319">
      <alignment horizontal="right" vertical="center"/>
    </xf>
    <xf numFmtId="0" fontId="46" fillId="55" borderId="305" applyNumberFormat="0" applyAlignment="0" applyProtection="0"/>
    <xf numFmtId="0" fontId="46" fillId="55" borderId="305" applyNumberFormat="0" applyAlignment="0" applyProtection="0"/>
    <xf numFmtId="0" fontId="12" fillId="27" borderId="0" applyNumberFormat="0" applyBorder="0" applyAlignment="0" applyProtection="0"/>
    <xf numFmtId="4" fontId="34" fillId="32" borderId="295"/>
    <xf numFmtId="0" fontId="65" fillId="0" borderId="293" applyNumberFormat="0" applyFill="0" applyAlignment="0" applyProtection="0"/>
    <xf numFmtId="0" fontId="28" fillId="12" borderId="11" applyNumberFormat="0" applyAlignment="0" applyProtection="0"/>
    <xf numFmtId="0" fontId="29" fillId="12" borderId="10" applyNumberFormat="0" applyAlignment="0" applyProtection="0"/>
    <xf numFmtId="0" fontId="34" fillId="0" borderId="300">
      <alignment horizontal="right" vertical="center"/>
    </xf>
    <xf numFmtId="0" fontId="58" fillId="42" borderId="292" applyNumberFormat="0" applyAlignment="0" applyProtection="0"/>
    <xf numFmtId="0" fontId="1" fillId="0" borderId="0" applyNumberFormat="0" applyFill="0" applyBorder="0" applyAlignment="0" applyProtection="0"/>
    <xf numFmtId="4" fontId="32" fillId="33" borderId="295">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34" fillId="33" borderId="313">
      <alignment horizontal="left" vertical="center" wrapText="1" indent="2"/>
    </xf>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4" fontId="32" fillId="31" borderId="300">
      <alignment horizontal="right" vertical="center"/>
    </xf>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32" fillId="33" borderId="310">
      <alignment horizontal="right" vertical="center"/>
    </xf>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34" fillId="33" borderId="303">
      <alignment horizontal="left" vertical="center" wrapText="1" indent="2"/>
    </xf>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34" fillId="32" borderId="31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2" fillId="0" borderId="12" applyNumberFormat="0" applyFill="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278" applyNumberFormat="0" applyFill="0" applyAlignment="0" applyProtection="0"/>
    <xf numFmtId="0" fontId="32" fillId="33" borderId="278">
      <alignment horizontal="right" vertical="center"/>
    </xf>
    <xf numFmtId="0" fontId="32" fillId="33" borderId="278">
      <alignment horizontal="right" vertical="center"/>
    </xf>
    <xf numFmtId="0" fontId="34" fillId="33" borderId="303">
      <alignment horizontal="left" vertical="center" wrapText="1" indent="2"/>
    </xf>
    <xf numFmtId="0" fontId="32" fillId="33" borderId="297">
      <alignment horizontal="right" vertical="center"/>
    </xf>
    <xf numFmtId="0" fontId="34" fillId="0" borderId="278">
      <alignment horizontal="right" vertical="center"/>
    </xf>
    <xf numFmtId="0" fontId="36" fillId="31" borderId="278">
      <alignment horizontal="right" vertical="center"/>
    </xf>
    <xf numFmtId="0" fontId="34" fillId="32" borderId="278"/>
    <xf numFmtId="0" fontId="32" fillId="31" borderId="278">
      <alignment horizontal="right" vertical="center"/>
    </xf>
    <xf numFmtId="0" fontId="36" fillId="31" borderId="332">
      <alignment horizontal="right" vertical="center"/>
    </xf>
    <xf numFmtId="0" fontId="36" fillId="31" borderId="295">
      <alignment horizontal="right" vertical="center"/>
    </xf>
    <xf numFmtId="0" fontId="34" fillId="0" borderId="295">
      <alignment horizontal="right" vertical="center"/>
    </xf>
    <xf numFmtId="0" fontId="46" fillId="55" borderId="292" applyNumberFormat="0" applyAlignment="0" applyProtection="0"/>
    <xf numFmtId="0" fontId="50" fillId="0" borderId="306" applyNumberFormat="0" applyFill="0" applyAlignment="0" applyProtection="0"/>
    <xf numFmtId="0" fontId="34" fillId="0" borderId="303">
      <alignment horizontal="left" vertical="center" wrapText="1" indent="2"/>
    </xf>
    <xf numFmtId="0" fontId="34" fillId="33" borderId="335">
      <alignment horizontal="left" vertical="center" wrapText="1" indent="2"/>
    </xf>
    <xf numFmtId="0" fontId="32" fillId="33" borderId="300">
      <alignment horizontal="right" vertical="center"/>
    </xf>
    <xf numFmtId="4" fontId="34" fillId="32" borderId="295"/>
    <xf numFmtId="0" fontId="65" fillId="0" borderId="293" applyNumberFormat="0" applyFill="0" applyAlignment="0" applyProtection="0"/>
    <xf numFmtId="0" fontId="45" fillId="55" borderId="292" applyNumberFormat="0" applyAlignment="0" applyProtection="0"/>
    <xf numFmtId="0" fontId="34" fillId="32" borderId="295"/>
    <xf numFmtId="0" fontId="26" fillId="26" borderId="0" applyNumberFormat="0" applyBorder="0" applyAlignment="0" applyProtection="0"/>
    <xf numFmtId="0" fontId="32" fillId="33" borderId="321">
      <alignment horizontal="right" vertical="center"/>
    </xf>
    <xf numFmtId="0" fontId="5" fillId="58" borderId="309" applyNumberFormat="0" applyFont="0" applyAlignment="0" applyProtection="0"/>
    <xf numFmtId="0" fontId="26" fillId="13" borderId="0" applyNumberFormat="0" applyBorder="0" applyAlignment="0" applyProtection="0"/>
    <xf numFmtId="0" fontId="46" fillId="55" borderId="305" applyNumberFormat="0" applyAlignment="0" applyProtection="0"/>
    <xf numFmtId="4" fontId="32" fillId="33" borderId="302">
      <alignment horizontal="right" vertical="center"/>
    </xf>
    <xf numFmtId="4" fontId="32" fillId="31" borderId="300">
      <alignment horizontal="right" vertical="center"/>
    </xf>
    <xf numFmtId="0" fontId="34" fillId="32" borderId="310"/>
    <xf numFmtId="0" fontId="34" fillId="0" borderId="310" applyNumberFormat="0" applyFill="0" applyAlignment="0" applyProtection="0"/>
    <xf numFmtId="0" fontId="34" fillId="0" borderId="327" applyNumberFormat="0" applyFill="0" applyAlignment="0" applyProtection="0"/>
    <xf numFmtId="0" fontId="62" fillId="55" borderId="291" applyNumberFormat="0" applyAlignment="0" applyProtection="0"/>
    <xf numFmtId="0" fontId="26" fillId="17" borderId="0" applyNumberFormat="0" applyBorder="0" applyAlignment="0" applyProtection="0"/>
    <xf numFmtId="0" fontId="45" fillId="55" borderId="324" applyNumberFormat="0" applyAlignment="0" applyProtection="0"/>
    <xf numFmtId="0" fontId="46" fillId="55" borderId="305" applyNumberFormat="0" applyAlignment="0" applyProtection="0"/>
    <xf numFmtId="0" fontId="34" fillId="32" borderId="300"/>
    <xf numFmtId="0" fontId="50" fillId="0" borderId="306" applyNumberFormat="0" applyFill="0" applyAlignment="0" applyProtection="0"/>
    <xf numFmtId="0" fontId="26" fillId="28" borderId="0" applyNumberFormat="0" applyBorder="0" applyAlignment="0" applyProtection="0"/>
    <xf numFmtId="0" fontId="43" fillId="55" borderId="304" applyNumberFormat="0" applyAlignment="0" applyProtection="0"/>
    <xf numFmtId="4" fontId="32" fillId="33" borderId="295">
      <alignment horizontal="right" vertical="center"/>
    </xf>
    <xf numFmtId="0" fontId="34" fillId="32" borderId="295"/>
    <xf numFmtId="4" fontId="32" fillId="33" borderId="327">
      <alignment horizontal="right" vertical="center"/>
    </xf>
    <xf numFmtId="0" fontId="32" fillId="33" borderId="300">
      <alignment horizontal="right" vertical="center"/>
    </xf>
    <xf numFmtId="0" fontId="12" fillId="21" borderId="0" applyNumberFormat="0" applyBorder="0" applyAlignment="0" applyProtection="0"/>
    <xf numFmtId="0" fontId="40" fillId="58" borderId="309" applyNumberFormat="0" applyFont="0" applyAlignment="0" applyProtection="0"/>
    <xf numFmtId="4" fontId="32" fillId="33" borderId="310">
      <alignment horizontal="right" vertical="center"/>
    </xf>
    <xf numFmtId="0" fontId="58" fillId="42" borderId="292" applyNumberFormat="0" applyAlignment="0" applyProtection="0"/>
    <xf numFmtId="0" fontId="32" fillId="33" borderId="332">
      <alignment horizontal="right" vertical="center"/>
    </xf>
    <xf numFmtId="0" fontId="32" fillId="31" borderId="300">
      <alignment horizontal="right" vertical="center"/>
    </xf>
    <xf numFmtId="0" fontId="1" fillId="0" borderId="0" applyNumberFormat="0" applyFill="0" applyBorder="0" applyAlignment="0" applyProtection="0"/>
    <xf numFmtId="0" fontId="32" fillId="33" borderId="300">
      <alignment horizontal="right" vertical="center"/>
    </xf>
    <xf numFmtId="0" fontId="34" fillId="0" borderId="300" applyNumberFormat="0" applyFill="0" applyAlignment="0" applyProtection="0"/>
    <xf numFmtId="0" fontId="34" fillId="33" borderId="298">
      <alignment horizontal="left" vertical="center" wrapText="1" indent="2"/>
    </xf>
    <xf numFmtId="0" fontId="32" fillId="33" borderId="297">
      <alignment horizontal="right" vertical="center"/>
    </xf>
    <xf numFmtId="0" fontId="65" fillId="0" borderId="306" applyNumberFormat="0" applyFill="0" applyAlignment="0" applyProtection="0"/>
    <xf numFmtId="0" fontId="46" fillId="55" borderId="292" applyNumberFormat="0" applyAlignment="0" applyProtection="0"/>
    <xf numFmtId="4" fontId="32" fillId="33" borderId="295">
      <alignment horizontal="right" vertical="center"/>
    </xf>
    <xf numFmtId="0" fontId="32" fillId="33" borderId="295">
      <alignment horizontal="right" vertical="center"/>
    </xf>
    <xf numFmtId="0" fontId="65" fillId="0" borderId="293" applyNumberFormat="0" applyFill="0" applyAlignment="0" applyProtection="0"/>
    <xf numFmtId="0" fontId="32" fillId="33" borderId="296">
      <alignment horizontal="right" vertical="center"/>
    </xf>
    <xf numFmtId="0" fontId="46" fillId="55" borderId="284" applyNumberFormat="0" applyAlignment="0" applyProtection="0"/>
    <xf numFmtId="0" fontId="50" fillId="0" borderId="293" applyNumberFormat="0" applyFill="0" applyAlignment="0" applyProtection="0"/>
    <xf numFmtId="43" fontId="37" fillId="0" borderId="0" applyFont="0" applyFill="0" applyBorder="0" applyAlignment="0" applyProtection="0"/>
    <xf numFmtId="4" fontId="32" fillId="33" borderId="295">
      <alignment horizontal="right" vertical="center"/>
    </xf>
    <xf numFmtId="43" fontId="37" fillId="0" borderId="0" applyFont="0" applyFill="0" applyBorder="0" applyAlignment="0" applyProtection="0"/>
    <xf numFmtId="0" fontId="34" fillId="33" borderId="298">
      <alignment horizontal="left" vertical="center" wrapText="1" indent="2"/>
    </xf>
    <xf numFmtId="0" fontId="32" fillId="33" borderId="311">
      <alignment horizontal="right" vertical="center"/>
    </xf>
    <xf numFmtId="0" fontId="26" fillId="20" borderId="0" applyNumberFormat="0" applyBorder="0" applyAlignment="0" applyProtection="0"/>
    <xf numFmtId="0" fontId="34" fillId="33" borderId="303">
      <alignment horizontal="left" vertical="center" wrapText="1" indent="2"/>
    </xf>
    <xf numFmtId="0" fontId="46" fillId="55" borderId="305" applyNumberFormat="0" applyAlignment="0" applyProtection="0"/>
    <xf numFmtId="0" fontId="65" fillId="0" borderId="293" applyNumberFormat="0" applyFill="0" applyAlignment="0" applyProtection="0"/>
    <xf numFmtId="0" fontId="62" fillId="55" borderId="291" applyNumberFormat="0" applyAlignment="0" applyProtection="0"/>
    <xf numFmtId="0" fontId="46" fillId="55" borderId="292" applyNumberFormat="0" applyAlignment="0" applyProtection="0"/>
    <xf numFmtId="0" fontId="65" fillId="0" borderId="293" applyNumberFormat="0" applyFill="0" applyAlignment="0" applyProtection="0"/>
    <xf numFmtId="0" fontId="58" fillId="42" borderId="284" applyNumberFormat="0" applyAlignment="0" applyProtection="0"/>
    <xf numFmtId="4" fontId="34" fillId="0" borderId="295">
      <alignment horizontal="right" vertical="center"/>
    </xf>
    <xf numFmtId="4" fontId="32" fillId="31" borderId="295">
      <alignment horizontal="right" vertical="center"/>
    </xf>
    <xf numFmtId="4" fontId="36" fillId="31" borderId="295">
      <alignment horizontal="right" vertical="center"/>
    </xf>
    <xf numFmtId="49" fontId="33" fillId="0" borderId="295" applyNumberFormat="0" applyFill="0" applyBorder="0" applyProtection="0">
      <alignment horizontal="left" vertical="center"/>
    </xf>
    <xf numFmtId="0" fontId="34" fillId="0" borderId="300">
      <alignment horizontal="right" vertical="center"/>
    </xf>
    <xf numFmtId="4" fontId="32" fillId="33" borderId="301">
      <alignment horizontal="right" vertical="center"/>
    </xf>
    <xf numFmtId="0" fontId="40" fillId="58" borderId="294" applyNumberFormat="0" applyFont="0" applyAlignment="0" applyProtection="0"/>
    <xf numFmtId="0" fontId="34" fillId="0" borderId="295">
      <alignment horizontal="right" vertical="center"/>
    </xf>
    <xf numFmtId="0" fontId="65" fillId="0" borderId="306" applyNumberFormat="0" applyFill="0" applyAlignment="0" applyProtection="0"/>
    <xf numFmtId="0" fontId="65" fillId="0" borderId="338" applyNumberFormat="0" applyFill="0" applyAlignment="0" applyProtection="0"/>
    <xf numFmtId="0" fontId="26" fillId="13" borderId="0" applyNumberFormat="0" applyBorder="0" applyAlignment="0" applyProtection="0"/>
    <xf numFmtId="0" fontId="32" fillId="33" borderId="302">
      <alignment horizontal="right" vertical="center"/>
    </xf>
    <xf numFmtId="0" fontId="50" fillId="0" borderId="338" applyNumberFormat="0" applyFill="0" applyAlignment="0" applyProtection="0"/>
    <xf numFmtId="0" fontId="45" fillId="55" borderId="305" applyNumberFormat="0" applyAlignment="0" applyProtection="0"/>
    <xf numFmtId="49" fontId="33" fillId="0" borderId="300" applyNumberFormat="0" applyFill="0" applyBorder="0" applyProtection="0">
      <alignment horizontal="left" vertical="center"/>
    </xf>
    <xf numFmtId="0" fontId="26" fillId="19" borderId="0" applyNumberFormat="0" applyBorder="0" applyAlignment="0" applyProtection="0"/>
    <xf numFmtId="0" fontId="28" fillId="12" borderId="11" applyNumberFormat="0" applyAlignment="0" applyProtection="0"/>
    <xf numFmtId="4" fontId="32" fillId="33" borderId="302">
      <alignment horizontal="right" vertical="center"/>
    </xf>
    <xf numFmtId="4" fontId="34" fillId="0" borderId="278" applyFill="0" applyBorder="0" applyProtection="0">
      <alignment horizontal="right" vertical="center"/>
    </xf>
    <xf numFmtId="0" fontId="58" fillId="42" borderId="292" applyNumberFormat="0" applyAlignment="0" applyProtection="0"/>
    <xf numFmtId="0" fontId="34" fillId="32" borderId="310"/>
    <xf numFmtId="0" fontId="36" fillId="31" borderId="295">
      <alignment horizontal="right" vertical="center"/>
    </xf>
    <xf numFmtId="0" fontId="40" fillId="58" borderId="331" applyNumberFormat="0" applyFont="0" applyAlignment="0" applyProtection="0"/>
    <xf numFmtId="0" fontId="12" fillId="15" borderId="0" applyNumberFormat="0" applyBorder="0" applyAlignment="0" applyProtection="0"/>
    <xf numFmtId="4" fontId="32" fillId="33" borderId="295">
      <alignment horizontal="right" vertical="center"/>
    </xf>
    <xf numFmtId="0" fontId="36" fillId="31" borderId="295">
      <alignment horizontal="right" vertical="center"/>
    </xf>
    <xf numFmtId="4" fontId="32" fillId="33" borderId="301">
      <alignment horizontal="right" vertical="center"/>
    </xf>
    <xf numFmtId="0" fontId="40" fillId="58" borderId="286" applyNumberFormat="0" applyFont="0" applyAlignment="0" applyProtection="0"/>
    <xf numFmtId="0" fontId="5" fillId="58" borderId="286" applyNumberFormat="0" applyFont="0" applyAlignment="0" applyProtection="0"/>
    <xf numFmtId="0" fontId="62" fillId="55" borderId="283" applyNumberFormat="0" applyAlignment="0" applyProtection="0"/>
    <xf numFmtId="4" fontId="34" fillId="0" borderId="310" applyFill="0" applyBorder="0" applyProtection="0">
      <alignment horizontal="right" vertical="center"/>
    </xf>
    <xf numFmtId="0" fontId="12" fillId="15" borderId="0" applyNumberFormat="0" applyBorder="0" applyAlignment="0" applyProtection="0"/>
    <xf numFmtId="49" fontId="34" fillId="0" borderId="311" applyNumberFormat="0" applyFont="0" applyFill="0" applyBorder="0" applyProtection="0">
      <alignment horizontal="left" vertical="center" indent="5"/>
    </xf>
    <xf numFmtId="0" fontId="34" fillId="32" borderId="295"/>
    <xf numFmtId="0" fontId="65" fillId="0" borderId="293" applyNumberFormat="0" applyFill="0" applyAlignment="0" applyProtection="0"/>
    <xf numFmtId="0" fontId="46" fillId="55" borderId="305" applyNumberFormat="0" applyAlignment="0" applyProtection="0"/>
    <xf numFmtId="0" fontId="65" fillId="0" borderId="285" applyNumberFormat="0" applyFill="0" applyAlignment="0" applyProtection="0"/>
    <xf numFmtId="0" fontId="34" fillId="31" borderId="296">
      <alignment horizontal="left" vertical="center"/>
    </xf>
    <xf numFmtId="0" fontId="45" fillId="55" borderId="292" applyNumberFormat="0" applyAlignment="0" applyProtection="0"/>
    <xf numFmtId="4" fontId="32" fillId="33" borderId="295">
      <alignment horizontal="right" vertical="center"/>
    </xf>
    <xf numFmtId="0" fontId="29" fillId="12" borderId="10" applyNumberFormat="0" applyAlignment="0" applyProtection="0"/>
    <xf numFmtId="4" fontId="32" fillId="33" borderId="300">
      <alignment horizontal="right" vertical="center"/>
    </xf>
    <xf numFmtId="0" fontId="26" fillId="14" borderId="0" applyNumberFormat="0" applyBorder="0" applyAlignment="0" applyProtection="0"/>
    <xf numFmtId="0" fontId="26" fillId="14" borderId="0" applyNumberFormat="0" applyBorder="0" applyAlignment="0" applyProtection="0"/>
    <xf numFmtId="0" fontId="49" fillId="42" borderId="292" applyNumberFormat="0" applyAlignment="0" applyProtection="0"/>
    <xf numFmtId="0" fontId="36" fillId="31" borderId="295">
      <alignment horizontal="right" vertical="center"/>
    </xf>
    <xf numFmtId="0" fontId="40" fillId="58" borderId="299" applyNumberFormat="0" applyFont="0" applyAlignment="0" applyProtection="0"/>
    <xf numFmtId="0" fontId="34" fillId="0" borderId="303">
      <alignment horizontal="left" vertical="center" wrapText="1" indent="2"/>
    </xf>
    <xf numFmtId="0" fontId="46" fillId="55" borderId="292" applyNumberFormat="0" applyAlignment="0" applyProtection="0"/>
    <xf numFmtId="4" fontId="32" fillId="33" borderId="297">
      <alignment horizontal="right" vertical="center"/>
    </xf>
    <xf numFmtId="0" fontId="32" fillId="33" borderId="295">
      <alignment horizontal="right" vertical="center"/>
    </xf>
    <xf numFmtId="0" fontId="26" fillId="17" borderId="0" applyNumberFormat="0" applyBorder="0" applyAlignment="0" applyProtection="0"/>
    <xf numFmtId="4" fontId="34" fillId="0" borderId="300">
      <alignment horizontal="right" vertical="center"/>
    </xf>
    <xf numFmtId="0" fontId="26" fillId="29" borderId="0" applyNumberFormat="0" applyBorder="0" applyAlignment="0" applyProtection="0"/>
    <xf numFmtId="0" fontId="46" fillId="55" borderId="292" applyNumberFormat="0" applyAlignment="0" applyProtection="0"/>
    <xf numFmtId="4" fontId="34" fillId="0" borderId="295">
      <alignment horizontal="right" vertical="center"/>
    </xf>
    <xf numFmtId="0" fontId="5" fillId="58" borderId="294" applyNumberFormat="0" applyFont="0" applyAlignment="0" applyProtection="0"/>
    <xf numFmtId="0" fontId="62" fillId="55" borderId="314" applyNumberFormat="0" applyAlignment="0" applyProtection="0"/>
    <xf numFmtId="0" fontId="29" fillId="12" borderId="10" applyNumberFormat="0" applyAlignment="0" applyProtection="0"/>
    <xf numFmtId="4" fontId="32" fillId="33" borderId="300">
      <alignment horizontal="right" vertical="center"/>
    </xf>
    <xf numFmtId="4" fontId="32" fillId="33" borderId="296">
      <alignment horizontal="right" vertical="center"/>
    </xf>
    <xf numFmtId="4" fontId="32" fillId="33" borderId="295">
      <alignment horizontal="right" vertical="center"/>
    </xf>
    <xf numFmtId="0" fontId="32" fillId="31" borderId="310">
      <alignment horizontal="right" vertical="center"/>
    </xf>
    <xf numFmtId="0" fontId="65" fillId="0" borderId="306" applyNumberFormat="0" applyFill="0" applyAlignment="0" applyProtection="0"/>
    <xf numFmtId="0" fontId="49" fillId="42" borderId="307" applyNumberFormat="0" applyAlignment="0" applyProtection="0"/>
    <xf numFmtId="0" fontId="58" fillId="42" borderId="305" applyNumberFormat="0" applyAlignment="0" applyProtection="0"/>
    <xf numFmtId="0" fontId="32" fillId="33" borderId="296">
      <alignment horizontal="right" vertical="center"/>
    </xf>
    <xf numFmtId="0" fontId="34" fillId="33" borderId="335">
      <alignment horizontal="left" vertical="center" wrapText="1" indent="2"/>
    </xf>
    <xf numFmtId="0" fontId="65" fillId="0" borderId="325" applyNumberFormat="0" applyFill="0" applyAlignment="0" applyProtection="0"/>
    <xf numFmtId="0" fontId="45" fillId="55" borderId="305" applyNumberFormat="0" applyAlignment="0" applyProtection="0"/>
    <xf numFmtId="0" fontId="26" fillId="26" borderId="0" applyNumberFormat="0" applyBorder="0" applyAlignment="0" applyProtection="0"/>
    <xf numFmtId="0" fontId="12" fillId="30" borderId="0" applyNumberFormat="0" applyBorder="0" applyAlignment="0" applyProtection="0"/>
    <xf numFmtId="0" fontId="49" fillId="42" borderId="337" applyNumberFormat="0" applyAlignment="0" applyProtection="0"/>
    <xf numFmtId="0" fontId="32" fillId="33" borderId="328">
      <alignment horizontal="right" vertical="center"/>
    </xf>
    <xf numFmtId="0" fontId="49" fillId="42" borderId="305" applyNumberFormat="0" applyAlignment="0" applyProtection="0"/>
    <xf numFmtId="0" fontId="26" fillId="22" borderId="0" applyNumberFormat="0" applyBorder="0" applyAlignment="0" applyProtection="0"/>
    <xf numFmtId="4" fontId="36" fillId="31" borderId="295">
      <alignment horizontal="right" vertical="center"/>
    </xf>
    <xf numFmtId="173" fontId="34" fillId="59" borderId="319" applyNumberFormat="0" applyFont="0" applyBorder="0" applyAlignment="0" applyProtection="0">
      <alignment horizontal="right" vertical="center"/>
    </xf>
    <xf numFmtId="0" fontId="58" fillId="42" borderId="292" applyNumberFormat="0" applyAlignment="0" applyProtection="0"/>
    <xf numFmtId="0" fontId="32" fillId="33" borderId="295">
      <alignment horizontal="right" vertical="center"/>
    </xf>
    <xf numFmtId="0" fontId="46" fillId="55" borderId="284" applyNumberFormat="0" applyAlignment="0" applyProtection="0"/>
    <xf numFmtId="4" fontId="32" fillId="33" borderId="296">
      <alignment horizontal="right" vertical="center"/>
    </xf>
    <xf numFmtId="0" fontId="46" fillId="55" borderId="305" applyNumberFormat="0" applyAlignment="0" applyProtection="0"/>
    <xf numFmtId="0" fontId="43" fillId="55" borderId="291" applyNumberFormat="0" applyAlignment="0" applyProtection="0"/>
    <xf numFmtId="0" fontId="32" fillId="33" borderId="295">
      <alignment horizontal="right" vertical="center"/>
    </xf>
    <xf numFmtId="0" fontId="34" fillId="0" borderId="295">
      <alignment horizontal="right" vertical="center"/>
    </xf>
    <xf numFmtId="0" fontId="32" fillId="33" borderId="295">
      <alignment horizontal="right" vertical="center"/>
    </xf>
    <xf numFmtId="0" fontId="58" fillId="42" borderId="292" applyNumberFormat="0" applyAlignment="0" applyProtection="0"/>
    <xf numFmtId="0" fontId="58" fillId="42" borderId="284" applyNumberFormat="0" applyAlignment="0" applyProtection="0"/>
    <xf numFmtId="0" fontId="34" fillId="0" borderId="310">
      <alignment horizontal="right" vertical="center"/>
    </xf>
    <xf numFmtId="173" fontId="34" fillId="59" borderId="300" applyNumberFormat="0" applyFont="0" applyBorder="0" applyAlignment="0" applyProtection="0">
      <alignment horizontal="right" vertical="center"/>
    </xf>
    <xf numFmtId="0" fontId="29" fillId="12" borderId="10" applyNumberFormat="0" applyAlignment="0" applyProtection="0"/>
    <xf numFmtId="0" fontId="40" fillId="58" borderId="286" applyNumberFormat="0" applyFont="0" applyAlignment="0" applyProtection="0"/>
    <xf numFmtId="0" fontId="62" fillId="55" borderId="283" applyNumberFormat="0" applyAlignment="0" applyProtection="0"/>
    <xf numFmtId="0" fontId="50" fillId="0" borderId="293" applyNumberFormat="0" applyFill="0" applyAlignment="0" applyProtection="0"/>
    <xf numFmtId="0" fontId="65" fillId="0" borderId="285" applyNumberFormat="0" applyFill="0" applyAlignment="0" applyProtection="0"/>
    <xf numFmtId="0" fontId="26" fillId="14" borderId="0" applyNumberFormat="0" applyBorder="0" applyAlignment="0" applyProtection="0"/>
    <xf numFmtId="4" fontId="32" fillId="33" borderId="297">
      <alignment horizontal="right" vertical="center"/>
    </xf>
    <xf numFmtId="49" fontId="34" fillId="0" borderId="332" applyNumberFormat="0" applyFont="0" applyFill="0" applyBorder="0" applyProtection="0">
      <alignment horizontal="left" vertical="center" indent="2"/>
    </xf>
    <xf numFmtId="0" fontId="58" fillId="42" borderId="292" applyNumberFormat="0" applyAlignment="0" applyProtection="0"/>
    <xf numFmtId="0" fontId="46" fillId="55" borderId="292" applyNumberFormat="0" applyAlignment="0" applyProtection="0"/>
    <xf numFmtId="49" fontId="34" fillId="0" borderId="295" applyNumberFormat="0" applyFont="0" applyFill="0" applyBorder="0" applyProtection="0">
      <alignment horizontal="left" vertical="center" indent="2"/>
    </xf>
    <xf numFmtId="49" fontId="34" fillId="0" borderId="296" applyNumberFormat="0" applyFont="0" applyFill="0" applyBorder="0" applyProtection="0">
      <alignment horizontal="left" vertical="center" indent="5"/>
    </xf>
    <xf numFmtId="0" fontId="65" fillId="0" borderId="293" applyNumberFormat="0" applyFill="0" applyAlignment="0" applyProtection="0"/>
    <xf numFmtId="0" fontId="34" fillId="33" borderId="298">
      <alignment horizontal="left" vertical="center" wrapText="1" indent="2"/>
    </xf>
    <xf numFmtId="0" fontId="32" fillId="33" borderId="295">
      <alignment horizontal="right" vertical="center"/>
    </xf>
    <xf numFmtId="0" fontId="32" fillId="33" borderId="297">
      <alignment horizontal="right" vertical="center"/>
    </xf>
    <xf numFmtId="0" fontId="34" fillId="0" borderId="298">
      <alignment horizontal="left" vertical="center" wrapText="1" indent="2"/>
    </xf>
    <xf numFmtId="0" fontId="32" fillId="33" borderId="297">
      <alignment horizontal="right" vertical="center"/>
    </xf>
    <xf numFmtId="0" fontId="45" fillId="55" borderId="292" applyNumberFormat="0" applyAlignment="0" applyProtection="0"/>
    <xf numFmtId="0" fontId="65" fillId="0" borderId="293" applyNumberFormat="0" applyFill="0" applyAlignment="0" applyProtection="0"/>
    <xf numFmtId="0" fontId="43" fillId="55" borderId="291" applyNumberFormat="0" applyAlignment="0" applyProtection="0"/>
    <xf numFmtId="0" fontId="32" fillId="33" borderId="296">
      <alignment horizontal="right" vertical="center"/>
    </xf>
    <xf numFmtId="173" fontId="34" fillId="59" borderId="295" applyNumberFormat="0" applyFont="0" applyBorder="0" applyAlignment="0" applyProtection="0">
      <alignment horizontal="right" vertical="center"/>
    </xf>
    <xf numFmtId="0" fontId="46" fillId="55" borderId="305" applyNumberFormat="0" applyAlignment="0" applyProtection="0"/>
    <xf numFmtId="49" fontId="33" fillId="0" borderId="295" applyNumberFormat="0" applyFill="0" applyBorder="0" applyProtection="0">
      <alignment horizontal="left" vertical="center"/>
    </xf>
    <xf numFmtId="0" fontId="32" fillId="31" borderId="287">
      <alignment horizontal="right" vertical="center"/>
    </xf>
    <xf numFmtId="4" fontId="32" fillId="31" borderId="287">
      <alignment horizontal="right" vertical="center"/>
    </xf>
    <xf numFmtId="0" fontId="36" fillId="31" borderId="287">
      <alignment horizontal="right" vertical="center"/>
    </xf>
    <xf numFmtId="4" fontId="36" fillId="31" borderId="287">
      <alignment horizontal="right" vertical="center"/>
    </xf>
    <xf numFmtId="0" fontId="32" fillId="33" borderId="287">
      <alignment horizontal="right" vertical="center"/>
    </xf>
    <xf numFmtId="4" fontId="32" fillId="33" borderId="287">
      <alignment horizontal="right" vertical="center"/>
    </xf>
    <xf numFmtId="0" fontId="32" fillId="33" borderId="287">
      <alignment horizontal="right" vertical="center"/>
    </xf>
    <xf numFmtId="4" fontId="32" fillId="33" borderId="287">
      <alignment horizontal="right" vertical="center"/>
    </xf>
    <xf numFmtId="0" fontId="32" fillId="33" borderId="288">
      <alignment horizontal="right" vertical="center"/>
    </xf>
    <xf numFmtId="4" fontId="32" fillId="33" borderId="288">
      <alignment horizontal="right" vertical="center"/>
    </xf>
    <xf numFmtId="0" fontId="32" fillId="33" borderId="289">
      <alignment horizontal="right" vertical="center"/>
    </xf>
    <xf numFmtId="4" fontId="32" fillId="33" borderId="289">
      <alignment horizontal="right" vertical="center"/>
    </xf>
    <xf numFmtId="0" fontId="46" fillId="55" borderId="284" applyNumberFormat="0" applyAlignment="0" applyProtection="0"/>
    <xf numFmtId="0" fontId="34" fillId="33" borderId="290">
      <alignment horizontal="left" vertical="center" wrapText="1" indent="2"/>
    </xf>
    <xf numFmtId="0" fontId="34" fillId="0" borderId="290">
      <alignment horizontal="left" vertical="center" wrapText="1" indent="2"/>
    </xf>
    <xf numFmtId="0" fontId="34" fillId="31" borderId="288">
      <alignment horizontal="left" vertical="center"/>
    </xf>
    <xf numFmtId="0" fontId="62" fillId="55" borderId="323" applyNumberFormat="0" applyAlignment="0" applyProtection="0"/>
    <xf numFmtId="0" fontId="58" fillId="42" borderId="284" applyNumberFormat="0" applyAlignment="0" applyProtection="0"/>
    <xf numFmtId="0" fontId="34" fillId="0" borderId="287">
      <alignment horizontal="right" vertical="center"/>
    </xf>
    <xf numFmtId="4" fontId="34" fillId="0" borderId="287">
      <alignment horizontal="right" vertical="center"/>
    </xf>
    <xf numFmtId="0" fontId="12" fillId="21" borderId="0" applyNumberFormat="0" applyBorder="0" applyAlignment="0" applyProtection="0"/>
    <xf numFmtId="0" fontId="34" fillId="0" borderId="287" applyNumberFormat="0" applyFill="0" applyAlignment="0" applyProtection="0"/>
    <xf numFmtId="0" fontId="62" fillId="55" borderId="283" applyNumberFormat="0" applyAlignment="0" applyProtection="0"/>
    <xf numFmtId="173" fontId="34" fillId="59" borderId="287" applyNumberFormat="0" applyFont="0" applyBorder="0" applyAlignment="0" applyProtection="0">
      <alignment horizontal="right" vertical="center"/>
    </xf>
    <xf numFmtId="0" fontId="34" fillId="32" borderId="287"/>
    <xf numFmtId="4" fontId="34" fillId="32" borderId="287"/>
    <xf numFmtId="0" fontId="65" fillId="0" borderId="285" applyNumberFormat="0" applyFill="0" applyAlignment="0" applyProtection="0"/>
    <xf numFmtId="4" fontId="34" fillId="0" borderId="310" applyFill="0" applyBorder="0" applyProtection="0">
      <alignment horizontal="right" vertical="center"/>
    </xf>
    <xf numFmtId="0" fontId="32" fillId="33" borderId="310">
      <alignment horizontal="right" vertical="center"/>
    </xf>
    <xf numFmtId="0" fontId="26" fillId="17" borderId="0" applyNumberFormat="0" applyBorder="0" applyAlignment="0" applyProtection="0"/>
    <xf numFmtId="4" fontId="32" fillId="33" borderId="297">
      <alignment horizontal="right" vertical="center"/>
    </xf>
    <xf numFmtId="0" fontId="34" fillId="32" borderId="295"/>
    <xf numFmtId="49" fontId="34" fillId="0" borderId="295" applyNumberFormat="0" applyFont="0" applyFill="0" applyBorder="0" applyProtection="0">
      <alignment horizontal="left" vertical="center" indent="2"/>
    </xf>
    <xf numFmtId="0" fontId="49" fillId="42" borderId="324" applyNumberFormat="0" applyAlignment="0" applyProtection="0"/>
    <xf numFmtId="0" fontId="65" fillId="0" borderId="293" applyNumberFormat="0" applyFill="0" applyAlignment="0" applyProtection="0"/>
    <xf numFmtId="0" fontId="26" fillId="20" borderId="0" applyNumberFormat="0" applyBorder="0" applyAlignment="0" applyProtection="0"/>
    <xf numFmtId="0" fontId="34" fillId="31" borderId="328">
      <alignment horizontal="left" vertical="center"/>
    </xf>
    <xf numFmtId="4" fontId="36" fillId="31" borderId="295">
      <alignment horizontal="right" vertical="center"/>
    </xf>
    <xf numFmtId="4" fontId="34" fillId="32" borderId="310"/>
    <xf numFmtId="0" fontId="46" fillId="55" borderId="292" applyNumberFormat="0" applyAlignment="0" applyProtection="0"/>
    <xf numFmtId="0" fontId="62" fillId="55" borderId="323" applyNumberFormat="0" applyAlignment="0" applyProtection="0"/>
    <xf numFmtId="0" fontId="26" fillId="29" borderId="0" applyNumberFormat="0" applyBorder="0" applyAlignment="0" applyProtection="0"/>
    <xf numFmtId="0" fontId="29" fillId="12" borderId="10" applyNumberFormat="0" applyAlignment="0" applyProtection="0"/>
    <xf numFmtId="0" fontId="65" fillId="0" borderId="306" applyNumberFormat="0" applyFill="0" applyAlignment="0" applyProtection="0"/>
    <xf numFmtId="0" fontId="50" fillId="0" borderId="293" applyNumberFormat="0" applyFill="0" applyAlignment="0" applyProtection="0"/>
    <xf numFmtId="0" fontId="34" fillId="32" borderId="295"/>
    <xf numFmtId="0" fontId="45" fillId="55" borderId="292" applyNumberFormat="0" applyAlignment="0" applyProtection="0"/>
    <xf numFmtId="49" fontId="33" fillId="0" borderId="295" applyNumberFormat="0" applyFill="0" applyBorder="0" applyProtection="0">
      <alignment horizontal="left" vertical="center"/>
    </xf>
    <xf numFmtId="0" fontId="34" fillId="0" borderId="295" applyNumberFormat="0" applyFill="0" applyAlignment="0" applyProtection="0"/>
    <xf numFmtId="0" fontId="5" fillId="58" borderId="294" applyNumberFormat="0" applyFont="0" applyAlignment="0" applyProtection="0"/>
    <xf numFmtId="0" fontId="26" fillId="14" borderId="0" applyNumberFormat="0" applyBorder="0" applyAlignment="0" applyProtection="0"/>
    <xf numFmtId="0" fontId="12" fillId="27" borderId="0" applyNumberFormat="0" applyBorder="0" applyAlignment="0" applyProtection="0"/>
    <xf numFmtId="4" fontId="34" fillId="0" borderId="295">
      <alignment horizontal="right" vertical="center"/>
    </xf>
    <xf numFmtId="0" fontId="26" fillId="19" borderId="0" applyNumberFormat="0" applyBorder="0" applyAlignment="0" applyProtection="0"/>
    <xf numFmtId="0" fontId="45" fillId="55" borderId="292" applyNumberFormat="0" applyAlignment="0" applyProtection="0"/>
    <xf numFmtId="0" fontId="26" fillId="16" borderId="0" applyNumberFormat="0" applyBorder="0" applyAlignment="0" applyProtection="0"/>
    <xf numFmtId="0" fontId="1" fillId="0" borderId="0" applyNumberFormat="0" applyFill="0" applyBorder="0" applyAlignment="0" applyProtection="0"/>
    <xf numFmtId="0" fontId="26" fillId="13" borderId="0" applyNumberFormat="0" applyBorder="0" applyAlignment="0" applyProtection="0"/>
    <xf numFmtId="4" fontId="34" fillId="32" borderId="300"/>
    <xf numFmtId="0" fontId="26" fillId="17" borderId="0" applyNumberFormat="0" applyBorder="0" applyAlignment="0" applyProtection="0"/>
    <xf numFmtId="0" fontId="65" fillId="0" borderId="306" applyNumberFormat="0" applyFill="0" applyAlignment="0" applyProtection="0"/>
    <xf numFmtId="49" fontId="34" fillId="0" borderId="296" applyNumberFormat="0" applyFont="0" applyFill="0" applyBorder="0" applyProtection="0">
      <alignment horizontal="left" vertical="center" indent="5"/>
    </xf>
    <xf numFmtId="0" fontId="65" fillId="0" borderId="293" applyNumberFormat="0" applyFill="0" applyAlignment="0" applyProtection="0"/>
    <xf numFmtId="0" fontId="40" fillId="58" borderId="294" applyNumberFormat="0" applyFont="0" applyAlignment="0" applyProtection="0"/>
    <xf numFmtId="0" fontId="32" fillId="33" borderId="296">
      <alignment horizontal="right" vertical="center"/>
    </xf>
    <xf numFmtId="0" fontId="43" fillId="55" borderId="291" applyNumberFormat="0" applyAlignment="0" applyProtection="0"/>
    <xf numFmtId="4" fontId="32" fillId="33" borderId="297">
      <alignment horizontal="right" vertical="center"/>
    </xf>
    <xf numFmtId="4" fontId="36" fillId="31" borderId="295">
      <alignment horizontal="right" vertical="center"/>
    </xf>
    <xf numFmtId="0" fontId="58" fillId="42" borderId="292" applyNumberFormat="0" applyAlignment="0" applyProtection="0"/>
    <xf numFmtId="0" fontId="46" fillId="55" borderId="292" applyNumberFormat="0" applyAlignment="0" applyProtection="0"/>
    <xf numFmtId="0" fontId="36" fillId="31" borderId="295">
      <alignment horizontal="right" vertical="center"/>
    </xf>
    <xf numFmtId="0" fontId="65" fillId="0" borderId="293" applyNumberFormat="0" applyFill="0" applyAlignment="0" applyProtection="0"/>
    <xf numFmtId="0" fontId="46" fillId="55" borderId="292" applyNumberFormat="0" applyAlignment="0" applyProtection="0"/>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5" fillId="58" borderId="294" applyNumberFormat="0" applyFont="0" applyAlignment="0" applyProtection="0"/>
    <xf numFmtId="0" fontId="26" fillId="26" borderId="0" applyNumberFormat="0" applyBorder="0" applyAlignment="0" applyProtection="0"/>
    <xf numFmtId="0" fontId="26" fillId="16" borderId="0" applyNumberFormat="0" applyBorder="0" applyAlignment="0" applyProtection="0"/>
    <xf numFmtId="173" fontId="34" fillId="59" borderId="310" applyNumberFormat="0" applyFont="0" applyBorder="0" applyAlignment="0" applyProtection="0">
      <alignment horizontal="right" vertical="center"/>
    </xf>
    <xf numFmtId="0" fontId="26" fillId="13" borderId="0" applyNumberFormat="0" applyBorder="0" applyAlignment="0" applyProtection="0"/>
    <xf numFmtId="0" fontId="62" fillId="55" borderId="291" applyNumberFormat="0" applyAlignment="0" applyProtection="0"/>
    <xf numFmtId="0" fontId="50" fillId="0" borderId="308" applyNumberFormat="0" applyFill="0" applyAlignment="0" applyProtection="0"/>
    <xf numFmtId="0" fontId="26" fillId="17" borderId="0" applyNumberFormat="0" applyBorder="0" applyAlignment="0" applyProtection="0"/>
    <xf numFmtId="4" fontId="36" fillId="31" borderId="295">
      <alignment horizontal="right" vertical="center"/>
    </xf>
    <xf numFmtId="0" fontId="1" fillId="0" borderId="0" applyNumberFormat="0" applyFill="0" applyBorder="0" applyAlignment="0" applyProtection="0"/>
    <xf numFmtId="49" fontId="34" fillId="0" borderId="287" applyNumberFormat="0" applyFont="0" applyFill="0" applyBorder="0" applyProtection="0">
      <alignment horizontal="left" vertical="center" indent="2"/>
    </xf>
    <xf numFmtId="49" fontId="34" fillId="0" borderId="288" applyNumberFormat="0" applyFont="0" applyFill="0" applyBorder="0" applyProtection="0">
      <alignment horizontal="left" vertical="center" indent="5"/>
    </xf>
    <xf numFmtId="4" fontId="34" fillId="0" borderId="310">
      <alignment horizontal="right" vertical="center"/>
    </xf>
    <xf numFmtId="0" fontId="32" fillId="33" borderId="302">
      <alignment horizontal="right" vertical="center"/>
    </xf>
    <xf numFmtId="0" fontId="58" fillId="42" borderId="324" applyNumberFormat="0" applyAlignment="0" applyProtection="0"/>
    <xf numFmtId="0" fontId="32" fillId="33" borderId="297">
      <alignment horizontal="right" vertical="center"/>
    </xf>
    <xf numFmtId="0" fontId="62" fillId="55" borderId="336" applyNumberFormat="0" applyAlignment="0" applyProtection="0"/>
    <xf numFmtId="0" fontId="32" fillId="31" borderId="295">
      <alignment horizontal="right" vertical="center"/>
    </xf>
    <xf numFmtId="0" fontId="50" fillId="0" borderId="293" applyNumberFormat="0" applyFill="0" applyAlignment="0" applyProtection="0"/>
    <xf numFmtId="0" fontId="26" fillId="26" borderId="0" applyNumberFormat="0" applyBorder="0" applyAlignment="0" applyProtection="0"/>
    <xf numFmtId="4" fontId="32" fillId="33" borderId="329">
      <alignment horizontal="right" vertical="center"/>
    </xf>
    <xf numFmtId="0" fontId="34" fillId="0" borderId="298">
      <alignment horizontal="left" vertical="center" wrapText="1" indent="2"/>
    </xf>
    <xf numFmtId="4" fontId="34" fillId="0" borderId="287" applyFill="0" applyBorder="0" applyProtection="0">
      <alignment horizontal="right" vertical="center"/>
    </xf>
    <xf numFmtId="49" fontId="33" fillId="0" borderId="287" applyNumberFormat="0" applyFill="0" applyBorder="0" applyProtection="0">
      <alignment horizontal="left" vertical="center"/>
    </xf>
    <xf numFmtId="49" fontId="34" fillId="0" borderId="310" applyNumberFormat="0" applyFont="0" applyFill="0" applyBorder="0" applyProtection="0">
      <alignment horizontal="left" vertical="center" indent="2"/>
    </xf>
    <xf numFmtId="4" fontId="32" fillId="33" borderId="297">
      <alignment horizontal="right" vertical="center"/>
    </xf>
    <xf numFmtId="4" fontId="34" fillId="0" borderId="295" applyFill="0" applyBorder="0" applyProtection="0">
      <alignment horizontal="right" vertical="center"/>
    </xf>
    <xf numFmtId="0" fontId="45" fillId="55" borderId="292" applyNumberFormat="0" applyAlignment="0" applyProtection="0"/>
    <xf numFmtId="0" fontId="49" fillId="42" borderId="292" applyNumberFormat="0" applyAlignment="0" applyProtection="0"/>
    <xf numFmtId="0" fontId="34" fillId="33" borderId="298">
      <alignment horizontal="left" vertical="center" wrapText="1" indent="2"/>
    </xf>
    <xf numFmtId="0" fontId="34" fillId="31" borderId="328">
      <alignment horizontal="left" vertical="center"/>
    </xf>
    <xf numFmtId="4" fontId="36" fillId="31" borderId="295">
      <alignment horizontal="right" vertical="center"/>
    </xf>
    <xf numFmtId="0" fontId="45" fillId="55" borderId="292" applyNumberFormat="0" applyAlignment="0" applyProtection="0"/>
    <xf numFmtId="0" fontId="58" fillId="42" borderId="305" applyNumberFormat="0" applyAlignment="0" applyProtection="0"/>
    <xf numFmtId="0" fontId="46" fillId="55" borderId="307" applyNumberFormat="0" applyAlignment="0" applyProtection="0"/>
    <xf numFmtId="0" fontId="12" fillId="24" borderId="0" applyNumberFormat="0" applyBorder="0" applyAlignment="0" applyProtection="0"/>
    <xf numFmtId="0" fontId="32" fillId="31" borderId="295">
      <alignment horizontal="right" vertical="center"/>
    </xf>
    <xf numFmtId="173" fontId="34" fillId="59" borderId="295" applyNumberFormat="0" applyFont="0" applyBorder="0" applyAlignment="0" applyProtection="0">
      <alignment horizontal="right" vertical="center"/>
    </xf>
    <xf numFmtId="0" fontId="32" fillId="33" borderId="295">
      <alignment horizontal="right" vertical="center"/>
    </xf>
    <xf numFmtId="0" fontId="43" fillId="55" borderId="291" applyNumberFormat="0" applyAlignment="0" applyProtection="0"/>
    <xf numFmtId="0" fontId="65" fillId="0" borderId="293" applyNumberFormat="0" applyFill="0" applyAlignment="0" applyProtection="0"/>
    <xf numFmtId="0" fontId="40" fillId="58" borderId="294" applyNumberFormat="0" applyFont="0" applyAlignment="0" applyProtection="0"/>
    <xf numFmtId="0" fontId="32" fillId="33" borderId="295">
      <alignment horizontal="right" vertical="center"/>
    </xf>
    <xf numFmtId="0" fontId="32" fillId="33" borderId="296">
      <alignment horizontal="right" vertical="center"/>
    </xf>
    <xf numFmtId="0" fontId="46" fillId="55" borderId="292" applyNumberFormat="0" applyAlignment="0" applyProtection="0"/>
    <xf numFmtId="0" fontId="32" fillId="33" borderId="297">
      <alignment horizontal="right" vertical="center"/>
    </xf>
    <xf numFmtId="0" fontId="32" fillId="33" borderId="295">
      <alignment horizontal="right" vertical="center"/>
    </xf>
    <xf numFmtId="0" fontId="49" fillId="42" borderId="292" applyNumberFormat="0" applyAlignment="0" applyProtection="0"/>
    <xf numFmtId="4" fontId="34" fillId="0" borderId="295">
      <alignment horizontal="right" vertical="center"/>
    </xf>
    <xf numFmtId="0" fontId="46" fillId="55" borderId="292" applyNumberFormat="0" applyAlignment="0" applyProtection="0"/>
    <xf numFmtId="0" fontId="34" fillId="31" borderId="296">
      <alignment horizontal="left" vertical="center"/>
    </xf>
    <xf numFmtId="0" fontId="29" fillId="12" borderId="10" applyNumberFormat="0" applyAlignment="0" applyProtection="0"/>
    <xf numFmtId="173" fontId="34" fillId="59" borderId="295" applyNumberFormat="0" applyFont="0" applyBorder="0" applyAlignment="0" applyProtection="0">
      <alignment horizontal="right" vertical="center"/>
    </xf>
    <xf numFmtId="0" fontId="43" fillId="55" borderId="283" applyNumberFormat="0" applyAlignment="0" applyProtection="0"/>
    <xf numFmtId="0" fontId="45" fillId="55" borderId="284" applyNumberFormat="0" applyAlignment="0" applyProtection="0"/>
    <xf numFmtId="0" fontId="50" fillId="0" borderId="285" applyNumberFormat="0" applyFill="0" applyAlignment="0" applyProtection="0"/>
    <xf numFmtId="0" fontId="34" fillId="0" borderId="310">
      <alignment horizontal="right" vertical="center"/>
    </xf>
    <xf numFmtId="4" fontId="36" fillId="31" borderId="295">
      <alignment horizontal="right" vertical="center"/>
    </xf>
    <xf numFmtId="0" fontId="43" fillId="55" borderId="291" applyNumberFormat="0" applyAlignment="0" applyProtection="0"/>
    <xf numFmtId="4" fontId="36" fillId="31" borderId="300">
      <alignment horizontal="right" vertical="center"/>
    </xf>
    <xf numFmtId="0" fontId="58" fillId="42" borderId="307" applyNumberFormat="0" applyAlignment="0" applyProtection="0"/>
    <xf numFmtId="0" fontId="65" fillId="0" borderId="308" applyNumberFormat="0" applyFill="0" applyAlignment="0" applyProtection="0"/>
    <xf numFmtId="0" fontId="46" fillId="55" borderId="292" applyNumberFormat="0" applyAlignment="0" applyProtection="0"/>
    <xf numFmtId="0" fontId="46" fillId="55" borderId="305" applyNumberFormat="0" applyAlignment="0" applyProtection="0"/>
    <xf numFmtId="0" fontId="12" fillId="27" borderId="0" applyNumberFormat="0" applyBorder="0" applyAlignment="0" applyProtection="0"/>
    <xf numFmtId="0" fontId="34" fillId="0" borderId="313">
      <alignment horizontal="left" vertical="center" wrapText="1" indent="2"/>
    </xf>
    <xf numFmtId="0" fontId="32" fillId="33" borderId="300">
      <alignment horizontal="right" vertical="center"/>
    </xf>
    <xf numFmtId="0" fontId="46" fillId="55" borderId="292" applyNumberFormat="0" applyAlignment="0" applyProtection="0"/>
    <xf numFmtId="0" fontId="1" fillId="0" borderId="0" applyNumberFormat="0" applyFill="0" applyBorder="0" applyAlignment="0" applyProtection="0"/>
    <xf numFmtId="0" fontId="26" fillId="22" borderId="0" applyNumberFormat="0" applyBorder="0" applyAlignment="0" applyProtection="0"/>
    <xf numFmtId="0" fontId="40" fillId="58" borderId="299" applyNumberFormat="0" applyFont="0" applyAlignment="0" applyProtection="0"/>
    <xf numFmtId="0" fontId="50" fillId="0" borderId="306" applyNumberFormat="0" applyFill="0" applyAlignment="0" applyProtection="0"/>
    <xf numFmtId="4" fontId="34" fillId="0" borderId="300" applyFill="0" applyBorder="0" applyProtection="0">
      <alignment horizontal="right" vertical="center"/>
    </xf>
    <xf numFmtId="0" fontId="34" fillId="31" borderId="296">
      <alignment horizontal="left" vertical="center"/>
    </xf>
    <xf numFmtId="4" fontId="34" fillId="0" borderId="295">
      <alignment horizontal="right" vertical="center"/>
    </xf>
    <xf numFmtId="4" fontId="32" fillId="33" borderId="295">
      <alignment horizontal="right" vertical="center"/>
    </xf>
    <xf numFmtId="0" fontId="62" fillId="55" borderId="291" applyNumberFormat="0" applyAlignment="0" applyProtection="0"/>
    <xf numFmtId="0" fontId="50" fillId="0" borderId="293" applyNumberFormat="0" applyFill="0" applyAlignment="0" applyProtection="0"/>
    <xf numFmtId="0" fontId="49" fillId="42" borderId="284" applyNumberFormat="0" applyAlignment="0" applyProtection="0"/>
    <xf numFmtId="49" fontId="34" fillId="0" borderId="295" applyNumberFormat="0" applyFont="0" applyFill="0" applyBorder="0" applyProtection="0">
      <alignment horizontal="left" vertical="center" indent="2"/>
    </xf>
    <xf numFmtId="173" fontId="34" fillId="59" borderId="295" applyNumberFormat="0" applyFont="0" applyBorder="0" applyAlignment="0" applyProtection="0">
      <alignment horizontal="right" vertical="center"/>
    </xf>
    <xf numFmtId="173" fontId="34" fillId="59" borderId="300" applyNumberFormat="0" applyFont="0" applyBorder="0" applyAlignment="0" applyProtection="0">
      <alignment horizontal="right" vertical="center"/>
    </xf>
    <xf numFmtId="0" fontId="32" fillId="33" borderId="301">
      <alignment horizontal="right" vertical="center"/>
    </xf>
    <xf numFmtId="4" fontId="32" fillId="33" borderId="302">
      <alignment horizontal="right" vertical="center"/>
    </xf>
    <xf numFmtId="0" fontId="26" fillId="13" borderId="0" applyNumberFormat="0" applyBorder="0" applyAlignment="0" applyProtection="0"/>
    <xf numFmtId="4" fontId="32" fillId="33" borderId="297">
      <alignment horizontal="right" vertical="center"/>
    </xf>
    <xf numFmtId="0" fontId="26" fillId="22" borderId="0" applyNumberFormat="0" applyBorder="0" applyAlignment="0" applyProtection="0"/>
    <xf numFmtId="4" fontId="34" fillId="0" borderId="327" applyFill="0" applyBorder="0" applyProtection="0">
      <alignment horizontal="right" vertical="center"/>
    </xf>
    <xf numFmtId="0" fontId="28" fillId="12" borderId="11" applyNumberFormat="0" applyAlignment="0" applyProtection="0"/>
    <xf numFmtId="4" fontId="32" fillId="33" borderId="301">
      <alignment horizontal="right" vertical="center"/>
    </xf>
    <xf numFmtId="4" fontId="34" fillId="32" borderId="300"/>
    <xf numFmtId="4" fontId="34" fillId="32" borderId="327"/>
    <xf numFmtId="0" fontId="58" fillId="42" borderId="292" applyNumberFormat="0" applyAlignment="0" applyProtection="0"/>
    <xf numFmtId="0" fontId="34" fillId="33" borderId="298">
      <alignment horizontal="left" vertical="center" wrapText="1" indent="2"/>
    </xf>
    <xf numFmtId="0" fontId="50" fillId="0" borderId="293" applyNumberFormat="0" applyFill="0" applyAlignment="0" applyProtection="0"/>
    <xf numFmtId="4" fontId="34" fillId="32" borderId="295"/>
    <xf numFmtId="0" fontId="58" fillId="42" borderId="324" applyNumberFormat="0" applyAlignment="0" applyProtection="0"/>
    <xf numFmtId="0" fontId="34" fillId="33" borderId="290">
      <alignment horizontal="left" vertical="center" wrapText="1" indent="2"/>
    </xf>
    <xf numFmtId="0" fontId="34" fillId="0" borderId="290">
      <alignment horizontal="left" vertical="center" wrapText="1" indent="2"/>
    </xf>
    <xf numFmtId="4" fontId="32" fillId="33" borderId="300">
      <alignment horizontal="right" vertical="center"/>
    </xf>
    <xf numFmtId="0" fontId="46" fillId="55" borderId="305" applyNumberFormat="0" applyAlignment="0" applyProtection="0"/>
    <xf numFmtId="0" fontId="26" fillId="26" borderId="0" applyNumberFormat="0" applyBorder="0" applyAlignment="0" applyProtection="0"/>
    <xf numFmtId="0" fontId="26" fillId="17" borderId="0" applyNumberFormat="0" applyBorder="0" applyAlignment="0" applyProtection="0"/>
    <xf numFmtId="0" fontId="46" fillId="55" borderId="305" applyNumberFormat="0" applyAlignment="0" applyProtection="0"/>
    <xf numFmtId="0" fontId="34" fillId="33" borderId="313">
      <alignment horizontal="left" vertical="center" wrapText="1" indent="2"/>
    </xf>
    <xf numFmtId="0" fontId="58" fillId="42" borderId="292" applyNumberFormat="0" applyAlignment="0" applyProtection="0"/>
    <xf numFmtId="0" fontId="40" fillId="58" borderId="299" applyNumberFormat="0" applyFont="0" applyAlignment="0" applyProtection="0"/>
    <xf numFmtId="0" fontId="34" fillId="33" borderId="313">
      <alignment horizontal="left" vertical="center" wrapText="1" indent="2"/>
    </xf>
    <xf numFmtId="0" fontId="49" fillId="42" borderId="307" applyNumberFormat="0" applyAlignment="0" applyProtection="0"/>
    <xf numFmtId="4" fontId="32" fillId="33" borderId="310">
      <alignment horizontal="right" vertical="center"/>
    </xf>
    <xf numFmtId="0" fontId="26" fillId="22" borderId="0" applyNumberFormat="0" applyBorder="0" applyAlignment="0" applyProtection="0"/>
    <xf numFmtId="0" fontId="43" fillId="55" borderId="314" applyNumberFormat="0" applyAlignment="0" applyProtection="0"/>
    <xf numFmtId="0" fontId="65" fillId="0" borderId="306" applyNumberFormat="0" applyFill="0" applyAlignment="0" applyProtection="0"/>
    <xf numFmtId="0" fontId="58" fillId="42" borderId="316" applyNumberFormat="0" applyAlignment="0" applyProtection="0"/>
    <xf numFmtId="173" fontId="34" fillId="59" borderId="300" applyNumberFormat="0" applyFont="0" applyBorder="0" applyAlignment="0" applyProtection="0">
      <alignment horizontal="right" vertical="center"/>
    </xf>
    <xf numFmtId="0" fontId="32" fillId="33" borderId="302">
      <alignment horizontal="right" vertical="center"/>
    </xf>
    <xf numFmtId="0" fontId="32" fillId="33" borderId="300">
      <alignment horizontal="right" vertical="center"/>
    </xf>
    <xf numFmtId="0" fontId="34" fillId="33" borderId="303">
      <alignment horizontal="left" vertical="center" wrapText="1" indent="2"/>
    </xf>
    <xf numFmtId="0" fontId="34" fillId="0" borderId="295">
      <alignment horizontal="right" vertical="center"/>
    </xf>
    <xf numFmtId="0" fontId="32" fillId="33" borderId="302">
      <alignment horizontal="right" vertical="center"/>
    </xf>
    <xf numFmtId="0" fontId="43" fillId="55" borderId="291" applyNumberFormat="0" applyAlignment="0" applyProtection="0"/>
    <xf numFmtId="4" fontId="32" fillId="31" borderId="295">
      <alignment horizontal="right" vertical="center"/>
    </xf>
    <xf numFmtId="0" fontId="50" fillId="0" borderId="293" applyNumberFormat="0" applyFill="0" applyAlignment="0" applyProtection="0"/>
    <xf numFmtId="0" fontId="46" fillId="55" borderId="292" applyNumberFormat="0" applyAlignment="0" applyProtection="0"/>
    <xf numFmtId="4" fontId="32" fillId="33" borderId="296">
      <alignment horizontal="right" vertical="center"/>
    </xf>
    <xf numFmtId="4" fontId="32" fillId="33" borderId="302">
      <alignment horizontal="right" vertical="center"/>
    </xf>
    <xf numFmtId="0" fontId="45" fillId="55" borderId="292" applyNumberFormat="0" applyAlignment="0" applyProtection="0"/>
    <xf numFmtId="0" fontId="34" fillId="0" borderId="298">
      <alignment horizontal="left" vertical="center" wrapText="1" indent="2"/>
    </xf>
    <xf numFmtId="49" fontId="34" fillId="0" borderId="295" applyNumberFormat="0" applyFont="0" applyFill="0" applyBorder="0" applyProtection="0">
      <alignment horizontal="left" vertical="center" indent="2"/>
    </xf>
    <xf numFmtId="0" fontId="58" fillId="42" borderId="292" applyNumberFormat="0" applyAlignment="0" applyProtection="0"/>
    <xf numFmtId="0" fontId="40" fillId="58" borderId="294" applyNumberFormat="0" applyFont="0" applyAlignment="0" applyProtection="0"/>
    <xf numFmtId="4" fontId="32" fillId="33" borderId="296">
      <alignment horizontal="right" vertical="center"/>
    </xf>
    <xf numFmtId="0" fontId="34" fillId="33" borderId="298">
      <alignment horizontal="left" vertical="center" wrapText="1" indent="2"/>
    </xf>
    <xf numFmtId="0" fontId="50" fillId="0" borderId="293" applyNumberFormat="0" applyFill="0" applyAlignment="0" applyProtection="0"/>
    <xf numFmtId="0" fontId="62" fillId="55" borderId="291" applyNumberFormat="0" applyAlignment="0" applyProtection="0"/>
    <xf numFmtId="0" fontId="40" fillId="58" borderId="294" applyNumberFormat="0" applyFont="0" applyAlignment="0" applyProtection="0"/>
    <xf numFmtId="0" fontId="58" fillId="42" borderId="292" applyNumberFormat="0" applyAlignment="0" applyProtection="0"/>
    <xf numFmtId="0" fontId="34" fillId="0" borderId="295" applyNumberFormat="0" applyFill="0" applyAlignment="0" applyProtection="0"/>
    <xf numFmtId="0" fontId="32" fillId="31" borderId="295">
      <alignment horizontal="right" vertical="center"/>
    </xf>
    <xf numFmtId="0" fontId="32" fillId="33" borderId="295">
      <alignment horizontal="right" vertical="center"/>
    </xf>
    <xf numFmtId="0" fontId="40" fillId="58" borderId="294" applyNumberFormat="0" applyFont="0" applyAlignment="0" applyProtection="0"/>
    <xf numFmtId="0" fontId="50" fillId="0" borderId="293" applyNumberFormat="0" applyFill="0" applyAlignment="0" applyProtection="0"/>
    <xf numFmtId="0" fontId="32" fillId="31" borderId="295">
      <alignment horizontal="right" vertical="center"/>
    </xf>
    <xf numFmtId="4" fontId="34" fillId="0" borderId="295" applyFill="0" applyBorder="0" applyProtection="0">
      <alignment horizontal="right" vertical="center"/>
    </xf>
    <xf numFmtId="0" fontId="43" fillId="55" borderId="314" applyNumberFormat="0" applyAlignment="0" applyProtection="0"/>
    <xf numFmtId="49" fontId="34" fillId="0" borderId="295" applyNumberFormat="0" applyFont="0" applyFill="0" applyBorder="0" applyProtection="0">
      <alignment horizontal="left" vertical="center" indent="2"/>
    </xf>
    <xf numFmtId="0" fontId="49" fillId="42" borderId="292" applyNumberFormat="0" applyAlignment="0" applyProtection="0"/>
    <xf numFmtId="0" fontId="65" fillId="0" borderId="308" applyNumberFormat="0" applyFill="0" applyAlignment="0" applyProtection="0"/>
    <xf numFmtId="0" fontId="12" fillId="21" borderId="0" applyNumberFormat="0" applyBorder="0" applyAlignment="0" applyProtection="0"/>
    <xf numFmtId="0" fontId="12" fillId="30" borderId="0" applyNumberFormat="0" applyBorder="0" applyAlignment="0" applyProtection="0"/>
    <xf numFmtId="0" fontId="34" fillId="0" borderId="310" applyNumberFormat="0" applyFill="0" applyAlignment="0" applyProtection="0"/>
    <xf numFmtId="0" fontId="26" fillId="28" borderId="0" applyNumberFormat="0" applyBorder="0" applyAlignment="0" applyProtection="0"/>
    <xf numFmtId="0" fontId="40" fillId="58" borderId="309" applyNumberFormat="0" applyFont="0" applyAlignment="0" applyProtection="0"/>
    <xf numFmtId="0" fontId="26" fillId="25" borderId="0" applyNumberFormat="0" applyBorder="0" applyAlignment="0" applyProtection="0"/>
    <xf numFmtId="0" fontId="26" fillId="23" borderId="0" applyNumberFormat="0" applyBorder="0" applyAlignment="0" applyProtection="0"/>
    <xf numFmtId="0" fontId="34" fillId="33" borderId="330">
      <alignment horizontal="left" vertical="center" wrapText="1" indent="2"/>
    </xf>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4" fontId="32" fillId="33" borderId="302">
      <alignment horizontal="right" vertical="center"/>
    </xf>
    <xf numFmtId="0" fontId="2" fillId="0" borderId="12" applyNumberFormat="0" applyFill="0" applyAlignment="0" applyProtection="0"/>
    <xf numFmtId="0" fontId="26" fillId="29" borderId="0" applyNumberFormat="0" applyBorder="0" applyAlignment="0" applyProtection="0"/>
    <xf numFmtId="4" fontId="36" fillId="31" borderId="300">
      <alignment horizontal="right" vertical="center"/>
    </xf>
    <xf numFmtId="4" fontId="36" fillId="31" borderId="300">
      <alignment horizontal="right" vertical="center"/>
    </xf>
    <xf numFmtId="0" fontId="40" fillId="58" borderId="309" applyNumberFormat="0" applyFont="0" applyAlignment="0" applyProtection="0"/>
    <xf numFmtId="4" fontId="34" fillId="0" borderId="310">
      <alignment horizontal="right" vertical="center"/>
    </xf>
    <xf numFmtId="0" fontId="49" fillId="42" borderId="292" applyNumberFormat="0" applyAlignment="0" applyProtection="0"/>
    <xf numFmtId="4" fontId="34" fillId="32" borderId="295"/>
    <xf numFmtId="0" fontId="26" fillId="16" borderId="0" applyNumberFormat="0" applyBorder="0" applyAlignment="0" applyProtection="0"/>
    <xf numFmtId="4" fontId="32" fillId="33" borderId="287">
      <alignment horizontal="right" vertical="center"/>
    </xf>
    <xf numFmtId="0" fontId="34" fillId="32" borderId="287"/>
    <xf numFmtId="0" fontId="45" fillId="55" borderId="284" applyNumberFormat="0" applyAlignment="0" applyProtection="0"/>
    <xf numFmtId="0" fontId="32" fillId="31" borderId="287">
      <alignment horizontal="right" vertical="center"/>
    </xf>
    <xf numFmtId="0" fontId="34" fillId="0" borderId="287">
      <alignment horizontal="right" vertical="center"/>
    </xf>
    <xf numFmtId="0" fontId="65" fillId="0" borderId="285" applyNumberFormat="0" applyFill="0" applyAlignment="0" applyProtection="0"/>
    <xf numFmtId="0" fontId="34" fillId="31" borderId="288">
      <alignment horizontal="left" vertical="center"/>
    </xf>
    <xf numFmtId="0" fontId="58" fillId="42" borderId="284" applyNumberFormat="0" applyAlignment="0" applyProtection="0"/>
    <xf numFmtId="173" fontId="34" fillId="59" borderId="287" applyNumberFormat="0" applyFont="0" applyBorder="0" applyAlignment="0" applyProtection="0">
      <alignment horizontal="right" vertical="center"/>
    </xf>
    <xf numFmtId="0" fontId="40" fillId="58" borderId="286" applyNumberFormat="0" applyFont="0" applyAlignment="0" applyProtection="0"/>
    <xf numFmtId="0" fontId="34" fillId="0" borderId="290">
      <alignment horizontal="left" vertical="center" wrapText="1" indent="2"/>
    </xf>
    <xf numFmtId="4" fontId="34" fillId="32" borderId="287"/>
    <xf numFmtId="49" fontId="33" fillId="0" borderId="287" applyNumberFormat="0" applyFill="0" applyBorder="0" applyProtection="0">
      <alignment horizontal="left" vertical="center"/>
    </xf>
    <xf numFmtId="0" fontId="34" fillId="0" borderId="287">
      <alignment horizontal="right" vertical="center"/>
    </xf>
    <xf numFmtId="4" fontId="32" fillId="33" borderId="289">
      <alignment horizontal="right" vertical="center"/>
    </xf>
    <xf numFmtId="4" fontId="32" fillId="33" borderId="287">
      <alignment horizontal="right" vertical="center"/>
    </xf>
    <xf numFmtId="4" fontId="32" fillId="33" borderId="287">
      <alignment horizontal="right" vertical="center"/>
    </xf>
    <xf numFmtId="0" fontId="36" fillId="31" borderId="287">
      <alignment horizontal="right" vertical="center"/>
    </xf>
    <xf numFmtId="0" fontId="32" fillId="31" borderId="287">
      <alignment horizontal="right" vertical="center"/>
    </xf>
    <xf numFmtId="49" fontId="34" fillId="0" borderId="287" applyNumberFormat="0" applyFont="0" applyFill="0" applyBorder="0" applyProtection="0">
      <alignment horizontal="left" vertical="center" indent="2"/>
    </xf>
    <xf numFmtId="0" fontId="58" fillId="42" borderId="284" applyNumberFormat="0" applyAlignment="0" applyProtection="0"/>
    <xf numFmtId="0" fontId="43" fillId="55" borderId="283" applyNumberFormat="0" applyAlignment="0" applyProtection="0"/>
    <xf numFmtId="49" fontId="34" fillId="0" borderId="287" applyNumberFormat="0" applyFont="0" applyFill="0" applyBorder="0" applyProtection="0">
      <alignment horizontal="left" vertical="center" indent="2"/>
    </xf>
    <xf numFmtId="0" fontId="49" fillId="42" borderId="284" applyNumberFormat="0" applyAlignment="0" applyProtection="0"/>
    <xf numFmtId="4" fontId="34" fillId="0" borderId="287" applyFill="0" applyBorder="0" applyProtection="0">
      <alignment horizontal="right" vertical="center"/>
    </xf>
    <xf numFmtId="0" fontId="46" fillId="55" borderId="284" applyNumberFormat="0" applyAlignment="0" applyProtection="0"/>
    <xf numFmtId="0" fontId="65" fillId="0" borderId="285" applyNumberFormat="0" applyFill="0" applyAlignment="0" applyProtection="0"/>
    <xf numFmtId="0" fontId="62" fillId="55" borderId="283" applyNumberFormat="0" applyAlignment="0" applyProtection="0"/>
    <xf numFmtId="0" fontId="34" fillId="0" borderId="287" applyNumberFormat="0" applyFill="0" applyAlignment="0" applyProtection="0"/>
    <xf numFmtId="4" fontId="34" fillId="0" borderId="287">
      <alignment horizontal="right" vertical="center"/>
    </xf>
    <xf numFmtId="0" fontId="34" fillId="0" borderId="287">
      <alignment horizontal="right" vertical="center"/>
    </xf>
    <xf numFmtId="0" fontId="58" fillId="42" borderId="284" applyNumberFormat="0" applyAlignment="0" applyProtection="0"/>
    <xf numFmtId="0" fontId="43" fillId="55" borderId="283" applyNumberFormat="0" applyAlignment="0" applyProtection="0"/>
    <xf numFmtId="0" fontId="45" fillId="55" borderId="284" applyNumberFormat="0" applyAlignment="0" applyProtection="0"/>
    <xf numFmtId="0" fontId="34" fillId="33" borderId="290">
      <alignment horizontal="left" vertical="center" wrapText="1" indent="2"/>
    </xf>
    <xf numFmtId="0" fontId="46" fillId="55" borderId="284" applyNumberFormat="0" applyAlignment="0" applyProtection="0"/>
    <xf numFmtId="0" fontId="46" fillId="55" borderId="284" applyNumberFormat="0" applyAlignment="0" applyProtection="0"/>
    <xf numFmtId="4" fontId="32" fillId="33" borderId="288">
      <alignment horizontal="right" vertical="center"/>
    </xf>
    <xf numFmtId="0" fontId="32" fillId="33" borderId="288">
      <alignment horizontal="right" vertical="center"/>
    </xf>
    <xf numFmtId="0" fontId="32" fillId="33" borderId="287">
      <alignment horizontal="right" vertical="center"/>
    </xf>
    <xf numFmtId="4" fontId="36" fillId="31" borderId="287">
      <alignment horizontal="right" vertical="center"/>
    </xf>
    <xf numFmtId="0" fontId="49" fillId="42" borderId="284" applyNumberFormat="0" applyAlignment="0" applyProtection="0"/>
    <xf numFmtId="0" fontId="50" fillId="0" borderId="285" applyNumberFormat="0" applyFill="0" applyAlignment="0" applyProtection="0"/>
    <xf numFmtId="0" fontId="65" fillId="0" borderId="285" applyNumberFormat="0" applyFill="0" applyAlignment="0" applyProtection="0"/>
    <xf numFmtId="0" fontId="40" fillId="58" borderId="286" applyNumberFormat="0" applyFont="0" applyAlignment="0" applyProtection="0"/>
    <xf numFmtId="0" fontId="58" fillId="42" borderId="284" applyNumberFormat="0" applyAlignment="0" applyProtection="0"/>
    <xf numFmtId="49" fontId="33" fillId="0" borderId="287" applyNumberFormat="0" applyFill="0" applyBorder="0" applyProtection="0">
      <alignment horizontal="left" vertical="center"/>
    </xf>
    <xf numFmtId="0" fontId="34" fillId="33" borderId="290">
      <alignment horizontal="left" vertical="center" wrapText="1" indent="2"/>
    </xf>
    <xf numFmtId="0" fontId="46" fillId="55" borderId="284" applyNumberFormat="0" applyAlignment="0" applyProtection="0"/>
    <xf numFmtId="0" fontId="34" fillId="0" borderId="290">
      <alignment horizontal="left" vertical="center" wrapText="1" indent="2"/>
    </xf>
    <xf numFmtId="0" fontId="40" fillId="58" borderId="286" applyNumberFormat="0" applyFont="0" applyAlignment="0" applyProtection="0"/>
    <xf numFmtId="0" fontId="5" fillId="58" borderId="286" applyNumberFormat="0" applyFont="0" applyAlignment="0" applyProtection="0"/>
    <xf numFmtId="0" fontId="62" fillId="55" borderId="283" applyNumberFormat="0" applyAlignment="0" applyProtection="0"/>
    <xf numFmtId="0" fontId="65" fillId="0" borderId="285" applyNumberFormat="0" applyFill="0" applyAlignment="0" applyProtection="0"/>
    <xf numFmtId="4" fontId="34" fillId="32" borderId="287"/>
    <xf numFmtId="0" fontId="32" fillId="33" borderId="287">
      <alignment horizontal="right" vertical="center"/>
    </xf>
    <xf numFmtId="0" fontId="65" fillId="0" borderId="285" applyNumberFormat="0" applyFill="0" applyAlignment="0" applyProtection="0"/>
    <xf numFmtId="4" fontId="32" fillId="33" borderId="289">
      <alignment horizontal="right" vertical="center"/>
    </xf>
    <xf numFmtId="0" fontId="45" fillId="55" borderId="284" applyNumberFormat="0" applyAlignment="0" applyProtection="0"/>
    <xf numFmtId="0" fontId="32" fillId="33" borderId="288">
      <alignment horizontal="right" vertical="center"/>
    </xf>
    <xf numFmtId="0" fontId="46" fillId="55" borderId="284" applyNumberFormat="0" applyAlignment="0" applyProtection="0"/>
    <xf numFmtId="0" fontId="50" fillId="0" borderId="285" applyNumberFormat="0" applyFill="0" applyAlignment="0" applyProtection="0"/>
    <xf numFmtId="0" fontId="40" fillId="58" borderId="286" applyNumberFormat="0" applyFont="0" applyAlignment="0" applyProtection="0"/>
    <xf numFmtId="4" fontId="32" fillId="33" borderId="288">
      <alignment horizontal="right" vertical="center"/>
    </xf>
    <xf numFmtId="0" fontId="34" fillId="33" borderId="290">
      <alignment horizontal="left" vertical="center" wrapText="1" indent="2"/>
    </xf>
    <xf numFmtId="0" fontId="34" fillId="32" borderId="287"/>
    <xf numFmtId="173" fontId="34" fillId="59" borderId="287" applyNumberFormat="0" applyFont="0" applyBorder="0" applyAlignment="0" applyProtection="0">
      <alignment horizontal="right" vertical="center"/>
    </xf>
    <xf numFmtId="0" fontId="34" fillId="0" borderId="287" applyNumberFormat="0" applyFill="0" applyAlignment="0" applyProtection="0"/>
    <xf numFmtId="4" fontId="34" fillId="0" borderId="287" applyFill="0" applyBorder="0" applyProtection="0">
      <alignment horizontal="right" vertical="center"/>
    </xf>
    <xf numFmtId="4" fontId="32" fillId="31" borderId="287">
      <alignment horizontal="right" vertical="center"/>
    </xf>
    <xf numFmtId="0" fontId="50" fillId="0" borderId="285" applyNumberFormat="0" applyFill="0" applyAlignment="0" applyProtection="0"/>
    <xf numFmtId="49" fontId="33" fillId="0" borderId="287" applyNumberFormat="0" applyFill="0" applyBorder="0" applyProtection="0">
      <alignment horizontal="left" vertical="center"/>
    </xf>
    <xf numFmtId="49" fontId="34" fillId="0" borderId="288" applyNumberFormat="0" applyFont="0" applyFill="0" applyBorder="0" applyProtection="0">
      <alignment horizontal="left" vertical="center" indent="5"/>
    </xf>
    <xf numFmtId="0" fontId="34" fillId="31" borderId="288">
      <alignment horizontal="left" vertical="center"/>
    </xf>
    <xf numFmtId="0" fontId="46" fillId="55" borderId="284" applyNumberFormat="0" applyAlignment="0" applyProtection="0"/>
    <xf numFmtId="4" fontId="32" fillId="33" borderId="289">
      <alignment horizontal="right" vertical="center"/>
    </xf>
    <xf numFmtId="0" fontId="58" fillId="42" borderId="284" applyNumberFormat="0" applyAlignment="0" applyProtection="0"/>
    <xf numFmtId="0" fontId="58" fillId="42" borderId="284" applyNumberFormat="0" applyAlignment="0" applyProtection="0"/>
    <xf numFmtId="0" fontId="40" fillId="58" borderId="286" applyNumberFormat="0" applyFont="0" applyAlignment="0" applyProtection="0"/>
    <xf numFmtId="0" fontId="62" fillId="55" borderId="283" applyNumberFormat="0" applyAlignment="0" applyProtection="0"/>
    <xf numFmtId="0" fontId="65" fillId="0" borderId="285" applyNumberFormat="0" applyFill="0" applyAlignment="0" applyProtection="0"/>
    <xf numFmtId="0" fontId="32" fillId="33" borderId="287">
      <alignment horizontal="right" vertical="center"/>
    </xf>
    <xf numFmtId="0" fontId="5" fillId="58" borderId="286" applyNumberFormat="0" applyFont="0" applyAlignment="0" applyProtection="0"/>
    <xf numFmtId="4" fontId="34" fillId="0" borderId="287">
      <alignment horizontal="right" vertical="center"/>
    </xf>
    <xf numFmtId="0" fontId="65" fillId="0" borderId="285" applyNumberFormat="0" applyFill="0" applyAlignment="0" applyProtection="0"/>
    <xf numFmtId="0" fontId="32" fillId="33" borderId="287">
      <alignment horizontal="right" vertical="center"/>
    </xf>
    <xf numFmtId="0" fontId="32" fillId="33" borderId="287">
      <alignment horizontal="right" vertical="center"/>
    </xf>
    <xf numFmtId="4" fontId="36" fillId="31" borderId="287">
      <alignment horizontal="right" vertical="center"/>
    </xf>
    <xf numFmtId="0" fontId="32" fillId="31" borderId="287">
      <alignment horizontal="right" vertical="center"/>
    </xf>
    <xf numFmtId="4" fontId="32" fillId="31" borderId="287">
      <alignment horizontal="right" vertical="center"/>
    </xf>
    <xf numFmtId="0" fontId="36" fillId="31" borderId="287">
      <alignment horizontal="right" vertical="center"/>
    </xf>
    <xf numFmtId="4" fontId="36" fillId="31" borderId="287">
      <alignment horizontal="right" vertical="center"/>
    </xf>
    <xf numFmtId="0" fontId="32" fillId="33" borderId="287">
      <alignment horizontal="right" vertical="center"/>
    </xf>
    <xf numFmtId="4" fontId="32" fillId="33" borderId="287">
      <alignment horizontal="right" vertical="center"/>
    </xf>
    <xf numFmtId="0" fontId="32" fillId="33" borderId="287">
      <alignment horizontal="right" vertical="center"/>
    </xf>
    <xf numFmtId="4" fontId="32" fillId="33" borderId="287">
      <alignment horizontal="right" vertical="center"/>
    </xf>
    <xf numFmtId="0" fontId="32" fillId="33" borderId="288">
      <alignment horizontal="right" vertical="center"/>
    </xf>
    <xf numFmtId="4" fontId="32" fillId="33" borderId="288">
      <alignment horizontal="right" vertical="center"/>
    </xf>
    <xf numFmtId="0" fontId="32" fillId="33" borderId="289">
      <alignment horizontal="right" vertical="center"/>
    </xf>
    <xf numFmtId="4" fontId="32" fillId="33" borderId="289">
      <alignment horizontal="right" vertical="center"/>
    </xf>
    <xf numFmtId="0" fontId="46" fillId="55" borderId="284" applyNumberFormat="0" applyAlignment="0" applyProtection="0"/>
    <xf numFmtId="0" fontId="34" fillId="33" borderId="290">
      <alignment horizontal="left" vertical="center" wrapText="1" indent="2"/>
    </xf>
    <xf numFmtId="0" fontId="34" fillId="0" borderId="290">
      <alignment horizontal="left" vertical="center" wrapText="1" indent="2"/>
    </xf>
    <xf numFmtId="0" fontId="34" fillId="31" borderId="288">
      <alignment horizontal="left" vertical="center"/>
    </xf>
    <xf numFmtId="0" fontId="58" fillId="42" borderId="284" applyNumberFormat="0" applyAlignment="0" applyProtection="0"/>
    <xf numFmtId="0" fontId="34" fillId="0" borderId="287">
      <alignment horizontal="right" vertical="center"/>
    </xf>
    <xf numFmtId="4" fontId="34" fillId="0" borderId="287">
      <alignment horizontal="right" vertical="center"/>
    </xf>
    <xf numFmtId="0" fontId="34" fillId="0" borderId="287" applyNumberFormat="0" applyFill="0" applyAlignment="0" applyProtection="0"/>
    <xf numFmtId="0" fontId="62" fillId="55" borderId="283" applyNumberFormat="0" applyAlignment="0" applyProtection="0"/>
    <xf numFmtId="173" fontId="34" fillId="59" borderId="287" applyNumberFormat="0" applyFont="0" applyBorder="0" applyAlignment="0" applyProtection="0">
      <alignment horizontal="right" vertical="center"/>
    </xf>
    <xf numFmtId="0" fontId="34" fillId="32" borderId="287"/>
    <xf numFmtId="4" fontId="34" fillId="32" borderId="287"/>
    <xf numFmtId="0" fontId="65" fillId="0" borderId="285" applyNumberFormat="0" applyFill="0" applyAlignment="0" applyProtection="0"/>
    <xf numFmtId="0" fontId="5" fillId="58" borderId="286" applyNumberFormat="0" applyFont="0" applyAlignment="0" applyProtection="0"/>
    <xf numFmtId="0" fontId="40" fillId="58" borderId="286" applyNumberFormat="0" applyFont="0" applyAlignment="0" applyProtection="0"/>
    <xf numFmtId="0" fontId="34" fillId="0" borderId="287" applyNumberFormat="0" applyFill="0" applyAlignment="0" applyProtection="0"/>
    <xf numFmtId="0" fontId="50" fillId="0" borderId="285" applyNumberFormat="0" applyFill="0" applyAlignment="0" applyProtection="0"/>
    <xf numFmtId="0" fontId="65" fillId="0" borderId="285" applyNumberFormat="0" applyFill="0" applyAlignment="0" applyProtection="0"/>
    <xf numFmtId="0" fontId="49" fillId="42" borderId="284" applyNumberFormat="0" applyAlignment="0" applyProtection="0"/>
    <xf numFmtId="0" fontId="46" fillId="55" borderId="284" applyNumberFormat="0" applyAlignment="0" applyProtection="0"/>
    <xf numFmtId="4" fontId="36" fillId="31" borderId="287">
      <alignment horizontal="right" vertical="center"/>
    </xf>
    <xf numFmtId="0" fontId="32" fillId="31" borderId="287">
      <alignment horizontal="right" vertical="center"/>
    </xf>
    <xf numFmtId="173" fontId="34" fillId="59" borderId="287" applyNumberFormat="0" applyFont="0" applyBorder="0" applyAlignment="0" applyProtection="0">
      <alignment horizontal="right" vertical="center"/>
    </xf>
    <xf numFmtId="0" fontId="50" fillId="0" borderId="285" applyNumberFormat="0" applyFill="0" applyAlignment="0" applyProtection="0"/>
    <xf numFmtId="49" fontId="34" fillId="0" borderId="287" applyNumberFormat="0" applyFont="0" applyFill="0" applyBorder="0" applyProtection="0">
      <alignment horizontal="left" vertical="center" indent="2"/>
    </xf>
    <xf numFmtId="49" fontId="34" fillId="0" borderId="288" applyNumberFormat="0" applyFont="0" applyFill="0" applyBorder="0" applyProtection="0">
      <alignment horizontal="left" vertical="center" indent="5"/>
    </xf>
    <xf numFmtId="49" fontId="34" fillId="0" borderId="287" applyNumberFormat="0" applyFont="0" applyFill="0" applyBorder="0" applyProtection="0">
      <alignment horizontal="left" vertical="center" indent="2"/>
    </xf>
    <xf numFmtId="4" fontId="34" fillId="0" borderId="287" applyFill="0" applyBorder="0" applyProtection="0">
      <alignment horizontal="right" vertical="center"/>
    </xf>
    <xf numFmtId="49" fontId="33" fillId="0" borderId="287" applyNumberFormat="0" applyFill="0" applyBorder="0" applyProtection="0">
      <alignment horizontal="left" vertical="center"/>
    </xf>
    <xf numFmtId="0" fontId="34" fillId="0" borderId="290">
      <alignment horizontal="left" vertical="center" wrapText="1" indent="2"/>
    </xf>
    <xf numFmtId="0" fontId="62" fillId="55" borderId="283" applyNumberFormat="0" applyAlignment="0" applyProtection="0"/>
    <xf numFmtId="0" fontId="32" fillId="33" borderId="289">
      <alignment horizontal="right" vertical="center"/>
    </xf>
    <xf numFmtId="0" fontId="49" fillId="42" borderId="284" applyNumberFormat="0" applyAlignment="0" applyProtection="0"/>
    <xf numFmtId="0" fontId="32" fillId="33" borderId="289">
      <alignment horizontal="right" vertical="center"/>
    </xf>
    <xf numFmtId="4" fontId="32" fillId="33" borderId="287">
      <alignment horizontal="right" vertical="center"/>
    </xf>
    <xf numFmtId="0" fontId="32" fillId="33" borderId="287">
      <alignment horizontal="right" vertical="center"/>
    </xf>
    <xf numFmtId="0" fontId="43" fillId="55" borderId="283" applyNumberFormat="0" applyAlignment="0" applyProtection="0"/>
    <xf numFmtId="0" fontId="45" fillId="55" borderId="284" applyNumberFormat="0" applyAlignment="0" applyProtection="0"/>
    <xf numFmtId="0" fontId="50" fillId="0" borderId="285" applyNumberFormat="0" applyFill="0" applyAlignment="0" applyProtection="0"/>
    <xf numFmtId="0" fontId="34" fillId="32" borderId="287"/>
    <xf numFmtId="4" fontId="34" fillId="32" borderId="287"/>
    <xf numFmtId="4" fontId="32" fillId="33" borderId="287">
      <alignment horizontal="right" vertical="center"/>
    </xf>
    <xf numFmtId="0" fontId="36" fillId="31" borderId="287">
      <alignment horizontal="right" vertical="center"/>
    </xf>
    <xf numFmtId="0" fontId="49" fillId="42" borderId="284" applyNumberFormat="0" applyAlignment="0" applyProtection="0"/>
    <xf numFmtId="0" fontId="46" fillId="55" borderId="284" applyNumberFormat="0" applyAlignment="0" applyProtection="0"/>
    <xf numFmtId="4" fontId="34" fillId="0" borderId="287">
      <alignment horizontal="right" vertical="center"/>
    </xf>
    <xf numFmtId="0" fontId="34" fillId="33" borderId="290">
      <alignment horizontal="left" vertical="center" wrapText="1" indent="2"/>
    </xf>
    <xf numFmtId="0" fontId="34" fillId="0" borderId="290">
      <alignment horizontal="left" vertical="center" wrapText="1" indent="2"/>
    </xf>
    <xf numFmtId="0" fontId="62" fillId="55" borderId="283" applyNumberFormat="0" applyAlignment="0" applyProtection="0"/>
    <xf numFmtId="0" fontId="58" fillId="42" borderId="284" applyNumberFormat="0" applyAlignment="0" applyProtection="0"/>
    <xf numFmtId="0" fontId="45" fillId="55" borderId="284" applyNumberFormat="0" applyAlignment="0" applyProtection="0"/>
    <xf numFmtId="0" fontId="43" fillId="55" borderId="283" applyNumberFormat="0" applyAlignment="0" applyProtection="0"/>
    <xf numFmtId="0" fontId="32" fillId="33" borderId="289">
      <alignment horizontal="right" vertical="center"/>
    </xf>
    <xf numFmtId="0" fontId="36" fillId="31" borderId="287">
      <alignment horizontal="right" vertical="center"/>
    </xf>
    <xf numFmtId="4" fontId="32" fillId="31" borderId="287">
      <alignment horizontal="right" vertical="center"/>
    </xf>
    <xf numFmtId="4" fontId="32" fillId="33" borderId="287">
      <alignment horizontal="right" vertical="center"/>
    </xf>
    <xf numFmtId="49" fontId="34" fillId="0" borderId="288" applyNumberFormat="0" applyFont="0" applyFill="0" applyBorder="0" applyProtection="0">
      <alignment horizontal="left" vertical="center" indent="5"/>
    </xf>
    <xf numFmtId="4" fontId="34" fillId="0" borderId="287" applyFill="0" applyBorder="0" applyProtection="0">
      <alignment horizontal="right" vertical="center"/>
    </xf>
    <xf numFmtId="4" fontId="32" fillId="31" borderId="287">
      <alignment horizontal="right" vertical="center"/>
    </xf>
    <xf numFmtId="4" fontId="32" fillId="33" borderId="327">
      <alignment horizontal="right" vertical="center"/>
    </xf>
    <xf numFmtId="0" fontId="58" fillId="42" borderId="284" applyNumberFormat="0" applyAlignment="0" applyProtection="0"/>
    <xf numFmtId="0" fontId="49" fillId="42" borderId="284" applyNumberFormat="0" applyAlignment="0" applyProtection="0"/>
    <xf numFmtId="0" fontId="45" fillId="55" borderId="284" applyNumberFormat="0" applyAlignment="0" applyProtection="0"/>
    <xf numFmtId="0" fontId="34" fillId="33" borderId="290">
      <alignment horizontal="left" vertical="center" wrapText="1" indent="2"/>
    </xf>
    <xf numFmtId="0" fontId="34" fillId="0" borderId="290">
      <alignment horizontal="left" vertical="center" wrapText="1" indent="2"/>
    </xf>
    <xf numFmtId="0" fontId="34" fillId="33" borderId="290">
      <alignment horizontal="left" vertical="center" wrapText="1" indent="2"/>
    </xf>
    <xf numFmtId="0" fontId="34" fillId="0" borderId="290">
      <alignment horizontal="left" vertical="center" wrapText="1" indent="2"/>
    </xf>
    <xf numFmtId="0" fontId="43" fillId="55" borderId="283" applyNumberFormat="0" applyAlignment="0" applyProtection="0"/>
    <xf numFmtId="0" fontId="45" fillId="55" borderId="284" applyNumberFormat="0" applyAlignment="0" applyProtection="0"/>
    <xf numFmtId="0" fontId="46" fillId="55" borderId="284" applyNumberFormat="0" applyAlignment="0" applyProtection="0"/>
    <xf numFmtId="0" fontId="49" fillId="42" borderId="284" applyNumberFormat="0" applyAlignment="0" applyProtection="0"/>
    <xf numFmtId="0" fontId="50" fillId="0" borderId="285" applyNumberFormat="0" applyFill="0" applyAlignment="0" applyProtection="0"/>
    <xf numFmtId="0" fontId="58" fillId="42" borderId="284" applyNumberFormat="0" applyAlignment="0" applyProtection="0"/>
    <xf numFmtId="0" fontId="40" fillId="58" borderId="286" applyNumberFormat="0" applyFont="0" applyAlignment="0" applyProtection="0"/>
    <xf numFmtId="0" fontId="5" fillId="58" borderId="286" applyNumberFormat="0" applyFont="0" applyAlignment="0" applyProtection="0"/>
    <xf numFmtId="0" fontId="62" fillId="55" borderId="283" applyNumberFormat="0" applyAlignment="0" applyProtection="0"/>
    <xf numFmtId="0" fontId="65" fillId="0" borderId="285" applyNumberFormat="0" applyFill="0" applyAlignment="0" applyProtection="0"/>
    <xf numFmtId="0" fontId="46" fillId="55" borderId="284" applyNumberFormat="0" applyAlignment="0" applyProtection="0"/>
    <xf numFmtId="0" fontId="58" fillId="42" borderId="284" applyNumberFormat="0" applyAlignment="0" applyProtection="0"/>
    <xf numFmtId="0" fontId="40" fillId="58" borderId="286" applyNumberFormat="0" applyFont="0" applyAlignment="0" applyProtection="0"/>
    <xf numFmtId="0" fontId="62" fillId="55" borderId="283" applyNumberFormat="0" applyAlignment="0" applyProtection="0"/>
    <xf numFmtId="0" fontId="65" fillId="0" borderId="285" applyNumberFormat="0" applyFill="0" applyAlignment="0" applyProtection="0"/>
    <xf numFmtId="0" fontId="32" fillId="31" borderId="300">
      <alignment horizontal="right" vertical="center"/>
    </xf>
    <xf numFmtId="0" fontId="46" fillId="55" borderId="324" applyNumberFormat="0" applyAlignment="0" applyProtection="0"/>
    <xf numFmtId="4" fontId="32" fillId="33" borderId="297">
      <alignment horizontal="right" vertical="center"/>
    </xf>
    <xf numFmtId="0" fontId="32" fillId="33" borderId="295">
      <alignment horizontal="right" vertical="center"/>
    </xf>
    <xf numFmtId="0" fontId="46" fillId="55" borderId="284" applyNumberFormat="0" applyAlignment="0" applyProtection="0"/>
    <xf numFmtId="4" fontId="32" fillId="33" borderId="295">
      <alignment horizontal="right" vertical="center"/>
    </xf>
    <xf numFmtId="0" fontId="12" fillId="27" borderId="0" applyNumberFormat="0" applyBorder="0" applyAlignment="0" applyProtection="0"/>
    <xf numFmtId="0" fontId="26" fillId="26" borderId="0" applyNumberFormat="0" applyBorder="0" applyAlignment="0" applyProtection="0"/>
    <xf numFmtId="0" fontId="58" fillId="42" borderId="284" applyNumberFormat="0" applyAlignment="0" applyProtection="0"/>
    <xf numFmtId="0" fontId="62" fillId="55" borderId="283" applyNumberFormat="0" applyAlignment="0" applyProtection="0"/>
    <xf numFmtId="0" fontId="65" fillId="0" borderId="285" applyNumberFormat="0" applyFill="0" applyAlignment="0" applyProtection="0"/>
    <xf numFmtId="0" fontId="32" fillId="31" borderId="300">
      <alignment horizontal="right" vertical="center"/>
    </xf>
    <xf numFmtId="0" fontId="43" fillId="55" borderId="283" applyNumberFormat="0" applyAlignment="0" applyProtection="0"/>
    <xf numFmtId="0" fontId="45" fillId="55" borderId="284" applyNumberFormat="0" applyAlignment="0" applyProtection="0"/>
    <xf numFmtId="0" fontId="50" fillId="0" borderId="285" applyNumberFormat="0" applyFill="0" applyAlignment="0" applyProtection="0"/>
    <xf numFmtId="49" fontId="34" fillId="0" borderId="287" applyNumberFormat="0" applyFont="0" applyFill="0" applyBorder="0" applyProtection="0">
      <alignment horizontal="left" vertical="center" indent="2"/>
    </xf>
    <xf numFmtId="0" fontId="32" fillId="31" borderId="287">
      <alignment horizontal="right" vertical="center"/>
    </xf>
    <xf numFmtId="4" fontId="32" fillId="31" borderId="287">
      <alignment horizontal="right" vertical="center"/>
    </xf>
    <xf numFmtId="0" fontId="36" fillId="31" borderId="287">
      <alignment horizontal="right" vertical="center"/>
    </xf>
    <xf numFmtId="4" fontId="36" fillId="31" borderId="287">
      <alignment horizontal="right" vertical="center"/>
    </xf>
    <xf numFmtId="0" fontId="32" fillId="33" borderId="287">
      <alignment horizontal="right" vertical="center"/>
    </xf>
    <xf numFmtId="4" fontId="32" fillId="33" borderId="287">
      <alignment horizontal="right" vertical="center"/>
    </xf>
    <xf numFmtId="0" fontId="32" fillId="33" borderId="287">
      <alignment horizontal="right" vertical="center"/>
    </xf>
    <xf numFmtId="4" fontId="32" fillId="33" borderId="287">
      <alignment horizontal="right" vertical="center"/>
    </xf>
    <xf numFmtId="0" fontId="49" fillId="42" borderId="284" applyNumberFormat="0" applyAlignment="0" applyProtection="0"/>
    <xf numFmtId="0" fontId="34" fillId="0" borderId="287">
      <alignment horizontal="right" vertical="center"/>
    </xf>
    <xf numFmtId="4" fontId="34" fillId="0" borderId="287">
      <alignment horizontal="right" vertical="center"/>
    </xf>
    <xf numFmtId="4" fontId="34" fillId="0" borderId="287" applyFill="0" applyBorder="0" applyProtection="0">
      <alignment horizontal="right" vertical="center"/>
    </xf>
    <xf numFmtId="49" fontId="33" fillId="0" borderId="287" applyNumberFormat="0" applyFill="0" applyBorder="0" applyProtection="0">
      <alignment horizontal="left" vertical="center"/>
    </xf>
    <xf numFmtId="0" fontId="34" fillId="0" borderId="287" applyNumberFormat="0" applyFill="0" applyAlignment="0" applyProtection="0"/>
    <xf numFmtId="173" fontId="34" fillId="59" borderId="287" applyNumberFormat="0" applyFont="0" applyBorder="0" applyAlignment="0" applyProtection="0">
      <alignment horizontal="right" vertical="center"/>
    </xf>
    <xf numFmtId="0" fontId="34" fillId="32" borderId="287"/>
    <xf numFmtId="4" fontId="34" fillId="32" borderId="287"/>
    <xf numFmtId="4" fontId="32" fillId="33" borderId="287">
      <alignment horizontal="right" vertical="center"/>
    </xf>
    <xf numFmtId="0" fontId="34" fillId="32" borderId="287"/>
    <xf numFmtId="0" fontId="45" fillId="55" borderId="284" applyNumberFormat="0" applyAlignment="0" applyProtection="0"/>
    <xf numFmtId="0" fontId="32" fillId="31" borderId="287">
      <alignment horizontal="right" vertical="center"/>
    </xf>
    <xf numFmtId="0" fontId="34" fillId="0" borderId="287">
      <alignment horizontal="right" vertical="center"/>
    </xf>
    <xf numFmtId="0" fontId="65" fillId="0" borderId="285" applyNumberFormat="0" applyFill="0" applyAlignment="0" applyProtection="0"/>
    <xf numFmtId="0" fontId="34" fillId="31" borderId="288">
      <alignment horizontal="left" vertical="center"/>
    </xf>
    <xf numFmtId="0" fontId="58" fillId="42" borderId="284" applyNumberFormat="0" applyAlignment="0" applyProtection="0"/>
    <xf numFmtId="173" fontId="34" fillId="59" borderId="287" applyNumberFormat="0" applyFont="0" applyBorder="0" applyAlignment="0" applyProtection="0">
      <alignment horizontal="right" vertical="center"/>
    </xf>
    <xf numFmtId="0" fontId="40" fillId="58" borderId="286" applyNumberFormat="0" applyFont="0" applyAlignment="0" applyProtection="0"/>
    <xf numFmtId="0" fontId="34" fillId="0" borderId="290">
      <alignment horizontal="left" vertical="center" wrapText="1" indent="2"/>
    </xf>
    <xf numFmtId="4" fontId="34" fillId="32" borderId="287"/>
    <xf numFmtId="49" fontId="33" fillId="0" borderId="287" applyNumberFormat="0" applyFill="0" applyBorder="0" applyProtection="0">
      <alignment horizontal="left" vertical="center"/>
    </xf>
    <xf numFmtId="0" fontId="34" fillId="0" borderId="287">
      <alignment horizontal="right" vertical="center"/>
    </xf>
    <xf numFmtId="4" fontId="32" fillId="33" borderId="289">
      <alignment horizontal="right" vertical="center"/>
    </xf>
    <xf numFmtId="4" fontId="32" fillId="33" borderId="287">
      <alignment horizontal="right" vertical="center"/>
    </xf>
    <xf numFmtId="4" fontId="32" fillId="33" borderId="287">
      <alignment horizontal="right" vertical="center"/>
    </xf>
    <xf numFmtId="0" fontId="36" fillId="31" borderId="287">
      <alignment horizontal="right" vertical="center"/>
    </xf>
    <xf numFmtId="0" fontId="32" fillId="31" borderId="287">
      <alignment horizontal="right" vertical="center"/>
    </xf>
    <xf numFmtId="49" fontId="34" fillId="0" borderId="287" applyNumberFormat="0" applyFont="0" applyFill="0" applyBorder="0" applyProtection="0">
      <alignment horizontal="left" vertical="center" indent="2"/>
    </xf>
    <xf numFmtId="0" fontId="58" fillId="42" borderId="284" applyNumberFormat="0" applyAlignment="0" applyProtection="0"/>
    <xf numFmtId="0" fontId="43" fillId="55" borderId="283" applyNumberFormat="0" applyAlignment="0" applyProtection="0"/>
    <xf numFmtId="49" fontId="34" fillId="0" borderId="287" applyNumberFormat="0" applyFont="0" applyFill="0" applyBorder="0" applyProtection="0">
      <alignment horizontal="left" vertical="center" indent="2"/>
    </xf>
    <xf numFmtId="0" fontId="49" fillId="42" borderId="284" applyNumberFormat="0" applyAlignment="0" applyProtection="0"/>
    <xf numFmtId="4" fontId="34" fillId="0" borderId="287" applyFill="0" applyBorder="0" applyProtection="0">
      <alignment horizontal="right" vertical="center"/>
    </xf>
    <xf numFmtId="0" fontId="46" fillId="55" borderId="284" applyNumberFormat="0" applyAlignment="0" applyProtection="0"/>
    <xf numFmtId="0" fontId="65" fillId="0" borderId="285" applyNumberFormat="0" applyFill="0" applyAlignment="0" applyProtection="0"/>
    <xf numFmtId="0" fontId="62" fillId="55" borderId="283" applyNumberFormat="0" applyAlignment="0" applyProtection="0"/>
    <xf numFmtId="0" fontId="34" fillId="0" borderId="287" applyNumberFormat="0" applyFill="0" applyAlignment="0" applyProtection="0"/>
    <xf numFmtId="4" fontId="34" fillId="0" borderId="287">
      <alignment horizontal="right" vertical="center"/>
    </xf>
    <xf numFmtId="0" fontId="34" fillId="0" borderId="287">
      <alignment horizontal="right" vertical="center"/>
    </xf>
    <xf numFmtId="0" fontId="58" fillId="42" borderId="284" applyNumberFormat="0" applyAlignment="0" applyProtection="0"/>
    <xf numFmtId="0" fontId="43" fillId="55" borderId="283" applyNumberFormat="0" applyAlignment="0" applyProtection="0"/>
    <xf numFmtId="0" fontId="45" fillId="55" borderId="284" applyNumberFormat="0" applyAlignment="0" applyProtection="0"/>
    <xf numFmtId="0" fontId="34" fillId="33" borderId="290">
      <alignment horizontal="left" vertical="center" wrapText="1" indent="2"/>
    </xf>
    <xf numFmtId="0" fontId="46" fillId="55" borderId="284" applyNumberFormat="0" applyAlignment="0" applyProtection="0"/>
    <xf numFmtId="0" fontId="46" fillId="55" borderId="284" applyNumberFormat="0" applyAlignment="0" applyProtection="0"/>
    <xf numFmtId="4" fontId="32" fillId="33" borderId="288">
      <alignment horizontal="right" vertical="center"/>
    </xf>
    <xf numFmtId="0" fontId="32" fillId="33" borderId="288">
      <alignment horizontal="right" vertical="center"/>
    </xf>
    <xf numFmtId="0" fontId="32" fillId="33" borderId="287">
      <alignment horizontal="right" vertical="center"/>
    </xf>
    <xf numFmtId="4" fontId="36" fillId="31" borderId="287">
      <alignment horizontal="right" vertical="center"/>
    </xf>
    <xf numFmtId="0" fontId="49" fillId="42" borderId="284" applyNumberFormat="0" applyAlignment="0" applyProtection="0"/>
    <xf numFmtId="0" fontId="50" fillId="0" borderId="285" applyNumberFormat="0" applyFill="0" applyAlignment="0" applyProtection="0"/>
    <xf numFmtId="0" fontId="65" fillId="0" borderId="285" applyNumberFormat="0" applyFill="0" applyAlignment="0" applyProtection="0"/>
    <xf numFmtId="0" fontId="40" fillId="58" borderId="286" applyNumberFormat="0" applyFont="0" applyAlignment="0" applyProtection="0"/>
    <xf numFmtId="0" fontId="58" fillId="42" borderId="284" applyNumberFormat="0" applyAlignment="0" applyProtection="0"/>
    <xf numFmtId="49" fontId="33" fillId="0" borderId="287" applyNumberFormat="0" applyFill="0" applyBorder="0" applyProtection="0">
      <alignment horizontal="left" vertical="center"/>
    </xf>
    <xf numFmtId="0" fontId="34" fillId="33" borderId="290">
      <alignment horizontal="left" vertical="center" wrapText="1" indent="2"/>
    </xf>
    <xf numFmtId="0" fontId="46" fillId="55" borderId="284" applyNumberFormat="0" applyAlignment="0" applyProtection="0"/>
    <xf numFmtId="0" fontId="34" fillId="0" borderId="290">
      <alignment horizontal="left" vertical="center" wrapText="1" indent="2"/>
    </xf>
    <xf numFmtId="0" fontId="40" fillId="58" borderId="286" applyNumberFormat="0" applyFont="0" applyAlignment="0" applyProtection="0"/>
    <xf numFmtId="0" fontId="5" fillId="58" borderId="286" applyNumberFormat="0" applyFont="0" applyAlignment="0" applyProtection="0"/>
    <xf numFmtId="0" fontId="62" fillId="55" borderId="283" applyNumberFormat="0" applyAlignment="0" applyProtection="0"/>
    <xf numFmtId="0" fontId="65" fillId="0" borderId="285" applyNumberFormat="0" applyFill="0" applyAlignment="0" applyProtection="0"/>
    <xf numFmtId="4" fontId="34" fillId="32" borderId="287"/>
    <xf numFmtId="0" fontId="32" fillId="33" borderId="287">
      <alignment horizontal="right" vertical="center"/>
    </xf>
    <xf numFmtId="0" fontId="65" fillId="0" borderId="285" applyNumberFormat="0" applyFill="0" applyAlignment="0" applyProtection="0"/>
    <xf numFmtId="4" fontId="32" fillId="33" borderId="289">
      <alignment horizontal="right" vertical="center"/>
    </xf>
    <xf numFmtId="0" fontId="45" fillId="55" borderId="284" applyNumberFormat="0" applyAlignment="0" applyProtection="0"/>
    <xf numFmtId="0" fontId="32" fillId="33" borderId="288">
      <alignment horizontal="right" vertical="center"/>
    </xf>
    <xf numFmtId="0" fontId="46" fillId="55" borderId="284" applyNumberFormat="0" applyAlignment="0" applyProtection="0"/>
    <xf numFmtId="0" fontId="50" fillId="0" borderId="285" applyNumberFormat="0" applyFill="0" applyAlignment="0" applyProtection="0"/>
    <xf numFmtId="0" fontId="40" fillId="58" borderId="286" applyNumberFormat="0" applyFont="0" applyAlignment="0" applyProtection="0"/>
    <xf numFmtId="4" fontId="32" fillId="33" borderId="288">
      <alignment horizontal="right" vertical="center"/>
    </xf>
    <xf numFmtId="0" fontId="34" fillId="33" borderId="290">
      <alignment horizontal="left" vertical="center" wrapText="1" indent="2"/>
    </xf>
    <xf numFmtId="0" fontId="34" fillId="32" borderId="287"/>
    <xf numFmtId="173" fontId="34" fillId="59" borderId="287" applyNumberFormat="0" applyFont="0" applyBorder="0" applyAlignment="0" applyProtection="0">
      <alignment horizontal="right" vertical="center"/>
    </xf>
    <xf numFmtId="0" fontId="34" fillId="0" borderId="287" applyNumberFormat="0" applyFill="0" applyAlignment="0" applyProtection="0"/>
    <xf numFmtId="4" fontId="34" fillId="0" borderId="287" applyFill="0" applyBorder="0" applyProtection="0">
      <alignment horizontal="right" vertical="center"/>
    </xf>
    <xf numFmtId="4" fontId="32" fillId="31" borderId="287">
      <alignment horizontal="right" vertical="center"/>
    </xf>
    <xf numFmtId="0" fontId="50" fillId="0" borderId="285" applyNumberFormat="0" applyFill="0" applyAlignment="0" applyProtection="0"/>
    <xf numFmtId="49" fontId="33" fillId="0" borderId="287" applyNumberFormat="0" applyFill="0" applyBorder="0" applyProtection="0">
      <alignment horizontal="left" vertical="center"/>
    </xf>
    <xf numFmtId="49" fontId="34" fillId="0" borderId="288" applyNumberFormat="0" applyFont="0" applyFill="0" applyBorder="0" applyProtection="0">
      <alignment horizontal="left" vertical="center" indent="5"/>
    </xf>
    <xf numFmtId="0" fontId="34" fillId="31" borderId="288">
      <alignment horizontal="left" vertical="center"/>
    </xf>
    <xf numFmtId="0" fontId="46" fillId="55" borderId="284" applyNumberFormat="0" applyAlignment="0" applyProtection="0"/>
    <xf numFmtId="4" fontId="32" fillId="33" borderId="289">
      <alignment horizontal="right" vertical="center"/>
    </xf>
    <xf numFmtId="0" fontId="58" fillId="42" borderId="284" applyNumberFormat="0" applyAlignment="0" applyProtection="0"/>
    <xf numFmtId="0" fontId="58" fillId="42" borderId="284" applyNumberFormat="0" applyAlignment="0" applyProtection="0"/>
    <xf numFmtId="0" fontId="40" fillId="58" borderId="286" applyNumberFormat="0" applyFont="0" applyAlignment="0" applyProtection="0"/>
    <xf numFmtId="0" fontId="62" fillId="55" borderId="283" applyNumberFormat="0" applyAlignment="0" applyProtection="0"/>
    <xf numFmtId="0" fontId="65" fillId="0" borderId="285" applyNumberFormat="0" applyFill="0" applyAlignment="0" applyProtection="0"/>
    <xf numFmtId="0" fontId="32" fillId="33" borderId="287">
      <alignment horizontal="right" vertical="center"/>
    </xf>
    <xf numFmtId="0" fontId="5" fillId="58" borderId="286" applyNumberFormat="0" applyFont="0" applyAlignment="0" applyProtection="0"/>
    <xf numFmtId="4" fontId="34" fillId="0" borderId="287">
      <alignment horizontal="right" vertical="center"/>
    </xf>
    <xf numFmtId="0" fontId="65" fillId="0" borderId="285" applyNumberFormat="0" applyFill="0" applyAlignment="0" applyProtection="0"/>
    <xf numFmtId="0" fontId="32" fillId="33" borderId="287">
      <alignment horizontal="right" vertical="center"/>
    </xf>
    <xf numFmtId="0" fontId="32" fillId="33" borderId="287">
      <alignment horizontal="right" vertical="center"/>
    </xf>
    <xf numFmtId="4" fontId="36" fillId="31" borderId="287">
      <alignment horizontal="right" vertical="center"/>
    </xf>
    <xf numFmtId="0" fontId="32" fillId="31" borderId="287">
      <alignment horizontal="right" vertical="center"/>
    </xf>
    <xf numFmtId="4" fontId="32" fillId="31" borderId="287">
      <alignment horizontal="right" vertical="center"/>
    </xf>
    <xf numFmtId="0" fontId="36" fillId="31" borderId="287">
      <alignment horizontal="right" vertical="center"/>
    </xf>
    <xf numFmtId="4" fontId="36" fillId="31" borderId="287">
      <alignment horizontal="right" vertical="center"/>
    </xf>
    <xf numFmtId="0" fontId="32" fillId="33" borderId="287">
      <alignment horizontal="right" vertical="center"/>
    </xf>
    <xf numFmtId="4" fontId="32" fillId="33" borderId="287">
      <alignment horizontal="right" vertical="center"/>
    </xf>
    <xf numFmtId="0" fontId="32" fillId="33" borderId="287">
      <alignment horizontal="right" vertical="center"/>
    </xf>
    <xf numFmtId="4" fontId="32" fillId="33" borderId="287">
      <alignment horizontal="right" vertical="center"/>
    </xf>
    <xf numFmtId="0" fontId="32" fillId="33" borderId="288">
      <alignment horizontal="right" vertical="center"/>
    </xf>
    <xf numFmtId="4" fontId="32" fillId="33" borderId="288">
      <alignment horizontal="right" vertical="center"/>
    </xf>
    <xf numFmtId="0" fontId="32" fillId="33" borderId="289">
      <alignment horizontal="right" vertical="center"/>
    </xf>
    <xf numFmtId="4" fontId="32" fillId="33" borderId="289">
      <alignment horizontal="right" vertical="center"/>
    </xf>
    <xf numFmtId="0" fontId="46" fillId="55" borderId="284" applyNumberFormat="0" applyAlignment="0" applyProtection="0"/>
    <xf numFmtId="0" fontId="34" fillId="33" borderId="290">
      <alignment horizontal="left" vertical="center" wrapText="1" indent="2"/>
    </xf>
    <xf numFmtId="0" fontId="34" fillId="0" borderId="290">
      <alignment horizontal="left" vertical="center" wrapText="1" indent="2"/>
    </xf>
    <xf numFmtId="0" fontId="34" fillId="31" borderId="288">
      <alignment horizontal="left" vertical="center"/>
    </xf>
    <xf numFmtId="0" fontId="58" fillId="42" borderId="284" applyNumberFormat="0" applyAlignment="0" applyProtection="0"/>
    <xf numFmtId="0" fontId="34" fillId="0" borderId="287">
      <alignment horizontal="right" vertical="center"/>
    </xf>
    <xf numFmtId="4" fontId="34" fillId="0" borderId="287">
      <alignment horizontal="right" vertical="center"/>
    </xf>
    <xf numFmtId="0" fontId="34" fillId="0" borderId="287" applyNumberFormat="0" applyFill="0" applyAlignment="0" applyProtection="0"/>
    <xf numFmtId="0" fontId="62" fillId="55" borderId="283" applyNumberFormat="0" applyAlignment="0" applyProtection="0"/>
    <xf numFmtId="173" fontId="34" fillId="59" borderId="287" applyNumberFormat="0" applyFont="0" applyBorder="0" applyAlignment="0" applyProtection="0">
      <alignment horizontal="right" vertical="center"/>
    </xf>
    <xf numFmtId="0" fontId="34" fillId="32" borderId="287"/>
    <xf numFmtId="4" fontId="34" fillId="32" borderId="287"/>
    <xf numFmtId="0" fontId="65" fillId="0" borderId="285" applyNumberFormat="0" applyFill="0" applyAlignment="0" applyProtection="0"/>
    <xf numFmtId="0" fontId="5" fillId="58" borderId="286" applyNumberFormat="0" applyFont="0" applyAlignment="0" applyProtection="0"/>
    <xf numFmtId="0" fontId="40" fillId="58" borderId="286" applyNumberFormat="0" applyFont="0" applyAlignment="0" applyProtection="0"/>
    <xf numFmtId="0" fontId="34" fillId="0" borderId="287" applyNumberFormat="0" applyFill="0" applyAlignment="0" applyProtection="0"/>
    <xf numFmtId="0" fontId="50" fillId="0" borderId="285" applyNumberFormat="0" applyFill="0" applyAlignment="0" applyProtection="0"/>
    <xf numFmtId="0" fontId="65" fillId="0" borderId="285" applyNumberFormat="0" applyFill="0" applyAlignment="0" applyProtection="0"/>
    <xf numFmtId="0" fontId="49" fillId="42" borderId="284" applyNumberFormat="0" applyAlignment="0" applyProtection="0"/>
    <xf numFmtId="0" fontId="46" fillId="55" borderId="284" applyNumberFormat="0" applyAlignment="0" applyProtection="0"/>
    <xf numFmtId="4" fontId="36" fillId="31" borderId="287">
      <alignment horizontal="right" vertical="center"/>
    </xf>
    <xf numFmtId="0" fontId="32" fillId="31" borderId="287">
      <alignment horizontal="right" vertical="center"/>
    </xf>
    <xf numFmtId="173" fontId="34" fillId="59" borderId="287" applyNumberFormat="0" applyFont="0" applyBorder="0" applyAlignment="0" applyProtection="0">
      <alignment horizontal="right" vertical="center"/>
    </xf>
    <xf numFmtId="0" fontId="50" fillId="0" borderId="285" applyNumberFormat="0" applyFill="0" applyAlignment="0" applyProtection="0"/>
    <xf numFmtId="49" fontId="34" fillId="0" borderId="287" applyNumberFormat="0" applyFont="0" applyFill="0" applyBorder="0" applyProtection="0">
      <alignment horizontal="left" vertical="center" indent="2"/>
    </xf>
    <xf numFmtId="49" fontId="34" fillId="0" borderId="288" applyNumberFormat="0" applyFont="0" applyFill="0" applyBorder="0" applyProtection="0">
      <alignment horizontal="left" vertical="center" indent="5"/>
    </xf>
    <xf numFmtId="49" fontId="34" fillId="0" borderId="287" applyNumberFormat="0" applyFont="0" applyFill="0" applyBorder="0" applyProtection="0">
      <alignment horizontal="left" vertical="center" indent="2"/>
    </xf>
    <xf numFmtId="4" fontId="34" fillId="0" borderId="287" applyFill="0" applyBorder="0" applyProtection="0">
      <alignment horizontal="right" vertical="center"/>
    </xf>
    <xf numFmtId="49" fontId="33" fillId="0" borderId="287" applyNumberFormat="0" applyFill="0" applyBorder="0" applyProtection="0">
      <alignment horizontal="left" vertical="center"/>
    </xf>
    <xf numFmtId="0" fontId="34" fillId="0" borderId="290">
      <alignment horizontal="left" vertical="center" wrapText="1" indent="2"/>
    </xf>
    <xf numFmtId="0" fontId="62" fillId="55" borderId="283" applyNumberFormat="0" applyAlignment="0" applyProtection="0"/>
    <xf numFmtId="0" fontId="32" fillId="33" borderId="289">
      <alignment horizontal="right" vertical="center"/>
    </xf>
    <xf numFmtId="0" fontId="49" fillId="42" borderId="284" applyNumberFormat="0" applyAlignment="0" applyProtection="0"/>
    <xf numFmtId="0" fontId="32" fillId="33" borderId="289">
      <alignment horizontal="right" vertical="center"/>
    </xf>
    <xf numFmtId="4" fontId="32" fillId="33" borderId="287">
      <alignment horizontal="right" vertical="center"/>
    </xf>
    <xf numFmtId="0" fontId="32" fillId="33" borderId="287">
      <alignment horizontal="right" vertical="center"/>
    </xf>
    <xf numFmtId="0" fontId="43" fillId="55" borderId="283" applyNumberFormat="0" applyAlignment="0" applyProtection="0"/>
    <xf numFmtId="0" fontId="45" fillId="55" borderId="284" applyNumberFormat="0" applyAlignment="0" applyProtection="0"/>
    <xf numFmtId="0" fontId="50" fillId="0" borderId="285" applyNumberFormat="0" applyFill="0" applyAlignment="0" applyProtection="0"/>
    <xf numFmtId="0" fontId="34" fillId="32" borderId="287"/>
    <xf numFmtId="4" fontId="34" fillId="32" borderId="287"/>
    <xf numFmtId="4" fontId="32" fillId="33" borderId="287">
      <alignment horizontal="right" vertical="center"/>
    </xf>
    <xf numFmtId="0" fontId="36" fillId="31" borderId="287">
      <alignment horizontal="right" vertical="center"/>
    </xf>
    <xf numFmtId="0" fontId="49" fillId="42" borderId="284" applyNumberFormat="0" applyAlignment="0" applyProtection="0"/>
    <xf numFmtId="0" fontId="46" fillId="55" borderId="284" applyNumberFormat="0" applyAlignment="0" applyProtection="0"/>
    <xf numFmtId="4" fontId="34" fillId="0" borderId="287">
      <alignment horizontal="right" vertical="center"/>
    </xf>
    <xf numFmtId="0" fontId="34" fillId="33" borderId="290">
      <alignment horizontal="left" vertical="center" wrapText="1" indent="2"/>
    </xf>
    <xf numFmtId="0" fontId="34" fillId="0" borderId="290">
      <alignment horizontal="left" vertical="center" wrapText="1" indent="2"/>
    </xf>
    <xf numFmtId="0" fontId="62" fillId="55" borderId="283" applyNumberFormat="0" applyAlignment="0" applyProtection="0"/>
    <xf numFmtId="0" fontId="58" fillId="42" borderId="284" applyNumberFormat="0" applyAlignment="0" applyProtection="0"/>
    <xf numFmtId="0" fontId="45" fillId="55" borderId="284" applyNumberFormat="0" applyAlignment="0" applyProtection="0"/>
    <xf numFmtId="0" fontId="43" fillId="55" borderId="283" applyNumberFormat="0" applyAlignment="0" applyProtection="0"/>
    <xf numFmtId="0" fontId="32" fillId="33" borderId="289">
      <alignment horizontal="right" vertical="center"/>
    </xf>
    <xf numFmtId="0" fontId="36" fillId="31" borderId="287">
      <alignment horizontal="right" vertical="center"/>
    </xf>
    <xf numFmtId="4" fontId="32" fillId="31" borderId="287">
      <alignment horizontal="right" vertical="center"/>
    </xf>
    <xf numFmtId="4" fontId="32" fillId="33" borderId="287">
      <alignment horizontal="right" vertical="center"/>
    </xf>
    <xf numFmtId="49" fontId="34" fillId="0" borderId="288" applyNumberFormat="0" applyFont="0" applyFill="0" applyBorder="0" applyProtection="0">
      <alignment horizontal="left" vertical="center" indent="5"/>
    </xf>
    <xf numFmtId="4" fontId="34" fillId="0" borderId="287" applyFill="0" applyBorder="0" applyProtection="0">
      <alignment horizontal="right" vertical="center"/>
    </xf>
    <xf numFmtId="4" fontId="32" fillId="31" borderId="287">
      <alignment horizontal="right" vertical="center"/>
    </xf>
    <xf numFmtId="0" fontId="58" fillId="42" borderId="284" applyNumberFormat="0" applyAlignment="0" applyProtection="0"/>
    <xf numFmtId="0" fontId="49" fillId="42" borderId="284" applyNumberFormat="0" applyAlignment="0" applyProtection="0"/>
    <xf numFmtId="0" fontId="45" fillId="55" borderId="284" applyNumberFormat="0" applyAlignment="0" applyProtection="0"/>
    <xf numFmtId="0" fontId="34" fillId="33" borderId="290">
      <alignment horizontal="left" vertical="center" wrapText="1" indent="2"/>
    </xf>
    <xf numFmtId="0" fontId="34" fillId="0" borderId="290">
      <alignment horizontal="left" vertical="center" wrapText="1" indent="2"/>
    </xf>
    <xf numFmtId="0" fontId="34" fillId="33" borderId="290">
      <alignment horizontal="left" vertical="center" wrapText="1" indent="2"/>
    </xf>
    <xf numFmtId="0" fontId="34" fillId="0" borderId="290">
      <alignment horizontal="left" vertical="center" wrapText="1" indent="2"/>
    </xf>
    <xf numFmtId="0" fontId="12" fillId="15" borderId="0" applyNumberFormat="0" applyBorder="0" applyAlignment="0" applyProtection="0"/>
    <xf numFmtId="0" fontId="32" fillId="33" borderId="321">
      <alignment horizontal="right" vertical="center"/>
    </xf>
    <xf numFmtId="0" fontId="26" fillId="25" borderId="0" applyNumberFormat="0" applyBorder="0" applyAlignment="0" applyProtection="0"/>
    <xf numFmtId="0" fontId="32" fillId="33" borderId="301">
      <alignment horizontal="right" vertical="center"/>
    </xf>
    <xf numFmtId="0" fontId="62" fillId="55" borderId="304" applyNumberFormat="0" applyAlignment="0" applyProtection="0"/>
    <xf numFmtId="0" fontId="34" fillId="33" borderId="303">
      <alignment horizontal="left" vertical="center" wrapText="1" indent="2"/>
    </xf>
    <xf numFmtId="0" fontId="40" fillId="58" borderId="299" applyNumberFormat="0" applyFont="0" applyAlignment="0" applyProtection="0"/>
    <xf numFmtId="0" fontId="34" fillId="31" borderId="296">
      <alignment horizontal="left" vertical="center"/>
    </xf>
    <xf numFmtId="0" fontId="45" fillId="55" borderId="305" applyNumberFormat="0" applyAlignment="0" applyProtection="0"/>
    <xf numFmtId="0" fontId="40" fillId="58" borderId="294" applyNumberFormat="0" applyFont="0" applyAlignment="0" applyProtection="0"/>
    <xf numFmtId="4" fontId="34" fillId="32" borderId="332"/>
    <xf numFmtId="173" fontId="34" fillId="59" borderId="310" applyNumberFormat="0" applyFont="0" applyBorder="0" applyAlignment="0" applyProtection="0">
      <alignment horizontal="right" vertical="center"/>
    </xf>
    <xf numFmtId="0" fontId="40" fillId="58" borderId="299" applyNumberFormat="0" applyFont="0" applyAlignment="0" applyProtection="0"/>
    <xf numFmtId="0" fontId="40" fillId="58" borderId="331" applyNumberFormat="0" applyFont="0" applyAlignment="0" applyProtection="0"/>
    <xf numFmtId="49" fontId="34" fillId="0" borderId="311" applyNumberFormat="0" applyFont="0" applyFill="0" applyBorder="0" applyProtection="0">
      <alignment horizontal="left" vertical="center" indent="5"/>
    </xf>
    <xf numFmtId="0" fontId="26" fillId="25" borderId="0" applyNumberFormat="0" applyBorder="0" applyAlignment="0" applyProtection="0"/>
    <xf numFmtId="0" fontId="26" fillId="16" borderId="0" applyNumberFormat="0" applyBorder="0" applyAlignment="0" applyProtection="0"/>
    <xf numFmtId="0" fontId="46" fillId="55" borderId="307" applyNumberFormat="0" applyAlignment="0" applyProtection="0"/>
    <xf numFmtId="0" fontId="34" fillId="0" borderId="300" applyNumberFormat="0" applyFill="0" applyAlignment="0" applyProtection="0"/>
    <xf numFmtId="0" fontId="26" fillId="28" borderId="0" applyNumberFormat="0" applyBorder="0" applyAlignment="0" applyProtection="0"/>
    <xf numFmtId="0" fontId="29" fillId="12" borderId="10" applyNumberFormat="0" applyAlignment="0" applyProtection="0"/>
    <xf numFmtId="0" fontId="32" fillId="33" borderId="301">
      <alignment horizontal="right" vertical="center"/>
    </xf>
    <xf numFmtId="0" fontId="34" fillId="33" borderId="298">
      <alignment horizontal="left" vertical="center" wrapText="1" indent="2"/>
    </xf>
    <xf numFmtId="0" fontId="62" fillId="55" borderId="291" applyNumberFormat="0" applyAlignment="0" applyProtection="0"/>
    <xf numFmtId="4" fontId="34" fillId="32" borderId="295"/>
    <xf numFmtId="0" fontId="65" fillId="0" borderId="293" applyNumberFormat="0" applyFill="0" applyAlignment="0" applyProtection="0"/>
    <xf numFmtId="173" fontId="34" fillId="59" borderId="295" applyNumberFormat="0" applyFont="0" applyBorder="0" applyAlignment="0" applyProtection="0">
      <alignment horizontal="right" vertical="center"/>
    </xf>
    <xf numFmtId="0" fontId="34" fillId="0" borderId="295">
      <alignment horizontal="right" vertical="center"/>
    </xf>
    <xf numFmtId="4" fontId="34" fillId="0" borderId="295">
      <alignment horizontal="right" vertical="center"/>
    </xf>
    <xf numFmtId="0" fontId="62" fillId="55" borderId="304" applyNumberFormat="0" applyAlignment="0" applyProtection="0"/>
    <xf numFmtId="0" fontId="34" fillId="0" borderId="298">
      <alignment horizontal="left" vertical="center" wrapText="1" indent="2"/>
    </xf>
    <xf numFmtId="4" fontId="32" fillId="33" borderId="295">
      <alignment horizontal="right" vertical="center"/>
    </xf>
    <xf numFmtId="0" fontId="32" fillId="33" borderId="296">
      <alignment horizontal="right" vertical="center"/>
    </xf>
    <xf numFmtId="4" fontId="32" fillId="33" borderId="296">
      <alignment horizontal="right" vertical="center"/>
    </xf>
    <xf numFmtId="0" fontId="32" fillId="33" borderId="295">
      <alignment horizontal="right" vertical="center"/>
    </xf>
    <xf numFmtId="4" fontId="32" fillId="31" borderId="295">
      <alignment horizontal="right" vertical="center"/>
    </xf>
    <xf numFmtId="0" fontId="36" fillId="31" borderId="295">
      <alignment horizontal="right" vertical="center"/>
    </xf>
    <xf numFmtId="0" fontId="32" fillId="33" borderId="302">
      <alignment horizontal="right" vertical="center"/>
    </xf>
    <xf numFmtId="173" fontId="34" fillId="59" borderId="300" applyNumberFormat="0" applyFont="0" applyBorder="0" applyAlignment="0" applyProtection="0">
      <alignment horizontal="right" vertical="center"/>
    </xf>
    <xf numFmtId="0" fontId="32" fillId="33" borderId="300">
      <alignment horizontal="right" vertical="center"/>
    </xf>
    <xf numFmtId="4" fontId="36" fillId="31" borderId="300">
      <alignment horizontal="right" vertical="center"/>
    </xf>
    <xf numFmtId="4" fontId="32" fillId="33" borderId="310">
      <alignment horizontal="right" vertical="center"/>
    </xf>
    <xf numFmtId="0" fontId="34" fillId="0" borderId="330">
      <alignment horizontal="left" vertical="center" wrapText="1" indent="2"/>
    </xf>
    <xf numFmtId="4" fontId="32" fillId="33" borderId="334">
      <alignment horizontal="right" vertical="center"/>
    </xf>
    <xf numFmtId="0" fontId="65" fillId="0" borderId="293" applyNumberFormat="0" applyFill="0" applyAlignment="0" applyProtection="0"/>
    <xf numFmtId="0" fontId="26" fillId="14" borderId="0" applyNumberFormat="0" applyBorder="0" applyAlignment="0" applyProtection="0"/>
    <xf numFmtId="0" fontId="62" fillId="55" borderId="291" applyNumberFormat="0" applyAlignment="0" applyProtection="0"/>
    <xf numFmtId="0" fontId="26" fillId="16" borderId="0" applyNumberFormat="0" applyBorder="0" applyAlignment="0" applyProtection="0"/>
    <xf numFmtId="4" fontId="32" fillId="33" borderId="320">
      <alignment horizontal="right" vertical="center"/>
    </xf>
    <xf numFmtId="49" fontId="34" fillId="0" borderId="310" applyNumberFormat="0" applyFont="0" applyFill="0" applyBorder="0" applyProtection="0">
      <alignment horizontal="left" vertical="center" indent="2"/>
    </xf>
    <xf numFmtId="0" fontId="26" fillId="17" borderId="0" applyNumberFormat="0" applyBorder="0" applyAlignment="0" applyProtection="0"/>
    <xf numFmtId="0" fontId="62" fillId="55" borderId="314" applyNumberFormat="0" applyAlignment="0" applyProtection="0"/>
    <xf numFmtId="4" fontId="32" fillId="33" borderId="300">
      <alignment horizontal="right" vertical="center"/>
    </xf>
    <xf numFmtId="0" fontId="43" fillId="55" borderId="304" applyNumberFormat="0" applyAlignment="0" applyProtection="0"/>
    <xf numFmtId="0" fontId="34" fillId="31" borderId="301">
      <alignment horizontal="left" vertical="center"/>
    </xf>
    <xf numFmtId="4" fontId="32" fillId="33" borderId="320">
      <alignment horizontal="right" vertical="center"/>
    </xf>
    <xf numFmtId="0" fontId="43" fillId="55" borderId="315" applyNumberFormat="0" applyAlignment="0" applyProtection="0"/>
    <xf numFmtId="0" fontId="34" fillId="0" borderId="310" applyNumberFormat="0" applyFill="0" applyAlignment="0" applyProtection="0"/>
    <xf numFmtId="49" fontId="33" fillId="0" borderId="310" applyNumberFormat="0" applyFill="0" applyBorder="0" applyProtection="0">
      <alignment horizontal="left" vertical="center"/>
    </xf>
    <xf numFmtId="0" fontId="32" fillId="33" borderId="300">
      <alignment horizontal="right" vertical="center"/>
    </xf>
    <xf numFmtId="0" fontId="65" fillId="0" borderId="306" applyNumberFormat="0" applyFill="0" applyAlignment="0" applyProtection="0"/>
    <xf numFmtId="0" fontId="34" fillId="0" borderId="300">
      <alignment horizontal="right" vertical="center"/>
    </xf>
    <xf numFmtId="0" fontId="40" fillId="58" borderId="299" applyNumberFormat="0" applyFont="0" applyAlignment="0" applyProtection="0"/>
    <xf numFmtId="0" fontId="65" fillId="0" borderId="325" applyNumberFormat="0" applyFill="0" applyAlignment="0" applyProtection="0"/>
    <xf numFmtId="0" fontId="26" fillId="25" borderId="0" applyNumberFormat="0" applyBorder="0" applyAlignment="0" applyProtection="0"/>
    <xf numFmtId="0" fontId="12" fillId="21" borderId="0" applyNumberFormat="0" applyBorder="0" applyAlignment="0" applyProtection="0"/>
    <xf numFmtId="0" fontId="36" fillId="31" borderId="310">
      <alignment horizontal="right" vertical="center"/>
    </xf>
    <xf numFmtId="0" fontId="43" fillId="55" borderId="304" applyNumberFormat="0" applyAlignment="0" applyProtection="0"/>
    <xf numFmtId="4" fontId="34" fillId="32" borderId="300"/>
    <xf numFmtId="0" fontId="32" fillId="33" borderId="334">
      <alignment horizontal="right" vertical="center"/>
    </xf>
    <xf numFmtId="0" fontId="45" fillId="55" borderId="337" applyNumberFormat="0" applyAlignment="0" applyProtection="0"/>
    <xf numFmtId="0" fontId="50" fillId="0" borderId="306" applyNumberFormat="0" applyFill="0" applyAlignment="0" applyProtection="0"/>
    <xf numFmtId="0" fontId="34" fillId="31" borderId="301">
      <alignment horizontal="left" vertical="center"/>
    </xf>
    <xf numFmtId="0" fontId="58" fillId="42" borderId="324" applyNumberFormat="0" applyAlignment="0" applyProtection="0"/>
    <xf numFmtId="0" fontId="65" fillId="0" borderId="293" applyNumberFormat="0" applyFill="0" applyAlignment="0" applyProtection="0"/>
    <xf numFmtId="0" fontId="40" fillId="58" borderId="294" applyNumberFormat="0" applyFont="0" applyAlignment="0" applyProtection="0"/>
    <xf numFmtId="4" fontId="32" fillId="33" borderId="300">
      <alignment horizontal="right" vertical="center"/>
    </xf>
    <xf numFmtId="49" fontId="34" fillId="0" borderId="320" applyNumberFormat="0" applyFont="0" applyFill="0" applyBorder="0" applyProtection="0">
      <alignment horizontal="left" vertical="center" indent="5"/>
    </xf>
    <xf numFmtId="0" fontId="5" fillId="58" borderId="294" applyNumberFormat="0" applyFont="0" applyAlignment="0" applyProtection="0"/>
    <xf numFmtId="4" fontId="36" fillId="31" borderId="327">
      <alignment horizontal="right" vertical="center"/>
    </xf>
    <xf numFmtId="0" fontId="62" fillId="55" borderId="314" applyNumberFormat="0" applyAlignment="0" applyProtection="0"/>
    <xf numFmtId="0" fontId="2" fillId="0" borderId="12" applyNumberFormat="0" applyFill="0" applyAlignment="0" applyProtection="0"/>
    <xf numFmtId="0" fontId="50" fillId="0" borderId="306" applyNumberFormat="0" applyFill="0" applyAlignment="0" applyProtection="0"/>
    <xf numFmtId="4" fontId="34" fillId="0" borderId="300">
      <alignment horizontal="right" vertical="center"/>
    </xf>
    <xf numFmtId="0" fontId="43" fillId="55" borderId="304" applyNumberFormat="0" applyAlignment="0" applyProtection="0"/>
    <xf numFmtId="0" fontId="26" fillId="23" borderId="0" applyNumberFormat="0" applyBorder="0" applyAlignment="0" applyProtection="0"/>
    <xf numFmtId="0" fontId="58" fillId="42" borderId="292" applyNumberFormat="0" applyAlignment="0" applyProtection="0"/>
    <xf numFmtId="0" fontId="12" fillId="15" borderId="0" applyNumberFormat="0" applyBorder="0" applyAlignment="0" applyProtection="0"/>
    <xf numFmtId="0" fontId="34" fillId="33" borderId="298">
      <alignment horizontal="left" vertical="center" wrapText="1" indent="2"/>
    </xf>
    <xf numFmtId="4" fontId="36" fillId="31" borderId="295">
      <alignment horizontal="right" vertical="center"/>
    </xf>
    <xf numFmtId="49" fontId="34" fillId="0" borderId="300" applyNumberFormat="0" applyFont="0" applyFill="0" applyBorder="0" applyProtection="0">
      <alignment horizontal="left" vertical="center" indent="2"/>
    </xf>
    <xf numFmtId="0" fontId="62" fillId="55" borderId="314" applyNumberFormat="0" applyAlignment="0" applyProtection="0"/>
    <xf numFmtId="4" fontId="32" fillId="33" borderId="332">
      <alignment horizontal="right" vertical="center"/>
    </xf>
    <xf numFmtId="0" fontId="26" fillId="20" borderId="0" applyNumberFormat="0" applyBorder="0" applyAlignment="0" applyProtection="0"/>
    <xf numFmtId="4" fontId="32" fillId="33" borderId="333">
      <alignment horizontal="right" vertical="center"/>
    </xf>
    <xf numFmtId="0" fontId="34" fillId="0" borderId="303">
      <alignment horizontal="left" vertical="center" wrapText="1" indent="2"/>
    </xf>
    <xf numFmtId="0" fontId="2" fillId="0" borderId="12" applyNumberFormat="0" applyFill="0" applyAlignment="0" applyProtection="0"/>
    <xf numFmtId="0" fontId="12" fillId="30" borderId="0" applyNumberFormat="0" applyBorder="0" applyAlignment="0" applyProtection="0"/>
    <xf numFmtId="0" fontId="49" fillId="42" borderId="305" applyNumberFormat="0" applyAlignment="0" applyProtection="0"/>
    <xf numFmtId="4" fontId="36" fillId="31" borderId="295">
      <alignment horizontal="right" vertical="center"/>
    </xf>
    <xf numFmtId="4" fontId="32" fillId="31" borderId="295">
      <alignment horizontal="right" vertical="center"/>
    </xf>
    <xf numFmtId="0" fontId="34" fillId="0" borderId="298">
      <alignment horizontal="left" vertical="center" wrapText="1" indent="2"/>
    </xf>
    <xf numFmtId="0" fontId="62" fillId="55" borderId="291" applyNumberFormat="0" applyAlignment="0" applyProtection="0"/>
    <xf numFmtId="0" fontId="34" fillId="0" borderId="295">
      <alignment horizontal="right" vertical="center"/>
    </xf>
    <xf numFmtId="0" fontId="65" fillId="0" borderId="293" applyNumberFormat="0" applyFill="0" applyAlignment="0" applyProtection="0"/>
    <xf numFmtId="49" fontId="33" fillId="0" borderId="295" applyNumberFormat="0" applyFill="0" applyBorder="0" applyProtection="0">
      <alignment horizontal="left" vertical="center"/>
    </xf>
    <xf numFmtId="4" fontId="34" fillId="32" borderId="295"/>
    <xf numFmtId="0" fontId="58" fillId="42" borderId="292" applyNumberFormat="0" applyAlignment="0" applyProtection="0"/>
    <xf numFmtId="49" fontId="34" fillId="0" borderId="300" applyNumberFormat="0" applyFont="0" applyFill="0" applyBorder="0" applyProtection="0">
      <alignment horizontal="left" vertical="center" indent="2"/>
    </xf>
    <xf numFmtId="0" fontId="34" fillId="33" borderId="303">
      <alignment horizontal="left" vertical="center" wrapText="1" indent="2"/>
    </xf>
    <xf numFmtId="173" fontId="34" fillId="59" borderId="295" applyNumberFormat="0" applyFont="0" applyBorder="0" applyAlignment="0" applyProtection="0">
      <alignment horizontal="right" vertical="center"/>
    </xf>
    <xf numFmtId="0" fontId="40" fillId="58" borderId="309" applyNumberFormat="0" applyFont="0" applyAlignment="0" applyProtection="0"/>
    <xf numFmtId="0" fontId="46" fillId="55" borderId="292" applyNumberFormat="0" applyAlignment="0" applyProtection="0"/>
    <xf numFmtId="0" fontId="34" fillId="0" borderId="313">
      <alignment horizontal="left" vertical="center" wrapText="1" indent="2"/>
    </xf>
    <xf numFmtId="0" fontId="36" fillId="31" borderId="310">
      <alignment horizontal="right" vertical="center"/>
    </xf>
    <xf numFmtId="4" fontId="36" fillId="31" borderId="300">
      <alignment horizontal="right" vertical="center"/>
    </xf>
    <xf numFmtId="0" fontId="36" fillId="31" borderId="300">
      <alignment horizontal="right" vertical="center"/>
    </xf>
    <xf numFmtId="0" fontId="58" fillId="42" borderId="292" applyNumberFormat="0" applyAlignment="0" applyProtection="0"/>
    <xf numFmtId="0" fontId="43" fillId="55" borderId="291" applyNumberFormat="0" applyAlignment="0" applyProtection="0"/>
    <xf numFmtId="0" fontId="5" fillId="58" borderId="299" applyNumberFormat="0" applyFont="0" applyAlignment="0" applyProtection="0"/>
    <xf numFmtId="49" fontId="33" fillId="0" borderId="295" applyNumberFormat="0" applyFill="0" applyBorder="0" applyProtection="0">
      <alignment horizontal="left" vertical="center"/>
    </xf>
    <xf numFmtId="0" fontId="65" fillId="0" borderId="293" applyNumberFormat="0" applyFill="0" applyAlignment="0" applyProtection="0"/>
    <xf numFmtId="0" fontId="34" fillId="0" borderId="295">
      <alignment horizontal="right" vertical="center"/>
    </xf>
    <xf numFmtId="0" fontId="32" fillId="33" borderId="296">
      <alignment horizontal="right" vertical="center"/>
    </xf>
    <xf numFmtId="0" fontId="65" fillId="0" borderId="293" applyNumberFormat="0" applyFill="0" applyAlignment="0" applyProtection="0"/>
    <xf numFmtId="0" fontId="1" fillId="0" borderId="0" applyNumberFormat="0" applyFill="0" applyBorder="0" applyAlignment="0" applyProtection="0"/>
    <xf numFmtId="0" fontId="29" fillId="12" borderId="10" applyNumberFormat="0" applyAlignment="0" applyProtection="0"/>
    <xf numFmtId="0" fontId="34" fillId="0" borderId="300" applyNumberFormat="0" applyFill="0" applyAlignment="0" applyProtection="0"/>
    <xf numFmtId="4" fontId="32" fillId="33" borderId="311">
      <alignment horizontal="right" vertical="center"/>
    </xf>
    <xf numFmtId="4" fontId="34" fillId="0" borderId="300">
      <alignment horizontal="right" vertical="center"/>
    </xf>
    <xf numFmtId="0" fontId="28" fillId="12" borderId="11" applyNumberFormat="0" applyAlignment="0" applyProtection="0"/>
    <xf numFmtId="0" fontId="58" fillId="42" borderId="305" applyNumberFormat="0" applyAlignment="0" applyProtection="0"/>
    <xf numFmtId="4" fontId="34" fillId="0" borderId="295" applyFill="0" applyBorder="0" applyProtection="0">
      <alignment horizontal="right" vertical="center"/>
    </xf>
    <xf numFmtId="0" fontId="26" fillId="22" borderId="0" applyNumberFormat="0" applyBorder="0" applyAlignment="0" applyProtection="0"/>
    <xf numFmtId="0" fontId="32" fillId="33" borderId="302">
      <alignment horizontal="right" vertical="center"/>
    </xf>
    <xf numFmtId="0" fontId="26" fillId="22" borderId="0" applyNumberFormat="0" applyBorder="0" applyAlignment="0" applyProtection="0"/>
    <xf numFmtId="0" fontId="49" fillId="42" borderId="305" applyNumberFormat="0" applyAlignment="0" applyProtection="0"/>
    <xf numFmtId="0" fontId="34" fillId="32" borderId="300"/>
    <xf numFmtId="0" fontId="26" fillId="28" borderId="0" applyNumberFormat="0" applyBorder="0" applyAlignment="0" applyProtection="0"/>
    <xf numFmtId="0" fontId="34" fillId="0" borderId="298">
      <alignment horizontal="left" vertical="center" wrapText="1" indent="2"/>
    </xf>
    <xf numFmtId="0" fontId="32" fillId="33" borderId="332">
      <alignment horizontal="right" vertical="center"/>
    </xf>
    <xf numFmtId="0" fontId="65" fillId="0" borderId="293" applyNumberFormat="0" applyFill="0" applyAlignment="0" applyProtection="0"/>
    <xf numFmtId="0" fontId="43" fillId="55" borderId="291" applyNumberFormat="0" applyAlignment="0" applyProtection="0"/>
    <xf numFmtId="0" fontId="32" fillId="33" borderId="295">
      <alignment horizontal="right" vertical="center"/>
    </xf>
    <xf numFmtId="0" fontId="45" fillId="55" borderId="292" applyNumberFormat="0" applyAlignment="0" applyProtection="0"/>
    <xf numFmtId="0" fontId="34" fillId="31" borderId="301">
      <alignment horizontal="left" vertical="center"/>
    </xf>
    <xf numFmtId="0" fontId="34" fillId="31" borderId="301">
      <alignment horizontal="left" vertical="center"/>
    </xf>
    <xf numFmtId="0" fontId="34" fillId="31" borderId="296">
      <alignment horizontal="left" vertical="center"/>
    </xf>
    <xf numFmtId="0" fontId="34" fillId="0" borderId="303">
      <alignment horizontal="left" vertical="center" wrapText="1" indent="2"/>
    </xf>
    <xf numFmtId="4" fontId="34" fillId="32" borderId="300"/>
    <xf numFmtId="0" fontId="65" fillId="0" borderId="306" applyNumberFormat="0" applyFill="0" applyAlignment="0" applyProtection="0"/>
    <xf numFmtId="0" fontId="46" fillId="55" borderId="307" applyNumberFormat="0" applyAlignment="0" applyProtection="0"/>
    <xf numFmtId="0" fontId="32" fillId="31" borderId="295">
      <alignment horizontal="right" vertical="center"/>
    </xf>
    <xf numFmtId="4" fontId="32" fillId="33" borderId="300">
      <alignment horizontal="right" vertical="center"/>
    </xf>
    <xf numFmtId="0" fontId="32" fillId="33" borderId="300">
      <alignment horizontal="right" vertical="center"/>
    </xf>
    <xf numFmtId="0" fontId="50" fillId="0" borderId="293" applyNumberFormat="0" applyFill="0" applyAlignment="0" applyProtection="0"/>
    <xf numFmtId="0" fontId="46" fillId="55" borderId="307" applyNumberFormat="0" applyAlignment="0" applyProtection="0"/>
    <xf numFmtId="0" fontId="34" fillId="0" borderId="295">
      <alignment horizontal="right" vertical="center"/>
    </xf>
    <xf numFmtId="0" fontId="5" fillId="58" borderId="294" applyNumberFormat="0" applyFont="0" applyAlignment="0" applyProtection="0"/>
    <xf numFmtId="0" fontId="34" fillId="32" borderId="310"/>
    <xf numFmtId="0" fontId="12" fillId="15" borderId="0" applyNumberFormat="0" applyBorder="0" applyAlignment="0" applyProtection="0"/>
    <xf numFmtId="49" fontId="34" fillId="0" borderId="301" applyNumberFormat="0" applyFont="0" applyFill="0" applyBorder="0" applyProtection="0">
      <alignment horizontal="left" vertical="center" indent="5"/>
    </xf>
    <xf numFmtId="0" fontId="12" fillId="30" borderId="0" applyNumberFormat="0" applyBorder="0" applyAlignment="0" applyProtection="0"/>
    <xf numFmtId="4" fontId="32" fillId="33" borderId="334">
      <alignment horizontal="right" vertical="center"/>
    </xf>
    <xf numFmtId="0" fontId="58" fillId="42" borderId="292" applyNumberFormat="0" applyAlignment="0" applyProtection="0"/>
    <xf numFmtId="0" fontId="26" fillId="13" borderId="0" applyNumberFormat="0" applyBorder="0" applyAlignment="0" applyProtection="0"/>
    <xf numFmtId="49" fontId="34" fillId="0" borderId="296" applyNumberFormat="0" applyFont="0" applyFill="0" applyBorder="0" applyProtection="0">
      <alignment horizontal="left" vertical="center" indent="5"/>
    </xf>
    <xf numFmtId="0" fontId="26" fillId="20" borderId="0" applyNumberFormat="0" applyBorder="0" applyAlignment="0" applyProtection="0"/>
    <xf numFmtId="0" fontId="34" fillId="0" borderId="295" applyNumberFormat="0" applyFill="0" applyAlignment="0" applyProtection="0"/>
    <xf numFmtId="0" fontId="50" fillId="0" borderId="293" applyNumberFormat="0" applyFill="0" applyAlignment="0" applyProtection="0"/>
    <xf numFmtId="0" fontId="62" fillId="55" borderId="291" applyNumberFormat="0" applyAlignment="0" applyProtection="0"/>
    <xf numFmtId="4" fontId="32" fillId="33" borderId="295">
      <alignment horizontal="right" vertical="center"/>
    </xf>
    <xf numFmtId="4" fontId="34" fillId="32" borderId="295"/>
    <xf numFmtId="0" fontId="65" fillId="0" borderId="293" applyNumberFormat="0" applyFill="0" applyAlignment="0" applyProtection="0"/>
    <xf numFmtId="0" fontId="62" fillId="55" borderId="314" applyNumberFormat="0" applyAlignment="0" applyProtection="0"/>
    <xf numFmtId="0" fontId="43" fillId="55" borderId="291" applyNumberFormat="0" applyAlignment="0" applyProtection="0"/>
    <xf numFmtId="0" fontId="45" fillId="55" borderId="292" applyNumberFormat="0" applyAlignment="0" applyProtection="0"/>
    <xf numFmtId="0" fontId="46" fillId="55" borderId="292" applyNumberFormat="0" applyAlignment="0" applyProtection="0"/>
    <xf numFmtId="0" fontId="62" fillId="55" borderId="291" applyNumberFormat="0" applyAlignment="0" applyProtection="0"/>
    <xf numFmtId="0" fontId="32" fillId="33" borderId="297">
      <alignment horizontal="right" vertical="center"/>
    </xf>
    <xf numFmtId="0" fontId="34" fillId="0" borderId="295" applyNumberFormat="0" applyFill="0" applyAlignment="0" applyProtection="0"/>
    <xf numFmtId="49" fontId="34" fillId="0" borderId="296" applyNumberFormat="0" applyFont="0" applyFill="0" applyBorder="0" applyProtection="0">
      <alignment horizontal="left" vertical="center" indent="5"/>
    </xf>
    <xf numFmtId="0" fontId="65" fillId="0" borderId="293" applyNumberFormat="0" applyFill="0" applyAlignment="0" applyProtection="0"/>
    <xf numFmtId="0" fontId="34" fillId="0" borderId="295" applyNumberFormat="0" applyFill="0" applyAlignment="0" applyProtection="0"/>
    <xf numFmtId="0" fontId="36" fillId="31" borderId="300">
      <alignment horizontal="right" vertical="center"/>
    </xf>
    <xf numFmtId="4" fontId="32" fillId="33" borderId="302">
      <alignment horizontal="right" vertical="center"/>
    </xf>
    <xf numFmtId="0" fontId="26" fillId="22" borderId="0" applyNumberFormat="0" applyBorder="0" applyAlignment="0" applyProtection="0"/>
    <xf numFmtId="0" fontId="36" fillId="31" borderId="300">
      <alignment horizontal="right" vertical="center"/>
    </xf>
    <xf numFmtId="0" fontId="26" fillId="20" borderId="0" applyNumberFormat="0" applyBorder="0" applyAlignment="0" applyProtection="0"/>
    <xf numFmtId="4" fontId="36" fillId="31" borderId="319">
      <alignment horizontal="right" vertical="center"/>
    </xf>
    <xf numFmtId="0" fontId="36" fillId="31" borderId="310">
      <alignment horizontal="right" vertical="center"/>
    </xf>
    <xf numFmtId="0" fontId="40" fillId="58" borderId="294" applyNumberFormat="0" applyFont="0" applyAlignment="0" applyProtection="0"/>
    <xf numFmtId="0" fontId="29" fillId="12" borderId="10" applyNumberFormat="0" applyAlignment="0" applyProtection="0"/>
    <xf numFmtId="0" fontId="34" fillId="33" borderId="335">
      <alignment horizontal="left" vertical="center" wrapText="1" indent="2"/>
    </xf>
    <xf numFmtId="0" fontId="58" fillId="42" borderId="305" applyNumberFormat="0" applyAlignment="0" applyProtection="0"/>
    <xf numFmtId="0" fontId="58" fillId="42" borderId="307" applyNumberFormat="0" applyAlignment="0" applyProtection="0"/>
    <xf numFmtId="4" fontId="32" fillId="33" borderId="310">
      <alignment horizontal="right" vertical="center"/>
    </xf>
    <xf numFmtId="0" fontId="36" fillId="31" borderId="327">
      <alignment horizontal="right" vertical="center"/>
    </xf>
    <xf numFmtId="0" fontId="28" fillId="12" borderId="11" applyNumberFormat="0" applyAlignment="0" applyProtection="0"/>
    <xf numFmtId="4" fontId="32" fillId="33" borderId="301">
      <alignment horizontal="right" vertical="center"/>
    </xf>
    <xf numFmtId="0" fontId="5" fillId="58" borderId="299" applyNumberFormat="0" applyFont="0" applyAlignment="0" applyProtection="0"/>
    <xf numFmtId="0" fontId="34" fillId="0" borderId="298">
      <alignment horizontal="left" vertical="center" wrapText="1" indent="2"/>
    </xf>
    <xf numFmtId="4" fontId="32" fillId="33" borderId="319">
      <alignment horizontal="right" vertical="center"/>
    </xf>
    <xf numFmtId="4" fontId="32" fillId="31" borderId="295">
      <alignment horizontal="right" vertical="center"/>
    </xf>
    <xf numFmtId="4" fontId="32" fillId="33" borderId="300">
      <alignment horizontal="right" vertical="center"/>
    </xf>
    <xf numFmtId="49" fontId="34" fillId="0" borderId="300" applyNumberFormat="0" applyFont="0" applyFill="0" applyBorder="0" applyProtection="0">
      <alignment horizontal="left" vertical="center" indent="2"/>
    </xf>
    <xf numFmtId="0" fontId="62" fillId="55" borderId="291" applyNumberFormat="0" applyAlignment="0" applyProtection="0"/>
    <xf numFmtId="49" fontId="34" fillId="0" borderId="296" applyNumberFormat="0" applyFont="0" applyFill="0" applyBorder="0" applyProtection="0">
      <alignment horizontal="left" vertical="center" indent="5"/>
    </xf>
    <xf numFmtId="4" fontId="34" fillId="0" borderId="295">
      <alignment horizontal="right" vertical="center"/>
    </xf>
    <xf numFmtId="0" fontId="32" fillId="33" borderId="300">
      <alignment horizontal="right" vertical="center"/>
    </xf>
    <xf numFmtId="4" fontId="36" fillId="31" borderId="300">
      <alignment horizontal="right" vertical="center"/>
    </xf>
    <xf numFmtId="0" fontId="65" fillId="0" borderId="308" applyNumberFormat="0" applyFill="0" applyAlignment="0" applyProtection="0"/>
    <xf numFmtId="0" fontId="26" fillId="28" borderId="0" applyNumberFormat="0" applyBorder="0" applyAlignment="0" applyProtection="0"/>
    <xf numFmtId="0" fontId="50" fillId="0" borderId="293" applyNumberFormat="0" applyFill="0" applyAlignment="0" applyProtection="0"/>
    <xf numFmtId="4" fontId="32" fillId="33" borderId="327">
      <alignment horizontal="right" vertical="center"/>
    </xf>
    <xf numFmtId="4" fontId="32" fillId="33" borderId="297">
      <alignment horizontal="right" vertical="center"/>
    </xf>
    <xf numFmtId="4" fontId="32" fillId="33" borderId="295">
      <alignment horizontal="right" vertical="center"/>
    </xf>
    <xf numFmtId="4" fontId="32" fillId="33" borderId="295">
      <alignment horizontal="right" vertical="center"/>
    </xf>
    <xf numFmtId="0" fontId="65" fillId="0" borderId="293" applyNumberFormat="0" applyFill="0" applyAlignment="0" applyProtection="0"/>
    <xf numFmtId="0" fontId="46" fillId="55" borderId="292" applyNumberFormat="0" applyAlignment="0" applyProtection="0"/>
    <xf numFmtId="0" fontId="49" fillId="42" borderId="292" applyNumberFormat="0" applyAlignment="0" applyProtection="0"/>
    <xf numFmtId="0" fontId="40" fillId="58" borderId="318" applyNumberFormat="0" applyFont="0" applyAlignment="0" applyProtection="0"/>
    <xf numFmtId="0" fontId="29" fillId="12" borderId="10" applyNumberFormat="0" applyAlignment="0" applyProtection="0"/>
    <xf numFmtId="49" fontId="33" fillId="0" borderId="295" applyNumberFormat="0" applyFill="0" applyBorder="0" applyProtection="0">
      <alignment horizontal="left" vertical="center"/>
    </xf>
    <xf numFmtId="0" fontId="5" fillId="58" borderId="294" applyNumberFormat="0" applyFont="0" applyAlignment="0" applyProtection="0"/>
    <xf numFmtId="173" fontId="34" fillId="59" borderId="310" applyNumberFormat="0" applyFont="0" applyBorder="0" applyAlignment="0" applyProtection="0">
      <alignment horizontal="right" vertical="center"/>
    </xf>
    <xf numFmtId="4" fontId="32" fillId="33" borderId="295">
      <alignment horizontal="right" vertical="center"/>
    </xf>
    <xf numFmtId="0" fontId="26" fillId="22" borderId="0" applyNumberFormat="0" applyBorder="0" applyAlignment="0" applyProtection="0"/>
    <xf numFmtId="4" fontId="36" fillId="31" borderId="300">
      <alignment horizontal="right" vertical="center"/>
    </xf>
    <xf numFmtId="0" fontId="43" fillId="55" borderId="304" applyNumberFormat="0" applyAlignment="0" applyProtection="0"/>
    <xf numFmtId="0" fontId="32" fillId="33" borderId="300">
      <alignment horizontal="right" vertical="center"/>
    </xf>
    <xf numFmtId="173" fontId="34" fillId="59" borderId="300" applyNumberFormat="0" applyFont="0" applyBorder="0" applyAlignment="0" applyProtection="0">
      <alignment horizontal="right" vertical="center"/>
    </xf>
    <xf numFmtId="49" fontId="34" fillId="0" borderId="295" applyNumberFormat="0" applyFont="0" applyFill="0" applyBorder="0" applyProtection="0">
      <alignment horizontal="left" vertical="center" indent="2"/>
    </xf>
    <xf numFmtId="0" fontId="65" fillId="0" borderId="293" applyNumberFormat="0" applyFill="0" applyAlignment="0" applyProtection="0"/>
    <xf numFmtId="4" fontId="34" fillId="0" borderId="295" applyFill="0" applyBorder="0" applyProtection="0">
      <alignment horizontal="right" vertical="center"/>
    </xf>
    <xf numFmtId="0" fontId="58" fillId="42" borderId="292" applyNumberFormat="0" applyAlignment="0" applyProtection="0"/>
    <xf numFmtId="49" fontId="33" fillId="0" borderId="295" applyNumberFormat="0" applyFill="0" applyBorder="0" applyProtection="0">
      <alignment horizontal="left" vertical="center"/>
    </xf>
    <xf numFmtId="49" fontId="34" fillId="0" borderId="295" applyNumberFormat="0" applyFont="0" applyFill="0" applyBorder="0" applyProtection="0">
      <alignment horizontal="left" vertical="center" indent="2"/>
    </xf>
    <xf numFmtId="4" fontId="34" fillId="0" borderId="295" applyFill="0" applyBorder="0" applyProtection="0">
      <alignment horizontal="right" vertical="center"/>
    </xf>
    <xf numFmtId="0" fontId="62" fillId="55" borderId="304" applyNumberFormat="0" applyAlignment="0" applyProtection="0"/>
    <xf numFmtId="173" fontId="34" fillId="59" borderId="295" applyNumberFormat="0" applyFont="0" applyBorder="0" applyAlignment="0" applyProtection="0">
      <alignment horizontal="right" vertical="center"/>
    </xf>
    <xf numFmtId="4" fontId="32" fillId="33" borderId="301">
      <alignment horizontal="right" vertical="center"/>
    </xf>
    <xf numFmtId="0" fontId="26" fillId="22" borderId="0" applyNumberFormat="0" applyBorder="0" applyAlignment="0" applyProtection="0"/>
    <xf numFmtId="0" fontId="36" fillId="31" borderId="295">
      <alignment horizontal="right" vertical="center"/>
    </xf>
    <xf numFmtId="0" fontId="65" fillId="0" borderId="325" applyNumberFormat="0" applyFill="0" applyAlignment="0" applyProtection="0"/>
    <xf numFmtId="49" fontId="34" fillId="0" borderId="300" applyNumberFormat="0" applyFont="0" applyFill="0" applyBorder="0" applyProtection="0">
      <alignment horizontal="left" vertical="center" indent="2"/>
    </xf>
    <xf numFmtId="0" fontId="12" fillId="30" borderId="0" applyNumberFormat="0" applyBorder="0" applyAlignment="0" applyProtection="0"/>
    <xf numFmtId="0" fontId="46" fillId="55" borderId="305" applyNumberFormat="0" applyAlignment="0" applyProtection="0"/>
    <xf numFmtId="0" fontId="49" fillId="42" borderId="292" applyNumberFormat="0" applyAlignment="0" applyProtection="0"/>
    <xf numFmtId="4" fontId="32" fillId="33" borderId="295">
      <alignment horizontal="right" vertical="center"/>
    </xf>
    <xf numFmtId="0" fontId="34" fillId="31" borderId="296">
      <alignment horizontal="left" vertical="center"/>
    </xf>
    <xf numFmtId="0" fontId="65" fillId="0" borderId="308" applyNumberFormat="0" applyFill="0" applyAlignment="0" applyProtection="0"/>
    <xf numFmtId="4" fontId="34" fillId="32" borderId="300"/>
    <xf numFmtId="173" fontId="34" fillId="59" borderId="310" applyNumberFormat="0" applyFont="0" applyBorder="0" applyAlignment="0" applyProtection="0">
      <alignment horizontal="right" vertical="center"/>
    </xf>
    <xf numFmtId="4" fontId="34" fillId="0" borderId="300">
      <alignment horizontal="right" vertical="center"/>
    </xf>
    <xf numFmtId="4" fontId="34" fillId="32" borderId="300"/>
    <xf numFmtId="4" fontId="32" fillId="33" borderId="302">
      <alignment horizontal="right" vertical="center"/>
    </xf>
    <xf numFmtId="4" fontId="32" fillId="33" borderId="311">
      <alignment horizontal="right" vertical="center"/>
    </xf>
    <xf numFmtId="0" fontId="32" fillId="33" borderId="300">
      <alignment horizontal="right" vertical="center"/>
    </xf>
    <xf numFmtId="0" fontId="65" fillId="0" borderId="306" applyNumberFormat="0" applyFill="0" applyAlignment="0" applyProtection="0"/>
    <xf numFmtId="0" fontId="30" fillId="0" borderId="0" applyNumberFormat="0" applyFill="0" applyBorder="0" applyAlignment="0" applyProtection="0"/>
    <xf numFmtId="0" fontId="12" fillId="27" borderId="0" applyNumberFormat="0" applyBorder="0" applyAlignment="0" applyProtection="0"/>
    <xf numFmtId="0" fontId="5" fillId="58" borderId="299" applyNumberFormat="0" applyFont="0" applyAlignment="0" applyProtection="0"/>
    <xf numFmtId="0" fontId="32" fillId="33" borderId="295">
      <alignment horizontal="right" vertical="center"/>
    </xf>
    <xf numFmtId="0" fontId="34" fillId="33" borderId="298">
      <alignment horizontal="left" vertical="center" wrapText="1" indent="2"/>
    </xf>
    <xf numFmtId="173" fontId="34" fillId="59" borderId="295" applyNumberFormat="0" applyFont="0" applyBorder="0" applyAlignment="0" applyProtection="0">
      <alignment horizontal="right" vertical="center"/>
    </xf>
    <xf numFmtId="0" fontId="40" fillId="58" borderId="294" applyNumberFormat="0" applyFont="0" applyAlignment="0" applyProtection="0"/>
    <xf numFmtId="49" fontId="34" fillId="0" borderId="295" applyNumberFormat="0" applyFont="0" applyFill="0" applyBorder="0" applyProtection="0">
      <alignment horizontal="left" vertical="center" indent="2"/>
    </xf>
    <xf numFmtId="0" fontId="50" fillId="0" borderId="306" applyNumberFormat="0" applyFill="0" applyAlignment="0" applyProtection="0"/>
    <xf numFmtId="4" fontId="32" fillId="33" borderId="312">
      <alignment horizontal="right" vertical="center"/>
    </xf>
    <xf numFmtId="0" fontId="32" fillId="33" borderId="329">
      <alignment horizontal="right" vertical="center"/>
    </xf>
    <xf numFmtId="0" fontId="32" fillId="33" borderId="311">
      <alignment horizontal="right" vertical="center"/>
    </xf>
    <xf numFmtId="49" fontId="33" fillId="0" borderId="295" applyNumberFormat="0" applyFill="0" applyBorder="0" applyProtection="0">
      <alignment horizontal="left" vertical="center"/>
    </xf>
    <xf numFmtId="4" fontId="36" fillId="31" borderId="300">
      <alignment horizontal="right" vertical="center"/>
    </xf>
    <xf numFmtId="173" fontId="34" fillId="59" borderId="295" applyNumberFormat="0" applyFont="0" applyBorder="0" applyAlignment="0" applyProtection="0">
      <alignment horizontal="right" vertical="center"/>
    </xf>
    <xf numFmtId="0" fontId="62" fillId="55" borderId="291" applyNumberFormat="0" applyAlignment="0" applyProtection="0"/>
    <xf numFmtId="0" fontId="34" fillId="0" borderId="295">
      <alignment horizontal="right" vertical="center"/>
    </xf>
    <xf numFmtId="0" fontId="65" fillId="0" borderId="317" applyNumberFormat="0" applyFill="0" applyAlignment="0" applyProtection="0"/>
    <xf numFmtId="0" fontId="34" fillId="32" borderId="295"/>
    <xf numFmtId="4" fontId="32" fillId="33" borderId="295">
      <alignment horizontal="right" vertical="center"/>
    </xf>
    <xf numFmtId="0" fontId="34" fillId="32" borderId="295"/>
    <xf numFmtId="0" fontId="58" fillId="42" borderId="292" applyNumberFormat="0" applyAlignment="0" applyProtection="0"/>
    <xf numFmtId="0" fontId="50" fillId="0" borderId="306" applyNumberFormat="0" applyFill="0" applyAlignment="0" applyProtection="0"/>
    <xf numFmtId="0" fontId="36" fillId="31" borderId="295">
      <alignment horizontal="right" vertical="center"/>
    </xf>
    <xf numFmtId="0" fontId="34" fillId="0" borderId="298">
      <alignment horizontal="left" vertical="center" wrapText="1" indent="2"/>
    </xf>
    <xf numFmtId="0" fontId="32" fillId="31" borderId="295">
      <alignment horizontal="right" vertical="center"/>
    </xf>
    <xf numFmtId="0" fontId="49" fillId="42" borderId="292" applyNumberFormat="0" applyAlignment="0" applyProtection="0"/>
    <xf numFmtId="0" fontId="34" fillId="33" borderId="298">
      <alignment horizontal="left" vertical="center" wrapText="1" indent="2"/>
    </xf>
    <xf numFmtId="0" fontId="34" fillId="33" borderId="313">
      <alignment horizontal="left" vertical="center" wrapText="1" indent="2"/>
    </xf>
    <xf numFmtId="4" fontId="36" fillId="31" borderId="310">
      <alignment horizontal="right" vertical="center"/>
    </xf>
    <xf numFmtId="0" fontId="49" fillId="42" borderId="305" applyNumberFormat="0" applyAlignment="0" applyProtection="0"/>
    <xf numFmtId="0" fontId="49" fillId="42" borderId="305" applyNumberFormat="0" applyAlignment="0" applyProtection="0"/>
    <xf numFmtId="0" fontId="5" fillId="58" borderId="299" applyNumberFormat="0" applyFont="0" applyAlignment="0" applyProtection="0"/>
    <xf numFmtId="0" fontId="26" fillId="23" borderId="0" applyNumberFormat="0" applyBorder="0" applyAlignment="0" applyProtection="0"/>
    <xf numFmtId="173" fontId="34" fillId="59" borderId="310" applyNumberFormat="0" applyFont="0" applyBorder="0" applyAlignment="0" applyProtection="0">
      <alignment horizontal="right" vertical="center"/>
    </xf>
    <xf numFmtId="49" fontId="33" fillId="0" borderId="327" applyNumberFormat="0" applyFill="0" applyBorder="0" applyProtection="0">
      <alignment horizontal="left" vertical="center"/>
    </xf>
    <xf numFmtId="4" fontId="34" fillId="32" borderId="327"/>
    <xf numFmtId="0" fontId="34" fillId="32" borderId="300"/>
    <xf numFmtId="0" fontId="45" fillId="55" borderId="292" applyNumberFormat="0" applyAlignment="0" applyProtection="0"/>
    <xf numFmtId="0" fontId="36" fillId="31" borderId="295">
      <alignment horizontal="right" vertical="center"/>
    </xf>
    <xf numFmtId="0" fontId="34" fillId="32" borderId="300"/>
    <xf numFmtId="0" fontId="32" fillId="33" borderId="329">
      <alignment horizontal="right" vertical="center"/>
    </xf>
    <xf numFmtId="0" fontId="36" fillId="31" borderId="310">
      <alignment horizontal="right" vertical="center"/>
    </xf>
    <xf numFmtId="0" fontId="28" fillId="12" borderId="11" applyNumberFormat="0" applyAlignment="0" applyProtection="0"/>
    <xf numFmtId="0" fontId="26" fillId="19" borderId="0" applyNumberFormat="0" applyBorder="0" applyAlignment="0" applyProtection="0"/>
    <xf numFmtId="0" fontId="5" fillId="58" borderId="299" applyNumberFormat="0" applyFont="0" applyAlignment="0" applyProtection="0"/>
    <xf numFmtId="0" fontId="58" fillId="42" borderId="305" applyNumberFormat="0" applyAlignment="0" applyProtection="0"/>
    <xf numFmtId="0" fontId="30" fillId="0" borderId="0" applyNumberFormat="0" applyFill="0" applyBorder="0" applyAlignment="0" applyProtection="0"/>
    <xf numFmtId="0" fontId="43" fillId="55" borderId="304" applyNumberFormat="0" applyAlignment="0" applyProtection="0"/>
    <xf numFmtId="49" fontId="34" fillId="0" borderId="301" applyNumberFormat="0" applyFont="0" applyFill="0" applyBorder="0" applyProtection="0">
      <alignment horizontal="left" vertical="center" indent="5"/>
    </xf>
    <xf numFmtId="0" fontId="32" fillId="33" borderId="295">
      <alignment horizontal="right" vertical="center"/>
    </xf>
    <xf numFmtId="4" fontId="34" fillId="0" borderId="295" applyFill="0" applyBorder="0" applyProtection="0">
      <alignment horizontal="right" vertical="center"/>
    </xf>
    <xf numFmtId="0" fontId="34" fillId="33" borderId="298">
      <alignment horizontal="left" vertical="center" wrapText="1" indent="2"/>
    </xf>
    <xf numFmtId="0" fontId="40" fillId="58" borderId="294" applyNumberFormat="0" applyFont="0" applyAlignment="0" applyProtection="0"/>
    <xf numFmtId="0" fontId="49" fillId="42" borderId="292" applyNumberFormat="0" applyAlignment="0" applyProtection="0"/>
    <xf numFmtId="4" fontId="34" fillId="32" borderId="295"/>
    <xf numFmtId="4" fontId="34" fillId="0" borderId="295" applyFill="0" applyBorder="0" applyProtection="0">
      <alignment horizontal="right" vertical="center"/>
    </xf>
    <xf numFmtId="0" fontId="65" fillId="0" borderId="293" applyNumberFormat="0" applyFill="0" applyAlignment="0" applyProtection="0"/>
    <xf numFmtId="0" fontId="34" fillId="31" borderId="296">
      <alignment horizontal="left" vertical="center"/>
    </xf>
    <xf numFmtId="0" fontId="34" fillId="0" borderId="298">
      <alignment horizontal="left" vertical="center" wrapText="1" indent="2"/>
    </xf>
    <xf numFmtId="0" fontId="45" fillId="55" borderId="305" applyNumberFormat="0" applyAlignment="0" applyProtection="0"/>
    <xf numFmtId="0" fontId="58" fillId="42" borderId="292" applyNumberFormat="0" applyAlignment="0" applyProtection="0"/>
    <xf numFmtId="0" fontId="65" fillId="0" borderId="308" applyNumberFormat="0" applyFill="0" applyAlignment="0" applyProtection="0"/>
    <xf numFmtId="0" fontId="34" fillId="33" borderId="298">
      <alignment horizontal="left" vertical="center" wrapText="1" indent="2"/>
    </xf>
    <xf numFmtId="0" fontId="32" fillId="33" borderId="300">
      <alignment horizontal="right" vertical="center"/>
    </xf>
    <xf numFmtId="0" fontId="26" fillId="14" borderId="0" applyNumberFormat="0" applyBorder="0" applyAlignment="0" applyProtection="0"/>
    <xf numFmtId="49" fontId="33" fillId="0" borderId="300" applyNumberFormat="0" applyFill="0" applyBorder="0" applyProtection="0">
      <alignment horizontal="left" vertical="center"/>
    </xf>
    <xf numFmtId="0" fontId="49" fillId="42" borderId="316" applyNumberFormat="0" applyAlignment="0" applyProtection="0"/>
    <xf numFmtId="0" fontId="40" fillId="58" borderId="294" applyNumberFormat="0" applyFont="0" applyAlignment="0" applyProtection="0"/>
    <xf numFmtId="0" fontId="58" fillId="42" borderId="292" applyNumberFormat="0" applyAlignment="0" applyProtection="0"/>
    <xf numFmtId="0" fontId="58" fillId="42" borderId="305" applyNumberFormat="0" applyAlignment="0" applyProtection="0"/>
    <xf numFmtId="4" fontId="34" fillId="32" borderId="295"/>
    <xf numFmtId="0" fontId="46" fillId="55" borderId="292" applyNumberFormat="0" applyAlignment="0" applyProtection="0"/>
    <xf numFmtId="0" fontId="58" fillId="42" borderId="292" applyNumberFormat="0" applyAlignment="0" applyProtection="0"/>
    <xf numFmtId="4" fontId="32" fillId="33" borderId="295">
      <alignment horizontal="right" vertical="center"/>
    </xf>
    <xf numFmtId="0" fontId="50" fillId="0" borderId="293" applyNumberFormat="0" applyFill="0" applyAlignment="0" applyProtection="0"/>
    <xf numFmtId="0" fontId="32" fillId="33" borderId="333">
      <alignment horizontal="right" vertical="center"/>
    </xf>
    <xf numFmtId="0" fontId="12" fillId="15" borderId="0" applyNumberFormat="0" applyBorder="0" applyAlignment="0" applyProtection="0"/>
    <xf numFmtId="0" fontId="34" fillId="31" borderId="311">
      <alignment horizontal="left" vertical="center"/>
    </xf>
    <xf numFmtId="0" fontId="32" fillId="31" borderId="300">
      <alignment horizontal="right" vertical="center"/>
    </xf>
    <xf numFmtId="4" fontId="32" fillId="33" borderId="300">
      <alignment horizontal="right" vertical="center"/>
    </xf>
    <xf numFmtId="0" fontId="46" fillId="55" borderId="292" applyNumberFormat="0" applyAlignment="0" applyProtection="0"/>
    <xf numFmtId="0" fontId="46" fillId="55" borderId="305" applyNumberFormat="0" applyAlignment="0" applyProtection="0"/>
    <xf numFmtId="0" fontId="49" fillId="42" borderId="292" applyNumberFormat="0" applyAlignment="0" applyProtection="0"/>
    <xf numFmtId="0" fontId="50" fillId="0" borderId="306" applyNumberFormat="0" applyFill="0" applyAlignment="0" applyProtection="0"/>
    <xf numFmtId="0" fontId="58" fillId="42" borderId="324" applyNumberFormat="0" applyAlignment="0" applyProtection="0"/>
    <xf numFmtId="0" fontId="26" fillId="16" borderId="0" applyNumberFormat="0" applyBorder="0" applyAlignment="0" applyProtection="0"/>
    <xf numFmtId="4" fontId="32" fillId="33" borderId="333">
      <alignment horizontal="right" vertical="center"/>
    </xf>
    <xf numFmtId="4" fontId="36" fillId="31" borderId="310">
      <alignment horizontal="right" vertical="center"/>
    </xf>
    <xf numFmtId="0" fontId="34" fillId="32" borderId="327"/>
    <xf numFmtId="0" fontId="34" fillId="33" borderId="298">
      <alignment horizontal="left" vertical="center" wrapText="1" indent="2"/>
    </xf>
    <xf numFmtId="0" fontId="36" fillId="31" borderId="300">
      <alignment horizontal="right" vertical="center"/>
    </xf>
    <xf numFmtId="0" fontId="62" fillId="55" borderId="291" applyNumberFormat="0" applyAlignment="0" applyProtection="0"/>
    <xf numFmtId="0" fontId="58" fillId="42" borderId="292" applyNumberFormat="0" applyAlignment="0" applyProtection="0"/>
    <xf numFmtId="4" fontId="32" fillId="33" borderId="295">
      <alignment horizontal="right" vertical="center"/>
    </xf>
    <xf numFmtId="0" fontId="34" fillId="32" borderId="295"/>
    <xf numFmtId="0" fontId="5" fillId="58" borderId="309" applyNumberFormat="0" applyFont="0" applyAlignment="0" applyProtection="0"/>
    <xf numFmtId="0" fontId="34" fillId="0" borderId="310">
      <alignment horizontal="right" vertical="center"/>
    </xf>
    <xf numFmtId="0" fontId="34" fillId="0" borderId="298">
      <alignment horizontal="left" vertical="center" wrapText="1" indent="2"/>
    </xf>
    <xf numFmtId="49" fontId="34" fillId="0" borderId="300" applyNumberFormat="0" applyFont="0" applyFill="0" applyBorder="0" applyProtection="0">
      <alignment horizontal="left" vertical="center" indent="2"/>
    </xf>
    <xf numFmtId="0" fontId="12" fillId="24" borderId="0" applyNumberFormat="0" applyBorder="0" applyAlignment="0" applyProtection="0"/>
    <xf numFmtId="0" fontId="46" fillId="55" borderId="307" applyNumberFormat="0" applyAlignment="0" applyProtection="0"/>
    <xf numFmtId="0" fontId="34" fillId="0" borderId="313">
      <alignment horizontal="left" vertical="center" wrapText="1" indent="2"/>
    </xf>
    <xf numFmtId="0" fontId="45" fillId="55" borderId="292" applyNumberFormat="0" applyAlignment="0" applyProtection="0"/>
    <xf numFmtId="0" fontId="34" fillId="33" borderId="303">
      <alignment horizontal="left" vertical="center" wrapText="1" indent="2"/>
    </xf>
    <xf numFmtId="4" fontId="34" fillId="0" borderId="300">
      <alignment horizontal="right" vertical="center"/>
    </xf>
    <xf numFmtId="4" fontId="32" fillId="31" borderId="295">
      <alignment horizontal="right" vertical="center"/>
    </xf>
    <xf numFmtId="0" fontId="32" fillId="31" borderId="295">
      <alignment horizontal="right" vertical="center"/>
    </xf>
    <xf numFmtId="0" fontId="32" fillId="33" borderId="295">
      <alignment horizontal="right" vertical="center"/>
    </xf>
    <xf numFmtId="0" fontId="58" fillId="42" borderId="305" applyNumberFormat="0" applyAlignment="0" applyProtection="0"/>
    <xf numFmtId="0" fontId="46" fillId="55" borderId="324" applyNumberFormat="0" applyAlignment="0" applyProtection="0"/>
    <xf numFmtId="49" fontId="34" fillId="0" borderId="300" applyNumberFormat="0" applyFont="0" applyFill="0" applyBorder="0" applyProtection="0">
      <alignment horizontal="left" vertical="center" indent="2"/>
    </xf>
    <xf numFmtId="0" fontId="26" fillId="29" borderId="0" applyNumberFormat="0" applyBorder="0" applyAlignment="0" applyProtection="0"/>
    <xf numFmtId="0" fontId="36" fillId="31" borderId="300">
      <alignment horizontal="right" vertical="center"/>
    </xf>
    <xf numFmtId="0" fontId="62" fillId="55" borderId="291" applyNumberFormat="0" applyAlignment="0" applyProtection="0"/>
    <xf numFmtId="0" fontId="32" fillId="31" borderId="310">
      <alignment horizontal="right" vertical="center"/>
    </xf>
    <xf numFmtId="49" fontId="34" fillId="0" borderId="295" applyNumberFormat="0" applyFont="0" applyFill="0" applyBorder="0" applyProtection="0">
      <alignment horizontal="left" vertical="center" indent="2"/>
    </xf>
    <xf numFmtId="0" fontId="34" fillId="0" borderId="335">
      <alignment horizontal="left" vertical="center" wrapText="1" indent="2"/>
    </xf>
    <xf numFmtId="0" fontId="40" fillId="58" borderId="294" applyNumberFormat="0" applyFont="0" applyAlignment="0" applyProtection="0"/>
    <xf numFmtId="173" fontId="34" fillId="59" borderId="295" applyNumberFormat="0" applyFont="0" applyBorder="0" applyAlignment="0" applyProtection="0">
      <alignment horizontal="right" vertical="center"/>
    </xf>
    <xf numFmtId="0" fontId="58" fillId="42" borderId="292" applyNumberFormat="0" applyAlignment="0" applyProtection="0"/>
    <xf numFmtId="0" fontId="32" fillId="33" borderId="295">
      <alignment horizontal="right" vertical="center"/>
    </xf>
    <xf numFmtId="0" fontId="34" fillId="32" borderId="295"/>
    <xf numFmtId="0" fontId="62" fillId="55" borderId="291" applyNumberFormat="0" applyAlignment="0" applyProtection="0"/>
    <xf numFmtId="0" fontId="46" fillId="55" borderId="292" applyNumberFormat="0" applyAlignment="0" applyProtection="0"/>
    <xf numFmtId="0" fontId="45" fillId="55" borderId="292" applyNumberFormat="0" applyAlignment="0" applyProtection="0"/>
    <xf numFmtId="0" fontId="49" fillId="42" borderId="292" applyNumberFormat="0" applyAlignment="0" applyProtection="0"/>
    <xf numFmtId="0" fontId="49" fillId="42" borderId="292" applyNumberFormat="0" applyAlignment="0" applyProtection="0"/>
    <xf numFmtId="0" fontId="34" fillId="0" borderId="298">
      <alignment horizontal="left" vertical="center" wrapText="1" indent="2"/>
    </xf>
    <xf numFmtId="4" fontId="32" fillId="33" borderId="296">
      <alignment horizontal="right" vertical="center"/>
    </xf>
    <xf numFmtId="4" fontId="34" fillId="0" borderId="295">
      <alignment horizontal="right" vertical="center"/>
    </xf>
    <xf numFmtId="49" fontId="33" fillId="0" borderId="295" applyNumberFormat="0" applyFill="0" applyBorder="0" applyProtection="0">
      <alignment horizontal="left" vertical="center"/>
    </xf>
    <xf numFmtId="4" fontId="34" fillId="0" borderId="295">
      <alignment horizontal="right" vertical="center"/>
    </xf>
    <xf numFmtId="0" fontId="62" fillId="55" borderId="291" applyNumberFormat="0" applyAlignment="0" applyProtection="0"/>
    <xf numFmtId="0" fontId="32" fillId="33" borderId="300">
      <alignment horizontal="right" vertical="center"/>
    </xf>
    <xf numFmtId="0" fontId="12" fillId="24" borderId="0" applyNumberFormat="0" applyBorder="0" applyAlignment="0" applyProtection="0"/>
    <xf numFmtId="0" fontId="34" fillId="33" borderId="330">
      <alignment horizontal="left" vertical="center" wrapText="1" indent="2"/>
    </xf>
    <xf numFmtId="0" fontId="58" fillId="42" borderId="305" applyNumberFormat="0" applyAlignment="0" applyProtection="0"/>
    <xf numFmtId="4" fontId="32" fillId="33" borderId="302">
      <alignment horizontal="right" vertical="center"/>
    </xf>
    <xf numFmtId="0" fontId="26" fillId="28" borderId="0" applyNumberFormat="0" applyBorder="0" applyAlignment="0" applyProtection="0"/>
    <xf numFmtId="0" fontId="1" fillId="0" borderId="0" applyNumberFormat="0" applyFill="0" applyBorder="0" applyAlignment="0" applyProtection="0"/>
    <xf numFmtId="0" fontId="34" fillId="0" borderId="298">
      <alignment horizontal="left" vertical="center" wrapText="1" indent="2"/>
    </xf>
    <xf numFmtId="0" fontId="12" fillId="21" borderId="0" applyNumberFormat="0" applyBorder="0" applyAlignment="0" applyProtection="0"/>
    <xf numFmtId="0" fontId="36" fillId="31" borderId="310">
      <alignment horizontal="right" vertical="center"/>
    </xf>
    <xf numFmtId="0" fontId="26" fillId="17" borderId="0" applyNumberFormat="0" applyBorder="0" applyAlignment="0" applyProtection="0"/>
    <xf numFmtId="0" fontId="32" fillId="31" borderId="300">
      <alignment horizontal="right" vertical="center"/>
    </xf>
    <xf numFmtId="0" fontId="49" fillId="42" borderId="324" applyNumberFormat="0" applyAlignment="0" applyProtection="0"/>
    <xf numFmtId="0" fontId="50" fillId="0" borderId="308" applyNumberFormat="0" applyFill="0" applyAlignment="0" applyProtection="0"/>
    <xf numFmtId="0" fontId="40" fillId="58" borderId="326" applyNumberFormat="0" applyFont="0" applyAlignment="0" applyProtection="0"/>
    <xf numFmtId="173" fontId="34" fillId="59" borderId="327" applyNumberFormat="0" applyFont="0" applyBorder="0" applyAlignment="0" applyProtection="0">
      <alignment horizontal="right" vertical="center"/>
    </xf>
    <xf numFmtId="0" fontId="32" fillId="33" borderId="301">
      <alignment horizontal="right" vertical="center"/>
    </xf>
    <xf numFmtId="0" fontId="40" fillId="58" borderId="294" applyNumberFormat="0" applyFont="0" applyAlignment="0" applyProtection="0"/>
    <xf numFmtId="0" fontId="12" fillId="15" borderId="0" applyNumberFormat="0" applyBorder="0" applyAlignment="0" applyProtection="0"/>
    <xf numFmtId="0" fontId="32" fillId="31" borderId="295">
      <alignment horizontal="right" vertical="center"/>
    </xf>
    <xf numFmtId="0" fontId="12" fillId="18" borderId="0" applyNumberFormat="0" applyBorder="0" applyAlignment="0" applyProtection="0"/>
    <xf numFmtId="0" fontId="40" fillId="58" borderId="299" applyNumberFormat="0" applyFont="0" applyAlignment="0" applyProtection="0"/>
    <xf numFmtId="0" fontId="34" fillId="0" borderId="295" applyNumberFormat="0" applyFill="0" applyAlignment="0" applyProtection="0"/>
    <xf numFmtId="49" fontId="33" fillId="0" borderId="295" applyNumberFormat="0" applyFill="0" applyBorder="0" applyProtection="0">
      <alignment horizontal="left" vertical="center"/>
    </xf>
    <xf numFmtId="0" fontId="34" fillId="0" borderId="295">
      <alignment horizontal="right" vertical="center"/>
    </xf>
    <xf numFmtId="0" fontId="62" fillId="55" borderId="304" applyNumberFormat="0" applyAlignment="0" applyProtection="0"/>
    <xf numFmtId="0" fontId="62" fillId="55" borderId="304" applyNumberFormat="0" applyAlignment="0" applyProtection="0"/>
    <xf numFmtId="0" fontId="26" fillId="28" borderId="0" applyNumberFormat="0" applyBorder="0" applyAlignment="0" applyProtection="0"/>
    <xf numFmtId="0" fontId="34" fillId="32" borderId="310"/>
    <xf numFmtId="4" fontId="32" fillId="31" borderId="295">
      <alignment horizontal="right" vertical="center"/>
    </xf>
    <xf numFmtId="49" fontId="33" fillId="0" borderId="300" applyNumberFormat="0" applyFill="0" applyBorder="0" applyProtection="0">
      <alignment horizontal="left" vertical="center"/>
    </xf>
    <xf numFmtId="0" fontId="46" fillId="55" borderId="292" applyNumberFormat="0" applyAlignment="0" applyProtection="0"/>
    <xf numFmtId="0" fontId="32" fillId="33" borderId="297">
      <alignment horizontal="right" vertical="center"/>
    </xf>
    <xf numFmtId="4" fontId="32" fillId="31" borderId="295">
      <alignment horizontal="right" vertical="center"/>
    </xf>
    <xf numFmtId="0" fontId="32" fillId="33" borderId="295">
      <alignment horizontal="right" vertical="center"/>
    </xf>
    <xf numFmtId="0" fontId="46" fillId="55" borderId="292" applyNumberFormat="0" applyAlignment="0" applyProtection="0"/>
    <xf numFmtId="0" fontId="32" fillId="33" borderId="301">
      <alignment horizontal="right" vertical="center"/>
    </xf>
    <xf numFmtId="0" fontId="12" fillId="21" borderId="0" applyNumberFormat="0" applyBorder="0" applyAlignment="0" applyProtection="0"/>
    <xf numFmtId="0" fontId="28" fillId="12" borderId="11" applyNumberFormat="0" applyAlignment="0" applyProtection="0"/>
    <xf numFmtId="4" fontId="34" fillId="0" borderId="295" applyFill="0" applyBorder="0" applyProtection="0">
      <alignment horizontal="right" vertical="center"/>
    </xf>
    <xf numFmtId="0" fontId="40" fillId="58" borderId="294" applyNumberFormat="0" applyFont="0" applyAlignment="0" applyProtection="0"/>
    <xf numFmtId="0" fontId="50" fillId="0" borderId="338" applyNumberFormat="0" applyFill="0" applyAlignment="0" applyProtection="0"/>
    <xf numFmtId="0" fontId="49" fillId="42" borderId="307" applyNumberFormat="0" applyAlignment="0" applyProtection="0"/>
    <xf numFmtId="0" fontId="58" fillId="42" borderId="307" applyNumberFormat="0" applyAlignment="0" applyProtection="0"/>
    <xf numFmtId="4" fontId="34" fillId="0" borderId="300" applyFill="0" applyBorder="0" applyProtection="0">
      <alignment horizontal="right" vertical="center"/>
    </xf>
    <xf numFmtId="0" fontId="45" fillId="55" borderId="305" applyNumberFormat="0" applyAlignment="0" applyProtection="0"/>
    <xf numFmtId="0" fontId="34" fillId="32" borderId="310"/>
    <xf numFmtId="0" fontId="49" fillId="42" borderId="305" applyNumberFormat="0" applyAlignment="0" applyProtection="0"/>
    <xf numFmtId="0" fontId="32" fillId="31" borderId="295">
      <alignment horizontal="right" vertical="center"/>
    </xf>
    <xf numFmtId="0" fontId="50" fillId="0" borderId="293" applyNumberFormat="0" applyFill="0" applyAlignment="0" applyProtection="0"/>
    <xf numFmtId="0" fontId="34" fillId="0" borderId="295" applyNumberFormat="0" applyFill="0" applyAlignment="0" applyProtection="0"/>
    <xf numFmtId="0" fontId="50" fillId="0" borderId="293" applyNumberFormat="0" applyFill="0" applyAlignment="0" applyProtection="0"/>
    <xf numFmtId="4" fontId="34" fillId="0" borderId="295" applyFill="0" applyBorder="0" applyProtection="0">
      <alignment horizontal="right" vertical="center"/>
    </xf>
    <xf numFmtId="49" fontId="34" fillId="0" borderId="296" applyNumberFormat="0" applyFont="0" applyFill="0" applyBorder="0" applyProtection="0">
      <alignment horizontal="left" vertical="center" indent="5"/>
    </xf>
    <xf numFmtId="0" fontId="34" fillId="0" borderId="295" applyNumberFormat="0" applyFill="0" applyAlignment="0" applyProtection="0"/>
    <xf numFmtId="0" fontId="65" fillId="0" borderId="306" applyNumberFormat="0" applyFill="0" applyAlignment="0" applyProtection="0"/>
    <xf numFmtId="0" fontId="34" fillId="0" borderId="295" applyNumberFormat="0" applyFill="0" applyAlignment="0" applyProtection="0"/>
    <xf numFmtId="4" fontId="34" fillId="0" borderId="300">
      <alignment horizontal="right" vertical="center"/>
    </xf>
    <xf numFmtId="0" fontId="26" fillId="14" borderId="0" applyNumberFormat="0" applyBorder="0" applyAlignment="0" applyProtection="0"/>
    <xf numFmtId="4" fontId="32" fillId="33" borderId="295">
      <alignment horizontal="right" vertical="center"/>
    </xf>
    <xf numFmtId="0" fontId="34" fillId="32" borderId="300"/>
    <xf numFmtId="0" fontId="65" fillId="0" borderId="306" applyNumberFormat="0" applyFill="0" applyAlignment="0" applyProtection="0"/>
    <xf numFmtId="0" fontId="12" fillId="18" borderId="0" applyNumberFormat="0" applyBorder="0" applyAlignment="0" applyProtection="0"/>
    <xf numFmtId="0" fontId="45" fillId="55" borderId="305" applyNumberFormat="0" applyAlignment="0" applyProtection="0"/>
    <xf numFmtId="0" fontId="49" fillId="42" borderId="292" applyNumberFormat="0" applyAlignment="0" applyProtection="0"/>
    <xf numFmtId="0" fontId="46" fillId="55" borderId="292" applyNumberFormat="0" applyAlignment="0" applyProtection="0"/>
    <xf numFmtId="4" fontId="34" fillId="0" borderId="295">
      <alignment horizontal="right" vertical="center"/>
    </xf>
    <xf numFmtId="0" fontId="34" fillId="33" borderId="298">
      <alignment horizontal="left" vertical="center" wrapText="1" indent="2"/>
    </xf>
    <xf numFmtId="0" fontId="34" fillId="0" borderId="298">
      <alignment horizontal="left" vertical="center" wrapText="1" indent="2"/>
    </xf>
    <xf numFmtId="0" fontId="62" fillId="55" borderId="291" applyNumberFormat="0" applyAlignment="0" applyProtection="0"/>
    <xf numFmtId="0" fontId="58" fillId="42" borderId="292" applyNumberFormat="0" applyAlignment="0" applyProtection="0"/>
    <xf numFmtId="0" fontId="45" fillId="55" borderId="292" applyNumberFormat="0" applyAlignment="0" applyProtection="0"/>
    <xf numFmtId="0" fontId="43" fillId="55" borderId="291" applyNumberFormat="0" applyAlignment="0" applyProtection="0"/>
    <xf numFmtId="0" fontId="32" fillId="33" borderId="297">
      <alignment horizontal="right" vertical="center"/>
    </xf>
    <xf numFmtId="0" fontId="36" fillId="31" borderId="295">
      <alignment horizontal="right" vertical="center"/>
    </xf>
    <xf numFmtId="4" fontId="32" fillId="31" borderId="295">
      <alignment horizontal="right" vertical="center"/>
    </xf>
    <xf numFmtId="4" fontId="32" fillId="33" borderId="295">
      <alignment horizontal="right" vertical="center"/>
    </xf>
    <xf numFmtId="49" fontId="34" fillId="0" borderId="296" applyNumberFormat="0" applyFont="0" applyFill="0" applyBorder="0" applyProtection="0">
      <alignment horizontal="left" vertical="center" indent="5"/>
    </xf>
    <xf numFmtId="4" fontId="34" fillId="0" borderId="295" applyFill="0" applyBorder="0" applyProtection="0">
      <alignment horizontal="right" vertical="center"/>
    </xf>
    <xf numFmtId="4" fontId="32" fillId="31" borderId="295">
      <alignment horizontal="right" vertical="center"/>
    </xf>
    <xf numFmtId="0" fontId="58" fillId="42" borderId="292" applyNumberFormat="0" applyAlignment="0" applyProtection="0"/>
    <xf numFmtId="0" fontId="49" fillId="42" borderId="292" applyNumberFormat="0" applyAlignment="0" applyProtection="0"/>
    <xf numFmtId="0" fontId="45" fillId="55" borderId="292" applyNumberFormat="0" applyAlignment="0" applyProtection="0"/>
    <xf numFmtId="0" fontId="34" fillId="33" borderId="298">
      <alignment horizontal="left" vertical="center" wrapText="1" indent="2"/>
    </xf>
    <xf numFmtId="0" fontId="34" fillId="0" borderId="298">
      <alignment horizontal="left" vertical="center" wrapText="1" indent="2"/>
    </xf>
    <xf numFmtId="0" fontId="34" fillId="33" borderId="298">
      <alignment horizontal="left" vertical="center" wrapText="1" indent="2"/>
    </xf>
    <xf numFmtId="0" fontId="34" fillId="0" borderId="298">
      <alignment horizontal="left" vertical="center" wrapText="1" indent="2"/>
    </xf>
    <xf numFmtId="0" fontId="34" fillId="0" borderId="303">
      <alignment horizontal="left" vertical="center" wrapText="1" indent="2"/>
    </xf>
    <xf numFmtId="4" fontId="32" fillId="33" borderId="300">
      <alignment horizontal="right" vertical="center"/>
    </xf>
    <xf numFmtId="0" fontId="32" fillId="33" borderId="301">
      <alignment horizontal="right" vertical="center"/>
    </xf>
    <xf numFmtId="4" fontId="32" fillId="33" borderId="301">
      <alignment horizontal="right" vertical="center"/>
    </xf>
    <xf numFmtId="0" fontId="32" fillId="33" borderId="300">
      <alignment horizontal="right" vertical="center"/>
    </xf>
    <xf numFmtId="4" fontId="32" fillId="31" borderId="300">
      <alignment horizontal="right" vertical="center"/>
    </xf>
    <xf numFmtId="0" fontId="36" fillId="31" borderId="300">
      <alignment horizontal="right" vertical="center"/>
    </xf>
    <xf numFmtId="49" fontId="33" fillId="0" borderId="310" applyNumberFormat="0" applyFill="0" applyBorder="0" applyProtection="0">
      <alignment horizontal="left" vertical="center"/>
    </xf>
    <xf numFmtId="49" fontId="33" fillId="0" borderId="310" applyNumberFormat="0" applyFill="0" applyBorder="0" applyProtection="0">
      <alignment horizontal="left" vertical="center"/>
    </xf>
    <xf numFmtId="49" fontId="34" fillId="0" borderId="327" applyNumberFormat="0" applyFont="0" applyFill="0" applyBorder="0" applyProtection="0">
      <alignment horizontal="left" vertical="center" indent="2"/>
    </xf>
    <xf numFmtId="0" fontId="26" fillId="29" borderId="0" applyNumberFormat="0" applyBorder="0" applyAlignment="0" applyProtection="0"/>
    <xf numFmtId="0" fontId="34" fillId="0" borderId="330">
      <alignment horizontal="left" vertical="center" wrapText="1" indent="2"/>
    </xf>
    <xf numFmtId="0" fontId="34" fillId="33" borderId="335">
      <alignment horizontal="left" vertical="center" wrapText="1" indent="2"/>
    </xf>
    <xf numFmtId="49" fontId="34" fillId="0" borderId="310" applyNumberFormat="0" applyFont="0" applyFill="0" applyBorder="0" applyProtection="0">
      <alignment horizontal="left" vertical="center" indent="2"/>
    </xf>
    <xf numFmtId="0" fontId="26" fillId="14" borderId="0" applyNumberFormat="0" applyBorder="0" applyAlignment="0" applyProtection="0"/>
    <xf numFmtId="0" fontId="58" fillId="42" borderId="307" applyNumberFormat="0" applyAlignment="0" applyProtection="0"/>
    <xf numFmtId="0" fontId="26" fillId="19" borderId="0" applyNumberFormat="0" applyBorder="0" applyAlignment="0" applyProtection="0"/>
    <xf numFmtId="0" fontId="34" fillId="0" borderId="332">
      <alignment horizontal="right" vertical="center"/>
    </xf>
    <xf numFmtId="0" fontId="40" fillId="58" borderId="331" applyNumberFormat="0" applyFont="0" applyAlignment="0" applyProtection="0"/>
    <xf numFmtId="0" fontId="5" fillId="58" borderId="309" applyNumberFormat="0" applyFont="0" applyAlignment="0" applyProtection="0"/>
    <xf numFmtId="0" fontId="28" fillId="12" borderId="11" applyNumberFormat="0" applyAlignment="0" applyProtection="0"/>
    <xf numFmtId="0" fontId="40" fillId="58" borderId="326" applyNumberFormat="0" applyFont="0" applyAlignment="0" applyProtection="0"/>
    <xf numFmtId="0" fontId="26" fillId="19" borderId="0" applyNumberFormat="0" applyBorder="0" applyAlignment="0" applyProtection="0"/>
    <xf numFmtId="0" fontId="26" fillId="25" borderId="0" applyNumberFormat="0" applyBorder="0" applyAlignment="0" applyProtection="0"/>
    <xf numFmtId="0" fontId="40" fillId="58" borderId="309" applyNumberFormat="0" applyFont="0" applyAlignment="0" applyProtection="0"/>
    <xf numFmtId="0" fontId="62" fillId="55" borderId="314" applyNumberFormat="0" applyAlignment="0" applyProtection="0"/>
    <xf numFmtId="0" fontId="49" fillId="42" borderId="307" applyNumberFormat="0" applyAlignment="0" applyProtection="0"/>
    <xf numFmtId="0" fontId="12" fillId="30" borderId="0" applyNumberFormat="0" applyBorder="0" applyAlignment="0" applyProtection="0"/>
    <xf numFmtId="49" fontId="34" fillId="0" borderId="328" applyNumberFormat="0" applyFont="0" applyFill="0" applyBorder="0" applyProtection="0">
      <alignment horizontal="left" vertical="center" indent="5"/>
    </xf>
    <xf numFmtId="49" fontId="34" fillId="0" borderId="310" applyNumberFormat="0" applyFont="0" applyFill="0" applyBorder="0" applyProtection="0">
      <alignment horizontal="left" vertical="center" indent="2"/>
    </xf>
    <xf numFmtId="0" fontId="34" fillId="0" borderId="330">
      <alignment horizontal="left" vertical="center" wrapText="1" indent="2"/>
    </xf>
    <xf numFmtId="0" fontId="30" fillId="0" borderId="0" applyNumberFormat="0" applyFill="0" applyBorder="0" applyAlignment="0" applyProtection="0"/>
    <xf numFmtId="0" fontId="34" fillId="0" borderId="332" applyNumberFormat="0" applyFill="0" applyAlignment="0" applyProtection="0"/>
    <xf numFmtId="0" fontId="49" fillId="42" borderId="307" applyNumberFormat="0" applyAlignment="0" applyProtection="0"/>
    <xf numFmtId="0" fontId="32" fillId="33" borderId="310">
      <alignment horizontal="right" vertical="center"/>
    </xf>
    <xf numFmtId="0" fontId="62" fillId="55" borderId="315" applyNumberFormat="0" applyAlignment="0" applyProtection="0"/>
    <xf numFmtId="0" fontId="32" fillId="33" borderId="334">
      <alignment horizontal="right" vertical="center"/>
    </xf>
    <xf numFmtId="0" fontId="34" fillId="0" borderId="310" applyNumberFormat="0" applyFill="0" applyAlignment="0" applyProtection="0"/>
    <xf numFmtId="0" fontId="26" fillId="26" borderId="0" applyNumberFormat="0" applyBorder="0" applyAlignment="0" applyProtection="0"/>
    <xf numFmtId="0" fontId="40" fillId="58" borderId="299" applyNumberFormat="0" applyFont="0" applyAlignment="0" applyProtection="0"/>
    <xf numFmtId="0" fontId="32" fillId="33" borderId="312">
      <alignment horizontal="right" vertical="center"/>
    </xf>
    <xf numFmtId="0" fontId="43" fillId="55" borderId="323" applyNumberFormat="0" applyAlignment="0" applyProtection="0"/>
    <xf numFmtId="0" fontId="5" fillId="58" borderId="299" applyNumberFormat="0" applyFont="0" applyAlignment="0" applyProtection="0"/>
    <xf numFmtId="0" fontId="65" fillId="0" borderId="325" applyNumberFormat="0" applyFill="0" applyAlignment="0" applyProtection="0"/>
    <xf numFmtId="0" fontId="34" fillId="0" borderId="313">
      <alignment horizontal="left" vertical="center" wrapText="1" indent="2"/>
    </xf>
    <xf numFmtId="4" fontId="32" fillId="33" borderId="334">
      <alignment horizontal="right" vertical="center"/>
    </xf>
    <xf numFmtId="0" fontId="34" fillId="31" borderId="311">
      <alignment horizontal="left" vertical="center"/>
    </xf>
    <xf numFmtId="0" fontId="58" fillId="42" borderId="307" applyNumberFormat="0" applyAlignment="0" applyProtection="0"/>
    <xf numFmtId="0" fontId="58" fillId="42" borderId="307" applyNumberFormat="0" applyAlignment="0" applyProtection="0"/>
    <xf numFmtId="0" fontId="34" fillId="0" borderId="327">
      <alignment horizontal="right" vertical="center"/>
    </xf>
    <xf numFmtId="0" fontId="5" fillId="58" borderId="309" applyNumberFormat="0" applyFont="0" applyAlignment="0" applyProtection="0"/>
    <xf numFmtId="0" fontId="26" fillId="26" borderId="0" applyNumberFormat="0" applyBorder="0" applyAlignment="0" applyProtection="0"/>
    <xf numFmtId="0" fontId="58" fillId="42" borderId="305" applyNumberFormat="0" applyAlignment="0" applyProtection="0"/>
    <xf numFmtId="0" fontId="40" fillId="58" borderId="309" applyNumberFormat="0" applyFont="0" applyAlignment="0" applyProtection="0"/>
    <xf numFmtId="0" fontId="34" fillId="33" borderId="303">
      <alignment horizontal="left" vertical="center" wrapText="1" indent="2"/>
    </xf>
    <xf numFmtId="4" fontId="36" fillId="31" borderId="300">
      <alignment horizontal="right" vertical="center"/>
    </xf>
    <xf numFmtId="0" fontId="12" fillId="24" borderId="0" applyNumberFormat="0" applyBorder="0" applyAlignment="0" applyProtection="0"/>
    <xf numFmtId="4" fontId="32" fillId="33" borderId="312">
      <alignment horizontal="right" vertical="center"/>
    </xf>
    <xf numFmtId="0" fontId="50" fillId="0" borderId="308" applyNumberFormat="0" applyFill="0" applyAlignment="0" applyProtection="0"/>
    <xf numFmtId="0" fontId="34" fillId="32" borderId="319"/>
    <xf numFmtId="0" fontId="26" fillId="20" borderId="0" applyNumberFormat="0" applyBorder="0" applyAlignment="0" applyProtection="0"/>
    <xf numFmtId="0" fontId="46" fillId="55" borderId="307" applyNumberFormat="0" applyAlignment="0" applyProtection="0"/>
    <xf numFmtId="0" fontId="32" fillId="31" borderId="310">
      <alignment horizontal="right" vertical="center"/>
    </xf>
    <xf numFmtId="0" fontId="2" fillId="0" borderId="12" applyNumberFormat="0" applyFill="0" applyAlignment="0" applyProtection="0"/>
    <xf numFmtId="0" fontId="34" fillId="0" borderId="319">
      <alignment horizontal="right" vertical="center"/>
    </xf>
    <xf numFmtId="0" fontId="65" fillId="0" borderId="308" applyNumberFormat="0" applyFill="0" applyAlignment="0" applyProtection="0"/>
    <xf numFmtId="4" fontId="36" fillId="31" borderId="300">
      <alignment horizontal="right" vertical="center"/>
    </xf>
    <xf numFmtId="4" fontId="32" fillId="31" borderId="300">
      <alignment horizontal="right" vertical="center"/>
    </xf>
    <xf numFmtId="0" fontId="34" fillId="0" borderId="303">
      <alignment horizontal="left" vertical="center" wrapText="1" indent="2"/>
    </xf>
    <xf numFmtId="0" fontId="62" fillId="55" borderId="304" applyNumberFormat="0" applyAlignment="0" applyProtection="0"/>
    <xf numFmtId="0" fontId="34" fillId="0" borderId="300">
      <alignment horizontal="right" vertical="center"/>
    </xf>
    <xf numFmtId="0" fontId="65" fillId="0" borderId="306" applyNumberFormat="0" applyFill="0" applyAlignment="0" applyProtection="0"/>
    <xf numFmtId="49" fontId="33" fillId="0" borderId="300" applyNumberFormat="0" applyFill="0" applyBorder="0" applyProtection="0">
      <alignment horizontal="left" vertical="center"/>
    </xf>
    <xf numFmtId="4" fontId="34" fillId="32" borderId="300"/>
    <xf numFmtId="0" fontId="58" fillId="42" borderId="305" applyNumberFormat="0" applyAlignment="0" applyProtection="0"/>
    <xf numFmtId="0" fontId="46" fillId="55" borderId="307" applyNumberFormat="0" applyAlignment="0" applyProtection="0"/>
    <xf numFmtId="173" fontId="34" fillId="59" borderId="300" applyNumberFormat="0" applyFont="0" applyBorder="0" applyAlignment="0" applyProtection="0">
      <alignment horizontal="right" vertical="center"/>
    </xf>
    <xf numFmtId="0" fontId="32" fillId="33" borderId="311">
      <alignment horizontal="right" vertical="center"/>
    </xf>
    <xf numFmtId="0" fontId="46" fillId="55" borderId="305" applyNumberFormat="0" applyAlignment="0" applyProtection="0"/>
    <xf numFmtId="49" fontId="33" fillId="0" borderId="327" applyNumberFormat="0" applyFill="0" applyBorder="0" applyProtection="0">
      <alignment horizontal="left" vertical="center"/>
    </xf>
    <xf numFmtId="0" fontId="34" fillId="0" borderId="322">
      <alignment horizontal="left" vertical="center" wrapText="1" indent="2"/>
    </xf>
    <xf numFmtId="0" fontId="46" fillId="55" borderId="337" applyNumberFormat="0" applyAlignment="0" applyProtection="0"/>
    <xf numFmtId="0" fontId="65" fillId="0" borderId="308" applyNumberFormat="0" applyFill="0" applyAlignment="0" applyProtection="0"/>
    <xf numFmtId="0" fontId="58" fillId="42" borderId="305" applyNumberFormat="0" applyAlignment="0" applyProtection="0"/>
    <xf numFmtId="0" fontId="43" fillId="55" borderId="304" applyNumberFormat="0" applyAlignment="0" applyProtection="0"/>
    <xf numFmtId="49" fontId="33" fillId="0" borderId="300" applyNumberFormat="0" applyFill="0" applyBorder="0" applyProtection="0">
      <alignment horizontal="left" vertical="center"/>
    </xf>
    <xf numFmtId="0" fontId="65" fillId="0" borderId="306" applyNumberFormat="0" applyFill="0" applyAlignment="0" applyProtection="0"/>
    <xf numFmtId="0" fontId="34" fillId="0" borderId="300">
      <alignment horizontal="right" vertical="center"/>
    </xf>
    <xf numFmtId="0" fontId="32" fillId="33" borderId="301">
      <alignment horizontal="right" vertical="center"/>
    </xf>
    <xf numFmtId="0" fontId="65" fillId="0" borderId="306" applyNumberFormat="0" applyFill="0" applyAlignment="0" applyProtection="0"/>
    <xf numFmtId="0" fontId="50" fillId="0" borderId="308" applyNumberFormat="0" applyFill="0" applyAlignment="0" applyProtection="0"/>
    <xf numFmtId="4" fontId="32" fillId="31" borderId="310">
      <alignment horizontal="right" vertical="center"/>
    </xf>
    <xf numFmtId="0" fontId="26" fillId="19" borderId="0" applyNumberFormat="0" applyBorder="0" applyAlignment="0" applyProtection="0"/>
    <xf numFmtId="0" fontId="45" fillId="55" borderId="307" applyNumberFormat="0" applyAlignment="0" applyProtection="0"/>
    <xf numFmtId="0" fontId="58" fillId="42" borderId="307" applyNumberFormat="0" applyAlignment="0" applyProtection="0"/>
    <xf numFmtId="0" fontId="34" fillId="0" borderId="313">
      <alignment horizontal="left" vertical="center" wrapText="1" indent="2"/>
    </xf>
    <xf numFmtId="0" fontId="1" fillId="0" borderId="0" applyNumberFormat="0" applyFill="0" applyBorder="0" applyAlignment="0" applyProtection="0"/>
    <xf numFmtId="0" fontId="32" fillId="33" borderId="310">
      <alignment horizontal="right" vertical="center"/>
    </xf>
    <xf numFmtId="4" fontId="34" fillId="0" borderId="300" applyFill="0" applyBorder="0" applyProtection="0">
      <alignment horizontal="right" vertical="center"/>
    </xf>
    <xf numFmtId="4" fontId="32" fillId="33" borderId="310">
      <alignment horizontal="right" vertical="center"/>
    </xf>
    <xf numFmtId="0" fontId="34" fillId="0" borderId="327">
      <alignment horizontal="right" vertical="center"/>
    </xf>
    <xf numFmtId="0" fontId="65" fillId="0" borderId="308" applyNumberFormat="0" applyFill="0" applyAlignment="0" applyProtection="0"/>
    <xf numFmtId="0" fontId="34" fillId="0" borderId="313">
      <alignment horizontal="left" vertical="center" wrapText="1" indent="2"/>
    </xf>
    <xf numFmtId="0" fontId="46" fillId="55" borderId="307" applyNumberFormat="0" applyAlignment="0" applyProtection="0"/>
    <xf numFmtId="0" fontId="40" fillId="58" borderId="326" applyNumberFormat="0" applyFont="0" applyAlignment="0" applyProtection="0"/>
    <xf numFmtId="0" fontId="34" fillId="0" borderId="303">
      <alignment horizontal="left" vertical="center" wrapText="1" indent="2"/>
    </xf>
    <xf numFmtId="0" fontId="32" fillId="33" borderId="310">
      <alignment horizontal="right" vertical="center"/>
    </xf>
    <xf numFmtId="0" fontId="65" fillId="0" borderId="306" applyNumberFormat="0" applyFill="0" applyAlignment="0" applyProtection="0"/>
    <xf numFmtId="0" fontId="43" fillId="55" borderId="304" applyNumberFormat="0" applyAlignment="0" applyProtection="0"/>
    <xf numFmtId="0" fontId="32" fillId="33" borderId="300">
      <alignment horizontal="right" vertical="center"/>
    </xf>
    <xf numFmtId="0" fontId="45" fillId="55" borderId="305" applyNumberFormat="0" applyAlignment="0" applyProtection="0"/>
    <xf numFmtId="0" fontId="45" fillId="55" borderId="307" applyNumberFormat="0" applyAlignment="0" applyProtection="0"/>
    <xf numFmtId="0" fontId="26" fillId="13" borderId="0" applyNumberFormat="0" applyBorder="0" applyAlignment="0" applyProtection="0"/>
    <xf numFmtId="0" fontId="34" fillId="31" borderId="301">
      <alignment horizontal="left" vertical="center"/>
    </xf>
    <xf numFmtId="0" fontId="49" fillId="42" borderId="307" applyNumberFormat="0" applyAlignment="0" applyProtection="0"/>
    <xf numFmtId="0" fontId="30" fillId="0" borderId="0" applyNumberFormat="0" applyFill="0" applyBorder="0" applyAlignment="0" applyProtection="0"/>
    <xf numFmtId="0" fontId="50" fillId="0" borderId="308" applyNumberFormat="0" applyFill="0" applyAlignment="0" applyProtection="0"/>
    <xf numFmtId="4" fontId="32" fillId="33" borderId="310">
      <alignment horizontal="right" vertical="center"/>
    </xf>
    <xf numFmtId="0" fontId="40" fillId="58" borderId="309" applyNumberFormat="0" applyFont="0" applyAlignment="0" applyProtection="0"/>
    <xf numFmtId="0" fontId="32" fillId="31" borderId="300">
      <alignment horizontal="right" vertical="center"/>
    </xf>
    <xf numFmtId="0" fontId="43" fillId="55" borderId="314" applyNumberFormat="0" applyAlignment="0" applyProtection="0"/>
    <xf numFmtId="0" fontId="26" fillId="23" borderId="0" applyNumberFormat="0" applyBorder="0" applyAlignment="0" applyProtection="0"/>
    <xf numFmtId="0" fontId="50" fillId="0" borderId="306" applyNumberFormat="0" applyFill="0" applyAlignment="0" applyProtection="0"/>
    <xf numFmtId="4" fontId="32" fillId="31" borderId="327">
      <alignment horizontal="right" vertical="center"/>
    </xf>
    <xf numFmtId="0" fontId="34" fillId="0" borderId="300">
      <alignment horizontal="right" vertical="center"/>
    </xf>
    <xf numFmtId="0" fontId="5" fillId="58" borderId="299" applyNumberFormat="0" applyFont="0" applyAlignment="0" applyProtection="0"/>
    <xf numFmtId="4" fontId="34" fillId="0" borderId="310">
      <alignment horizontal="right" vertical="center"/>
    </xf>
    <xf numFmtId="0" fontId="26" fillId="17" borderId="0" applyNumberFormat="0" applyBorder="0" applyAlignment="0" applyProtection="0"/>
    <xf numFmtId="0" fontId="50" fillId="0" borderId="308" applyNumberFormat="0" applyFill="0" applyAlignment="0" applyProtection="0"/>
    <xf numFmtId="0" fontId="12" fillId="30" borderId="0" applyNumberFormat="0" applyBorder="0" applyAlignment="0" applyProtection="0"/>
    <xf numFmtId="0" fontId="58" fillId="42" borderId="305" applyNumberFormat="0" applyAlignment="0" applyProtection="0"/>
    <xf numFmtId="0" fontId="46" fillId="55" borderId="307" applyNumberFormat="0" applyAlignment="0" applyProtection="0"/>
    <xf numFmtId="49" fontId="34" fillId="0" borderId="301" applyNumberFormat="0" applyFont="0" applyFill="0" applyBorder="0" applyProtection="0">
      <alignment horizontal="left" vertical="center" indent="5"/>
    </xf>
    <xf numFmtId="4" fontId="32" fillId="33" borderId="310">
      <alignment horizontal="right" vertical="center"/>
    </xf>
    <xf numFmtId="0" fontId="34" fillId="0" borderId="300" applyNumberFormat="0" applyFill="0" applyAlignment="0" applyProtection="0"/>
    <xf numFmtId="0" fontId="50" fillId="0" borderId="306" applyNumberFormat="0" applyFill="0" applyAlignment="0" applyProtection="0"/>
    <xf numFmtId="0" fontId="62" fillId="55" borderId="304" applyNumberFormat="0" applyAlignment="0" applyProtection="0"/>
    <xf numFmtId="4" fontId="32" fillId="33" borderId="300">
      <alignment horizontal="right" vertical="center"/>
    </xf>
    <xf numFmtId="4" fontId="34" fillId="32" borderId="300"/>
    <xf numFmtId="0" fontId="65" fillId="0" borderId="306" applyNumberFormat="0" applyFill="0" applyAlignment="0" applyProtection="0"/>
    <xf numFmtId="0" fontId="32" fillId="33" borderId="328">
      <alignment horizontal="right" vertical="center"/>
    </xf>
    <xf numFmtId="0" fontId="43" fillId="55" borderId="304" applyNumberFormat="0" applyAlignment="0" applyProtection="0"/>
    <xf numFmtId="0" fontId="45" fillId="55" borderId="305" applyNumberFormat="0" applyAlignment="0" applyProtection="0"/>
    <xf numFmtId="0" fontId="46" fillId="55" borderId="305" applyNumberFormat="0" applyAlignment="0" applyProtection="0"/>
    <xf numFmtId="0" fontId="62" fillId="55" borderId="304" applyNumberFormat="0" applyAlignment="0" applyProtection="0"/>
    <xf numFmtId="0" fontId="32" fillId="33" borderId="302">
      <alignment horizontal="right" vertical="center"/>
    </xf>
    <xf numFmtId="0" fontId="34" fillId="0" borderId="300" applyNumberFormat="0" applyFill="0" applyAlignment="0" applyProtection="0"/>
    <xf numFmtId="49" fontId="34" fillId="0" borderId="301" applyNumberFormat="0" applyFont="0" applyFill="0" applyBorder="0" applyProtection="0">
      <alignment horizontal="left" vertical="center" indent="5"/>
    </xf>
    <xf numFmtId="0" fontId="65" fillId="0" borderId="306" applyNumberFormat="0" applyFill="0" applyAlignment="0" applyProtection="0"/>
    <xf numFmtId="0" fontId="34" fillId="0" borderId="300" applyNumberFormat="0" applyFill="0" applyAlignment="0" applyProtection="0"/>
    <xf numFmtId="0" fontId="34" fillId="32" borderId="310"/>
    <xf numFmtId="0" fontId="34" fillId="0" borderId="313">
      <alignment horizontal="left" vertical="center" wrapText="1" indent="2"/>
    </xf>
    <xf numFmtId="0" fontId="46" fillId="55" borderId="307" applyNumberFormat="0" applyAlignment="0" applyProtection="0"/>
    <xf numFmtId="4" fontId="34" fillId="0" borderId="310">
      <alignment horizontal="right" vertical="center"/>
    </xf>
    <xf numFmtId="0" fontId="26" fillId="23" borderId="0" applyNumberFormat="0" applyBorder="0" applyAlignment="0" applyProtection="0"/>
    <xf numFmtId="0" fontId="34" fillId="33" borderId="313">
      <alignment horizontal="left" vertical="center" wrapText="1" indent="2"/>
    </xf>
    <xf numFmtId="49" fontId="33" fillId="0" borderId="327" applyNumberFormat="0" applyFill="0" applyBorder="0" applyProtection="0">
      <alignment horizontal="left" vertical="center"/>
    </xf>
    <xf numFmtId="0" fontId="40" fillId="58" borderId="299" applyNumberFormat="0" applyFont="0" applyAlignment="0" applyProtection="0"/>
    <xf numFmtId="0" fontId="32" fillId="33" borderId="310">
      <alignment horizontal="right" vertical="center"/>
    </xf>
    <xf numFmtId="0" fontId="28" fillId="12" borderId="11" applyNumberFormat="0" applyAlignment="0" applyProtection="0"/>
    <xf numFmtId="49" fontId="34" fillId="0" borderId="327" applyNumberFormat="0" applyFont="0" applyFill="0" applyBorder="0" applyProtection="0">
      <alignment horizontal="left" vertical="center" indent="2"/>
    </xf>
    <xf numFmtId="0" fontId="26" fillId="13" borderId="0" applyNumberFormat="0" applyBorder="0" applyAlignment="0" applyProtection="0"/>
    <xf numFmtId="0" fontId="50" fillId="0" borderId="325" applyNumberFormat="0" applyFill="0" applyAlignment="0" applyProtection="0"/>
    <xf numFmtId="4" fontId="32" fillId="31" borderId="310">
      <alignment horizontal="right" vertical="center"/>
    </xf>
    <xf numFmtId="0" fontId="34" fillId="33" borderId="330">
      <alignment horizontal="left" vertical="center" wrapText="1" indent="2"/>
    </xf>
    <xf numFmtId="4" fontId="34" fillId="32" borderId="327"/>
    <xf numFmtId="4" fontId="32" fillId="33" borderId="312">
      <alignment horizontal="right" vertical="center"/>
    </xf>
    <xf numFmtId="0" fontId="34" fillId="0" borderId="303">
      <alignment horizontal="left" vertical="center" wrapText="1" indent="2"/>
    </xf>
    <xf numFmtId="4" fontId="32" fillId="31" borderId="310">
      <alignment horizontal="right" vertical="center"/>
    </xf>
    <xf numFmtId="4" fontId="32" fillId="31" borderId="300">
      <alignment horizontal="right" vertical="center"/>
    </xf>
    <xf numFmtId="0" fontId="34" fillId="31" borderId="333">
      <alignment horizontal="left" vertical="center"/>
    </xf>
    <xf numFmtId="4" fontId="34" fillId="0" borderId="327">
      <alignment horizontal="right" vertical="center"/>
    </xf>
    <xf numFmtId="0" fontId="62" fillId="55" borderId="304" applyNumberFormat="0" applyAlignment="0" applyProtection="0"/>
    <xf numFmtId="49" fontId="34" fillId="0" borderId="301" applyNumberFormat="0" applyFont="0" applyFill="0" applyBorder="0" applyProtection="0">
      <alignment horizontal="left" vertical="center" indent="5"/>
    </xf>
    <xf numFmtId="4" fontId="34" fillId="0" borderId="300">
      <alignment horizontal="right" vertical="center"/>
    </xf>
    <xf numFmtId="49" fontId="33" fillId="0" borderId="327" applyNumberFormat="0" applyFill="0" applyBorder="0" applyProtection="0">
      <alignment horizontal="left" vertical="center"/>
    </xf>
    <xf numFmtId="0" fontId="34" fillId="0" borderId="310" applyNumberFormat="0" applyFill="0" applyAlignment="0" applyProtection="0"/>
    <xf numFmtId="0" fontId="26" fillId="28" borderId="0" applyNumberFormat="0" applyBorder="0" applyAlignment="0" applyProtection="0"/>
    <xf numFmtId="0" fontId="50" fillId="0" borderId="306" applyNumberFormat="0" applyFill="0" applyAlignment="0" applyProtection="0"/>
    <xf numFmtId="4" fontId="32" fillId="33" borderId="302">
      <alignment horizontal="right" vertical="center"/>
    </xf>
    <xf numFmtId="4" fontId="32" fillId="33" borderId="300">
      <alignment horizontal="right" vertical="center"/>
    </xf>
    <xf numFmtId="4" fontId="32" fillId="33" borderId="300">
      <alignment horizontal="right" vertical="center"/>
    </xf>
    <xf numFmtId="0" fontId="65" fillId="0" borderId="306" applyNumberFormat="0" applyFill="0" applyAlignment="0" applyProtection="0"/>
    <xf numFmtId="0" fontId="46" fillId="55" borderId="305" applyNumberFormat="0" applyAlignment="0" applyProtection="0"/>
    <xf numFmtId="0" fontId="12" fillId="18" borderId="0" applyNumberFormat="0" applyBorder="0" applyAlignment="0" applyProtection="0"/>
    <xf numFmtId="0" fontId="50" fillId="0" borderId="325" applyNumberFormat="0" applyFill="0" applyAlignment="0" applyProtection="0"/>
    <xf numFmtId="0" fontId="29" fillId="12" borderId="10" applyNumberFormat="0" applyAlignment="0" applyProtection="0"/>
    <xf numFmtId="49" fontId="33" fillId="0" borderId="300" applyNumberFormat="0" applyFill="0" applyBorder="0" applyProtection="0">
      <alignment horizontal="left" vertical="center"/>
    </xf>
    <xf numFmtId="0" fontId="5" fillId="58" borderId="299" applyNumberFormat="0" applyFont="0" applyAlignment="0" applyProtection="0"/>
    <xf numFmtId="0" fontId="26" fillId="26" borderId="0" applyNumberFormat="0" applyBorder="0" applyAlignment="0" applyProtection="0"/>
    <xf numFmtId="4" fontId="32" fillId="33" borderId="300">
      <alignment horizontal="right" vertical="center"/>
    </xf>
    <xf numFmtId="0" fontId="26" fillId="25" borderId="0" applyNumberFormat="0" applyBorder="0" applyAlignment="0" applyProtection="0"/>
    <xf numFmtId="0" fontId="12" fillId="15" borderId="0" applyNumberFormat="0" applyBorder="0" applyAlignment="0" applyProtection="0"/>
    <xf numFmtId="0" fontId="46" fillId="55" borderId="324" applyNumberFormat="0" applyAlignment="0" applyProtection="0"/>
    <xf numFmtId="0" fontId="65" fillId="0" borderId="308" applyNumberFormat="0" applyFill="0" applyAlignment="0" applyProtection="0"/>
    <xf numFmtId="0" fontId="46" fillId="55" borderId="324" applyNumberFormat="0" applyAlignment="0" applyProtection="0"/>
    <xf numFmtId="49" fontId="34" fillId="0" borderId="300" applyNumberFormat="0" applyFont="0" applyFill="0" applyBorder="0" applyProtection="0">
      <alignment horizontal="left" vertical="center" indent="2"/>
    </xf>
    <xf numFmtId="0" fontId="65" fillId="0" borderId="306" applyNumberFormat="0" applyFill="0" applyAlignment="0" applyProtection="0"/>
    <xf numFmtId="4" fontId="34" fillId="0" borderId="300" applyFill="0" applyBorder="0" applyProtection="0">
      <alignment horizontal="right" vertical="center"/>
    </xf>
    <xf numFmtId="0" fontId="58" fillId="42" borderId="305" applyNumberFormat="0" applyAlignment="0" applyProtection="0"/>
    <xf numFmtId="49" fontId="33" fillId="0" borderId="300" applyNumberFormat="0" applyFill="0" applyBorder="0" applyProtection="0">
      <alignment horizontal="left" vertical="center"/>
    </xf>
    <xf numFmtId="49" fontId="34" fillId="0" borderId="300" applyNumberFormat="0" applyFont="0" applyFill="0" applyBorder="0" applyProtection="0">
      <alignment horizontal="left" vertical="center" indent="2"/>
    </xf>
    <xf numFmtId="4" fontId="34" fillId="0" borderId="300" applyFill="0" applyBorder="0" applyProtection="0">
      <alignment horizontal="right" vertical="center"/>
    </xf>
    <xf numFmtId="0" fontId="32" fillId="33" borderId="332">
      <alignment horizontal="right" vertical="center"/>
    </xf>
    <xf numFmtId="173" fontId="34" fillId="59" borderId="300" applyNumberFormat="0" applyFont="0" applyBorder="0" applyAlignment="0" applyProtection="0">
      <alignment horizontal="right" vertical="center"/>
    </xf>
    <xf numFmtId="0" fontId="62" fillId="55" borderId="315" applyNumberFormat="0" applyAlignment="0" applyProtection="0"/>
    <xf numFmtId="0" fontId="26" fillId="22" borderId="0" applyNumberFormat="0" applyBorder="0" applyAlignment="0" applyProtection="0"/>
    <xf numFmtId="4" fontId="36" fillId="31" borderId="327">
      <alignment horizontal="right" vertical="center"/>
    </xf>
    <xf numFmtId="0" fontId="36" fillId="31" borderId="300">
      <alignment horizontal="right" vertical="center"/>
    </xf>
    <xf numFmtId="173" fontId="34" fillId="59" borderId="327" applyNumberFormat="0" applyFont="0" applyBorder="0" applyAlignment="0" applyProtection="0">
      <alignment horizontal="right" vertical="center"/>
    </xf>
    <xf numFmtId="0" fontId="46" fillId="55" borderId="307" applyNumberFormat="0" applyAlignment="0" applyProtection="0"/>
    <xf numFmtId="0" fontId="49" fillId="42" borderId="307" applyNumberFormat="0" applyAlignment="0" applyProtection="0"/>
    <xf numFmtId="49" fontId="33" fillId="0" borderId="310" applyNumberFormat="0" applyFill="0" applyBorder="0" applyProtection="0">
      <alignment horizontal="left" vertical="center"/>
    </xf>
    <xf numFmtId="0" fontId="49" fillId="42" borderId="305" applyNumberFormat="0" applyAlignment="0" applyProtection="0"/>
    <xf numFmtId="4" fontId="32" fillId="33" borderId="300">
      <alignment horizontal="right" vertical="center"/>
    </xf>
    <xf numFmtId="0" fontId="34" fillId="31" borderId="301">
      <alignment horizontal="left" vertical="center"/>
    </xf>
    <xf numFmtId="0" fontId="58" fillId="42" borderId="307" applyNumberFormat="0" applyAlignment="0" applyProtection="0"/>
    <xf numFmtId="0" fontId="45" fillId="55" borderId="307" applyNumberFormat="0" applyAlignment="0" applyProtection="0"/>
    <xf numFmtId="173" fontId="34" fillId="59" borderId="327" applyNumberFormat="0" applyFont="0" applyBorder="0" applyAlignment="0" applyProtection="0">
      <alignment horizontal="right" vertical="center"/>
    </xf>
    <xf numFmtId="0" fontId="1" fillId="0" borderId="0" applyNumberFormat="0" applyFill="0" applyBorder="0" applyAlignment="0" applyProtection="0"/>
    <xf numFmtId="0" fontId="32" fillId="33" borderId="333">
      <alignment horizontal="right" vertical="center"/>
    </xf>
    <xf numFmtId="0" fontId="32" fillId="33" borderId="319">
      <alignment horizontal="right" vertical="center"/>
    </xf>
    <xf numFmtId="173" fontId="34" fillId="59" borderId="327" applyNumberFormat="0" applyFont="0" applyBorder="0" applyAlignment="0" applyProtection="0">
      <alignment horizontal="right" vertical="center"/>
    </xf>
    <xf numFmtId="4" fontId="32" fillId="33" borderId="312">
      <alignment horizontal="right" vertical="center"/>
    </xf>
    <xf numFmtId="49" fontId="34" fillId="0" borderId="310" applyNumberFormat="0" applyFont="0" applyFill="0" applyBorder="0" applyProtection="0">
      <alignment horizontal="left" vertical="center" indent="2"/>
    </xf>
    <xf numFmtId="0" fontId="1" fillId="0" borderId="0" applyNumberFormat="0" applyFill="0" applyBorder="0" applyAlignment="0" applyProtection="0"/>
    <xf numFmtId="0" fontId="12" fillId="27" borderId="0" applyNumberFormat="0" applyBorder="0" applyAlignment="0" applyProtection="0"/>
    <xf numFmtId="4" fontId="32" fillId="33" borderId="310">
      <alignment horizontal="right" vertical="center"/>
    </xf>
    <xf numFmtId="0" fontId="32" fillId="33" borderId="300">
      <alignment horizontal="right" vertical="center"/>
    </xf>
    <xf numFmtId="0" fontId="34" fillId="33" borderId="303">
      <alignment horizontal="left" vertical="center" wrapText="1" indent="2"/>
    </xf>
    <xf numFmtId="173" fontId="34" fillId="59" borderId="300" applyNumberFormat="0" applyFont="0" applyBorder="0" applyAlignment="0" applyProtection="0">
      <alignment horizontal="right" vertical="center"/>
    </xf>
    <xf numFmtId="0" fontId="40" fillId="58" borderId="299" applyNumberFormat="0" applyFont="0" applyAlignment="0" applyProtection="0"/>
    <xf numFmtId="49" fontId="34" fillId="0" borderId="300" applyNumberFormat="0" applyFont="0" applyFill="0" applyBorder="0" applyProtection="0">
      <alignment horizontal="left" vertical="center" indent="2"/>
    </xf>
    <xf numFmtId="0" fontId="34" fillId="33" borderId="313">
      <alignment horizontal="left" vertical="center" wrapText="1" indent="2"/>
    </xf>
    <xf numFmtId="0" fontId="2" fillId="0" borderId="12" applyNumberFormat="0" applyFill="0" applyAlignment="0" applyProtection="0"/>
    <xf numFmtId="4" fontId="32" fillId="33" borderId="312">
      <alignment horizontal="right" vertical="center"/>
    </xf>
    <xf numFmtId="0" fontId="26" fillId="13" borderId="0" applyNumberFormat="0" applyBorder="0" applyAlignment="0" applyProtection="0"/>
    <xf numFmtId="49" fontId="33" fillId="0" borderId="300" applyNumberFormat="0" applyFill="0" applyBorder="0" applyProtection="0">
      <alignment horizontal="left" vertical="center"/>
    </xf>
    <xf numFmtId="0" fontId="5" fillId="58" borderId="309" applyNumberFormat="0" applyFont="0" applyAlignment="0" applyProtection="0"/>
    <xf numFmtId="173" fontId="34" fillId="59" borderId="300" applyNumberFormat="0" applyFont="0" applyBorder="0" applyAlignment="0" applyProtection="0">
      <alignment horizontal="right" vertical="center"/>
    </xf>
    <xf numFmtId="0" fontId="62" fillId="55" borderId="304" applyNumberFormat="0" applyAlignment="0" applyProtection="0"/>
    <xf numFmtId="0" fontId="34" fillId="0" borderId="300">
      <alignment horizontal="right" vertical="center"/>
    </xf>
    <xf numFmtId="49" fontId="34" fillId="0" borderId="311" applyNumberFormat="0" applyFont="0" applyFill="0" applyBorder="0" applyProtection="0">
      <alignment horizontal="left" vertical="center" indent="5"/>
    </xf>
    <xf numFmtId="0" fontId="34" fillId="32" borderId="300"/>
    <xf numFmtId="4" fontId="32" fillId="33" borderId="300">
      <alignment horizontal="right" vertical="center"/>
    </xf>
    <xf numFmtId="0" fontId="34" fillId="32" borderId="300"/>
    <xf numFmtId="0" fontId="58" fillId="42" borderId="305" applyNumberFormat="0" applyAlignment="0" applyProtection="0"/>
    <xf numFmtId="0" fontId="36" fillId="31" borderId="300">
      <alignment horizontal="right" vertical="center"/>
    </xf>
    <xf numFmtId="0" fontId="34" fillId="0" borderId="303">
      <alignment horizontal="left" vertical="center" wrapText="1" indent="2"/>
    </xf>
    <xf numFmtId="0" fontId="32" fillId="31" borderId="300">
      <alignment horizontal="right" vertical="center"/>
    </xf>
    <xf numFmtId="0" fontId="49" fillId="42" borderId="305" applyNumberFormat="0" applyAlignment="0" applyProtection="0"/>
    <xf numFmtId="0" fontId="34" fillId="33" borderId="303">
      <alignment horizontal="left" vertical="center" wrapText="1" indent="2"/>
    </xf>
    <xf numFmtId="49" fontId="33" fillId="0" borderId="310" applyNumberFormat="0" applyFill="0" applyBorder="0" applyProtection="0">
      <alignment horizontal="left" vertical="center"/>
    </xf>
    <xf numFmtId="0" fontId="26" fillId="22" borderId="0" applyNumberFormat="0" applyBorder="0" applyAlignment="0" applyProtection="0"/>
    <xf numFmtId="0" fontId="12" fillId="21" borderId="0" applyNumberFormat="0" applyBorder="0" applyAlignment="0" applyProtection="0"/>
    <xf numFmtId="0" fontId="50" fillId="0" borderId="317" applyNumberFormat="0" applyFill="0" applyAlignment="0" applyProtection="0"/>
    <xf numFmtId="0" fontId="26" fillId="23" borderId="0" applyNumberFormat="0" applyBorder="0" applyAlignment="0" applyProtection="0"/>
    <xf numFmtId="0" fontId="12" fillId="30" borderId="0" applyNumberFormat="0" applyBorder="0" applyAlignment="0" applyProtection="0"/>
    <xf numFmtId="0" fontId="32" fillId="33" borderId="312">
      <alignment horizontal="right" vertical="center"/>
    </xf>
    <xf numFmtId="4" fontId="32" fillId="33" borderId="311">
      <alignment horizontal="right" vertical="center"/>
    </xf>
    <xf numFmtId="4" fontId="34" fillId="0" borderId="327" applyFill="0" applyBorder="0" applyProtection="0">
      <alignment horizontal="right" vertical="center"/>
    </xf>
    <xf numFmtId="0" fontId="45" fillId="55" borderId="305" applyNumberFormat="0" applyAlignment="0" applyProtection="0"/>
    <xf numFmtId="0" fontId="36" fillId="31" borderId="300">
      <alignment horizontal="right" vertical="center"/>
    </xf>
    <xf numFmtId="0" fontId="32" fillId="33" borderId="328">
      <alignment horizontal="right" vertical="center"/>
    </xf>
    <xf numFmtId="0" fontId="65" fillId="0" borderId="308" applyNumberFormat="0" applyFill="0" applyAlignment="0" applyProtection="0"/>
    <xf numFmtId="0" fontId="28" fillId="12" borderId="11" applyNumberFormat="0" applyAlignment="0" applyProtection="0"/>
    <xf numFmtId="0" fontId="1" fillId="0" borderId="0" applyNumberFormat="0" applyFill="0" applyBorder="0" applyAlignment="0" applyProtection="0"/>
    <xf numFmtId="0" fontId="26" fillId="19" borderId="0" applyNumberFormat="0" applyBorder="0" applyAlignment="0" applyProtection="0"/>
    <xf numFmtId="0" fontId="26" fillId="29" borderId="0" applyNumberFormat="0" applyBorder="0" applyAlignment="0" applyProtection="0"/>
    <xf numFmtId="49" fontId="34" fillId="0" borderId="311" applyNumberFormat="0" applyFont="0" applyFill="0" applyBorder="0" applyProtection="0">
      <alignment horizontal="left" vertical="center" indent="5"/>
    </xf>
    <xf numFmtId="0" fontId="30" fillId="0" borderId="0" applyNumberFormat="0" applyFill="0" applyBorder="0" applyAlignment="0" applyProtection="0"/>
    <xf numFmtId="173" fontId="34" fillId="59" borderId="310" applyNumberFormat="0" applyFont="0" applyBorder="0" applyAlignment="0" applyProtection="0">
      <alignment horizontal="right" vertical="center"/>
    </xf>
    <xf numFmtId="0" fontId="45" fillId="55" borderId="324" applyNumberFormat="0" applyAlignment="0" applyProtection="0"/>
    <xf numFmtId="0" fontId="32" fillId="33" borderId="300">
      <alignment horizontal="right" vertical="center"/>
    </xf>
    <xf numFmtId="4" fontId="34" fillId="0" borderId="300" applyFill="0" applyBorder="0" applyProtection="0">
      <alignment horizontal="right" vertical="center"/>
    </xf>
    <xf numFmtId="0" fontId="34" fillId="33" borderId="303">
      <alignment horizontal="left" vertical="center" wrapText="1" indent="2"/>
    </xf>
    <xf numFmtId="0" fontId="40" fillId="58" borderId="299" applyNumberFormat="0" applyFont="0" applyAlignment="0" applyProtection="0"/>
    <xf numFmtId="0" fontId="49" fillId="42" borderId="305" applyNumberFormat="0" applyAlignment="0" applyProtection="0"/>
    <xf numFmtId="4" fontId="34" fillId="32" borderId="300"/>
    <xf numFmtId="4" fontId="34" fillId="0" borderId="300" applyFill="0" applyBorder="0" applyProtection="0">
      <alignment horizontal="right" vertical="center"/>
    </xf>
    <xf numFmtId="0" fontId="65" fillId="0" borderId="306" applyNumberFormat="0" applyFill="0" applyAlignment="0" applyProtection="0"/>
    <xf numFmtId="0" fontId="34" fillId="31" borderId="301">
      <alignment horizontal="left" vertical="center"/>
    </xf>
    <xf numFmtId="0" fontId="34" fillId="0" borderId="303">
      <alignment horizontal="left" vertical="center" wrapText="1" indent="2"/>
    </xf>
    <xf numFmtId="0" fontId="34" fillId="33" borderId="313">
      <alignment horizontal="left" vertical="center" wrapText="1" indent="2"/>
    </xf>
    <xf numFmtId="0" fontId="58" fillId="42" borderId="305" applyNumberFormat="0" applyAlignment="0" applyProtection="0"/>
    <xf numFmtId="173" fontId="34" fillId="59" borderId="310" applyNumberFormat="0" applyFont="0" applyBorder="0" applyAlignment="0" applyProtection="0">
      <alignment horizontal="right" vertical="center"/>
    </xf>
    <xf numFmtId="0" fontId="34" fillId="33" borderId="303">
      <alignment horizontal="left" vertical="center" wrapText="1" indent="2"/>
    </xf>
    <xf numFmtId="4" fontId="34" fillId="32" borderId="310"/>
    <xf numFmtId="0" fontId="26" fillId="17" borderId="0" applyNumberFormat="0" applyBorder="0" applyAlignment="0" applyProtection="0"/>
    <xf numFmtId="0" fontId="50" fillId="0" borderId="338" applyNumberFormat="0" applyFill="0" applyAlignment="0" applyProtection="0"/>
    <xf numFmtId="0" fontId="32" fillId="33" borderId="311">
      <alignment horizontal="right" vertical="center"/>
    </xf>
    <xf numFmtId="0" fontId="40" fillId="58" borderId="299" applyNumberFormat="0" applyFont="0" applyAlignment="0" applyProtection="0"/>
    <xf numFmtId="0" fontId="58" fillId="42" borderId="305" applyNumberFormat="0" applyAlignment="0" applyProtection="0"/>
    <xf numFmtId="0" fontId="12" fillId="30" borderId="0" applyNumberFormat="0" applyBorder="0" applyAlignment="0" applyProtection="0"/>
    <xf numFmtId="4" fontId="34" fillId="32" borderId="300"/>
    <xf numFmtId="0" fontId="46" fillId="55" borderId="305" applyNumberFormat="0" applyAlignment="0" applyProtection="0"/>
    <xf numFmtId="0" fontId="58" fillId="42" borderId="305" applyNumberFormat="0" applyAlignment="0" applyProtection="0"/>
    <xf numFmtId="4" fontId="32" fillId="33" borderId="300">
      <alignment horizontal="right" vertical="center"/>
    </xf>
    <xf numFmtId="0" fontId="50" fillId="0" borderId="306" applyNumberFormat="0" applyFill="0" applyAlignment="0" applyProtection="0"/>
    <xf numFmtId="0" fontId="32" fillId="31" borderId="319">
      <alignment horizontal="right" vertical="center"/>
    </xf>
    <xf numFmtId="0" fontId="12" fillId="18" borderId="0" applyNumberFormat="0" applyBorder="0" applyAlignment="0" applyProtection="0"/>
    <xf numFmtId="4" fontId="32" fillId="33" borderId="311">
      <alignment horizontal="right" vertical="center"/>
    </xf>
    <xf numFmtId="0" fontId="58" fillId="42" borderId="307" applyNumberFormat="0" applyAlignment="0" applyProtection="0"/>
    <xf numFmtId="0" fontId="46" fillId="55" borderId="307" applyNumberFormat="0" applyAlignment="0" applyProtection="0"/>
    <xf numFmtId="0" fontId="34" fillId="0" borderId="332" applyNumberFormat="0" applyFill="0" applyAlignment="0" applyProtection="0"/>
    <xf numFmtId="0" fontId="49" fillId="42" borderId="305" applyNumberFormat="0" applyAlignment="0" applyProtection="0"/>
    <xf numFmtId="4" fontId="34" fillId="0" borderId="327" applyFill="0" applyBorder="0" applyProtection="0">
      <alignment horizontal="right" vertical="center"/>
    </xf>
    <xf numFmtId="4" fontId="34" fillId="0" borderId="310">
      <alignment horizontal="right" vertical="center"/>
    </xf>
    <xf numFmtId="0" fontId="45" fillId="55" borderId="324" applyNumberFormat="0" applyAlignment="0" applyProtection="0"/>
    <xf numFmtId="0" fontId="40" fillId="58" borderId="326" applyNumberFormat="0" applyFont="0" applyAlignment="0" applyProtection="0"/>
    <xf numFmtId="0" fontId="34" fillId="0" borderId="310">
      <alignment horizontal="right" vertical="center"/>
    </xf>
    <xf numFmtId="0" fontId="50" fillId="0" borderId="308" applyNumberFormat="0" applyFill="0" applyAlignment="0" applyProtection="0"/>
    <xf numFmtId="0" fontId="34" fillId="33" borderId="303">
      <alignment horizontal="left" vertical="center" wrapText="1" indent="2"/>
    </xf>
    <xf numFmtId="0" fontId="45" fillId="55" borderId="324" applyNumberFormat="0" applyAlignment="0" applyProtection="0"/>
    <xf numFmtId="0" fontId="62" fillId="55" borderId="304" applyNumberFormat="0" applyAlignment="0" applyProtection="0"/>
    <xf numFmtId="0" fontId="58" fillId="42" borderId="305" applyNumberFormat="0" applyAlignment="0" applyProtection="0"/>
    <xf numFmtId="4" fontId="32" fillId="33" borderId="300">
      <alignment horizontal="right" vertical="center"/>
    </xf>
    <xf numFmtId="0" fontId="34" fillId="32" borderId="300"/>
    <xf numFmtId="4" fontId="32" fillId="31" borderId="310">
      <alignment horizontal="right" vertical="center"/>
    </xf>
    <xf numFmtId="0" fontId="62" fillId="55" borderId="323" applyNumberFormat="0" applyAlignment="0" applyProtection="0"/>
    <xf numFmtId="0" fontId="34" fillId="0" borderId="303">
      <alignment horizontal="left" vertical="center" wrapText="1" indent="2"/>
    </xf>
    <xf numFmtId="0" fontId="46" fillId="55" borderId="324" applyNumberFormat="0" applyAlignment="0" applyProtection="0"/>
    <xf numFmtId="49" fontId="33" fillId="0" borderId="310" applyNumberFormat="0" applyFill="0" applyBorder="0" applyProtection="0">
      <alignment horizontal="left" vertical="center"/>
    </xf>
    <xf numFmtId="0" fontId="12" fillId="24" borderId="0" applyNumberFormat="0" applyBorder="0" applyAlignment="0" applyProtection="0"/>
    <xf numFmtId="0" fontId="58" fillId="42" borderId="337" applyNumberFormat="0" applyAlignment="0" applyProtection="0"/>
    <xf numFmtId="0" fontId="45" fillId="55" borderId="305" applyNumberFormat="0" applyAlignment="0" applyProtection="0"/>
    <xf numFmtId="4" fontId="32" fillId="33" borderId="332">
      <alignment horizontal="right" vertical="center"/>
    </xf>
    <xf numFmtId="49" fontId="33" fillId="0" borderId="310" applyNumberFormat="0" applyFill="0" applyBorder="0" applyProtection="0">
      <alignment horizontal="left" vertical="center"/>
    </xf>
    <xf numFmtId="4" fontId="32" fillId="31" borderId="300">
      <alignment horizontal="right" vertical="center"/>
    </xf>
    <xf numFmtId="0" fontId="32" fillId="31" borderId="300">
      <alignment horizontal="right" vertical="center"/>
    </xf>
    <xf numFmtId="0" fontId="32" fillId="33" borderId="300">
      <alignment horizontal="right" vertical="center"/>
    </xf>
    <xf numFmtId="4" fontId="34" fillId="32" borderId="332"/>
    <xf numFmtId="0" fontId="50" fillId="0" borderId="325" applyNumberFormat="0" applyFill="0" applyAlignment="0" applyProtection="0"/>
    <xf numFmtId="4" fontId="32" fillId="33" borderId="310">
      <alignment horizontal="right" vertical="center"/>
    </xf>
    <xf numFmtId="0" fontId="26" fillId="29" borderId="0" applyNumberFormat="0" applyBorder="0" applyAlignment="0" applyProtection="0"/>
    <xf numFmtId="49" fontId="33" fillId="0" borderId="310" applyNumberFormat="0" applyFill="0" applyBorder="0" applyProtection="0">
      <alignment horizontal="left" vertical="center"/>
    </xf>
    <xf numFmtId="0" fontId="62" fillId="55" borderId="304" applyNumberFormat="0" applyAlignment="0" applyProtection="0"/>
    <xf numFmtId="0" fontId="34" fillId="33" borderId="313">
      <alignment horizontal="left" vertical="center" wrapText="1" indent="2"/>
    </xf>
    <xf numFmtId="49" fontId="34" fillId="0" borderId="300" applyNumberFormat="0" applyFont="0" applyFill="0" applyBorder="0" applyProtection="0">
      <alignment horizontal="left" vertical="center" indent="2"/>
    </xf>
    <xf numFmtId="0" fontId="65" fillId="0" borderId="308" applyNumberFormat="0" applyFill="0" applyAlignment="0" applyProtection="0"/>
    <xf numFmtId="0" fontId="40" fillId="58" borderId="299" applyNumberFormat="0" applyFont="0" applyAlignment="0" applyProtection="0"/>
    <xf numFmtId="173" fontId="34" fillId="59" borderId="300" applyNumberFormat="0" applyFont="0" applyBorder="0" applyAlignment="0" applyProtection="0">
      <alignment horizontal="right" vertical="center"/>
    </xf>
    <xf numFmtId="0" fontId="58" fillId="42" borderId="305" applyNumberFormat="0" applyAlignment="0" applyProtection="0"/>
    <xf numFmtId="0" fontId="32" fillId="33" borderId="300">
      <alignment horizontal="right" vertical="center"/>
    </xf>
    <xf numFmtId="0" fontId="34" fillId="32" borderId="300"/>
    <xf numFmtId="0" fontId="62" fillId="55" borderId="304" applyNumberFormat="0" applyAlignment="0" applyProtection="0"/>
    <xf numFmtId="0" fontId="46" fillId="55" borderId="305" applyNumberFormat="0" applyAlignment="0" applyProtection="0"/>
    <xf numFmtId="0" fontId="45" fillId="55" borderId="305" applyNumberFormat="0" applyAlignment="0" applyProtection="0"/>
    <xf numFmtId="0" fontId="49" fillId="42" borderId="305" applyNumberFormat="0" applyAlignment="0" applyProtection="0"/>
    <xf numFmtId="0" fontId="49" fillId="42" borderId="305" applyNumberFormat="0" applyAlignment="0" applyProtection="0"/>
    <xf numFmtId="0" fontId="34" fillId="0" borderId="303">
      <alignment horizontal="left" vertical="center" wrapText="1" indent="2"/>
    </xf>
    <xf numFmtId="4" fontId="32" fillId="33" borderId="301">
      <alignment horizontal="right" vertical="center"/>
    </xf>
    <xf numFmtId="4" fontId="34" fillId="0" borderId="300">
      <alignment horizontal="right" vertical="center"/>
    </xf>
    <xf numFmtId="49" fontId="33" fillId="0" borderId="300" applyNumberFormat="0" applyFill="0" applyBorder="0" applyProtection="0">
      <alignment horizontal="left" vertical="center"/>
    </xf>
    <xf numFmtId="4" fontId="34" fillId="0" borderId="300">
      <alignment horizontal="right" vertical="center"/>
    </xf>
    <xf numFmtId="0" fontId="62" fillId="55" borderId="304" applyNumberFormat="0" applyAlignment="0" applyProtection="0"/>
    <xf numFmtId="0" fontId="40" fillId="58" borderId="309" applyNumberFormat="0" applyFont="0" applyAlignment="0" applyProtection="0"/>
    <xf numFmtId="0" fontId="50" fillId="0" borderId="338" applyNumberFormat="0" applyFill="0" applyAlignment="0" applyProtection="0"/>
    <xf numFmtId="4" fontId="32" fillId="33" borderId="311">
      <alignment horizontal="right" vertical="center"/>
    </xf>
    <xf numFmtId="0" fontId="32" fillId="31" borderId="310">
      <alignment horizontal="right" vertical="center"/>
    </xf>
    <xf numFmtId="4" fontId="32" fillId="33" borderId="329">
      <alignment horizontal="right" vertical="center"/>
    </xf>
    <xf numFmtId="4" fontId="32" fillId="31" borderId="327">
      <alignment horizontal="right" vertical="center"/>
    </xf>
    <xf numFmtId="0" fontId="34" fillId="33" borderId="322">
      <alignment horizontal="left" vertical="center" wrapText="1" indent="2"/>
    </xf>
    <xf numFmtId="0" fontId="34" fillId="0" borderId="303">
      <alignment horizontal="left" vertical="center" wrapText="1" indent="2"/>
    </xf>
    <xf numFmtId="0" fontId="12" fillId="21" borderId="0" applyNumberFormat="0" applyBorder="0" applyAlignment="0" applyProtection="0"/>
    <xf numFmtId="4" fontId="34" fillId="32" borderId="310"/>
    <xf numFmtId="0" fontId="26" fillId="22" borderId="0" applyNumberFormat="0" applyBorder="0" applyAlignment="0" applyProtection="0"/>
    <xf numFmtId="0" fontId="34" fillId="0" borderId="335">
      <alignment horizontal="left" vertical="center" wrapText="1" indent="2"/>
    </xf>
    <xf numFmtId="0" fontId="65" fillId="0" borderId="308" applyNumberFormat="0" applyFill="0" applyAlignment="0" applyProtection="0"/>
    <xf numFmtId="0" fontId="32" fillId="33" borderId="310">
      <alignment horizontal="right" vertical="center"/>
    </xf>
    <xf numFmtId="0" fontId="62" fillId="55" borderId="323" applyNumberFormat="0" applyAlignment="0" applyProtection="0"/>
    <xf numFmtId="0" fontId="30" fillId="0" borderId="0" applyNumberFormat="0" applyFill="0" applyBorder="0" applyAlignment="0" applyProtection="0"/>
    <xf numFmtId="0" fontId="40" fillId="58" borderId="299" applyNumberFormat="0" applyFont="0" applyAlignment="0" applyProtection="0"/>
    <xf numFmtId="0" fontId="34" fillId="0" borderId="313">
      <alignment horizontal="left" vertical="center" wrapText="1" indent="2"/>
    </xf>
    <xf numFmtId="0" fontId="32" fillId="31" borderId="300">
      <alignment horizontal="right" vertical="center"/>
    </xf>
    <xf numFmtId="0" fontId="12" fillId="18" borderId="0" applyNumberFormat="0" applyBorder="0" applyAlignment="0" applyProtection="0"/>
    <xf numFmtId="0" fontId="46" fillId="55" borderId="307" applyNumberFormat="0" applyAlignment="0" applyProtection="0"/>
    <xf numFmtId="0" fontId="34" fillId="0" borderId="300" applyNumberFormat="0" applyFill="0" applyAlignment="0" applyProtection="0"/>
    <xf numFmtId="49" fontId="33" fillId="0" borderId="300" applyNumberFormat="0" applyFill="0" applyBorder="0" applyProtection="0">
      <alignment horizontal="left" vertical="center"/>
    </xf>
    <xf numFmtId="0" fontId="34" fillId="0" borderId="300">
      <alignment horizontal="right" vertical="center"/>
    </xf>
    <xf numFmtId="0" fontId="65" fillId="0" borderId="308" applyNumberFormat="0" applyFill="0" applyAlignment="0" applyProtection="0"/>
    <xf numFmtId="0" fontId="45" fillId="55" borderId="337" applyNumberFormat="0" applyAlignment="0" applyProtection="0"/>
    <xf numFmtId="0" fontId="32" fillId="33" borderId="327">
      <alignment horizontal="right" vertical="center"/>
    </xf>
    <xf numFmtId="0" fontId="32" fillId="33" borderId="327">
      <alignment horizontal="right" vertical="center"/>
    </xf>
    <xf numFmtId="4" fontId="32" fillId="31" borderId="300">
      <alignment horizontal="right" vertical="center"/>
    </xf>
    <xf numFmtId="0" fontId="43" fillId="55" borderId="314" applyNumberFormat="0" applyAlignment="0" applyProtection="0"/>
    <xf numFmtId="0" fontId="46" fillId="55" borderId="305" applyNumberFormat="0" applyAlignment="0" applyProtection="0"/>
    <xf numFmtId="0" fontId="32" fillId="33" borderId="302">
      <alignment horizontal="right" vertical="center"/>
    </xf>
    <xf numFmtId="4" fontId="32" fillId="31" borderId="300">
      <alignment horizontal="right" vertical="center"/>
    </xf>
    <xf numFmtId="0" fontId="32" fillId="33" borderId="300">
      <alignment horizontal="right" vertical="center"/>
    </xf>
    <xf numFmtId="0" fontId="46" fillId="55" borderId="305" applyNumberFormat="0" applyAlignment="0" applyProtection="0"/>
    <xf numFmtId="0" fontId="65" fillId="0" borderId="325" applyNumberFormat="0" applyFill="0" applyAlignment="0" applyProtection="0"/>
    <xf numFmtId="0" fontId="29" fillId="12" borderId="10" applyNumberFormat="0" applyAlignment="0" applyProtection="0"/>
    <xf numFmtId="0" fontId="28" fillId="12" borderId="11" applyNumberFormat="0" applyAlignment="0" applyProtection="0"/>
    <xf numFmtId="4" fontId="34" fillId="0" borderId="300" applyFill="0" applyBorder="0" applyProtection="0">
      <alignment horizontal="right" vertical="center"/>
    </xf>
    <xf numFmtId="0" fontId="40" fillId="58" borderId="299" applyNumberFormat="0" applyFont="0" applyAlignment="0" applyProtection="0"/>
    <xf numFmtId="0" fontId="46" fillId="55" borderId="324" applyNumberFormat="0" applyAlignment="0" applyProtection="0"/>
    <xf numFmtId="0" fontId="12" fillId="18" borderId="0" applyNumberFormat="0" applyBorder="0" applyAlignment="0" applyProtection="0"/>
    <xf numFmtId="0" fontId="12" fillId="24" borderId="0" applyNumberFormat="0" applyBorder="0" applyAlignment="0" applyProtection="0"/>
    <xf numFmtId="0" fontId="65" fillId="0" borderId="308" applyNumberFormat="0" applyFill="0" applyAlignment="0" applyProtection="0"/>
    <xf numFmtId="0" fontId="32" fillId="33" borderId="310">
      <alignment horizontal="right" vertical="center"/>
    </xf>
    <xf numFmtId="0" fontId="65" fillId="0" borderId="338" applyNumberFormat="0" applyFill="0" applyAlignment="0" applyProtection="0"/>
    <xf numFmtId="0" fontId="5" fillId="58" borderId="309" applyNumberFormat="0" applyFont="0" applyAlignment="0" applyProtection="0"/>
    <xf numFmtId="0" fontId="32" fillId="31" borderId="300">
      <alignment horizontal="right" vertical="center"/>
    </xf>
    <xf numFmtId="0" fontId="50" fillId="0" borderId="306" applyNumberFormat="0" applyFill="0" applyAlignment="0" applyProtection="0"/>
    <xf numFmtId="0" fontId="34" fillId="0" borderId="300" applyNumberFormat="0" applyFill="0" applyAlignment="0" applyProtection="0"/>
    <xf numFmtId="0" fontId="50" fillId="0" borderId="306" applyNumberFormat="0" applyFill="0" applyAlignment="0" applyProtection="0"/>
    <xf numFmtId="4" fontId="34" fillId="0" borderId="300" applyFill="0" applyBorder="0" applyProtection="0">
      <alignment horizontal="right" vertical="center"/>
    </xf>
    <xf numFmtId="49" fontId="34" fillId="0" borderId="301" applyNumberFormat="0" applyFont="0" applyFill="0" applyBorder="0" applyProtection="0">
      <alignment horizontal="left" vertical="center" indent="5"/>
    </xf>
    <xf numFmtId="0" fontId="34" fillId="0" borderId="300" applyNumberFormat="0" applyFill="0" applyAlignment="0" applyProtection="0"/>
    <xf numFmtId="0" fontId="34" fillId="0" borderId="300" applyNumberFormat="0" applyFill="0" applyAlignment="0" applyProtection="0"/>
    <xf numFmtId="0" fontId="12" fillId="15" borderId="0" applyNumberFormat="0" applyBorder="0" applyAlignment="0" applyProtection="0"/>
    <xf numFmtId="0" fontId="26" fillId="13" borderId="0" applyNumberFormat="0" applyBorder="0" applyAlignment="0" applyProtection="0"/>
    <xf numFmtId="4" fontId="32" fillId="33" borderId="300">
      <alignment horizontal="right" vertical="center"/>
    </xf>
    <xf numFmtId="49" fontId="34" fillId="0" borderId="327" applyNumberFormat="0" applyFont="0" applyFill="0" applyBorder="0" applyProtection="0">
      <alignment horizontal="left" vertical="center" indent="2"/>
    </xf>
    <xf numFmtId="0" fontId="2" fillId="0" borderId="12" applyNumberFormat="0" applyFill="0" applyAlignment="0" applyProtection="0"/>
    <xf numFmtId="0" fontId="12" fillId="21" borderId="0" applyNumberFormat="0" applyBorder="0" applyAlignment="0" applyProtection="0"/>
    <xf numFmtId="0" fontId="26" fillId="14" borderId="0" applyNumberFormat="0" applyBorder="0" applyAlignment="0" applyProtection="0"/>
    <xf numFmtId="0" fontId="49" fillId="42" borderId="305" applyNumberFormat="0" applyAlignment="0" applyProtection="0"/>
    <xf numFmtId="0" fontId="46" fillId="55" borderId="305" applyNumberFormat="0" applyAlignment="0" applyProtection="0"/>
    <xf numFmtId="4" fontId="34" fillId="0" borderId="300">
      <alignment horizontal="right" vertical="center"/>
    </xf>
    <xf numFmtId="0" fontId="34" fillId="33" borderId="303">
      <alignment horizontal="left" vertical="center" wrapText="1" indent="2"/>
    </xf>
    <xf numFmtId="0" fontId="34" fillId="0" borderId="303">
      <alignment horizontal="left" vertical="center" wrapText="1" indent="2"/>
    </xf>
    <xf numFmtId="0" fontId="62" fillId="55" borderId="304" applyNumberFormat="0" applyAlignment="0" applyProtection="0"/>
    <xf numFmtId="0" fontId="58" fillId="42" borderId="305" applyNumberFormat="0" applyAlignment="0" applyProtection="0"/>
    <xf numFmtId="0" fontId="45" fillId="55" borderId="305" applyNumberFormat="0" applyAlignment="0" applyProtection="0"/>
    <xf numFmtId="0" fontId="43" fillId="55" borderId="304" applyNumberFormat="0" applyAlignment="0" applyProtection="0"/>
    <xf numFmtId="0" fontId="32" fillId="33" borderId="302">
      <alignment horizontal="right" vertical="center"/>
    </xf>
    <xf numFmtId="0" fontId="36" fillId="31" borderId="300">
      <alignment horizontal="right" vertical="center"/>
    </xf>
    <xf numFmtId="4" fontId="32" fillId="31" borderId="300">
      <alignment horizontal="right" vertical="center"/>
    </xf>
    <xf numFmtId="4" fontId="32" fillId="33" borderId="300">
      <alignment horizontal="right" vertical="center"/>
    </xf>
    <xf numFmtId="49" fontId="34" fillId="0" borderId="301" applyNumberFormat="0" applyFont="0" applyFill="0" applyBorder="0" applyProtection="0">
      <alignment horizontal="left" vertical="center" indent="5"/>
    </xf>
    <xf numFmtId="4" fontId="34" fillId="0" borderId="300" applyFill="0" applyBorder="0" applyProtection="0">
      <alignment horizontal="right" vertical="center"/>
    </xf>
    <xf numFmtId="4" fontId="32" fillId="31" borderId="300">
      <alignment horizontal="right" vertical="center"/>
    </xf>
    <xf numFmtId="0" fontId="58" fillId="42" borderId="305" applyNumberFormat="0" applyAlignment="0" applyProtection="0"/>
    <xf numFmtId="0" fontId="49" fillId="42" borderId="305" applyNumberFormat="0" applyAlignment="0" applyProtection="0"/>
    <xf numFmtId="0" fontId="45" fillId="55" borderId="305" applyNumberFormat="0" applyAlignment="0" applyProtection="0"/>
    <xf numFmtId="0" fontId="34" fillId="33" borderId="303">
      <alignment horizontal="left" vertical="center" wrapText="1" indent="2"/>
    </xf>
    <xf numFmtId="0" fontId="34" fillId="0" borderId="303">
      <alignment horizontal="left" vertical="center" wrapText="1" indent="2"/>
    </xf>
    <xf numFmtId="0" fontId="34" fillId="33" borderId="303">
      <alignment horizontal="left" vertical="center" wrapText="1" indent="2"/>
    </xf>
    <xf numFmtId="0" fontId="34" fillId="0" borderId="303">
      <alignment horizontal="left" vertical="center" wrapText="1" indent="2"/>
    </xf>
    <xf numFmtId="0" fontId="26" fillId="14" borderId="0" applyNumberFormat="0" applyBorder="0" applyAlignment="0" applyProtection="0"/>
    <xf numFmtId="0" fontId="49" fillId="42" borderId="337" applyNumberFormat="0" applyAlignment="0" applyProtection="0"/>
    <xf numFmtId="0" fontId="32" fillId="33" borderId="332">
      <alignment horizontal="right" vertical="center"/>
    </xf>
    <xf numFmtId="173" fontId="34" fillId="59" borderId="310" applyNumberFormat="0" applyFont="0" applyBorder="0" applyAlignment="0" applyProtection="0">
      <alignment horizontal="right" vertical="center"/>
    </xf>
    <xf numFmtId="0" fontId="30" fillId="0" borderId="0" applyNumberFormat="0" applyFill="0" applyBorder="0" applyAlignment="0" applyProtection="0"/>
    <xf numFmtId="0" fontId="34" fillId="32" borderId="310"/>
    <xf numFmtId="0" fontId="45" fillId="55" borderId="307" applyNumberFormat="0" applyAlignment="0" applyProtection="0"/>
    <xf numFmtId="0" fontId="12" fillId="27" borderId="0" applyNumberFormat="0" applyBorder="0" applyAlignment="0" applyProtection="0"/>
    <xf numFmtId="4" fontId="32" fillId="33" borderId="327">
      <alignment horizontal="right" vertical="center"/>
    </xf>
    <xf numFmtId="4" fontId="32" fillId="33" borderId="334">
      <alignment horizontal="right" vertical="center"/>
    </xf>
    <xf numFmtId="49" fontId="33" fillId="0" borderId="310" applyNumberFormat="0" applyFill="0" applyBorder="0" applyProtection="0">
      <alignment horizontal="left" vertical="center"/>
    </xf>
    <xf numFmtId="0" fontId="26" fillId="29" borderId="0" applyNumberFormat="0" applyBorder="0" applyAlignment="0" applyProtection="0"/>
    <xf numFmtId="0" fontId="46" fillId="55" borderId="324" applyNumberFormat="0" applyAlignment="0" applyProtection="0"/>
    <xf numFmtId="0" fontId="65" fillId="0" borderId="325" applyNumberFormat="0" applyFill="0" applyAlignment="0" applyProtection="0"/>
    <xf numFmtId="4" fontId="34" fillId="0" borderId="310" applyFill="0" applyBorder="0" applyProtection="0">
      <alignment horizontal="right" vertical="center"/>
    </xf>
    <xf numFmtId="0" fontId="2" fillId="0" borderId="12" applyNumberFormat="0" applyFill="0" applyAlignment="0" applyProtection="0"/>
    <xf numFmtId="0" fontId="40" fillId="58" borderId="309" applyNumberFormat="0" applyFont="0" applyAlignment="0" applyProtection="0"/>
    <xf numFmtId="0" fontId="12" fillId="18" borderId="0" applyNumberFormat="0" applyBorder="0" applyAlignment="0" applyProtection="0"/>
    <xf numFmtId="49" fontId="33" fillId="0" borderId="327" applyNumberFormat="0" applyFill="0" applyBorder="0" applyProtection="0">
      <alignment horizontal="left" vertical="center"/>
    </xf>
    <xf numFmtId="0" fontId="43" fillId="55" borderId="314" applyNumberFormat="0" applyAlignment="0" applyProtection="0"/>
    <xf numFmtId="0" fontId="32" fillId="33" borderId="311">
      <alignment horizontal="right" vertical="center"/>
    </xf>
    <xf numFmtId="0" fontId="40" fillId="58" borderId="309" applyNumberFormat="0" applyFont="0" applyAlignment="0" applyProtection="0"/>
    <xf numFmtId="0" fontId="62" fillId="55" borderId="314" applyNumberFormat="0" applyAlignment="0" applyProtection="0"/>
    <xf numFmtId="4" fontId="32" fillId="33" borderId="329">
      <alignment horizontal="right" vertical="center"/>
    </xf>
    <xf numFmtId="0" fontId="26" fillId="25" borderId="0" applyNumberFormat="0" applyBorder="0" applyAlignment="0" applyProtection="0"/>
    <xf numFmtId="0" fontId="43" fillId="55" borderId="323" applyNumberFormat="0" applyAlignment="0" applyProtection="0"/>
    <xf numFmtId="0" fontId="26" fillId="29" borderId="0" applyNumberFormat="0" applyBorder="0" applyAlignment="0" applyProtection="0"/>
    <xf numFmtId="0" fontId="49" fillId="42" borderId="337" applyNumberFormat="0" applyAlignment="0" applyProtection="0"/>
    <xf numFmtId="0" fontId="40" fillId="58" borderId="309" applyNumberFormat="0" applyFont="0" applyAlignment="0" applyProtection="0"/>
    <xf numFmtId="4" fontId="34" fillId="0" borderId="310" applyFill="0" applyBorder="0" applyProtection="0">
      <alignment horizontal="right" vertical="center"/>
    </xf>
    <xf numFmtId="0" fontId="58" fillId="42" borderId="324" applyNumberFormat="0" applyAlignment="0" applyProtection="0"/>
    <xf numFmtId="0" fontId="26" fillId="26" borderId="0" applyNumberFormat="0" applyBorder="0" applyAlignment="0" applyProtection="0"/>
    <xf numFmtId="0" fontId="26" fillId="17" borderId="0" applyNumberFormat="0" applyBorder="0" applyAlignment="0" applyProtection="0"/>
    <xf numFmtId="0" fontId="26" fillId="13" borderId="0" applyNumberFormat="0" applyBorder="0" applyAlignment="0" applyProtection="0"/>
    <xf numFmtId="4" fontId="34" fillId="32" borderId="310"/>
    <xf numFmtId="0" fontId="58" fillId="42" borderId="307" applyNumberFormat="0" applyAlignment="0" applyProtection="0"/>
    <xf numFmtId="0" fontId="2" fillId="0" borderId="12" applyNumberFormat="0" applyFill="0" applyAlignment="0" applyProtection="0"/>
    <xf numFmtId="0" fontId="62" fillId="55" borderId="323" applyNumberFormat="0" applyAlignment="0" applyProtection="0"/>
    <xf numFmtId="0" fontId="43" fillId="55" borderId="314" applyNumberFormat="0" applyAlignment="0" applyProtection="0"/>
    <xf numFmtId="0" fontId="12" fillId="15" borderId="0" applyNumberFormat="0" applyBorder="0" applyAlignment="0" applyProtection="0"/>
    <xf numFmtId="0" fontId="58" fillId="42" borderId="307" applyNumberFormat="0" applyAlignment="0" applyProtection="0"/>
    <xf numFmtId="0" fontId="12" fillId="15" borderId="0" applyNumberFormat="0" applyBorder="0" applyAlignment="0" applyProtection="0"/>
    <xf numFmtId="0" fontId="32" fillId="33" borderId="312">
      <alignment horizontal="right" vertical="center"/>
    </xf>
    <xf numFmtId="0" fontId="49" fillId="42" borderId="307" applyNumberFormat="0" applyAlignment="0" applyProtection="0"/>
    <xf numFmtId="4" fontId="34" fillId="0" borderId="310">
      <alignment horizontal="right" vertical="center"/>
    </xf>
    <xf numFmtId="0" fontId="65" fillId="0" borderId="308" applyNumberFormat="0" applyFill="0" applyAlignment="0" applyProtection="0"/>
    <xf numFmtId="0" fontId="34" fillId="0" borderId="327">
      <alignment horizontal="right" vertical="center"/>
    </xf>
    <xf numFmtId="0" fontId="49" fillId="42" borderId="337" applyNumberFormat="0" applyAlignment="0" applyProtection="0"/>
    <xf numFmtId="0" fontId="26" fillId="13" borderId="0" applyNumberFormat="0" applyBorder="0" applyAlignment="0" applyProtection="0"/>
    <xf numFmtId="0" fontId="26" fillId="20" borderId="0" applyNumberFormat="0" applyBorder="0" applyAlignment="0" applyProtection="0"/>
    <xf numFmtId="0" fontId="62" fillId="55" borderId="323" applyNumberFormat="0" applyAlignment="0" applyProtection="0"/>
    <xf numFmtId="4" fontId="32" fillId="33" borderId="332">
      <alignment horizontal="right" vertical="center"/>
    </xf>
    <xf numFmtId="0" fontId="2" fillId="0" borderId="12" applyNumberFormat="0" applyFill="0" applyAlignment="0" applyProtection="0"/>
    <xf numFmtId="0" fontId="45" fillId="55" borderId="337" applyNumberFormat="0" applyAlignment="0" applyProtection="0"/>
    <xf numFmtId="0" fontId="45" fillId="55" borderId="307" applyNumberFormat="0" applyAlignment="0" applyProtection="0"/>
    <xf numFmtId="0" fontId="34" fillId="0" borderId="319">
      <alignment horizontal="right" vertical="center"/>
    </xf>
    <xf numFmtId="0" fontId="26" fillId="23" borderId="0" applyNumberFormat="0" applyBorder="0" applyAlignment="0" applyProtection="0"/>
    <xf numFmtId="0" fontId="26" fillId="13" borderId="0" applyNumberFormat="0" applyBorder="0" applyAlignment="0" applyProtection="0"/>
    <xf numFmtId="0" fontId="12" fillId="27" borderId="0" applyNumberFormat="0" applyBorder="0" applyAlignment="0" applyProtection="0"/>
    <xf numFmtId="0" fontId="46" fillId="55" borderId="324" applyNumberFormat="0" applyAlignment="0" applyProtection="0"/>
    <xf numFmtId="4" fontId="32" fillId="33" borderId="310">
      <alignment horizontal="right" vertical="center"/>
    </xf>
    <xf numFmtId="0" fontId="34" fillId="0" borderId="330">
      <alignment horizontal="left" vertical="center" wrapText="1" indent="2"/>
    </xf>
    <xf numFmtId="0" fontId="26" fillId="16" borderId="0" applyNumberFormat="0" applyBorder="0" applyAlignment="0" applyProtection="0"/>
    <xf numFmtId="0" fontId="26" fillId="13" borderId="0" applyNumberFormat="0" applyBorder="0" applyAlignment="0" applyProtection="0"/>
    <xf numFmtId="0" fontId="34" fillId="33" borderId="313">
      <alignment horizontal="left" vertical="center" wrapText="1" indent="2"/>
    </xf>
    <xf numFmtId="0" fontId="26" fillId="20" borderId="0" applyNumberFormat="0" applyBorder="0" applyAlignment="0" applyProtection="0"/>
    <xf numFmtId="0" fontId="34" fillId="0" borderId="313">
      <alignment horizontal="left" vertical="center" wrapText="1" indent="2"/>
    </xf>
    <xf numFmtId="0" fontId="26" fillId="14" borderId="0" applyNumberFormat="0" applyBorder="0" applyAlignment="0" applyProtection="0"/>
    <xf numFmtId="0" fontId="34" fillId="0" borderId="327" applyNumberFormat="0" applyFill="0" applyAlignment="0" applyProtection="0"/>
    <xf numFmtId="0" fontId="32" fillId="33" borderId="310">
      <alignment horizontal="right" vertical="center"/>
    </xf>
    <xf numFmtId="4" fontId="32" fillId="33" borderId="328">
      <alignment horizontal="right" vertical="center"/>
    </xf>
    <xf numFmtId="0" fontId="26" fillId="25" borderId="0" applyNumberFormat="0" applyBorder="0" applyAlignment="0" applyProtection="0"/>
    <xf numFmtId="4" fontId="34" fillId="0" borderId="310" applyFill="0" applyBorder="0" applyProtection="0">
      <alignment horizontal="right" vertical="center"/>
    </xf>
    <xf numFmtId="0" fontId="34" fillId="0" borderId="332">
      <alignment horizontal="right" vertical="center"/>
    </xf>
    <xf numFmtId="4" fontId="32" fillId="33" borderId="327">
      <alignment horizontal="right" vertical="center"/>
    </xf>
    <xf numFmtId="0" fontId="65" fillId="0" borderId="308" applyNumberFormat="0" applyFill="0" applyAlignment="0" applyProtection="0"/>
    <xf numFmtId="0" fontId="62" fillId="55" borderId="314" applyNumberFormat="0" applyAlignment="0" applyProtection="0"/>
    <xf numFmtId="0" fontId="45" fillId="55" borderId="324" applyNumberFormat="0" applyAlignment="0" applyProtection="0"/>
    <xf numFmtId="0" fontId="50" fillId="0" borderId="308" applyNumberFormat="0" applyFill="0" applyAlignment="0" applyProtection="0"/>
    <xf numFmtId="0" fontId="26" fillId="25" borderId="0" applyNumberFormat="0" applyBorder="0" applyAlignment="0" applyProtection="0"/>
    <xf numFmtId="0" fontId="32" fillId="31" borderId="310">
      <alignment horizontal="right" vertical="center"/>
    </xf>
    <xf numFmtId="0" fontId="49" fillId="42" borderId="324" applyNumberFormat="0" applyAlignment="0" applyProtection="0"/>
    <xf numFmtId="0" fontId="26" fillId="16" borderId="0" applyNumberFormat="0" applyBorder="0" applyAlignment="0" applyProtection="0"/>
    <xf numFmtId="0" fontId="40" fillId="58" borderId="326" applyNumberFormat="0" applyFont="0" applyAlignment="0" applyProtection="0"/>
    <xf numFmtId="0" fontId="58" fillId="42" borderId="307" applyNumberFormat="0" applyAlignment="0" applyProtection="0"/>
    <xf numFmtId="0" fontId="65" fillId="0" borderId="338" applyNumberFormat="0" applyFill="0" applyAlignment="0" applyProtection="0"/>
    <xf numFmtId="4" fontId="34" fillId="0" borderId="319" applyFill="0" applyBorder="0" applyProtection="0">
      <alignment horizontal="right" vertical="center"/>
    </xf>
    <xf numFmtId="0" fontId="58" fillId="42" borderId="307" applyNumberFormat="0" applyAlignment="0" applyProtection="0"/>
    <xf numFmtId="0" fontId="32" fillId="33" borderId="328">
      <alignment horizontal="right" vertical="center"/>
    </xf>
    <xf numFmtId="0" fontId="34" fillId="33" borderId="335">
      <alignment horizontal="left" vertical="center" wrapText="1" indent="2"/>
    </xf>
    <xf numFmtId="0" fontId="34" fillId="32" borderId="310"/>
    <xf numFmtId="0" fontId="34" fillId="31" borderId="320">
      <alignment horizontal="left" vertical="center"/>
    </xf>
    <xf numFmtId="0" fontId="34" fillId="32" borderId="319"/>
    <xf numFmtId="0" fontId="34" fillId="0" borderId="330">
      <alignment horizontal="left" vertical="center" wrapText="1" indent="2"/>
    </xf>
    <xf numFmtId="0" fontId="34" fillId="33" borderId="330">
      <alignment horizontal="left" vertical="center" wrapText="1" indent="2"/>
    </xf>
    <xf numFmtId="0" fontId="34" fillId="33" borderId="313">
      <alignment horizontal="left" vertical="center" wrapText="1" indent="2"/>
    </xf>
    <xf numFmtId="173" fontId="34" fillId="59" borderId="327" applyNumberFormat="0" applyFont="0" applyBorder="0" applyAlignment="0" applyProtection="0">
      <alignment horizontal="right" vertical="center"/>
    </xf>
    <xf numFmtId="4" fontId="32" fillId="33" borderId="310">
      <alignment horizontal="right" vertical="center"/>
    </xf>
    <xf numFmtId="0" fontId="32" fillId="33" borderId="329">
      <alignment horizontal="right" vertical="center"/>
    </xf>
    <xf numFmtId="0" fontId="28" fillId="12" borderId="11" applyNumberFormat="0" applyAlignment="0" applyProtection="0"/>
    <xf numFmtId="4" fontId="32" fillId="33" borderId="327">
      <alignment horizontal="right" vertical="center"/>
    </xf>
    <xf numFmtId="0" fontId="5" fillId="58" borderId="309" applyNumberFormat="0" applyFont="0" applyAlignment="0" applyProtection="0"/>
    <xf numFmtId="4" fontId="36" fillId="31" borderId="310">
      <alignment horizontal="right" vertical="center"/>
    </xf>
    <xf numFmtId="0" fontId="30" fillId="0" borderId="0" applyNumberFormat="0" applyFill="0" applyBorder="0" applyAlignment="0" applyProtection="0"/>
    <xf numFmtId="0" fontId="58" fillId="42" borderId="307" applyNumberFormat="0" applyAlignment="0" applyProtection="0"/>
    <xf numFmtId="4" fontId="32" fillId="33" borderId="312">
      <alignment horizontal="right" vertical="center"/>
    </xf>
    <xf numFmtId="0" fontId="62" fillId="55" borderId="314" applyNumberFormat="0" applyAlignment="0" applyProtection="0"/>
    <xf numFmtId="0" fontId="30" fillId="0" borderId="0" applyNumberFormat="0" applyFill="0" applyBorder="0" applyAlignment="0" applyProtection="0"/>
    <xf numFmtId="0" fontId="40" fillId="58" borderId="309" applyNumberFormat="0" applyFont="0" applyAlignment="0" applyProtection="0"/>
    <xf numFmtId="0" fontId="65" fillId="0" borderId="308" applyNumberFormat="0" applyFill="0" applyAlignment="0" applyProtection="0"/>
    <xf numFmtId="0" fontId="32" fillId="33" borderId="310">
      <alignment horizontal="right" vertical="center"/>
    </xf>
    <xf numFmtId="0" fontId="32" fillId="33" borderId="319">
      <alignment horizontal="right" vertical="center"/>
    </xf>
    <xf numFmtId="0" fontId="32" fillId="33" borderId="312">
      <alignment horizontal="right" vertical="center"/>
    </xf>
    <xf numFmtId="0" fontId="49" fillId="42" borderId="307" applyNumberFormat="0" applyAlignment="0" applyProtection="0"/>
    <xf numFmtId="0" fontId="36" fillId="31" borderId="310">
      <alignment horizontal="right" vertical="center"/>
    </xf>
    <xf numFmtId="0" fontId="12" fillId="30" borderId="0" applyNumberFormat="0" applyBorder="0" applyAlignment="0" applyProtection="0"/>
    <xf numFmtId="0" fontId="34" fillId="33" borderId="330">
      <alignment horizontal="left" vertical="center" wrapText="1" indent="2"/>
    </xf>
    <xf numFmtId="0" fontId="32" fillId="31" borderId="310">
      <alignment horizontal="right" vertical="center"/>
    </xf>
    <xf numFmtId="0" fontId="32" fillId="33" borderId="329">
      <alignment horizontal="right" vertical="center"/>
    </xf>
    <xf numFmtId="4" fontId="32" fillId="33" borderId="310">
      <alignment horizontal="right" vertical="center"/>
    </xf>
    <xf numFmtId="0" fontId="46" fillId="55" borderId="307" applyNumberFormat="0" applyAlignment="0" applyProtection="0"/>
    <xf numFmtId="0" fontId="65" fillId="0" borderId="308" applyNumberFormat="0" applyFill="0" applyAlignment="0" applyProtection="0"/>
    <xf numFmtId="4" fontId="32" fillId="33" borderId="327">
      <alignment horizontal="right" vertical="center"/>
    </xf>
    <xf numFmtId="4" fontId="32" fillId="33" borderId="319">
      <alignment horizontal="right" vertical="center"/>
    </xf>
    <xf numFmtId="0" fontId="34" fillId="0" borderId="327">
      <alignment horizontal="right" vertical="center"/>
    </xf>
    <xf numFmtId="0" fontId="58" fillId="42" borderId="307" applyNumberFormat="0" applyAlignment="0" applyProtection="0"/>
    <xf numFmtId="4" fontId="32" fillId="33" borderId="311">
      <alignment horizontal="right" vertical="center"/>
    </xf>
    <xf numFmtId="0" fontId="58" fillId="42" borderId="307" applyNumberFormat="0" applyAlignment="0" applyProtection="0"/>
    <xf numFmtId="4" fontId="34" fillId="32" borderId="310"/>
    <xf numFmtId="0" fontId="12" fillId="27" borderId="0" applyNumberFormat="0" applyBorder="0" applyAlignment="0" applyProtection="0"/>
    <xf numFmtId="0" fontId="58" fillId="42" borderId="316" applyNumberFormat="0" applyAlignment="0" applyProtection="0"/>
    <xf numFmtId="0" fontId="26" fillId="28" borderId="0" applyNumberFormat="0" applyBorder="0" applyAlignment="0" applyProtection="0"/>
    <xf numFmtId="0" fontId="32" fillId="33" borderId="320">
      <alignment horizontal="right" vertical="center"/>
    </xf>
    <xf numFmtId="0" fontId="26" fillId="25" borderId="0" applyNumberFormat="0" applyBorder="0" applyAlignment="0" applyProtection="0"/>
    <xf numFmtId="0" fontId="12" fillId="15" borderId="0" applyNumberFormat="0" applyBorder="0" applyAlignment="0" applyProtection="0"/>
    <xf numFmtId="4" fontId="34" fillId="32" borderId="310"/>
    <xf numFmtId="0" fontId="34" fillId="0" borderId="310">
      <alignment horizontal="right" vertical="center"/>
    </xf>
    <xf numFmtId="4" fontId="34" fillId="32" borderId="310"/>
    <xf numFmtId="0" fontId="50" fillId="0" borderId="338" applyNumberFormat="0" applyFill="0" applyAlignment="0" applyProtection="0"/>
    <xf numFmtId="4" fontId="32" fillId="33" borderId="310">
      <alignment horizontal="right" vertical="center"/>
    </xf>
    <xf numFmtId="4" fontId="32" fillId="33" borderId="312">
      <alignment horizontal="right" vertical="center"/>
    </xf>
    <xf numFmtId="0" fontId="26" fillId="19" borderId="0" applyNumberFormat="0" applyBorder="0" applyAlignment="0" applyProtection="0"/>
    <xf numFmtId="0" fontId="50" fillId="0" borderId="308" applyNumberFormat="0" applyFill="0" applyAlignment="0" applyProtection="0"/>
    <xf numFmtId="0" fontId="50" fillId="0" borderId="325" applyNumberFormat="0" applyFill="0" applyAlignment="0" applyProtection="0"/>
    <xf numFmtId="0" fontId="32" fillId="33" borderId="311">
      <alignment horizontal="right" vertical="center"/>
    </xf>
    <xf numFmtId="0" fontId="32" fillId="33" borderId="332">
      <alignment horizontal="right" vertical="center"/>
    </xf>
    <xf numFmtId="4" fontId="32" fillId="33" borderId="327">
      <alignment horizontal="right" vertical="center"/>
    </xf>
    <xf numFmtId="0" fontId="26" fillId="13" borderId="0" applyNumberFormat="0" applyBorder="0" applyAlignment="0" applyProtection="0"/>
    <xf numFmtId="0" fontId="34" fillId="33" borderId="330">
      <alignment horizontal="left" vertical="center" wrapText="1" indent="2"/>
    </xf>
    <xf numFmtId="49" fontId="34" fillId="0" borderId="319" applyNumberFormat="0" applyFont="0" applyFill="0" applyBorder="0" applyProtection="0">
      <alignment horizontal="left" vertical="center" indent="2"/>
    </xf>
    <xf numFmtId="4" fontId="36" fillId="31" borderId="310">
      <alignment horizontal="right" vertical="center"/>
    </xf>
    <xf numFmtId="0" fontId="36" fillId="31" borderId="327">
      <alignment horizontal="right" vertical="center"/>
    </xf>
    <xf numFmtId="0" fontId="34" fillId="0" borderId="322">
      <alignment horizontal="left" vertical="center" wrapText="1" indent="2"/>
    </xf>
    <xf numFmtId="0" fontId="2" fillId="0" borderId="12" applyNumberFormat="0" applyFill="0" applyAlignment="0" applyProtection="0"/>
    <xf numFmtId="4" fontId="34" fillId="0" borderId="310" applyFill="0" applyBorder="0" applyProtection="0">
      <alignment horizontal="right" vertical="center"/>
    </xf>
    <xf numFmtId="0" fontId="34" fillId="32" borderId="327"/>
    <xf numFmtId="0" fontId="45" fillId="55" borderId="307" applyNumberFormat="0" applyAlignment="0" applyProtection="0"/>
    <xf numFmtId="0" fontId="32" fillId="33" borderId="312">
      <alignment horizontal="right" vertical="center"/>
    </xf>
    <xf numFmtId="0" fontId="26" fillId="26" borderId="0" applyNumberFormat="0" applyBorder="0" applyAlignment="0" applyProtection="0"/>
    <xf numFmtId="4" fontId="34" fillId="0" borderId="327">
      <alignment horizontal="right" vertical="center"/>
    </xf>
    <xf numFmtId="0" fontId="26" fillId="28" borderId="0" applyNumberFormat="0" applyBorder="0" applyAlignment="0" applyProtection="0"/>
    <xf numFmtId="0" fontId="32" fillId="33" borderId="329">
      <alignment horizontal="right" vertical="center"/>
    </xf>
    <xf numFmtId="0" fontId="62" fillId="55" borderId="314" applyNumberFormat="0" applyAlignment="0" applyProtection="0"/>
    <xf numFmtId="4" fontId="36" fillId="31" borderId="310">
      <alignment horizontal="right" vertical="center"/>
    </xf>
    <xf numFmtId="4" fontId="32" fillId="33" borderId="310">
      <alignment horizontal="right" vertical="center"/>
    </xf>
    <xf numFmtId="0" fontId="26" fillId="14" borderId="0" applyNumberFormat="0" applyBorder="0" applyAlignment="0" applyProtection="0"/>
    <xf numFmtId="0" fontId="49" fillId="42" borderId="307" applyNumberFormat="0" applyAlignment="0" applyProtection="0"/>
    <xf numFmtId="49" fontId="34" fillId="0" borderId="310" applyNumberFormat="0" applyFont="0" applyFill="0" applyBorder="0" applyProtection="0">
      <alignment horizontal="left" vertical="center" indent="2"/>
    </xf>
    <xf numFmtId="0" fontId="1" fillId="0" borderId="0" applyNumberFormat="0" applyFill="0" applyBorder="0" applyAlignment="0" applyProtection="0"/>
    <xf numFmtId="0" fontId="46" fillId="55" borderId="307" applyNumberFormat="0" applyAlignment="0" applyProtection="0"/>
    <xf numFmtId="0" fontId="29" fillId="12" borderId="10" applyNumberFormat="0" applyAlignment="0" applyProtection="0"/>
    <xf numFmtId="0" fontId="36" fillId="31" borderId="310">
      <alignment horizontal="right" vertical="center"/>
    </xf>
    <xf numFmtId="0" fontId="34" fillId="33" borderId="322">
      <alignment horizontal="left" vertical="center" wrapText="1" indent="2"/>
    </xf>
    <xf numFmtId="0" fontId="34" fillId="0" borderId="327" applyNumberFormat="0" applyFill="0" applyAlignment="0" applyProtection="0"/>
    <xf numFmtId="0" fontId="34" fillId="0" borderId="310" applyNumberFormat="0" applyFill="0" applyAlignment="0" applyProtection="0"/>
    <xf numFmtId="0" fontId="58" fillId="42" borderId="324" applyNumberFormat="0" applyAlignment="0" applyProtection="0"/>
    <xf numFmtId="0" fontId="32" fillId="33" borderId="310">
      <alignment horizontal="right" vertical="center"/>
    </xf>
    <xf numFmtId="4" fontId="32" fillId="33" borderId="310">
      <alignment horizontal="right" vertical="center"/>
    </xf>
    <xf numFmtId="0" fontId="32" fillId="33" borderId="310">
      <alignment horizontal="right" vertical="center"/>
    </xf>
    <xf numFmtId="0" fontId="32" fillId="33" borderId="310">
      <alignment horizontal="right" vertical="center"/>
    </xf>
    <xf numFmtId="0" fontId="40" fillId="58" borderId="326" applyNumberFormat="0" applyFont="0" applyAlignment="0" applyProtection="0"/>
    <xf numFmtId="0" fontId="32" fillId="33" borderId="312">
      <alignment horizontal="right" vertical="center"/>
    </xf>
    <xf numFmtId="0" fontId="49" fillId="42" borderId="324" applyNumberFormat="0" applyAlignment="0" applyProtection="0"/>
    <xf numFmtId="49" fontId="33" fillId="0" borderId="310" applyNumberFormat="0" applyFill="0" applyBorder="0" applyProtection="0">
      <alignment horizontal="left" vertical="center"/>
    </xf>
    <xf numFmtId="0" fontId="46" fillId="55" borderId="307" applyNumberFormat="0" applyAlignment="0" applyProtection="0"/>
    <xf numFmtId="0" fontId="40" fillId="58" borderId="331" applyNumberFormat="0" applyFont="0" applyAlignment="0" applyProtection="0"/>
    <xf numFmtId="0" fontId="26" fillId="23" borderId="0" applyNumberFormat="0" applyBorder="0" applyAlignment="0" applyProtection="0"/>
    <xf numFmtId="0" fontId="26" fillId="16" borderId="0" applyNumberFormat="0" applyBorder="0" applyAlignment="0" applyProtection="0"/>
    <xf numFmtId="4" fontId="32" fillId="33" borderId="310">
      <alignment horizontal="right" vertical="center"/>
    </xf>
    <xf numFmtId="0" fontId="34" fillId="0" borderId="313">
      <alignment horizontal="left" vertical="center" wrapText="1" indent="2"/>
    </xf>
    <xf numFmtId="0" fontId="12" fillId="27" borderId="0" applyNumberFormat="0" applyBorder="0" applyAlignment="0" applyProtection="0"/>
    <xf numFmtId="0" fontId="34" fillId="31" borderId="311">
      <alignment horizontal="left" vertical="center"/>
    </xf>
    <xf numFmtId="0" fontId="34" fillId="33" borderId="313">
      <alignment horizontal="left" vertical="center" wrapText="1" indent="2"/>
    </xf>
    <xf numFmtId="0" fontId="36" fillId="31" borderId="310">
      <alignment horizontal="right" vertical="center"/>
    </xf>
    <xf numFmtId="0" fontId="34" fillId="31" borderId="328">
      <alignment horizontal="left" vertical="center"/>
    </xf>
    <xf numFmtId="0" fontId="50" fillId="0" borderId="338" applyNumberFormat="0" applyFill="0" applyAlignment="0" applyProtection="0"/>
    <xf numFmtId="0" fontId="26" fillId="23" borderId="0" applyNumberFormat="0" applyBorder="0" applyAlignment="0" applyProtection="0"/>
    <xf numFmtId="0" fontId="5" fillId="58" borderId="326" applyNumberFormat="0" applyFont="0" applyAlignment="0" applyProtection="0"/>
    <xf numFmtId="0" fontId="32" fillId="31" borderId="332">
      <alignment horizontal="right" vertical="center"/>
    </xf>
    <xf numFmtId="0" fontId="46" fillId="55" borderId="307" applyNumberFormat="0" applyAlignment="0" applyProtection="0"/>
    <xf numFmtId="0" fontId="26" fillId="13" borderId="0" applyNumberFormat="0" applyBorder="0" applyAlignment="0" applyProtection="0"/>
    <xf numFmtId="0" fontId="40" fillId="58" borderId="309" applyNumberFormat="0" applyFont="0" applyAlignment="0" applyProtection="0"/>
    <xf numFmtId="0" fontId="34" fillId="0" borderId="313">
      <alignment horizontal="left" vertical="center" wrapText="1" indent="2"/>
    </xf>
    <xf numFmtId="0" fontId="58" fillId="42" borderId="307" applyNumberFormat="0" applyAlignment="0" applyProtection="0"/>
    <xf numFmtId="4" fontId="34" fillId="0" borderId="310" applyFill="0" applyBorder="0" applyProtection="0">
      <alignment horizontal="right" vertical="center"/>
    </xf>
    <xf numFmtId="4" fontId="32" fillId="33" borderId="310">
      <alignment horizontal="right" vertical="center"/>
    </xf>
    <xf numFmtId="0" fontId="12" fillId="27" borderId="0" applyNumberFormat="0" applyBorder="0" applyAlignment="0" applyProtection="0"/>
    <xf numFmtId="0" fontId="50" fillId="0" borderId="338" applyNumberFormat="0" applyFill="0" applyAlignment="0" applyProtection="0"/>
    <xf numFmtId="49" fontId="34" fillId="0" borderId="310" applyNumberFormat="0" applyFont="0" applyFill="0" applyBorder="0" applyProtection="0">
      <alignment horizontal="left" vertical="center" indent="2"/>
    </xf>
    <xf numFmtId="0" fontId="34" fillId="0" borderId="322">
      <alignment horizontal="left" vertical="center" wrapText="1" indent="2"/>
    </xf>
    <xf numFmtId="0" fontId="32" fillId="33" borderId="310">
      <alignment horizontal="right" vertical="center"/>
    </xf>
    <xf numFmtId="0" fontId="26" fillId="16" borderId="0" applyNumberFormat="0" applyBorder="0" applyAlignment="0" applyProtection="0"/>
    <xf numFmtId="0" fontId="26" fillId="22" borderId="0" applyNumberFormat="0" applyBorder="0" applyAlignment="0" applyProtection="0"/>
    <xf numFmtId="0" fontId="46" fillId="55" borderId="307" applyNumberFormat="0" applyAlignment="0" applyProtection="0"/>
    <xf numFmtId="0" fontId="28" fillId="12" borderId="11" applyNumberFormat="0" applyAlignment="0" applyProtection="0"/>
    <xf numFmtId="0" fontId="65" fillId="0" borderId="338" applyNumberFormat="0" applyFill="0" applyAlignment="0" applyProtection="0"/>
    <xf numFmtId="4" fontId="32" fillId="33" borderId="333">
      <alignment horizontal="right" vertical="center"/>
    </xf>
    <xf numFmtId="0" fontId="46" fillId="55" borderId="316" applyNumberFormat="0" applyAlignment="0" applyProtection="0"/>
    <xf numFmtId="0" fontId="12" fillId="24" borderId="0" applyNumberFormat="0" applyBorder="0" applyAlignment="0" applyProtection="0"/>
    <xf numFmtId="0" fontId="34" fillId="31" borderId="333">
      <alignment horizontal="left" vertical="center"/>
    </xf>
    <xf numFmtId="0" fontId="65" fillId="0" borderId="308" applyNumberFormat="0" applyFill="0" applyAlignment="0" applyProtection="0"/>
    <xf numFmtId="0" fontId="45" fillId="55" borderId="324" applyNumberFormat="0" applyAlignment="0" applyProtection="0"/>
    <xf numFmtId="4" fontId="32" fillId="33" borderId="321">
      <alignment horizontal="right" vertical="center"/>
    </xf>
    <xf numFmtId="0" fontId="46" fillId="55" borderId="324" applyNumberFormat="0" applyAlignment="0" applyProtection="0"/>
    <xf numFmtId="4" fontId="32" fillId="33" borderId="312">
      <alignment horizontal="right" vertical="center"/>
    </xf>
    <xf numFmtId="4" fontId="36" fillId="31" borderId="310">
      <alignment horizontal="right" vertical="center"/>
    </xf>
    <xf numFmtId="0" fontId="46" fillId="55" borderId="316" applyNumberFormat="0" applyAlignment="0" applyProtection="0"/>
    <xf numFmtId="0" fontId="26" fillId="26" borderId="0" applyNumberFormat="0" applyBorder="0" applyAlignment="0" applyProtection="0"/>
    <xf numFmtId="0" fontId="62" fillId="55" borderId="314" applyNumberFormat="0" applyAlignment="0" applyProtection="0"/>
    <xf numFmtId="0" fontId="34" fillId="33" borderId="335">
      <alignment horizontal="left" vertical="center" wrapText="1" indent="2"/>
    </xf>
    <xf numFmtId="4" fontId="32" fillId="33" borderId="312">
      <alignment horizontal="right" vertical="center"/>
    </xf>
    <xf numFmtId="4" fontId="34" fillId="0" borderId="332">
      <alignment horizontal="right" vertical="center"/>
    </xf>
    <xf numFmtId="0" fontId="34" fillId="32" borderId="327"/>
    <xf numFmtId="0" fontId="34" fillId="33" borderId="313">
      <alignment horizontal="left" vertical="center" wrapText="1" indent="2"/>
    </xf>
    <xf numFmtId="0" fontId="26" fillId="23" borderId="0" applyNumberFormat="0" applyBorder="0" applyAlignment="0" applyProtection="0"/>
    <xf numFmtId="4" fontId="36" fillId="31" borderId="332">
      <alignment horizontal="right" vertical="center"/>
    </xf>
    <xf numFmtId="0" fontId="58" fillId="42" borderId="316" applyNumberFormat="0" applyAlignment="0" applyProtection="0"/>
    <xf numFmtId="0" fontId="49" fillId="42" borderId="307" applyNumberFormat="0" applyAlignment="0" applyProtection="0"/>
    <xf numFmtId="0" fontId="32" fillId="33" borderId="310">
      <alignment horizontal="right" vertical="center"/>
    </xf>
    <xf numFmtId="49" fontId="34" fillId="0" borderId="327" applyNumberFormat="0" applyFont="0" applyFill="0" applyBorder="0" applyProtection="0">
      <alignment horizontal="left" vertical="center" indent="2"/>
    </xf>
    <xf numFmtId="0" fontId="32" fillId="33" borderId="329">
      <alignment horizontal="right" vertical="center"/>
    </xf>
    <xf numFmtId="0" fontId="32" fillId="33" borderId="312">
      <alignment horizontal="right" vertical="center"/>
    </xf>
    <xf numFmtId="0" fontId="58" fillId="42" borderId="337" applyNumberFormat="0" applyAlignment="0" applyProtection="0"/>
    <xf numFmtId="0" fontId="45" fillId="55" borderId="307" applyNumberFormat="0" applyAlignment="0" applyProtection="0"/>
    <xf numFmtId="0" fontId="26" fillId="19" borderId="0" applyNumberFormat="0" applyBorder="0" applyAlignment="0" applyProtection="0"/>
    <xf numFmtId="49" fontId="34" fillId="0" borderId="310" applyNumberFormat="0" applyFont="0" applyFill="0" applyBorder="0" applyProtection="0">
      <alignment horizontal="left" vertical="center" indent="2"/>
    </xf>
    <xf numFmtId="0" fontId="46" fillId="55" borderId="307" applyNumberFormat="0" applyAlignment="0" applyProtection="0"/>
    <xf numFmtId="0" fontId="30" fillId="0" borderId="0" applyNumberFormat="0" applyFill="0" applyBorder="0" applyAlignment="0" applyProtection="0"/>
    <xf numFmtId="0" fontId="34" fillId="0" borderId="310">
      <alignment horizontal="right" vertical="center"/>
    </xf>
    <xf numFmtId="0" fontId="62" fillId="55" borderId="336" applyNumberFormat="0" applyAlignment="0" applyProtection="0"/>
    <xf numFmtId="0" fontId="50" fillId="0" borderId="325" applyNumberFormat="0" applyFill="0" applyAlignment="0" applyProtection="0"/>
    <xf numFmtId="4" fontId="34" fillId="0" borderId="310">
      <alignment horizontal="right" vertical="center"/>
    </xf>
    <xf numFmtId="0" fontId="32" fillId="31" borderId="310">
      <alignment horizontal="right" vertical="center"/>
    </xf>
    <xf numFmtId="0" fontId="65" fillId="0" borderId="308" applyNumberFormat="0" applyFill="0" applyAlignment="0" applyProtection="0"/>
    <xf numFmtId="0" fontId="1" fillId="0" borderId="0" applyNumberFormat="0" applyFill="0" applyBorder="0" applyAlignment="0" applyProtection="0"/>
    <xf numFmtId="0" fontId="65" fillId="0" borderId="325" applyNumberFormat="0" applyFill="0" applyAlignment="0" applyProtection="0"/>
    <xf numFmtId="4" fontId="34" fillId="0" borderId="310" applyFill="0" applyBorder="0" applyProtection="0">
      <alignment horizontal="right" vertical="center"/>
    </xf>
    <xf numFmtId="0" fontId="62" fillId="55" borderId="314" applyNumberFormat="0" applyAlignment="0" applyProtection="0"/>
    <xf numFmtId="0" fontId="45" fillId="55" borderId="307" applyNumberFormat="0" applyAlignment="0" applyProtection="0"/>
    <xf numFmtId="4" fontId="34" fillId="32" borderId="310"/>
    <xf numFmtId="4" fontId="36" fillId="31" borderId="310">
      <alignment horizontal="right" vertical="center"/>
    </xf>
    <xf numFmtId="0" fontId="26" fillId="17" borderId="0" applyNumberFormat="0" applyBorder="0" applyAlignment="0" applyProtection="0"/>
    <xf numFmtId="4" fontId="36" fillId="31" borderId="310">
      <alignment horizontal="right" vertical="center"/>
    </xf>
    <xf numFmtId="0" fontId="58" fillId="42" borderId="307" applyNumberFormat="0" applyAlignment="0" applyProtection="0"/>
    <xf numFmtId="0" fontId="34" fillId="0" borderId="327">
      <alignment horizontal="right" vertical="center"/>
    </xf>
    <xf numFmtId="49" fontId="34" fillId="0" borderId="328" applyNumberFormat="0" applyFont="0" applyFill="0" applyBorder="0" applyProtection="0">
      <alignment horizontal="left" vertical="center" indent="5"/>
    </xf>
    <xf numFmtId="0" fontId="32" fillId="31" borderId="327">
      <alignment horizontal="right" vertical="center"/>
    </xf>
    <xf numFmtId="0" fontId="32" fillId="33" borderId="327">
      <alignment horizontal="right" vertical="center"/>
    </xf>
    <xf numFmtId="0" fontId="40" fillId="58" borderId="309" applyNumberFormat="0" applyFont="0" applyAlignment="0" applyProtection="0"/>
    <xf numFmtId="0" fontId="2" fillId="0" borderId="12" applyNumberFormat="0" applyFill="0" applyAlignment="0" applyProtection="0"/>
    <xf numFmtId="0" fontId="26" fillId="20" borderId="0" applyNumberFormat="0" applyBorder="0" applyAlignment="0" applyProtection="0"/>
    <xf numFmtId="0" fontId="34" fillId="0" borderId="322">
      <alignment horizontal="left" vertical="center" wrapText="1" indent="2"/>
    </xf>
    <xf numFmtId="0" fontId="26" fillId="28" borderId="0" applyNumberFormat="0" applyBorder="0" applyAlignment="0" applyProtection="0"/>
    <xf numFmtId="0" fontId="32" fillId="31" borderId="310">
      <alignment horizontal="right" vertical="center"/>
    </xf>
    <xf numFmtId="0" fontId="34" fillId="31" borderId="333">
      <alignment horizontal="left" vertical="center"/>
    </xf>
    <xf numFmtId="0" fontId="50" fillId="0" borderId="308" applyNumberFormat="0" applyFill="0" applyAlignment="0" applyProtection="0"/>
    <xf numFmtId="0" fontId="34" fillId="0" borderId="330">
      <alignment horizontal="left" vertical="center" wrapText="1" indent="2"/>
    </xf>
    <xf numFmtId="0" fontId="58" fillId="42" borderId="307" applyNumberFormat="0" applyAlignment="0" applyProtection="0"/>
    <xf numFmtId="0" fontId="45" fillId="55" borderId="307" applyNumberFormat="0" applyAlignment="0" applyProtection="0"/>
    <xf numFmtId="0" fontId="34" fillId="32" borderId="327"/>
    <xf numFmtId="0" fontId="26" fillId="25" borderId="0" applyNumberFormat="0" applyBorder="0" applyAlignment="0" applyProtection="0"/>
    <xf numFmtId="0" fontId="34" fillId="0" borderId="327" applyNumberFormat="0" applyFill="0" applyAlignment="0" applyProtection="0"/>
    <xf numFmtId="0" fontId="46" fillId="55" borderId="337" applyNumberFormat="0" applyAlignment="0" applyProtection="0"/>
    <xf numFmtId="0" fontId="58" fillId="42" borderId="307" applyNumberFormat="0" applyAlignment="0" applyProtection="0"/>
    <xf numFmtId="0" fontId="34" fillId="0" borderId="327" applyNumberFormat="0" applyFill="0" applyAlignment="0" applyProtection="0"/>
    <xf numFmtId="0" fontId="34" fillId="0" borderId="330">
      <alignment horizontal="left" vertical="center" wrapText="1" indent="2"/>
    </xf>
    <xf numFmtId="0" fontId="65" fillId="0" borderId="308" applyNumberFormat="0" applyFill="0" applyAlignment="0" applyProtection="0"/>
    <xf numFmtId="0" fontId="5" fillId="58" borderId="309" applyNumberFormat="0" applyFont="0" applyAlignment="0" applyProtection="0"/>
    <xf numFmtId="4" fontId="34" fillId="0" borderId="332" applyFill="0" applyBorder="0" applyProtection="0">
      <alignment horizontal="right" vertical="center"/>
    </xf>
    <xf numFmtId="0" fontId="65" fillId="0" borderId="308" applyNumberFormat="0" applyFill="0" applyAlignment="0" applyProtection="0"/>
    <xf numFmtId="0" fontId="12" fillId="30" borderId="0" applyNumberFormat="0" applyBorder="0" applyAlignment="0" applyProtection="0"/>
    <xf numFmtId="0" fontId="26" fillId="25" borderId="0" applyNumberFormat="0" applyBorder="0" applyAlignment="0" applyProtection="0"/>
    <xf numFmtId="0" fontId="62" fillId="55" borderId="314" applyNumberFormat="0" applyAlignment="0" applyProtection="0"/>
    <xf numFmtId="0" fontId="32" fillId="33" borderId="310">
      <alignment horizontal="right" vertical="center"/>
    </xf>
    <xf numFmtId="0" fontId="34" fillId="0" borderId="313">
      <alignment horizontal="left" vertical="center" wrapText="1" indent="2"/>
    </xf>
    <xf numFmtId="0" fontId="65" fillId="0" borderId="325" applyNumberFormat="0" applyFill="0" applyAlignment="0" applyProtection="0"/>
    <xf numFmtId="0" fontId="58" fillId="42" borderId="337" applyNumberFormat="0" applyAlignment="0" applyProtection="0"/>
    <xf numFmtId="0" fontId="43" fillId="55" borderId="314" applyNumberFormat="0" applyAlignment="0" applyProtection="0"/>
    <xf numFmtId="0" fontId="32" fillId="33" borderId="310">
      <alignment horizontal="right" vertical="center"/>
    </xf>
    <xf numFmtId="0" fontId="12" fillId="24" borderId="0" applyNumberFormat="0" applyBorder="0" applyAlignment="0" applyProtection="0"/>
    <xf numFmtId="0" fontId="46" fillId="55" borderId="307" applyNumberFormat="0" applyAlignment="0" applyProtection="0"/>
    <xf numFmtId="0" fontId="65" fillId="0" borderId="308" applyNumberFormat="0" applyFill="0" applyAlignment="0" applyProtection="0"/>
    <xf numFmtId="4" fontId="34" fillId="32" borderId="310"/>
    <xf numFmtId="0" fontId="36" fillId="31" borderId="319">
      <alignment horizontal="right" vertical="center"/>
    </xf>
    <xf numFmtId="0" fontId="58" fillId="42" borderId="337" applyNumberFormat="0" applyAlignment="0" applyProtection="0"/>
    <xf numFmtId="0" fontId="43" fillId="55" borderId="314" applyNumberFormat="0" applyAlignment="0" applyProtection="0"/>
    <xf numFmtId="0" fontId="29" fillId="12" borderId="10" applyNumberFormat="0" applyAlignment="0" applyProtection="0"/>
    <xf numFmtId="0" fontId="46" fillId="55" borderId="324" applyNumberFormat="0" applyAlignment="0" applyProtection="0"/>
    <xf numFmtId="0" fontId="40" fillId="58" borderId="326" applyNumberFormat="0" applyFont="0" applyAlignment="0" applyProtection="0"/>
    <xf numFmtId="0" fontId="34" fillId="31" borderId="311">
      <alignment horizontal="left" vertical="center"/>
    </xf>
    <xf numFmtId="4" fontId="34" fillId="0" borderId="327" applyFill="0" applyBorder="0" applyProtection="0">
      <alignment horizontal="right" vertical="center"/>
    </xf>
    <xf numFmtId="0" fontId="65" fillId="0" borderId="338" applyNumberFormat="0" applyFill="0" applyAlignment="0" applyProtection="0"/>
    <xf numFmtId="0" fontId="26" fillId="29" borderId="0" applyNumberFormat="0" applyBorder="0" applyAlignment="0" applyProtection="0"/>
    <xf numFmtId="0" fontId="26" fillId="17" borderId="0" applyNumberFormat="0" applyBorder="0" applyAlignment="0" applyProtection="0"/>
    <xf numFmtId="0" fontId="65" fillId="0" borderId="338" applyNumberFormat="0" applyFill="0" applyAlignment="0" applyProtection="0"/>
    <xf numFmtId="0" fontId="32" fillId="33" borderId="327">
      <alignment horizontal="right" vertical="center"/>
    </xf>
    <xf numFmtId="0" fontId="12" fillId="21" borderId="0" applyNumberFormat="0" applyBorder="0" applyAlignment="0" applyProtection="0"/>
    <xf numFmtId="0" fontId="49" fillId="42" borderId="307" applyNumberFormat="0" applyAlignment="0" applyProtection="0"/>
    <xf numFmtId="4" fontId="32" fillId="33" borderId="333">
      <alignment horizontal="right" vertical="center"/>
    </xf>
    <xf numFmtId="0" fontId="26" fillId="26" borderId="0" applyNumberFormat="0" applyBorder="0" applyAlignment="0" applyProtection="0"/>
    <xf numFmtId="0" fontId="32" fillId="33" borderId="328">
      <alignment horizontal="right" vertical="center"/>
    </xf>
    <xf numFmtId="49" fontId="33" fillId="0" borderId="327" applyNumberFormat="0" applyFill="0" applyBorder="0" applyProtection="0">
      <alignment horizontal="left" vertical="center"/>
    </xf>
    <xf numFmtId="0" fontId="32" fillId="33" borderId="327">
      <alignment horizontal="right" vertical="center"/>
    </xf>
    <xf numFmtId="4" fontId="34" fillId="32" borderId="327"/>
    <xf numFmtId="0" fontId="26" fillId="23" borderId="0" applyNumberFormat="0" applyBorder="0" applyAlignment="0" applyProtection="0"/>
    <xf numFmtId="4" fontId="32" fillId="33" borderId="311">
      <alignment horizontal="right" vertical="center"/>
    </xf>
    <xf numFmtId="0" fontId="30" fillId="0" borderId="0" applyNumberFormat="0" applyFill="0" applyBorder="0" applyAlignment="0" applyProtection="0"/>
    <xf numFmtId="0" fontId="62" fillId="55" borderId="314" applyNumberFormat="0" applyAlignment="0" applyProtection="0"/>
    <xf numFmtId="0" fontId="40" fillId="58" borderId="309" applyNumberFormat="0" applyFont="0" applyAlignment="0" applyProtection="0"/>
    <xf numFmtId="0" fontId="26" fillId="19" borderId="0" applyNumberFormat="0" applyBorder="0" applyAlignment="0" applyProtection="0"/>
    <xf numFmtId="0" fontId="50" fillId="0" borderId="338" applyNumberFormat="0" applyFill="0" applyAlignment="0" applyProtection="0"/>
    <xf numFmtId="4" fontId="32" fillId="33" borderId="327">
      <alignment horizontal="right" vertical="center"/>
    </xf>
    <xf numFmtId="0" fontId="12" fillId="18" borderId="0" applyNumberFormat="0" applyBorder="0" applyAlignment="0" applyProtection="0"/>
    <xf numFmtId="0" fontId="32" fillId="33" borderId="310">
      <alignment horizontal="right" vertical="center"/>
    </xf>
    <xf numFmtId="0" fontId="40" fillId="58" borderId="309" applyNumberFormat="0" applyFont="0" applyAlignment="0" applyProtection="0"/>
    <xf numFmtId="0" fontId="26" fillId="16" borderId="0" applyNumberFormat="0" applyBorder="0" applyAlignment="0" applyProtection="0"/>
    <xf numFmtId="49" fontId="34" fillId="0" borderId="310" applyNumberFormat="0" applyFont="0" applyFill="0" applyBorder="0" applyProtection="0">
      <alignment horizontal="left" vertical="center" indent="2"/>
    </xf>
    <xf numFmtId="0" fontId="45" fillId="55" borderId="307" applyNumberFormat="0" applyAlignment="0" applyProtection="0"/>
    <xf numFmtId="0" fontId="32" fillId="33" borderId="333">
      <alignment horizontal="right" vertical="center"/>
    </xf>
    <xf numFmtId="0" fontId="50" fillId="0" borderId="308" applyNumberFormat="0" applyFill="0" applyAlignment="0" applyProtection="0"/>
    <xf numFmtId="0" fontId="12" fillId="21" borderId="0" applyNumberFormat="0" applyBorder="0" applyAlignment="0" applyProtection="0"/>
    <xf numFmtId="0" fontId="62" fillId="55" borderId="315" applyNumberFormat="0" applyAlignment="0" applyProtection="0"/>
    <xf numFmtId="173" fontId="34" fillId="59" borderId="310" applyNumberFormat="0" applyFont="0" applyBorder="0" applyAlignment="0" applyProtection="0">
      <alignment horizontal="right" vertical="center"/>
    </xf>
    <xf numFmtId="49" fontId="34" fillId="0" borderId="310" applyNumberFormat="0" applyFont="0" applyFill="0" applyBorder="0" applyProtection="0">
      <alignment horizontal="left" vertical="center" indent="2"/>
    </xf>
    <xf numFmtId="49" fontId="33" fillId="0" borderId="332" applyNumberFormat="0" applyFill="0" applyBorder="0" applyProtection="0">
      <alignment horizontal="left" vertical="center"/>
    </xf>
    <xf numFmtId="0" fontId="45" fillId="55" borderId="316" applyNumberFormat="0" applyAlignment="0" applyProtection="0"/>
    <xf numFmtId="4" fontId="32" fillId="31" borderId="310">
      <alignment horizontal="right" vertical="center"/>
    </xf>
    <xf numFmtId="0" fontId="32" fillId="33" borderId="327">
      <alignment horizontal="right" vertical="center"/>
    </xf>
    <xf numFmtId="0" fontId="58" fillId="42" borderId="324" applyNumberFormat="0" applyAlignment="0" applyProtection="0"/>
    <xf numFmtId="0" fontId="32" fillId="33" borderId="310">
      <alignment horizontal="right" vertical="center"/>
    </xf>
    <xf numFmtId="0" fontId="62" fillId="55" borderId="323" applyNumberFormat="0" applyAlignment="0" applyProtection="0"/>
    <xf numFmtId="0" fontId="65" fillId="0" borderId="308" applyNumberFormat="0" applyFill="0" applyAlignment="0" applyProtection="0"/>
    <xf numFmtId="0" fontId="26" fillId="29" borderId="0" applyNumberFormat="0" applyBorder="0" applyAlignment="0" applyProtection="0"/>
    <xf numFmtId="0" fontId="12" fillId="18" borderId="0" applyNumberFormat="0" applyBorder="0" applyAlignment="0" applyProtection="0"/>
    <xf numFmtId="0" fontId="46" fillId="55" borderId="316" applyNumberFormat="0" applyAlignment="0" applyProtection="0"/>
    <xf numFmtId="0" fontId="34" fillId="31" borderId="311">
      <alignment horizontal="left" vertical="center"/>
    </xf>
    <xf numFmtId="4" fontId="32" fillId="31" borderId="332">
      <alignment horizontal="right" vertical="center"/>
    </xf>
    <xf numFmtId="4" fontId="34" fillId="0" borderId="310">
      <alignment horizontal="right" vertical="center"/>
    </xf>
    <xf numFmtId="4" fontId="32" fillId="31" borderId="310">
      <alignment horizontal="right" vertical="center"/>
    </xf>
    <xf numFmtId="49" fontId="34" fillId="0" borderId="320" applyNumberFormat="0" applyFont="0" applyFill="0" applyBorder="0" applyProtection="0">
      <alignment horizontal="left" vertical="center" indent="5"/>
    </xf>
    <xf numFmtId="0" fontId="32" fillId="33" borderId="332">
      <alignment horizontal="right" vertical="center"/>
    </xf>
    <xf numFmtId="0" fontId="58" fillId="42" borderId="307" applyNumberFormat="0" applyAlignment="0" applyProtection="0"/>
    <xf numFmtId="0" fontId="58" fillId="42" borderId="307" applyNumberFormat="0" applyAlignment="0" applyProtection="0"/>
    <xf numFmtId="0" fontId="34" fillId="0" borderId="319" applyNumberFormat="0" applyFill="0" applyAlignment="0" applyProtection="0"/>
    <xf numFmtId="4" fontId="32" fillId="33" borderId="329">
      <alignment horizontal="right" vertical="center"/>
    </xf>
    <xf numFmtId="0" fontId="62" fillId="55" borderId="323" applyNumberFormat="0" applyAlignment="0" applyProtection="0"/>
    <xf numFmtId="4" fontId="34" fillId="32" borderId="332"/>
    <xf numFmtId="0" fontId="46" fillId="55" borderId="307" applyNumberFormat="0" applyAlignment="0" applyProtection="0"/>
    <xf numFmtId="4" fontId="32" fillId="31" borderId="327">
      <alignment horizontal="right" vertical="center"/>
    </xf>
    <xf numFmtId="0" fontId="28" fillId="12" borderId="11" applyNumberFormat="0" applyAlignment="0" applyProtection="0"/>
    <xf numFmtId="4" fontId="32" fillId="33" borderId="310">
      <alignment horizontal="right" vertical="center"/>
    </xf>
    <xf numFmtId="4" fontId="34" fillId="32" borderId="332"/>
    <xf numFmtId="49" fontId="33" fillId="0" borderId="319" applyNumberFormat="0" applyFill="0" applyBorder="0" applyProtection="0">
      <alignment horizontal="left" vertical="center"/>
    </xf>
    <xf numFmtId="0" fontId="12" fillId="15" borderId="0" applyNumberFormat="0" applyBorder="0" applyAlignment="0" applyProtection="0"/>
    <xf numFmtId="0" fontId="46" fillId="55" borderId="307" applyNumberFormat="0" applyAlignment="0" applyProtection="0"/>
    <xf numFmtId="0" fontId="34" fillId="0" borderId="330">
      <alignment horizontal="left" vertical="center" wrapText="1" indent="2"/>
    </xf>
    <xf numFmtId="0" fontId="5" fillId="58" borderId="318" applyNumberFormat="0" applyFont="0" applyAlignment="0" applyProtection="0"/>
    <xf numFmtId="0" fontId="40" fillId="58" borderId="331" applyNumberFormat="0" applyFont="0" applyAlignment="0" applyProtection="0"/>
    <xf numFmtId="0" fontId="43" fillId="55" borderId="314" applyNumberFormat="0" applyAlignment="0" applyProtection="0"/>
    <xf numFmtId="0" fontId="34" fillId="32" borderId="310"/>
    <xf numFmtId="0" fontId="45" fillId="55" borderId="307" applyNumberFormat="0" applyAlignment="0" applyProtection="0"/>
    <xf numFmtId="0" fontId="32" fillId="33" borderId="310">
      <alignment horizontal="right" vertical="center"/>
    </xf>
    <xf numFmtId="4" fontId="34" fillId="32" borderId="310"/>
    <xf numFmtId="0" fontId="45" fillId="55" borderId="307" applyNumberFormat="0" applyAlignment="0" applyProtection="0"/>
    <xf numFmtId="0" fontId="34" fillId="31" borderId="311">
      <alignment horizontal="left" vertical="center"/>
    </xf>
    <xf numFmtId="4" fontId="32" fillId="31" borderId="310">
      <alignment horizontal="right" vertical="center"/>
    </xf>
    <xf numFmtId="0" fontId="12" fillId="18" borderId="0" applyNumberFormat="0" applyBorder="0" applyAlignment="0" applyProtection="0"/>
    <xf numFmtId="0" fontId="50" fillId="0" borderId="308" applyNumberFormat="0" applyFill="0" applyAlignment="0" applyProtection="0"/>
    <xf numFmtId="0" fontId="32" fillId="33" borderId="320">
      <alignment horizontal="right" vertical="center"/>
    </xf>
    <xf numFmtId="49" fontId="34" fillId="0" borderId="320" applyNumberFormat="0" applyFont="0" applyFill="0" applyBorder="0" applyProtection="0">
      <alignment horizontal="left" vertical="center" indent="5"/>
    </xf>
    <xf numFmtId="0" fontId="12" fillId="24" borderId="0" applyNumberFormat="0" applyBorder="0" applyAlignment="0" applyProtection="0"/>
    <xf numFmtId="49" fontId="34" fillId="0" borderId="327" applyNumberFormat="0" applyFont="0" applyFill="0" applyBorder="0" applyProtection="0">
      <alignment horizontal="left" vertical="center" indent="2"/>
    </xf>
    <xf numFmtId="0" fontId="58" fillId="42" borderId="324" applyNumberFormat="0" applyAlignment="0" applyProtection="0"/>
    <xf numFmtId="0" fontId="12" fillId="15" borderId="0" applyNumberFormat="0" applyBorder="0" applyAlignment="0" applyProtection="0"/>
    <xf numFmtId="0" fontId="34" fillId="0" borderId="310">
      <alignment horizontal="right" vertical="center"/>
    </xf>
    <xf numFmtId="0" fontId="46" fillId="55" borderId="324" applyNumberFormat="0" applyAlignment="0" applyProtection="0"/>
    <xf numFmtId="0" fontId="12" fillId="24" borderId="0" applyNumberFormat="0" applyBorder="0" applyAlignment="0" applyProtection="0"/>
    <xf numFmtId="0" fontId="49" fillId="42" borderId="307" applyNumberFormat="0" applyAlignment="0" applyProtection="0"/>
    <xf numFmtId="0" fontId="34" fillId="0" borderId="310">
      <alignment horizontal="right" vertical="center"/>
    </xf>
    <xf numFmtId="0" fontId="45" fillId="55" borderId="307" applyNumberFormat="0" applyAlignment="0" applyProtection="0"/>
    <xf numFmtId="0" fontId="32" fillId="33" borderId="327">
      <alignment horizontal="right" vertical="center"/>
    </xf>
    <xf numFmtId="4" fontId="32" fillId="33" borderId="332">
      <alignment horizontal="right" vertical="center"/>
    </xf>
    <xf numFmtId="4" fontId="32" fillId="31" borderId="310">
      <alignment horizontal="right" vertical="center"/>
    </xf>
    <xf numFmtId="0" fontId="32" fillId="33" borderId="311">
      <alignment horizontal="right" vertical="center"/>
    </xf>
    <xf numFmtId="4" fontId="34" fillId="0" borderId="332" applyFill="0" applyBorder="0" applyProtection="0">
      <alignment horizontal="right" vertical="center"/>
    </xf>
    <xf numFmtId="0" fontId="46" fillId="55" borderId="307" applyNumberFormat="0" applyAlignment="0" applyProtection="0"/>
    <xf numFmtId="0" fontId="32" fillId="33" borderId="312">
      <alignment horizontal="right" vertical="center"/>
    </xf>
    <xf numFmtId="0" fontId="32" fillId="33" borderId="332">
      <alignment horizontal="right" vertical="center"/>
    </xf>
    <xf numFmtId="0" fontId="34" fillId="0" borderId="327">
      <alignment horizontal="right" vertical="center"/>
    </xf>
    <xf numFmtId="0" fontId="50" fillId="0" borderId="308" applyNumberFormat="0" applyFill="0" applyAlignment="0" applyProtection="0"/>
    <xf numFmtId="0" fontId="40" fillId="58" borderId="318" applyNumberFormat="0" applyFont="0" applyAlignment="0" applyProtection="0"/>
    <xf numFmtId="0" fontId="26" fillId="22" borderId="0" applyNumberFormat="0" applyBorder="0" applyAlignment="0" applyProtection="0"/>
    <xf numFmtId="0" fontId="34" fillId="33" borderId="313">
      <alignment horizontal="left" vertical="center" wrapText="1" indent="2"/>
    </xf>
    <xf numFmtId="4" fontId="32" fillId="31" borderId="332">
      <alignment horizontal="right" vertical="center"/>
    </xf>
    <xf numFmtId="0" fontId="26" fillId="23" borderId="0" applyNumberFormat="0" applyBorder="0" applyAlignment="0" applyProtection="0"/>
    <xf numFmtId="49" fontId="34" fillId="0" borderId="332" applyNumberFormat="0" applyFont="0" applyFill="0" applyBorder="0" applyProtection="0">
      <alignment horizontal="left" vertical="center" indent="2"/>
    </xf>
    <xf numFmtId="4" fontId="34" fillId="0" borderId="310">
      <alignment horizontal="right" vertical="center"/>
    </xf>
    <xf numFmtId="0" fontId="58" fillId="42" borderId="324" applyNumberFormat="0" applyAlignment="0" applyProtection="0"/>
    <xf numFmtId="0" fontId="34" fillId="0" borderId="310">
      <alignment horizontal="right" vertical="center"/>
    </xf>
    <xf numFmtId="0" fontId="26" fillId="20" borderId="0" applyNumberFormat="0" applyBorder="0" applyAlignment="0" applyProtection="0"/>
    <xf numFmtId="4" fontId="34" fillId="32" borderId="319"/>
    <xf numFmtId="0" fontId="58" fillId="42" borderId="324" applyNumberFormat="0" applyAlignment="0" applyProtection="0"/>
    <xf numFmtId="49" fontId="34" fillId="0" borderId="311" applyNumberFormat="0" applyFont="0" applyFill="0" applyBorder="0" applyProtection="0">
      <alignment horizontal="left" vertical="center" indent="5"/>
    </xf>
    <xf numFmtId="0" fontId="65" fillId="0" borderId="317" applyNumberFormat="0" applyFill="0" applyAlignment="0" applyProtection="0"/>
    <xf numFmtId="0" fontId="1" fillId="0" borderId="0" applyNumberFormat="0" applyFill="0" applyBorder="0" applyAlignment="0" applyProtection="0"/>
    <xf numFmtId="0" fontId="46" fillId="55" borderId="324" applyNumberFormat="0" applyAlignment="0" applyProtection="0"/>
    <xf numFmtId="4" fontId="34" fillId="32" borderId="332"/>
    <xf numFmtId="0" fontId="34" fillId="31" borderId="311">
      <alignment horizontal="left" vertical="center"/>
    </xf>
    <xf numFmtId="0" fontId="34" fillId="0" borderId="313">
      <alignment horizontal="left" vertical="center" wrapText="1" indent="2"/>
    </xf>
    <xf numFmtId="0" fontId="45" fillId="55" borderId="324" applyNumberFormat="0" applyAlignment="0" applyProtection="0"/>
    <xf numFmtId="0" fontId="1" fillId="0" borderId="0" applyNumberFormat="0" applyFill="0" applyBorder="0" applyAlignment="0" applyProtection="0"/>
    <xf numFmtId="0" fontId="5" fillId="58" borderId="326" applyNumberFormat="0" applyFont="0" applyAlignment="0" applyProtection="0"/>
    <xf numFmtId="0" fontId="5" fillId="58" borderId="326" applyNumberFormat="0" applyFont="0" applyAlignment="0" applyProtection="0"/>
    <xf numFmtId="0" fontId="26" fillId="16" borderId="0" applyNumberFormat="0" applyBorder="0" applyAlignment="0" applyProtection="0"/>
    <xf numFmtId="0" fontId="26" fillId="29" borderId="0" applyNumberFormat="0" applyBorder="0" applyAlignment="0" applyProtection="0"/>
    <xf numFmtId="4" fontId="32" fillId="33" borderId="321">
      <alignment horizontal="right" vertical="center"/>
    </xf>
    <xf numFmtId="0" fontId="50" fillId="0" borderId="325" applyNumberFormat="0" applyFill="0" applyAlignment="0" applyProtection="0"/>
    <xf numFmtId="0" fontId="32" fillId="31" borderId="327">
      <alignment horizontal="right" vertical="center"/>
    </xf>
    <xf numFmtId="0" fontId="32" fillId="31" borderId="310">
      <alignment horizontal="right" vertical="center"/>
    </xf>
    <xf numFmtId="0" fontId="50" fillId="0" borderId="308" applyNumberFormat="0" applyFill="0" applyAlignment="0" applyProtection="0"/>
    <xf numFmtId="0" fontId="34" fillId="0" borderId="310" applyNumberFormat="0" applyFill="0" applyAlignment="0" applyProtection="0"/>
    <xf numFmtId="0" fontId="50" fillId="0" borderId="308" applyNumberFormat="0" applyFill="0" applyAlignment="0" applyProtection="0"/>
    <xf numFmtId="4" fontId="34" fillId="0" borderId="310" applyFill="0" applyBorder="0" applyProtection="0">
      <alignment horizontal="right" vertical="center"/>
    </xf>
    <xf numFmtId="49" fontId="34" fillId="0" borderId="311" applyNumberFormat="0" applyFont="0" applyFill="0" applyBorder="0" applyProtection="0">
      <alignment horizontal="left" vertical="center" indent="5"/>
    </xf>
    <xf numFmtId="0" fontId="34" fillId="0" borderId="310" applyNumberFormat="0" applyFill="0" applyAlignment="0" applyProtection="0"/>
    <xf numFmtId="4" fontId="32" fillId="33" borderId="329">
      <alignment horizontal="right" vertical="center"/>
    </xf>
    <xf numFmtId="0" fontId="34" fillId="0" borderId="310" applyNumberFormat="0" applyFill="0" applyAlignment="0" applyProtection="0"/>
    <xf numFmtId="0" fontId="32" fillId="33" borderId="327">
      <alignment horizontal="right" vertical="center"/>
    </xf>
    <xf numFmtId="4" fontId="32" fillId="33" borderId="310">
      <alignment horizontal="right" vertical="center"/>
    </xf>
    <xf numFmtId="0" fontId="34" fillId="33" borderId="335">
      <alignment horizontal="left" vertical="center" wrapText="1" indent="2"/>
    </xf>
    <xf numFmtId="0" fontId="50" fillId="0" borderId="325" applyNumberFormat="0" applyFill="0" applyAlignment="0" applyProtection="0"/>
    <xf numFmtId="0" fontId="26" fillId="19" borderId="0" applyNumberFormat="0" applyBorder="0" applyAlignment="0" applyProtection="0"/>
    <xf numFmtId="0" fontId="49" fillId="42" borderId="307" applyNumberFormat="0" applyAlignment="0" applyProtection="0"/>
    <xf numFmtId="0" fontId="46" fillId="55" borderId="307" applyNumberFormat="0" applyAlignment="0" applyProtection="0"/>
    <xf numFmtId="4" fontId="34" fillId="0" borderId="310">
      <alignment horizontal="right" vertical="center"/>
    </xf>
    <xf numFmtId="0" fontId="34" fillId="33" borderId="313">
      <alignment horizontal="left" vertical="center" wrapText="1" indent="2"/>
    </xf>
    <xf numFmtId="0" fontId="34" fillId="0" borderId="313">
      <alignment horizontal="left" vertical="center" wrapText="1" indent="2"/>
    </xf>
    <xf numFmtId="0" fontId="62" fillId="55" borderId="314" applyNumberFormat="0" applyAlignment="0" applyProtection="0"/>
    <xf numFmtId="0" fontId="58" fillId="42" borderId="307" applyNumberFormat="0" applyAlignment="0" applyProtection="0"/>
    <xf numFmtId="0" fontId="45" fillId="55" borderId="307" applyNumberFormat="0" applyAlignment="0" applyProtection="0"/>
    <xf numFmtId="0" fontId="43" fillId="55" borderId="314" applyNumberFormat="0" applyAlignment="0" applyProtection="0"/>
    <xf numFmtId="0" fontId="32" fillId="33" borderId="312">
      <alignment horizontal="right" vertical="center"/>
    </xf>
    <xf numFmtId="0" fontId="36" fillId="31" borderId="310">
      <alignment horizontal="right" vertical="center"/>
    </xf>
    <xf numFmtId="4" fontId="32" fillId="31" borderId="310">
      <alignment horizontal="right" vertical="center"/>
    </xf>
    <xf numFmtId="4" fontId="32" fillId="33" borderId="310">
      <alignment horizontal="right" vertical="center"/>
    </xf>
    <xf numFmtId="49" fontId="34" fillId="0" borderId="311" applyNumberFormat="0" applyFont="0" applyFill="0" applyBorder="0" applyProtection="0">
      <alignment horizontal="left" vertical="center" indent="5"/>
    </xf>
    <xf numFmtId="4" fontId="34" fillId="0" borderId="310" applyFill="0" applyBorder="0" applyProtection="0">
      <alignment horizontal="right" vertical="center"/>
    </xf>
    <xf numFmtId="4" fontId="32" fillId="31" borderId="310">
      <alignment horizontal="right" vertical="center"/>
    </xf>
    <xf numFmtId="0" fontId="58" fillId="42" borderId="307" applyNumberFormat="0" applyAlignment="0" applyProtection="0"/>
    <xf numFmtId="0" fontId="49" fillId="42" borderId="307" applyNumberFormat="0" applyAlignment="0" applyProtection="0"/>
    <xf numFmtId="0" fontId="45" fillId="55" borderId="307" applyNumberFormat="0" applyAlignment="0" applyProtection="0"/>
    <xf numFmtId="0" fontId="34" fillId="33" borderId="313">
      <alignment horizontal="left" vertical="center" wrapText="1" indent="2"/>
    </xf>
    <xf numFmtId="0" fontId="34" fillId="0" borderId="313">
      <alignment horizontal="left" vertical="center" wrapText="1" indent="2"/>
    </xf>
    <xf numFmtId="0" fontId="34" fillId="33" borderId="313">
      <alignment horizontal="left" vertical="center" wrapText="1" indent="2"/>
    </xf>
    <xf numFmtId="0" fontId="36" fillId="31" borderId="319">
      <alignment horizontal="right" vertical="center"/>
    </xf>
    <xf numFmtId="4" fontId="32" fillId="33" borderId="334">
      <alignment horizontal="right" vertical="center"/>
    </xf>
    <xf numFmtId="4" fontId="32" fillId="31" borderId="327">
      <alignment horizontal="right" vertical="center"/>
    </xf>
    <xf numFmtId="4" fontId="32" fillId="33" borderId="328">
      <alignment horizontal="right" vertical="center"/>
    </xf>
    <xf numFmtId="0" fontId="26" fillId="19" borderId="0" applyNumberFormat="0" applyBorder="0" applyAlignment="0" applyProtection="0"/>
    <xf numFmtId="0" fontId="65" fillId="0" borderId="325" applyNumberFormat="0" applyFill="0" applyAlignment="0" applyProtection="0"/>
    <xf numFmtId="0" fontId="32" fillId="33" borderId="332">
      <alignment horizontal="right" vertical="center"/>
    </xf>
    <xf numFmtId="4" fontId="32" fillId="33" borderId="332">
      <alignment horizontal="right" vertical="center"/>
    </xf>
    <xf numFmtId="0" fontId="62" fillId="55" borderId="323" applyNumberFormat="0" applyAlignment="0" applyProtection="0"/>
    <xf numFmtId="0" fontId="58" fillId="42" borderId="324" applyNumberFormat="0" applyAlignment="0" applyProtection="0"/>
    <xf numFmtId="0" fontId="34" fillId="33" borderId="330">
      <alignment horizontal="left" vertical="center" wrapText="1" indent="2"/>
    </xf>
    <xf numFmtId="4" fontId="32" fillId="31" borderId="327">
      <alignment horizontal="right" vertical="center"/>
    </xf>
    <xf numFmtId="0" fontId="36" fillId="31" borderId="327">
      <alignment horizontal="right" vertical="center"/>
    </xf>
    <xf numFmtId="0" fontId="34" fillId="0" borderId="332" applyNumberFormat="0" applyFill="0" applyAlignment="0" applyProtection="0"/>
    <xf numFmtId="0" fontId="34" fillId="32" borderId="327"/>
    <xf numFmtId="4" fontId="32" fillId="33" borderId="329">
      <alignment horizontal="right" vertical="center"/>
    </xf>
    <xf numFmtId="0" fontId="34" fillId="0" borderId="327" applyNumberFormat="0" applyFill="0" applyAlignment="0" applyProtection="0"/>
    <xf numFmtId="4" fontId="34" fillId="0" borderId="327">
      <alignment horizontal="right" vertical="center"/>
    </xf>
    <xf numFmtId="0" fontId="34" fillId="32" borderId="332"/>
    <xf numFmtId="0" fontId="34" fillId="0" borderId="332">
      <alignment horizontal="right" vertical="center"/>
    </xf>
    <xf numFmtId="49" fontId="34" fillId="0" borderId="327" applyNumberFormat="0" applyFont="0" applyFill="0" applyBorder="0" applyProtection="0">
      <alignment horizontal="left" vertical="center" indent="2"/>
    </xf>
    <xf numFmtId="0" fontId="32" fillId="33" borderId="319">
      <alignment horizontal="right" vertical="center"/>
    </xf>
    <xf numFmtId="0" fontId="45" fillId="55" borderId="324" applyNumberFormat="0" applyAlignment="0" applyProtection="0"/>
    <xf numFmtId="0" fontId="12" fillId="18" borderId="0" applyNumberFormat="0" applyBorder="0" applyAlignment="0" applyProtection="0"/>
    <xf numFmtId="0" fontId="12" fillId="30" borderId="0" applyNumberFormat="0" applyBorder="0" applyAlignment="0" applyProtection="0"/>
    <xf numFmtId="0" fontId="65" fillId="0" borderId="338" applyNumberFormat="0" applyFill="0" applyAlignment="0" applyProtection="0"/>
    <xf numFmtId="0" fontId="26" fillId="29" borderId="0" applyNumberFormat="0" applyBorder="0" applyAlignment="0" applyProtection="0"/>
    <xf numFmtId="0" fontId="43" fillId="55" borderId="323" applyNumberFormat="0" applyAlignment="0" applyProtection="0"/>
    <xf numFmtId="173" fontId="34" fillId="59" borderId="327" applyNumberFormat="0" applyFont="0" applyBorder="0" applyAlignment="0" applyProtection="0">
      <alignment horizontal="right" vertical="center"/>
    </xf>
    <xf numFmtId="0" fontId="12" fillId="24"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173" fontId="34" fillId="59" borderId="327" applyNumberFormat="0" applyFont="0" applyBorder="0" applyAlignment="0" applyProtection="0">
      <alignment horizontal="right" vertical="center"/>
    </xf>
    <xf numFmtId="0" fontId="12" fillId="21" borderId="0" applyNumberFormat="0" applyBorder="0" applyAlignment="0" applyProtection="0"/>
    <xf numFmtId="0" fontId="58" fillId="42" borderId="324" applyNumberFormat="0" applyAlignment="0" applyProtection="0"/>
    <xf numFmtId="0" fontId="26" fillId="19" borderId="0" applyNumberFormat="0" applyBorder="0" applyAlignment="0" applyProtection="0"/>
    <xf numFmtId="0" fontId="26" fillId="13" borderId="0" applyNumberFormat="0" applyBorder="0" applyAlignment="0" applyProtection="0"/>
    <xf numFmtId="0" fontId="46" fillId="55" borderId="324" applyNumberFormat="0" applyAlignment="0" applyProtection="0"/>
    <xf numFmtId="0" fontId="58" fillId="42" borderId="324" applyNumberFormat="0" applyAlignment="0" applyProtection="0"/>
    <xf numFmtId="0" fontId="58" fillId="42" borderId="337" applyNumberFormat="0" applyAlignment="0" applyProtection="0"/>
    <xf numFmtId="0" fontId="43" fillId="55" borderId="323" applyNumberFormat="0" applyAlignment="0" applyProtection="0"/>
    <xf numFmtId="4" fontId="32" fillId="33" borderId="319">
      <alignment horizontal="right" vertical="center"/>
    </xf>
    <xf numFmtId="0" fontId="34" fillId="32" borderId="319"/>
    <xf numFmtId="0" fontId="45" fillId="55" borderId="316" applyNumberFormat="0" applyAlignment="0" applyProtection="0"/>
    <xf numFmtId="0" fontId="32" fillId="31" borderId="319">
      <alignment horizontal="right" vertical="center"/>
    </xf>
    <xf numFmtId="0" fontId="34" fillId="0" borderId="319">
      <alignment horizontal="right" vertical="center"/>
    </xf>
    <xf numFmtId="0" fontId="65" fillId="0" borderId="317" applyNumberFormat="0" applyFill="0" applyAlignment="0" applyProtection="0"/>
    <xf numFmtId="0" fontId="34" fillId="31" borderId="320">
      <alignment horizontal="left" vertical="center"/>
    </xf>
    <xf numFmtId="0" fontId="58" fillId="42" borderId="316" applyNumberFormat="0" applyAlignment="0" applyProtection="0"/>
    <xf numFmtId="173" fontId="34" fillId="59" borderId="319" applyNumberFormat="0" applyFont="0" applyBorder="0" applyAlignment="0" applyProtection="0">
      <alignment horizontal="right" vertical="center"/>
    </xf>
    <xf numFmtId="0" fontId="40" fillId="58" borderId="318" applyNumberFormat="0" applyFont="0" applyAlignment="0" applyProtection="0"/>
    <xf numFmtId="0" fontId="34" fillId="0" borderId="322">
      <alignment horizontal="left" vertical="center" wrapText="1" indent="2"/>
    </xf>
    <xf numFmtId="4" fontId="34" fillId="32" borderId="319"/>
    <xf numFmtId="49" fontId="33" fillId="0" borderId="319" applyNumberFormat="0" applyFill="0" applyBorder="0" applyProtection="0">
      <alignment horizontal="left" vertical="center"/>
    </xf>
    <xf numFmtId="0" fontId="34" fillId="0" borderId="319">
      <alignment horizontal="right" vertical="center"/>
    </xf>
    <xf numFmtId="4" fontId="32" fillId="33" borderId="321">
      <alignment horizontal="right" vertical="center"/>
    </xf>
    <xf numFmtId="4" fontId="32" fillId="33" borderId="319">
      <alignment horizontal="right" vertical="center"/>
    </xf>
    <xf numFmtId="4" fontId="32" fillId="33" borderId="319">
      <alignment horizontal="right" vertical="center"/>
    </xf>
    <xf numFmtId="0" fontId="36" fillId="31" borderId="319">
      <alignment horizontal="right" vertical="center"/>
    </xf>
    <xf numFmtId="0" fontId="32" fillId="31" borderId="319">
      <alignment horizontal="right" vertical="center"/>
    </xf>
    <xf numFmtId="49" fontId="34" fillId="0" borderId="319" applyNumberFormat="0" applyFont="0" applyFill="0" applyBorder="0" applyProtection="0">
      <alignment horizontal="left" vertical="center" indent="2"/>
    </xf>
    <xf numFmtId="0" fontId="58" fillId="42" borderId="316" applyNumberFormat="0" applyAlignment="0" applyProtection="0"/>
    <xf numFmtId="0" fontId="43" fillId="55" borderId="315" applyNumberFormat="0" applyAlignment="0" applyProtection="0"/>
    <xf numFmtId="49" fontId="34" fillId="0" borderId="319" applyNumberFormat="0" applyFont="0" applyFill="0" applyBorder="0" applyProtection="0">
      <alignment horizontal="left" vertical="center" indent="2"/>
    </xf>
    <xf numFmtId="0" fontId="49" fillId="42" borderId="316" applyNumberFormat="0" applyAlignment="0" applyProtection="0"/>
    <xf numFmtId="4" fontId="34" fillId="0" borderId="319" applyFill="0" applyBorder="0" applyProtection="0">
      <alignment horizontal="right" vertical="center"/>
    </xf>
    <xf numFmtId="0" fontId="46" fillId="55" borderId="316" applyNumberFormat="0" applyAlignment="0" applyProtection="0"/>
    <xf numFmtId="0" fontId="65" fillId="0" borderId="317" applyNumberFormat="0" applyFill="0" applyAlignment="0" applyProtection="0"/>
    <xf numFmtId="0" fontId="62" fillId="55" borderId="315" applyNumberFormat="0" applyAlignment="0" applyProtection="0"/>
    <xf numFmtId="0" fontId="34" fillId="0" borderId="319" applyNumberFormat="0" applyFill="0" applyAlignment="0" applyProtection="0"/>
    <xf numFmtId="4" fontId="34" fillId="0" borderId="319">
      <alignment horizontal="right" vertical="center"/>
    </xf>
    <xf numFmtId="0" fontId="34" fillId="0" borderId="319">
      <alignment horizontal="right" vertical="center"/>
    </xf>
    <xf numFmtId="0" fontId="58" fillId="42" borderId="316" applyNumberFormat="0" applyAlignment="0" applyProtection="0"/>
    <xf numFmtId="0" fontId="43" fillId="55" borderId="315" applyNumberFormat="0" applyAlignment="0" applyProtection="0"/>
    <xf numFmtId="0" fontId="45" fillId="55" borderId="316" applyNumberFormat="0" applyAlignment="0" applyProtection="0"/>
    <xf numFmtId="0" fontId="34" fillId="33" borderId="322">
      <alignment horizontal="left" vertical="center" wrapText="1" indent="2"/>
    </xf>
    <xf numFmtId="0" fontId="46" fillId="55" borderId="316" applyNumberFormat="0" applyAlignment="0" applyProtection="0"/>
    <xf numFmtId="0" fontId="46" fillId="55" borderId="316" applyNumberFormat="0" applyAlignment="0" applyProtection="0"/>
    <xf numFmtId="4" fontId="32" fillId="33" borderId="320">
      <alignment horizontal="right" vertical="center"/>
    </xf>
    <xf numFmtId="0" fontId="32" fillId="33" borderId="320">
      <alignment horizontal="right" vertical="center"/>
    </xf>
    <xf numFmtId="0" fontId="32" fillId="33" borderId="319">
      <alignment horizontal="right" vertical="center"/>
    </xf>
    <xf numFmtId="4" fontId="36" fillId="31" borderId="319">
      <alignment horizontal="right" vertical="center"/>
    </xf>
    <xf numFmtId="0" fontId="49" fillId="42" borderId="316" applyNumberFormat="0" applyAlignment="0" applyProtection="0"/>
    <xf numFmtId="0" fontId="50" fillId="0" borderId="317" applyNumberFormat="0" applyFill="0" applyAlignment="0" applyProtection="0"/>
    <xf numFmtId="0" fontId="65" fillId="0" borderId="317" applyNumberFormat="0" applyFill="0" applyAlignment="0" applyProtection="0"/>
    <xf numFmtId="0" fontId="40" fillId="58" borderId="318" applyNumberFormat="0" applyFont="0" applyAlignment="0" applyProtection="0"/>
    <xf numFmtId="0" fontId="58" fillId="42" borderId="316" applyNumberFormat="0" applyAlignment="0" applyProtection="0"/>
    <xf numFmtId="49" fontId="33" fillId="0" borderId="319" applyNumberFormat="0" applyFill="0" applyBorder="0" applyProtection="0">
      <alignment horizontal="left" vertical="center"/>
    </xf>
    <xf numFmtId="0" fontId="34" fillId="33" borderId="322">
      <alignment horizontal="left" vertical="center" wrapText="1" indent="2"/>
    </xf>
    <xf numFmtId="0" fontId="46" fillId="55" borderId="316" applyNumberFormat="0" applyAlignment="0" applyProtection="0"/>
    <xf numFmtId="0" fontId="34" fillId="0" borderId="322">
      <alignment horizontal="left" vertical="center" wrapText="1" indent="2"/>
    </xf>
    <xf numFmtId="0" fontId="40" fillId="58" borderId="318" applyNumberFormat="0" applyFont="0" applyAlignment="0" applyProtection="0"/>
    <xf numFmtId="0" fontId="5" fillId="58" borderId="318" applyNumberFormat="0" applyFont="0" applyAlignment="0" applyProtection="0"/>
    <xf numFmtId="0" fontId="62" fillId="55" borderId="315" applyNumberFormat="0" applyAlignment="0" applyProtection="0"/>
    <xf numFmtId="0" fontId="65" fillId="0" borderId="317" applyNumberFormat="0" applyFill="0" applyAlignment="0" applyProtection="0"/>
    <xf numFmtId="4" fontId="34" fillId="32" borderId="319"/>
    <xf numFmtId="0" fontId="32" fillId="33" borderId="319">
      <alignment horizontal="right" vertical="center"/>
    </xf>
    <xf numFmtId="0" fontId="65" fillId="0" borderId="317" applyNumberFormat="0" applyFill="0" applyAlignment="0" applyProtection="0"/>
    <xf numFmtId="4" fontId="32" fillId="33" borderId="321">
      <alignment horizontal="right" vertical="center"/>
    </xf>
    <xf numFmtId="0" fontId="45" fillId="55" borderId="316" applyNumberFormat="0" applyAlignment="0" applyProtection="0"/>
    <xf numFmtId="0" fontId="32" fillId="33" borderId="320">
      <alignment horizontal="right" vertical="center"/>
    </xf>
    <xf numFmtId="0" fontId="46" fillId="55" borderId="316" applyNumberFormat="0" applyAlignment="0" applyProtection="0"/>
    <xf numFmtId="0" fontId="50" fillId="0" borderId="317" applyNumberFormat="0" applyFill="0" applyAlignment="0" applyProtection="0"/>
    <xf numFmtId="0" fontId="40" fillId="58" borderId="318" applyNumberFormat="0" applyFont="0" applyAlignment="0" applyProtection="0"/>
    <xf numFmtId="4" fontId="32" fillId="33" borderId="320">
      <alignment horizontal="right" vertical="center"/>
    </xf>
    <xf numFmtId="0" fontId="34" fillId="33" borderId="322">
      <alignment horizontal="left" vertical="center" wrapText="1" indent="2"/>
    </xf>
    <xf numFmtId="0" fontId="34" fillId="32" borderId="319"/>
    <xf numFmtId="173" fontId="34" fillId="59" borderId="319" applyNumberFormat="0" applyFont="0" applyBorder="0" applyAlignment="0" applyProtection="0">
      <alignment horizontal="right" vertical="center"/>
    </xf>
    <xf numFmtId="0" fontId="34" fillId="0" borderId="319" applyNumberFormat="0" applyFill="0" applyAlignment="0" applyProtection="0"/>
    <xf numFmtId="4" fontId="34" fillId="0" borderId="319" applyFill="0" applyBorder="0" applyProtection="0">
      <alignment horizontal="right" vertical="center"/>
    </xf>
    <xf numFmtId="4" fontId="32" fillId="31" borderId="319">
      <alignment horizontal="right" vertical="center"/>
    </xf>
    <xf numFmtId="0" fontId="50" fillId="0" borderId="317" applyNumberFormat="0" applyFill="0" applyAlignment="0" applyProtection="0"/>
    <xf numFmtId="49" fontId="33" fillId="0" borderId="319" applyNumberFormat="0" applyFill="0" applyBorder="0" applyProtection="0">
      <alignment horizontal="left" vertical="center"/>
    </xf>
    <xf numFmtId="49" fontId="34" fillId="0" borderId="320" applyNumberFormat="0" applyFont="0" applyFill="0" applyBorder="0" applyProtection="0">
      <alignment horizontal="left" vertical="center" indent="5"/>
    </xf>
    <xf numFmtId="0" fontId="34" fillId="31" borderId="320">
      <alignment horizontal="left" vertical="center"/>
    </xf>
    <xf numFmtId="0" fontId="46" fillId="55" borderId="316" applyNumberFormat="0" applyAlignment="0" applyProtection="0"/>
    <xf numFmtId="4" fontId="32" fillId="33" borderId="321">
      <alignment horizontal="right" vertical="center"/>
    </xf>
    <xf numFmtId="0" fontId="58" fillId="42" borderId="316" applyNumberFormat="0" applyAlignment="0" applyProtection="0"/>
    <xf numFmtId="0" fontId="58" fillId="42" borderId="316" applyNumberFormat="0" applyAlignment="0" applyProtection="0"/>
    <xf numFmtId="0" fontId="40" fillId="58" borderId="318" applyNumberFormat="0" applyFont="0" applyAlignment="0" applyProtection="0"/>
    <xf numFmtId="0" fontId="62" fillId="55" borderId="315" applyNumberFormat="0" applyAlignment="0" applyProtection="0"/>
    <xf numFmtId="0" fontId="65" fillId="0" borderId="317" applyNumberFormat="0" applyFill="0" applyAlignment="0" applyProtection="0"/>
    <xf numFmtId="0" fontId="32" fillId="33" borderId="319">
      <alignment horizontal="right" vertical="center"/>
    </xf>
    <xf numFmtId="0" fontId="5" fillId="58" borderId="318" applyNumberFormat="0" applyFont="0" applyAlignment="0" applyProtection="0"/>
    <xf numFmtId="4" fontId="34" fillId="0" borderId="319">
      <alignment horizontal="right" vertical="center"/>
    </xf>
    <xf numFmtId="0" fontId="65" fillId="0" borderId="317" applyNumberFormat="0" applyFill="0" applyAlignment="0" applyProtection="0"/>
    <xf numFmtId="0" fontId="32" fillId="33" borderId="319">
      <alignment horizontal="right" vertical="center"/>
    </xf>
    <xf numFmtId="0" fontId="32" fillId="33" borderId="319">
      <alignment horizontal="right" vertical="center"/>
    </xf>
    <xf numFmtId="4" fontId="36" fillId="31" borderId="319">
      <alignment horizontal="right" vertical="center"/>
    </xf>
    <xf numFmtId="0" fontId="32" fillId="31" borderId="319">
      <alignment horizontal="right" vertical="center"/>
    </xf>
    <xf numFmtId="4" fontId="32" fillId="31" borderId="319">
      <alignment horizontal="right" vertical="center"/>
    </xf>
    <xf numFmtId="0" fontId="36" fillId="31" borderId="319">
      <alignment horizontal="right" vertical="center"/>
    </xf>
    <xf numFmtId="4" fontId="36" fillId="31" borderId="319">
      <alignment horizontal="right" vertical="center"/>
    </xf>
    <xf numFmtId="0" fontId="32" fillId="33" borderId="319">
      <alignment horizontal="right" vertical="center"/>
    </xf>
    <xf numFmtId="4" fontId="32" fillId="33" borderId="319">
      <alignment horizontal="right" vertical="center"/>
    </xf>
    <xf numFmtId="0" fontId="32" fillId="33" borderId="319">
      <alignment horizontal="right" vertical="center"/>
    </xf>
    <xf numFmtId="4" fontId="32" fillId="33" borderId="319">
      <alignment horizontal="right" vertical="center"/>
    </xf>
    <xf numFmtId="0" fontId="32" fillId="33" borderId="320">
      <alignment horizontal="right" vertical="center"/>
    </xf>
    <xf numFmtId="4" fontId="32" fillId="33" borderId="320">
      <alignment horizontal="right" vertical="center"/>
    </xf>
    <xf numFmtId="0" fontId="32" fillId="33" borderId="321">
      <alignment horizontal="right" vertical="center"/>
    </xf>
    <xf numFmtId="4" fontId="32" fillId="33" borderId="321">
      <alignment horizontal="right" vertical="center"/>
    </xf>
    <xf numFmtId="0" fontId="46" fillId="55" borderId="316" applyNumberFormat="0" applyAlignment="0" applyProtection="0"/>
    <xf numFmtId="0" fontId="34" fillId="33" borderId="322">
      <alignment horizontal="left" vertical="center" wrapText="1" indent="2"/>
    </xf>
    <xf numFmtId="0" fontId="34" fillId="0" borderId="322">
      <alignment horizontal="left" vertical="center" wrapText="1" indent="2"/>
    </xf>
    <xf numFmtId="0" fontId="34" fillId="31" borderId="320">
      <alignment horizontal="left" vertical="center"/>
    </xf>
    <xf numFmtId="0" fontId="58" fillId="42" borderId="316" applyNumberFormat="0" applyAlignment="0" applyProtection="0"/>
    <xf numFmtId="0" fontId="34" fillId="0" borderId="319">
      <alignment horizontal="right" vertical="center"/>
    </xf>
    <xf numFmtId="4" fontId="34" fillId="0" borderId="319">
      <alignment horizontal="right" vertical="center"/>
    </xf>
    <xf numFmtId="0" fontId="34" fillId="0" borderId="319" applyNumberFormat="0" applyFill="0" applyAlignment="0" applyProtection="0"/>
    <xf numFmtId="0" fontId="62" fillId="55" borderId="315" applyNumberFormat="0" applyAlignment="0" applyProtection="0"/>
    <xf numFmtId="173" fontId="34" fillId="59" borderId="319" applyNumberFormat="0" applyFont="0" applyBorder="0" applyAlignment="0" applyProtection="0">
      <alignment horizontal="right" vertical="center"/>
    </xf>
    <xf numFmtId="0" fontId="34" fillId="32" borderId="319"/>
    <xf numFmtId="4" fontId="34" fillId="32" borderId="319"/>
    <xf numFmtId="0" fontId="65" fillId="0" borderId="317" applyNumberFormat="0" applyFill="0" applyAlignment="0" applyProtection="0"/>
    <xf numFmtId="0" fontId="5" fillId="58" borderId="318" applyNumberFormat="0" applyFont="0" applyAlignment="0" applyProtection="0"/>
    <xf numFmtId="0" fontId="40" fillId="58" borderId="318" applyNumberFormat="0" applyFont="0" applyAlignment="0" applyProtection="0"/>
    <xf numFmtId="0" fontId="34" fillId="0" borderId="319" applyNumberFormat="0" applyFill="0" applyAlignment="0" applyProtection="0"/>
    <xf numFmtId="0" fontId="50" fillId="0" borderId="317" applyNumberFormat="0" applyFill="0" applyAlignment="0" applyProtection="0"/>
    <xf numFmtId="0" fontId="65" fillId="0" borderId="317" applyNumberFormat="0" applyFill="0" applyAlignment="0" applyProtection="0"/>
    <xf numFmtId="0" fontId="49" fillId="42" borderId="316" applyNumberFormat="0" applyAlignment="0" applyProtection="0"/>
    <xf numFmtId="0" fontId="46" fillId="55" borderId="316" applyNumberFormat="0" applyAlignment="0" applyProtection="0"/>
    <xf numFmtId="4" fontId="36" fillId="31" borderId="319">
      <alignment horizontal="right" vertical="center"/>
    </xf>
    <xf numFmtId="0" fontId="32" fillId="31" borderId="319">
      <alignment horizontal="right" vertical="center"/>
    </xf>
    <xf numFmtId="173" fontId="34" fillId="59" borderId="319" applyNumberFormat="0" applyFont="0" applyBorder="0" applyAlignment="0" applyProtection="0">
      <alignment horizontal="right" vertical="center"/>
    </xf>
    <xf numFmtId="0" fontId="50" fillId="0" borderId="317" applyNumberFormat="0" applyFill="0" applyAlignment="0" applyProtection="0"/>
    <xf numFmtId="49" fontId="34" fillId="0" borderId="319" applyNumberFormat="0" applyFont="0" applyFill="0" applyBorder="0" applyProtection="0">
      <alignment horizontal="left" vertical="center" indent="2"/>
    </xf>
    <xf numFmtId="49" fontId="34" fillId="0" borderId="320" applyNumberFormat="0" applyFont="0" applyFill="0" applyBorder="0" applyProtection="0">
      <alignment horizontal="left" vertical="center" indent="5"/>
    </xf>
    <xf numFmtId="49" fontId="34" fillId="0" borderId="319" applyNumberFormat="0" applyFont="0" applyFill="0" applyBorder="0" applyProtection="0">
      <alignment horizontal="left" vertical="center" indent="2"/>
    </xf>
    <xf numFmtId="4" fontId="34" fillId="0" borderId="319" applyFill="0" applyBorder="0" applyProtection="0">
      <alignment horizontal="right" vertical="center"/>
    </xf>
    <xf numFmtId="49" fontId="33" fillId="0" borderId="319" applyNumberFormat="0" applyFill="0" applyBorder="0" applyProtection="0">
      <alignment horizontal="left" vertical="center"/>
    </xf>
    <xf numFmtId="0" fontId="34" fillId="0" borderId="322">
      <alignment horizontal="left" vertical="center" wrapText="1" indent="2"/>
    </xf>
    <xf numFmtId="0" fontId="62" fillId="55" borderId="315" applyNumberFormat="0" applyAlignment="0" applyProtection="0"/>
    <xf numFmtId="0" fontId="32" fillId="33" borderId="321">
      <alignment horizontal="right" vertical="center"/>
    </xf>
    <xf numFmtId="0" fontId="49" fillId="42" borderId="316" applyNumberFormat="0" applyAlignment="0" applyProtection="0"/>
    <xf numFmtId="0" fontId="32" fillId="33" borderId="321">
      <alignment horizontal="right" vertical="center"/>
    </xf>
    <xf numFmtId="4" fontId="32" fillId="33" borderId="319">
      <alignment horizontal="right" vertical="center"/>
    </xf>
    <xf numFmtId="0" fontId="32" fillId="33" borderId="319">
      <alignment horizontal="right" vertical="center"/>
    </xf>
    <xf numFmtId="0" fontId="43" fillId="55" borderId="315" applyNumberFormat="0" applyAlignment="0" applyProtection="0"/>
    <xf numFmtId="0" fontId="45" fillId="55" borderId="316" applyNumberFormat="0" applyAlignment="0" applyProtection="0"/>
    <xf numFmtId="0" fontId="50" fillId="0" borderId="317" applyNumberFormat="0" applyFill="0" applyAlignment="0" applyProtection="0"/>
    <xf numFmtId="0" fontId="34" fillId="32" borderId="319"/>
    <xf numFmtId="4" fontId="34" fillId="32" borderId="319"/>
    <xf numFmtId="4" fontId="32" fillId="33" borderId="319">
      <alignment horizontal="right" vertical="center"/>
    </xf>
    <xf numFmtId="0" fontId="36" fillId="31" borderId="319">
      <alignment horizontal="right" vertical="center"/>
    </xf>
    <xf numFmtId="0" fontId="49" fillId="42" borderId="316" applyNumberFormat="0" applyAlignment="0" applyProtection="0"/>
    <xf numFmtId="0" fontId="46" fillId="55" borderId="316" applyNumberFormat="0" applyAlignment="0" applyProtection="0"/>
    <xf numFmtId="4" fontId="34" fillId="0" borderId="319">
      <alignment horizontal="right" vertical="center"/>
    </xf>
    <xf numFmtId="0" fontId="34" fillId="33" borderId="322">
      <alignment horizontal="left" vertical="center" wrapText="1" indent="2"/>
    </xf>
    <xf numFmtId="0" fontId="34" fillId="0" borderId="322">
      <alignment horizontal="left" vertical="center" wrapText="1" indent="2"/>
    </xf>
    <xf numFmtId="0" fontId="62" fillId="55" borderId="315" applyNumberFormat="0" applyAlignment="0" applyProtection="0"/>
    <xf numFmtId="0" fontId="58" fillId="42" borderId="316" applyNumberFormat="0" applyAlignment="0" applyProtection="0"/>
    <xf numFmtId="0" fontId="45" fillId="55" borderId="316" applyNumberFormat="0" applyAlignment="0" applyProtection="0"/>
    <xf numFmtId="0" fontId="43" fillId="55" borderId="315" applyNumberFormat="0" applyAlignment="0" applyProtection="0"/>
    <xf numFmtId="0" fontId="32" fillId="33" borderId="321">
      <alignment horizontal="right" vertical="center"/>
    </xf>
    <xf numFmtId="0" fontId="36" fillId="31" borderId="319">
      <alignment horizontal="right" vertical="center"/>
    </xf>
    <xf numFmtId="4" fontId="32" fillId="31" borderId="319">
      <alignment horizontal="right" vertical="center"/>
    </xf>
    <xf numFmtId="4" fontId="32" fillId="33" borderId="319">
      <alignment horizontal="right" vertical="center"/>
    </xf>
    <xf numFmtId="49" fontId="34" fillId="0" borderId="320" applyNumberFormat="0" applyFont="0" applyFill="0" applyBorder="0" applyProtection="0">
      <alignment horizontal="left" vertical="center" indent="5"/>
    </xf>
    <xf numFmtId="4" fontId="34" fillId="0" borderId="319" applyFill="0" applyBorder="0" applyProtection="0">
      <alignment horizontal="right" vertical="center"/>
    </xf>
    <xf numFmtId="4" fontId="32" fillId="31" borderId="319">
      <alignment horizontal="right" vertical="center"/>
    </xf>
    <xf numFmtId="0" fontId="65" fillId="0" borderId="325" applyNumberFormat="0" applyFill="0" applyAlignment="0" applyProtection="0"/>
    <xf numFmtId="0" fontId="58" fillId="42" borderId="316" applyNumberFormat="0" applyAlignment="0" applyProtection="0"/>
    <xf numFmtId="0" fontId="49" fillId="42" borderId="316" applyNumberFormat="0" applyAlignment="0" applyProtection="0"/>
    <xf numFmtId="0" fontId="45" fillId="55" borderId="316" applyNumberFormat="0" applyAlignment="0" applyProtection="0"/>
    <xf numFmtId="0" fontId="34" fillId="33" borderId="322">
      <alignment horizontal="left" vertical="center" wrapText="1" indent="2"/>
    </xf>
    <xf numFmtId="0" fontId="34" fillId="0" borderId="322">
      <alignment horizontal="left" vertical="center" wrapText="1" indent="2"/>
    </xf>
    <xf numFmtId="0" fontId="34" fillId="33" borderId="322">
      <alignment horizontal="left" vertical="center" wrapText="1" indent="2"/>
    </xf>
    <xf numFmtId="0" fontId="34" fillId="0" borderId="322">
      <alignment horizontal="left" vertical="center" wrapText="1" indent="2"/>
    </xf>
    <xf numFmtId="0" fontId="43" fillId="55" borderId="315" applyNumberFormat="0" applyAlignment="0" applyProtection="0"/>
    <xf numFmtId="0" fontId="45" fillId="55" borderId="316" applyNumberFormat="0" applyAlignment="0" applyProtection="0"/>
    <xf numFmtId="0" fontId="46" fillId="55" borderId="316" applyNumberFormat="0" applyAlignment="0" applyProtection="0"/>
    <xf numFmtId="0" fontId="49" fillId="42" borderId="316" applyNumberFormat="0" applyAlignment="0" applyProtection="0"/>
    <xf numFmtId="0" fontId="50" fillId="0" borderId="317" applyNumberFormat="0" applyFill="0" applyAlignment="0" applyProtection="0"/>
    <xf numFmtId="0" fontId="58" fillId="42" borderId="316" applyNumberFormat="0" applyAlignment="0" applyProtection="0"/>
    <xf numFmtId="0" fontId="40" fillId="58" borderId="318" applyNumberFormat="0" applyFont="0" applyAlignment="0" applyProtection="0"/>
    <xf numFmtId="0" fontId="5" fillId="58" borderId="318" applyNumberFormat="0" applyFont="0" applyAlignment="0" applyProtection="0"/>
    <xf numFmtId="0" fontId="62" fillId="55" borderId="315" applyNumberFormat="0" applyAlignment="0" applyProtection="0"/>
    <xf numFmtId="0" fontId="65" fillId="0" borderId="317" applyNumberFormat="0" applyFill="0" applyAlignment="0" applyProtection="0"/>
    <xf numFmtId="0" fontId="46" fillId="55" borderId="316" applyNumberFormat="0" applyAlignment="0" applyProtection="0"/>
    <xf numFmtId="0" fontId="58" fillId="42" borderId="316" applyNumberFormat="0" applyAlignment="0" applyProtection="0"/>
    <xf numFmtId="0" fontId="40" fillId="58" borderId="318" applyNumberFormat="0" applyFont="0" applyAlignment="0" applyProtection="0"/>
    <xf numFmtId="0" fontId="62" fillId="55" borderId="315" applyNumberFormat="0" applyAlignment="0" applyProtection="0"/>
    <xf numFmtId="0" fontId="65" fillId="0" borderId="317" applyNumberFormat="0" applyFill="0" applyAlignment="0" applyProtection="0"/>
    <xf numFmtId="4" fontId="34" fillId="0" borderId="327">
      <alignment horizontal="right" vertical="center"/>
    </xf>
    <xf numFmtId="4" fontId="32" fillId="33" borderId="332">
      <alignment horizontal="right" vertical="center"/>
    </xf>
    <xf numFmtId="4" fontId="32" fillId="33" borderId="327">
      <alignment horizontal="right" vertical="center"/>
    </xf>
    <xf numFmtId="4" fontId="36" fillId="31" borderId="327">
      <alignment horizontal="right" vertical="center"/>
    </xf>
    <xf numFmtId="0" fontId="46" fillId="55" borderId="316" applyNumberFormat="0" applyAlignment="0" applyProtection="0"/>
    <xf numFmtId="0" fontId="58" fillId="42" borderId="337" applyNumberFormat="0" applyAlignment="0" applyProtection="0"/>
    <xf numFmtId="0" fontId="65" fillId="0" borderId="325" applyNumberFormat="0" applyFill="0" applyAlignment="0" applyProtection="0"/>
    <xf numFmtId="0" fontId="32" fillId="31" borderId="327">
      <alignment horizontal="right" vertical="center"/>
    </xf>
    <xf numFmtId="0" fontId="58" fillId="42" borderId="316" applyNumberFormat="0" applyAlignment="0" applyProtection="0"/>
    <xf numFmtId="0" fontId="62" fillId="55" borderId="315" applyNumberFormat="0" applyAlignment="0" applyProtection="0"/>
    <xf numFmtId="0" fontId="65" fillId="0" borderId="317" applyNumberFormat="0" applyFill="0" applyAlignment="0" applyProtection="0"/>
    <xf numFmtId="0" fontId="12" fillId="18" borderId="0" applyNumberFormat="0" applyBorder="0" applyAlignment="0" applyProtection="0"/>
    <xf numFmtId="0" fontId="43" fillId="55" borderId="315" applyNumberFormat="0" applyAlignment="0" applyProtection="0"/>
    <xf numFmtId="0" fontId="45" fillId="55" borderId="316" applyNumberFormat="0" applyAlignment="0" applyProtection="0"/>
    <xf numFmtId="0" fontId="50" fillId="0" borderId="317" applyNumberFormat="0" applyFill="0" applyAlignment="0" applyProtection="0"/>
    <xf numFmtId="49" fontId="34" fillId="0" borderId="319" applyNumberFormat="0" applyFont="0" applyFill="0" applyBorder="0" applyProtection="0">
      <alignment horizontal="left" vertical="center" indent="2"/>
    </xf>
    <xf numFmtId="0" fontId="32" fillId="31" borderId="319">
      <alignment horizontal="right" vertical="center"/>
    </xf>
    <xf numFmtId="4" fontId="32" fillId="31" borderId="319">
      <alignment horizontal="right" vertical="center"/>
    </xf>
    <xf numFmtId="0" fontId="36" fillId="31" borderId="319">
      <alignment horizontal="right" vertical="center"/>
    </xf>
    <xf numFmtId="4" fontId="36" fillId="31" borderId="319">
      <alignment horizontal="right" vertical="center"/>
    </xf>
    <xf numFmtId="0" fontId="32" fillId="33" borderId="319">
      <alignment horizontal="right" vertical="center"/>
    </xf>
    <xf numFmtId="4" fontId="32" fillId="33" borderId="319">
      <alignment horizontal="right" vertical="center"/>
    </xf>
    <xf numFmtId="0" fontId="32" fillId="33" borderId="319">
      <alignment horizontal="right" vertical="center"/>
    </xf>
    <xf numFmtId="4" fontId="32" fillId="33" borderId="319">
      <alignment horizontal="right" vertical="center"/>
    </xf>
    <xf numFmtId="0" fontId="49" fillId="42" borderId="316" applyNumberFormat="0" applyAlignment="0" applyProtection="0"/>
    <xf numFmtId="0" fontId="34" fillId="0" borderId="319">
      <alignment horizontal="right" vertical="center"/>
    </xf>
    <xf numFmtId="4" fontId="34" fillId="0" borderId="319">
      <alignment horizontal="right" vertical="center"/>
    </xf>
    <xf numFmtId="4" fontId="34" fillId="0" borderId="319" applyFill="0" applyBorder="0" applyProtection="0">
      <alignment horizontal="right" vertical="center"/>
    </xf>
    <xf numFmtId="49" fontId="33" fillId="0" borderId="319" applyNumberFormat="0" applyFill="0" applyBorder="0" applyProtection="0">
      <alignment horizontal="left" vertical="center"/>
    </xf>
    <xf numFmtId="0" fontId="34" fillId="0" borderId="319" applyNumberFormat="0" applyFill="0" applyAlignment="0" applyProtection="0"/>
    <xf numFmtId="173" fontId="34" fillId="59" borderId="319" applyNumberFormat="0" applyFont="0" applyBorder="0" applyAlignment="0" applyProtection="0">
      <alignment horizontal="right" vertical="center"/>
    </xf>
    <xf numFmtId="0" fontId="34" fillId="32" borderId="319"/>
    <xf numFmtId="4" fontId="34" fillId="32" borderId="319"/>
    <xf numFmtId="4" fontId="32" fillId="33" borderId="319">
      <alignment horizontal="right" vertical="center"/>
    </xf>
    <xf numFmtId="0" fontId="34" fillId="32" borderId="319"/>
    <xf numFmtId="0" fontId="45" fillId="55" borderId="316" applyNumberFormat="0" applyAlignment="0" applyProtection="0"/>
    <xf numFmtId="0" fontId="32" fillId="31" borderId="319">
      <alignment horizontal="right" vertical="center"/>
    </xf>
    <xf numFmtId="0" fontId="34" fillId="0" borderId="319">
      <alignment horizontal="right" vertical="center"/>
    </xf>
    <xf numFmtId="0" fontId="65" fillId="0" borderId="317" applyNumberFormat="0" applyFill="0" applyAlignment="0" applyProtection="0"/>
    <xf numFmtId="0" fontId="34" fillId="31" borderId="320">
      <alignment horizontal="left" vertical="center"/>
    </xf>
    <xf numFmtId="0" fontId="58" fillId="42" borderId="316" applyNumberFormat="0" applyAlignment="0" applyProtection="0"/>
    <xf numFmtId="173" fontId="34" fillId="59" borderId="319" applyNumberFormat="0" applyFont="0" applyBorder="0" applyAlignment="0" applyProtection="0">
      <alignment horizontal="right" vertical="center"/>
    </xf>
    <xf numFmtId="0" fontId="40" fillId="58" borderId="318" applyNumberFormat="0" applyFont="0" applyAlignment="0" applyProtection="0"/>
    <xf numFmtId="0" fontId="34" fillId="0" borderId="322">
      <alignment horizontal="left" vertical="center" wrapText="1" indent="2"/>
    </xf>
    <xf numFmtId="4" fontId="34" fillId="32" borderId="319"/>
    <xf numFmtId="49" fontId="33" fillId="0" borderId="319" applyNumberFormat="0" applyFill="0" applyBorder="0" applyProtection="0">
      <alignment horizontal="left" vertical="center"/>
    </xf>
    <xf numFmtId="0" fontId="34" fillId="0" borderId="319">
      <alignment horizontal="right" vertical="center"/>
    </xf>
    <xf numFmtId="4" fontId="32" fillId="33" borderId="321">
      <alignment horizontal="right" vertical="center"/>
    </xf>
    <xf numFmtId="4" fontId="32" fillId="33" borderId="319">
      <alignment horizontal="right" vertical="center"/>
    </xf>
    <xf numFmtId="4" fontId="32" fillId="33" borderId="319">
      <alignment horizontal="right" vertical="center"/>
    </xf>
    <xf numFmtId="0" fontId="36" fillId="31" borderId="319">
      <alignment horizontal="right" vertical="center"/>
    </xf>
    <xf numFmtId="0" fontId="32" fillId="31" borderId="319">
      <alignment horizontal="right" vertical="center"/>
    </xf>
    <xf numFmtId="49" fontId="34" fillId="0" borderId="319" applyNumberFormat="0" applyFont="0" applyFill="0" applyBorder="0" applyProtection="0">
      <alignment horizontal="left" vertical="center" indent="2"/>
    </xf>
    <xf numFmtId="0" fontId="58" fillId="42" borderId="316" applyNumberFormat="0" applyAlignment="0" applyProtection="0"/>
    <xf numFmtId="0" fontId="43" fillId="55" borderId="315" applyNumberFormat="0" applyAlignment="0" applyProtection="0"/>
    <xf numFmtId="49" fontId="34" fillId="0" borderId="319" applyNumberFormat="0" applyFont="0" applyFill="0" applyBorder="0" applyProtection="0">
      <alignment horizontal="left" vertical="center" indent="2"/>
    </xf>
    <xf numFmtId="0" fontId="49" fillId="42" borderId="316" applyNumberFormat="0" applyAlignment="0" applyProtection="0"/>
    <xf numFmtId="4" fontId="34" fillId="0" borderId="319" applyFill="0" applyBorder="0" applyProtection="0">
      <alignment horizontal="right" vertical="center"/>
    </xf>
    <xf numFmtId="0" fontId="46" fillId="55" borderId="316" applyNumberFormat="0" applyAlignment="0" applyProtection="0"/>
    <xf numFmtId="0" fontId="65" fillId="0" borderId="317" applyNumberFormat="0" applyFill="0" applyAlignment="0" applyProtection="0"/>
    <xf numFmtId="0" fontId="62" fillId="55" borderId="315" applyNumberFormat="0" applyAlignment="0" applyProtection="0"/>
    <xf numFmtId="0" fontId="34" fillId="0" borderId="319" applyNumberFormat="0" applyFill="0" applyAlignment="0" applyProtection="0"/>
    <xf numFmtId="4" fontId="34" fillId="0" borderId="319">
      <alignment horizontal="right" vertical="center"/>
    </xf>
    <xf numFmtId="0" fontId="34" fillId="0" borderId="319">
      <alignment horizontal="right" vertical="center"/>
    </xf>
    <xf numFmtId="0" fontId="58" fillId="42" borderId="316" applyNumberFormat="0" applyAlignment="0" applyProtection="0"/>
    <xf numFmtId="0" fontId="43" fillId="55" borderId="315" applyNumberFormat="0" applyAlignment="0" applyProtection="0"/>
    <xf numFmtId="0" fontId="45" fillId="55" borderId="316" applyNumberFormat="0" applyAlignment="0" applyProtection="0"/>
    <xf numFmtId="0" fontId="34" fillId="33" borderId="322">
      <alignment horizontal="left" vertical="center" wrapText="1" indent="2"/>
    </xf>
    <xf numFmtId="0" fontId="46" fillId="55" borderId="316" applyNumberFormat="0" applyAlignment="0" applyProtection="0"/>
    <xf numFmtId="0" fontId="46" fillId="55" borderId="316" applyNumberFormat="0" applyAlignment="0" applyProtection="0"/>
    <xf numFmtId="4" fontId="32" fillId="33" borderId="320">
      <alignment horizontal="right" vertical="center"/>
    </xf>
    <xf numFmtId="0" fontId="32" fillId="33" borderId="320">
      <alignment horizontal="right" vertical="center"/>
    </xf>
    <xf numFmtId="0" fontId="32" fillId="33" borderId="319">
      <alignment horizontal="right" vertical="center"/>
    </xf>
    <xf numFmtId="4" fontId="36" fillId="31" borderId="319">
      <alignment horizontal="right" vertical="center"/>
    </xf>
    <xf numFmtId="0" fontId="49" fillId="42" borderId="316" applyNumberFormat="0" applyAlignment="0" applyProtection="0"/>
    <xf numFmtId="0" fontId="50" fillId="0" borderId="317" applyNumberFormat="0" applyFill="0" applyAlignment="0" applyProtection="0"/>
    <xf numFmtId="0" fontId="65" fillId="0" borderId="317" applyNumberFormat="0" applyFill="0" applyAlignment="0" applyProtection="0"/>
    <xf numFmtId="0" fontId="40" fillId="58" borderId="318" applyNumberFormat="0" applyFont="0" applyAlignment="0" applyProtection="0"/>
    <xf numFmtId="0" fontId="58" fillId="42" borderId="316" applyNumberFormat="0" applyAlignment="0" applyProtection="0"/>
    <xf numFmtId="49" fontId="33" fillId="0" borderId="319" applyNumberFormat="0" applyFill="0" applyBorder="0" applyProtection="0">
      <alignment horizontal="left" vertical="center"/>
    </xf>
    <xf numFmtId="0" fontId="34" fillId="33" borderId="322">
      <alignment horizontal="left" vertical="center" wrapText="1" indent="2"/>
    </xf>
    <xf numFmtId="0" fontId="46" fillId="55" borderId="316" applyNumberFormat="0" applyAlignment="0" applyProtection="0"/>
    <xf numFmtId="0" fontId="34" fillId="0" borderId="322">
      <alignment horizontal="left" vertical="center" wrapText="1" indent="2"/>
    </xf>
    <xf numFmtId="0" fontId="40" fillId="58" borderId="318" applyNumberFormat="0" applyFont="0" applyAlignment="0" applyProtection="0"/>
    <xf numFmtId="0" fontId="5" fillId="58" borderId="318" applyNumberFormat="0" applyFont="0" applyAlignment="0" applyProtection="0"/>
    <xf numFmtId="0" fontId="62" fillId="55" borderId="315" applyNumberFormat="0" applyAlignment="0" applyProtection="0"/>
    <xf numFmtId="0" fontId="65" fillId="0" borderId="317" applyNumberFormat="0" applyFill="0" applyAlignment="0" applyProtection="0"/>
    <xf numFmtId="4" fontId="34" fillId="32" borderId="319"/>
    <xf numFmtId="0" fontId="32" fillId="33" borderId="319">
      <alignment horizontal="right" vertical="center"/>
    </xf>
    <xf numFmtId="0" fontId="65" fillId="0" borderId="317" applyNumberFormat="0" applyFill="0" applyAlignment="0" applyProtection="0"/>
    <xf numFmtId="4" fontId="32" fillId="33" borderId="321">
      <alignment horizontal="right" vertical="center"/>
    </xf>
    <xf numFmtId="0" fontId="45" fillId="55" borderId="316" applyNumberFormat="0" applyAlignment="0" applyProtection="0"/>
    <xf numFmtId="0" fontId="32" fillId="33" borderId="320">
      <alignment horizontal="right" vertical="center"/>
    </xf>
    <xf numFmtId="0" fontId="46" fillId="55" borderId="316" applyNumberFormat="0" applyAlignment="0" applyProtection="0"/>
    <xf numFmtId="0" fontId="50" fillId="0" borderId="317" applyNumberFormat="0" applyFill="0" applyAlignment="0" applyProtection="0"/>
    <xf numFmtId="0" fontId="40" fillId="58" borderId="318" applyNumberFormat="0" applyFont="0" applyAlignment="0" applyProtection="0"/>
    <xf numFmtId="4" fontId="32" fillId="33" borderId="320">
      <alignment horizontal="right" vertical="center"/>
    </xf>
    <xf numFmtId="0" fontId="34" fillId="33" borderId="322">
      <alignment horizontal="left" vertical="center" wrapText="1" indent="2"/>
    </xf>
    <xf numFmtId="0" fontId="34" fillId="32" borderId="319"/>
    <xf numFmtId="173" fontId="34" fillId="59" borderId="319" applyNumberFormat="0" applyFont="0" applyBorder="0" applyAlignment="0" applyProtection="0">
      <alignment horizontal="right" vertical="center"/>
    </xf>
    <xf numFmtId="0" fontId="34" fillId="0" borderId="319" applyNumberFormat="0" applyFill="0" applyAlignment="0" applyProtection="0"/>
    <xf numFmtId="4" fontId="34" fillId="0" borderId="319" applyFill="0" applyBorder="0" applyProtection="0">
      <alignment horizontal="right" vertical="center"/>
    </xf>
    <xf numFmtId="4" fontId="32" fillId="31" borderId="319">
      <alignment horizontal="right" vertical="center"/>
    </xf>
    <xf numFmtId="0" fontId="50" fillId="0" borderId="317" applyNumberFormat="0" applyFill="0" applyAlignment="0" applyProtection="0"/>
    <xf numFmtId="49" fontId="33" fillId="0" borderId="319" applyNumberFormat="0" applyFill="0" applyBorder="0" applyProtection="0">
      <alignment horizontal="left" vertical="center"/>
    </xf>
    <xf numFmtId="49" fontId="34" fillId="0" borderId="320" applyNumberFormat="0" applyFont="0" applyFill="0" applyBorder="0" applyProtection="0">
      <alignment horizontal="left" vertical="center" indent="5"/>
    </xf>
    <xf numFmtId="0" fontId="34" fillId="31" borderId="320">
      <alignment horizontal="left" vertical="center"/>
    </xf>
    <xf numFmtId="0" fontId="46" fillId="55" borderId="316" applyNumberFormat="0" applyAlignment="0" applyProtection="0"/>
    <xf numFmtId="4" fontId="32" fillId="33" borderId="321">
      <alignment horizontal="right" vertical="center"/>
    </xf>
    <xf numFmtId="0" fontId="58" fillId="42" borderId="316" applyNumberFormat="0" applyAlignment="0" applyProtection="0"/>
    <xf numFmtId="0" fontId="58" fillId="42" borderId="316" applyNumberFormat="0" applyAlignment="0" applyProtection="0"/>
    <xf numFmtId="0" fontId="40" fillId="58" borderId="318" applyNumberFormat="0" applyFont="0" applyAlignment="0" applyProtection="0"/>
    <xf numFmtId="0" fontId="62" fillId="55" borderId="315" applyNumberFormat="0" applyAlignment="0" applyProtection="0"/>
    <xf numFmtId="0" fontId="65" fillId="0" borderId="317" applyNumberFormat="0" applyFill="0" applyAlignment="0" applyProtection="0"/>
    <xf numFmtId="0" fontId="32" fillId="33" borderId="319">
      <alignment horizontal="right" vertical="center"/>
    </xf>
    <xf numFmtId="0" fontId="5" fillId="58" borderId="318" applyNumberFormat="0" applyFont="0" applyAlignment="0" applyProtection="0"/>
    <xf numFmtId="4" fontId="34" fillId="0" borderId="319">
      <alignment horizontal="right" vertical="center"/>
    </xf>
    <xf numFmtId="0" fontId="65" fillId="0" borderId="317" applyNumberFormat="0" applyFill="0" applyAlignment="0" applyProtection="0"/>
    <xf numFmtId="0" fontId="32" fillId="33" borderId="319">
      <alignment horizontal="right" vertical="center"/>
    </xf>
    <xf numFmtId="0" fontId="32" fillId="33" borderId="319">
      <alignment horizontal="right" vertical="center"/>
    </xf>
    <xf numFmtId="4" fontId="36" fillId="31" borderId="319">
      <alignment horizontal="right" vertical="center"/>
    </xf>
    <xf numFmtId="0" fontId="32" fillId="31" borderId="319">
      <alignment horizontal="right" vertical="center"/>
    </xf>
    <xf numFmtId="4" fontId="32" fillId="31" borderId="319">
      <alignment horizontal="right" vertical="center"/>
    </xf>
    <xf numFmtId="0" fontId="36" fillId="31" borderId="319">
      <alignment horizontal="right" vertical="center"/>
    </xf>
    <xf numFmtId="4" fontId="36" fillId="31" borderId="319">
      <alignment horizontal="right" vertical="center"/>
    </xf>
    <xf numFmtId="0" fontId="32" fillId="33" borderId="319">
      <alignment horizontal="right" vertical="center"/>
    </xf>
    <xf numFmtId="4" fontId="32" fillId="33" borderId="319">
      <alignment horizontal="right" vertical="center"/>
    </xf>
    <xf numFmtId="0" fontId="32" fillId="33" borderId="319">
      <alignment horizontal="right" vertical="center"/>
    </xf>
    <xf numFmtId="4" fontId="32" fillId="33" borderId="319">
      <alignment horizontal="right" vertical="center"/>
    </xf>
    <xf numFmtId="0" fontId="32" fillId="33" borderId="320">
      <alignment horizontal="right" vertical="center"/>
    </xf>
    <xf numFmtId="4" fontId="32" fillId="33" borderId="320">
      <alignment horizontal="right" vertical="center"/>
    </xf>
    <xf numFmtId="0" fontId="32" fillId="33" borderId="321">
      <alignment horizontal="right" vertical="center"/>
    </xf>
    <xf numFmtId="4" fontId="32" fillId="33" borderId="321">
      <alignment horizontal="right" vertical="center"/>
    </xf>
    <xf numFmtId="0" fontId="46" fillId="55" borderId="316" applyNumberFormat="0" applyAlignment="0" applyProtection="0"/>
    <xf numFmtId="0" fontId="34" fillId="33" borderId="322">
      <alignment horizontal="left" vertical="center" wrapText="1" indent="2"/>
    </xf>
    <xf numFmtId="0" fontId="34" fillId="0" borderId="322">
      <alignment horizontal="left" vertical="center" wrapText="1" indent="2"/>
    </xf>
    <xf numFmtId="0" fontId="34" fillId="31" borderId="320">
      <alignment horizontal="left" vertical="center"/>
    </xf>
    <xf numFmtId="0" fontId="58" fillId="42" borderId="316" applyNumberFormat="0" applyAlignment="0" applyProtection="0"/>
    <xf numFmtId="0" fontId="34" fillId="0" borderId="319">
      <alignment horizontal="right" vertical="center"/>
    </xf>
    <xf numFmtId="4" fontId="34" fillId="0" borderId="319">
      <alignment horizontal="right" vertical="center"/>
    </xf>
    <xf numFmtId="0" fontId="34" fillId="0" borderId="319" applyNumberFormat="0" applyFill="0" applyAlignment="0" applyProtection="0"/>
    <xf numFmtId="0" fontId="62" fillId="55" borderId="315" applyNumberFormat="0" applyAlignment="0" applyProtection="0"/>
    <xf numFmtId="173" fontId="34" fillId="59" borderId="319" applyNumberFormat="0" applyFont="0" applyBorder="0" applyAlignment="0" applyProtection="0">
      <alignment horizontal="right" vertical="center"/>
    </xf>
    <xf numFmtId="0" fontId="34" fillId="32" borderId="319"/>
    <xf numFmtId="4" fontId="34" fillId="32" borderId="319"/>
    <xf numFmtId="0" fontId="65" fillId="0" borderId="317" applyNumberFormat="0" applyFill="0" applyAlignment="0" applyProtection="0"/>
    <xf numFmtId="0" fontId="5" fillId="58" borderId="318" applyNumberFormat="0" applyFont="0" applyAlignment="0" applyProtection="0"/>
    <xf numFmtId="0" fontId="40" fillId="58" borderId="318" applyNumberFormat="0" applyFont="0" applyAlignment="0" applyProtection="0"/>
    <xf numFmtId="0" fontId="34" fillId="0" borderId="319" applyNumberFormat="0" applyFill="0" applyAlignment="0" applyProtection="0"/>
    <xf numFmtId="0" fontId="50" fillId="0" borderId="317" applyNumberFormat="0" applyFill="0" applyAlignment="0" applyProtection="0"/>
    <xf numFmtId="0" fontId="65" fillId="0" borderId="317" applyNumberFormat="0" applyFill="0" applyAlignment="0" applyProtection="0"/>
    <xf numFmtId="0" fontId="49" fillId="42" borderId="316" applyNumberFormat="0" applyAlignment="0" applyProtection="0"/>
    <xf numFmtId="0" fontId="46" fillId="55" borderId="316" applyNumberFormat="0" applyAlignment="0" applyProtection="0"/>
    <xf numFmtId="4" fontId="36" fillId="31" borderId="319">
      <alignment horizontal="right" vertical="center"/>
    </xf>
    <xf numFmtId="0" fontId="32" fillId="31" borderId="319">
      <alignment horizontal="right" vertical="center"/>
    </xf>
    <xf numFmtId="173" fontId="34" fillId="59" borderId="319" applyNumberFormat="0" applyFont="0" applyBorder="0" applyAlignment="0" applyProtection="0">
      <alignment horizontal="right" vertical="center"/>
    </xf>
    <xf numFmtId="0" fontId="50" fillId="0" borderId="317" applyNumberFormat="0" applyFill="0" applyAlignment="0" applyProtection="0"/>
    <xf numFmtId="49" fontId="34" fillId="0" borderId="319" applyNumberFormat="0" applyFont="0" applyFill="0" applyBorder="0" applyProtection="0">
      <alignment horizontal="left" vertical="center" indent="2"/>
    </xf>
    <xf numFmtId="49" fontId="34" fillId="0" borderId="320" applyNumberFormat="0" applyFont="0" applyFill="0" applyBorder="0" applyProtection="0">
      <alignment horizontal="left" vertical="center" indent="5"/>
    </xf>
    <xf numFmtId="49" fontId="34" fillId="0" borderId="319" applyNumberFormat="0" applyFont="0" applyFill="0" applyBorder="0" applyProtection="0">
      <alignment horizontal="left" vertical="center" indent="2"/>
    </xf>
    <xf numFmtId="4" fontId="34" fillId="0" borderId="319" applyFill="0" applyBorder="0" applyProtection="0">
      <alignment horizontal="right" vertical="center"/>
    </xf>
    <xf numFmtId="49" fontId="33" fillId="0" borderId="319" applyNumberFormat="0" applyFill="0" applyBorder="0" applyProtection="0">
      <alignment horizontal="left" vertical="center"/>
    </xf>
    <xf numFmtId="0" fontId="34" fillId="0" borderId="322">
      <alignment horizontal="left" vertical="center" wrapText="1" indent="2"/>
    </xf>
    <xf numFmtId="0" fontId="62" fillId="55" borderId="315" applyNumberFormat="0" applyAlignment="0" applyProtection="0"/>
    <xf numFmtId="0" fontId="32" fillId="33" borderId="321">
      <alignment horizontal="right" vertical="center"/>
    </xf>
    <xf numFmtId="0" fontId="49" fillId="42" borderId="316" applyNumberFormat="0" applyAlignment="0" applyProtection="0"/>
    <xf numFmtId="0" fontId="32" fillId="33" borderId="321">
      <alignment horizontal="right" vertical="center"/>
    </xf>
    <xf numFmtId="4" fontId="32" fillId="33" borderId="319">
      <alignment horizontal="right" vertical="center"/>
    </xf>
    <xf numFmtId="0" fontId="32" fillId="33" borderId="319">
      <alignment horizontal="right" vertical="center"/>
    </xf>
    <xf numFmtId="0" fontId="43" fillId="55" borderId="315" applyNumberFormat="0" applyAlignment="0" applyProtection="0"/>
    <xf numFmtId="0" fontId="45" fillId="55" borderId="316" applyNumberFormat="0" applyAlignment="0" applyProtection="0"/>
    <xf numFmtId="0" fontId="50" fillId="0" borderId="317" applyNumberFormat="0" applyFill="0" applyAlignment="0" applyProtection="0"/>
    <xf numFmtId="0" fontId="34" fillId="32" borderId="319"/>
    <xf numFmtId="4" fontId="34" fillId="32" borderId="319"/>
    <xf numFmtId="4" fontId="32" fillId="33" borderId="319">
      <alignment horizontal="right" vertical="center"/>
    </xf>
    <xf numFmtId="0" fontId="36" fillId="31" borderId="319">
      <alignment horizontal="right" vertical="center"/>
    </xf>
    <xf numFmtId="0" fontId="49" fillId="42" borderId="316" applyNumberFormat="0" applyAlignment="0" applyProtection="0"/>
    <xf numFmtId="0" fontId="46" fillId="55" borderId="316" applyNumberFormat="0" applyAlignment="0" applyProtection="0"/>
    <xf numFmtId="4" fontId="34" fillId="0" borderId="319">
      <alignment horizontal="right" vertical="center"/>
    </xf>
    <xf numFmtId="0" fontId="34" fillId="33" borderId="322">
      <alignment horizontal="left" vertical="center" wrapText="1" indent="2"/>
    </xf>
    <xf numFmtId="0" fontId="34" fillId="0" borderId="322">
      <alignment horizontal="left" vertical="center" wrapText="1" indent="2"/>
    </xf>
    <xf numFmtId="0" fontId="62" fillId="55" borderId="315" applyNumberFormat="0" applyAlignment="0" applyProtection="0"/>
    <xf numFmtId="0" fontId="58" fillId="42" borderId="316" applyNumberFormat="0" applyAlignment="0" applyProtection="0"/>
    <xf numFmtId="0" fontId="45" fillId="55" borderId="316" applyNumberFormat="0" applyAlignment="0" applyProtection="0"/>
    <xf numFmtId="0" fontId="43" fillId="55" borderId="315" applyNumberFormat="0" applyAlignment="0" applyProtection="0"/>
    <xf numFmtId="0" fontId="32" fillId="33" borderId="321">
      <alignment horizontal="right" vertical="center"/>
    </xf>
    <xf numFmtId="0" fontId="36" fillId="31" borderId="319">
      <alignment horizontal="right" vertical="center"/>
    </xf>
    <xf numFmtId="4" fontId="32" fillId="31" borderId="319">
      <alignment horizontal="right" vertical="center"/>
    </xf>
    <xf numFmtId="4" fontId="32" fillId="33" borderId="319">
      <alignment horizontal="right" vertical="center"/>
    </xf>
    <xf numFmtId="49" fontId="34" fillId="0" borderId="320" applyNumberFormat="0" applyFont="0" applyFill="0" applyBorder="0" applyProtection="0">
      <alignment horizontal="left" vertical="center" indent="5"/>
    </xf>
    <xf numFmtId="4" fontId="34" fillId="0" borderId="319" applyFill="0" applyBorder="0" applyProtection="0">
      <alignment horizontal="right" vertical="center"/>
    </xf>
    <xf numFmtId="4" fontId="32" fillId="31" borderId="319">
      <alignment horizontal="right" vertical="center"/>
    </xf>
    <xf numFmtId="0" fontId="58" fillId="42" borderId="316" applyNumberFormat="0" applyAlignment="0" applyProtection="0"/>
    <xf numFmtId="0" fontId="49" fillId="42" borderId="316" applyNumberFormat="0" applyAlignment="0" applyProtection="0"/>
    <xf numFmtId="0" fontId="45" fillId="55" borderId="316" applyNumberFormat="0" applyAlignment="0" applyProtection="0"/>
    <xf numFmtId="0" fontId="34" fillId="33" borderId="322">
      <alignment horizontal="left" vertical="center" wrapText="1" indent="2"/>
    </xf>
    <xf numFmtId="0" fontId="34" fillId="0" borderId="322">
      <alignment horizontal="left" vertical="center" wrapText="1" indent="2"/>
    </xf>
    <xf numFmtId="0" fontId="34" fillId="33" borderId="322">
      <alignment horizontal="left" vertical="center" wrapText="1" indent="2"/>
    </xf>
    <xf numFmtId="4" fontId="32" fillId="31" borderId="327">
      <alignment horizontal="right" vertical="center"/>
    </xf>
    <xf numFmtId="0" fontId="29" fillId="12" borderId="10" applyNumberFormat="0" applyAlignment="0" applyProtection="0"/>
    <xf numFmtId="0" fontId="65" fillId="0" borderId="325" applyNumberFormat="0" applyFill="0" applyAlignment="0" applyProtection="0"/>
    <xf numFmtId="0" fontId="40" fillId="58" borderId="326" applyNumberFormat="0" applyFont="0" applyAlignment="0" applyProtection="0"/>
    <xf numFmtId="4" fontId="32" fillId="33" borderId="320">
      <alignment horizontal="right" vertical="center"/>
    </xf>
    <xf numFmtId="0" fontId="43" fillId="55" borderId="336" applyNumberFormat="0" applyAlignment="0" applyProtection="0"/>
    <xf numFmtId="0" fontId="32" fillId="33" borderId="332">
      <alignment horizontal="right" vertical="center"/>
    </xf>
    <xf numFmtId="0" fontId="49" fillId="42" borderId="324" applyNumberFormat="0" applyAlignment="0" applyProtection="0"/>
    <xf numFmtId="0" fontId="46" fillId="55" borderId="324" applyNumberFormat="0" applyAlignment="0" applyProtection="0"/>
    <xf numFmtId="0" fontId="32" fillId="33" borderId="332">
      <alignment horizontal="right" vertical="center"/>
    </xf>
    <xf numFmtId="0" fontId="34" fillId="31" borderId="320">
      <alignment horizontal="left" vertical="center"/>
    </xf>
    <xf numFmtId="0" fontId="32" fillId="33" borderId="327">
      <alignment horizontal="right" vertical="center"/>
    </xf>
    <xf numFmtId="4" fontId="34" fillId="32" borderId="327"/>
    <xf numFmtId="0" fontId="26" fillId="14" borderId="0" applyNumberFormat="0" applyBorder="0" applyAlignment="0" applyProtection="0"/>
    <xf numFmtId="0" fontId="32" fillId="33" borderId="332">
      <alignment horizontal="right" vertical="center"/>
    </xf>
    <xf numFmtId="0" fontId="46" fillId="55" borderId="324" applyNumberFormat="0" applyAlignment="0" applyProtection="0"/>
    <xf numFmtId="0" fontId="46" fillId="55" borderId="324" applyNumberFormat="0" applyAlignment="0" applyProtection="0"/>
    <xf numFmtId="0" fontId="32" fillId="33" borderId="327">
      <alignment horizontal="right" vertical="center"/>
    </xf>
    <xf numFmtId="0" fontId="34" fillId="33" borderId="330">
      <alignment horizontal="left" vertical="center" wrapText="1" indent="2"/>
    </xf>
    <xf numFmtId="0" fontId="46" fillId="55" borderId="337" applyNumberFormat="0" applyAlignment="0" applyProtection="0"/>
    <xf numFmtId="0" fontId="58" fillId="42" borderId="324" applyNumberFormat="0" applyAlignment="0" applyProtection="0"/>
    <xf numFmtId="0" fontId="26" fillId="29" borderId="0" applyNumberFormat="0" applyBorder="0" applyAlignment="0" applyProtection="0"/>
    <xf numFmtId="0" fontId="49" fillId="42" borderId="337" applyNumberFormat="0" applyAlignment="0" applyProtection="0"/>
    <xf numFmtId="0" fontId="58" fillId="42" borderId="324" applyNumberFormat="0" applyAlignment="0" applyProtection="0"/>
    <xf numFmtId="0" fontId="40" fillId="58" borderId="326" applyNumberFormat="0" applyFont="0" applyAlignment="0" applyProtection="0"/>
    <xf numFmtId="0" fontId="32" fillId="33" borderId="332">
      <alignment horizontal="right" vertical="center"/>
    </xf>
    <xf numFmtId="0" fontId="12" fillId="18" borderId="0" applyNumberFormat="0" applyBorder="0" applyAlignment="0" applyProtection="0"/>
    <xf numFmtId="0" fontId="34" fillId="0" borderId="327">
      <alignment horizontal="right" vertical="center"/>
    </xf>
    <xf numFmtId="0" fontId="40" fillId="58" borderId="331" applyNumberFormat="0" applyFont="0" applyAlignment="0" applyProtection="0"/>
    <xf numFmtId="0" fontId="36" fillId="31" borderId="327">
      <alignment horizontal="right" vertical="center"/>
    </xf>
    <xf numFmtId="0" fontId="43" fillId="55" borderId="323" applyNumberFormat="0" applyAlignment="0" applyProtection="0"/>
    <xf numFmtId="0" fontId="36" fillId="31" borderId="332">
      <alignment horizontal="right" vertical="center"/>
    </xf>
    <xf numFmtId="0" fontId="50" fillId="0" borderId="325" applyNumberFormat="0" applyFill="0" applyAlignment="0" applyProtection="0"/>
    <xf numFmtId="0" fontId="34" fillId="31" borderId="328">
      <alignment horizontal="left" vertical="center"/>
    </xf>
    <xf numFmtId="0" fontId="12" fillId="24" borderId="0" applyNumberFormat="0" applyBorder="0" applyAlignment="0" applyProtection="0"/>
    <xf numFmtId="0" fontId="58" fillId="42" borderId="324" applyNumberFormat="0" applyAlignment="0" applyProtection="0"/>
    <xf numFmtId="0" fontId="40" fillId="58" borderId="326" applyNumberFormat="0" applyFont="0" applyAlignment="0" applyProtection="0"/>
    <xf numFmtId="0" fontId="26" fillId="26" borderId="0" applyNumberFormat="0" applyBorder="0" applyAlignment="0" applyProtection="0"/>
    <xf numFmtId="0" fontId="26" fillId="17" borderId="0" applyNumberFormat="0" applyBorder="0" applyAlignment="0" applyProtection="0"/>
    <xf numFmtId="0" fontId="50" fillId="0" borderId="325" applyNumberFormat="0" applyFill="0" applyAlignment="0" applyProtection="0"/>
    <xf numFmtId="49" fontId="34" fillId="0" borderId="327" applyNumberFormat="0" applyFont="0" applyFill="0" applyBorder="0" applyProtection="0">
      <alignment horizontal="left" vertical="center" indent="2"/>
    </xf>
    <xf numFmtId="0" fontId="46" fillId="55" borderId="324" applyNumberFormat="0" applyAlignment="0" applyProtection="0"/>
    <xf numFmtId="0" fontId="34" fillId="0" borderId="330">
      <alignment horizontal="left" vertical="center" wrapText="1" indent="2"/>
    </xf>
    <xf numFmtId="4" fontId="32" fillId="33" borderId="332">
      <alignment horizontal="right" vertical="center"/>
    </xf>
    <xf numFmtId="0" fontId="34" fillId="33" borderId="330">
      <alignment horizontal="left" vertical="center" wrapText="1" indent="2"/>
    </xf>
    <xf numFmtId="4" fontId="34" fillId="0" borderId="327" applyFill="0" applyBorder="0" applyProtection="0">
      <alignment horizontal="right" vertical="center"/>
    </xf>
    <xf numFmtId="0" fontId="40" fillId="58" borderId="331" applyNumberFormat="0" applyFont="0" applyAlignment="0" applyProtection="0"/>
    <xf numFmtId="0" fontId="32" fillId="33" borderId="327">
      <alignment horizontal="right" vertical="center"/>
    </xf>
    <xf numFmtId="0" fontId="32" fillId="33" borderId="327">
      <alignment horizontal="right" vertical="center"/>
    </xf>
    <xf numFmtId="0" fontId="49" fillId="42" borderId="324" applyNumberFormat="0" applyAlignment="0" applyProtection="0"/>
    <xf numFmtId="0" fontId="34" fillId="0" borderId="335">
      <alignment horizontal="left" vertical="center" wrapText="1" indent="2"/>
    </xf>
    <xf numFmtId="4" fontId="36" fillId="31" borderId="327">
      <alignment horizontal="right" vertical="center"/>
    </xf>
    <xf numFmtId="0" fontId="26" fillId="20" borderId="0" applyNumberFormat="0" applyBorder="0" applyAlignment="0" applyProtection="0"/>
    <xf numFmtId="0" fontId="2" fillId="0" borderId="12" applyNumberFormat="0" applyFill="0" applyAlignment="0" applyProtection="0"/>
    <xf numFmtId="0" fontId="65" fillId="0" borderId="325" applyNumberFormat="0" applyFill="0" applyAlignment="0" applyProtection="0"/>
    <xf numFmtId="4" fontId="32" fillId="33" borderId="334">
      <alignment horizontal="right" vertical="center"/>
    </xf>
    <xf numFmtId="49" fontId="33" fillId="0" borderId="327" applyNumberFormat="0" applyFill="0" applyBorder="0" applyProtection="0">
      <alignment horizontal="left" vertical="center"/>
    </xf>
    <xf numFmtId="0" fontId="26" fillId="23" borderId="0" applyNumberFormat="0" applyBorder="0" applyAlignment="0" applyProtection="0"/>
    <xf numFmtId="0" fontId="26" fillId="14" borderId="0" applyNumberFormat="0" applyBorder="0" applyAlignment="0" applyProtection="0"/>
    <xf numFmtId="0" fontId="12" fillId="27" borderId="0" applyNumberFormat="0" applyBorder="0" applyAlignment="0" applyProtection="0"/>
    <xf numFmtId="0" fontId="32" fillId="33" borderId="327">
      <alignment horizontal="right" vertical="center"/>
    </xf>
    <xf numFmtId="0" fontId="32" fillId="33" borderId="333">
      <alignment horizontal="right" vertical="center"/>
    </xf>
    <xf numFmtId="49" fontId="33" fillId="0" borderId="332" applyNumberFormat="0" applyFill="0" applyBorder="0" applyProtection="0">
      <alignment horizontal="left" vertical="center"/>
    </xf>
    <xf numFmtId="0" fontId="26" fillId="16" borderId="0" applyNumberFormat="0" applyBorder="0" applyAlignment="0" applyProtection="0"/>
    <xf numFmtId="4" fontId="32" fillId="33" borderId="332">
      <alignment horizontal="right" vertical="center"/>
    </xf>
    <xf numFmtId="0" fontId="26" fillId="20" borderId="0" applyNumberFormat="0" applyBorder="0" applyAlignment="0" applyProtection="0"/>
    <xf numFmtId="0" fontId="62" fillId="55" borderId="323" applyNumberFormat="0" applyAlignment="0" applyProtection="0"/>
    <xf numFmtId="4" fontId="32" fillId="31" borderId="332">
      <alignment horizontal="right" vertical="center"/>
    </xf>
    <xf numFmtId="4" fontId="34" fillId="32" borderId="327"/>
    <xf numFmtId="0" fontId="65" fillId="0" borderId="325" applyNumberFormat="0" applyFill="0" applyAlignment="0" applyProtection="0"/>
    <xf numFmtId="0" fontId="26" fillId="25" borderId="0" applyNumberFormat="0" applyBorder="0" applyAlignment="0" applyProtection="0"/>
    <xf numFmtId="4" fontId="32" fillId="33" borderId="327">
      <alignment horizontal="right" vertical="center"/>
    </xf>
    <xf numFmtId="0" fontId="49" fillId="42" borderId="324" applyNumberFormat="0" applyAlignment="0" applyProtection="0"/>
    <xf numFmtId="49" fontId="34" fillId="0" borderId="327" applyNumberFormat="0" applyFont="0" applyFill="0" applyBorder="0" applyProtection="0">
      <alignment horizontal="left" vertical="center" indent="2"/>
    </xf>
    <xf numFmtId="49" fontId="34" fillId="0" borderId="328" applyNumberFormat="0" applyFont="0" applyFill="0" applyBorder="0" applyProtection="0">
      <alignment horizontal="left" vertical="center" indent="5"/>
    </xf>
    <xf numFmtId="0" fontId="34" fillId="33" borderId="330">
      <alignment horizontal="left" vertical="center" wrapText="1" indent="2"/>
    </xf>
    <xf numFmtId="0" fontId="40" fillId="58" borderId="331" applyNumberFormat="0" applyFont="0" applyAlignment="0" applyProtection="0"/>
    <xf numFmtId="0" fontId="32" fillId="33" borderId="334">
      <alignment horizontal="right" vertical="center"/>
    </xf>
    <xf numFmtId="4" fontId="34" fillId="0" borderId="327" applyFill="0" applyBorder="0" applyProtection="0">
      <alignment horizontal="right" vertical="center"/>
    </xf>
    <xf numFmtId="0" fontId="12" fillId="30" borderId="0" applyNumberFormat="0" applyBorder="0" applyAlignment="0" applyProtection="0"/>
    <xf numFmtId="4" fontId="36" fillId="31" borderId="327">
      <alignment horizontal="right" vertical="center"/>
    </xf>
    <xf numFmtId="0" fontId="50" fillId="0" borderId="325" applyNumberFormat="0" applyFill="0" applyAlignment="0" applyProtection="0"/>
    <xf numFmtId="0" fontId="32" fillId="33" borderId="321">
      <alignment horizontal="right" vertical="center"/>
    </xf>
    <xf numFmtId="49" fontId="33" fillId="0" borderId="327" applyNumberFormat="0" applyFill="0" applyBorder="0" applyProtection="0">
      <alignment horizontal="left" vertical="center"/>
    </xf>
    <xf numFmtId="4" fontId="34" fillId="32" borderId="332"/>
    <xf numFmtId="4" fontId="34" fillId="0" borderId="327" applyFill="0" applyBorder="0" applyProtection="0">
      <alignment horizontal="right" vertical="center"/>
    </xf>
    <xf numFmtId="0" fontId="32" fillId="33" borderId="333">
      <alignment horizontal="right" vertical="center"/>
    </xf>
    <xf numFmtId="0" fontId="49" fillId="42" borderId="324" applyNumberFormat="0" applyAlignment="0" applyProtection="0"/>
    <xf numFmtId="0" fontId="34" fillId="32" borderId="327"/>
    <xf numFmtId="0" fontId="34" fillId="0" borderId="330">
      <alignment horizontal="left" vertical="center" wrapText="1" indent="2"/>
    </xf>
    <xf numFmtId="0" fontId="62" fillId="55" borderId="336" applyNumberFormat="0" applyAlignment="0" applyProtection="0"/>
    <xf numFmtId="0" fontId="32" fillId="33" borderId="327">
      <alignment horizontal="right" vertical="center"/>
    </xf>
    <xf numFmtId="0" fontId="34" fillId="32" borderId="327"/>
    <xf numFmtId="4" fontId="34" fillId="32" borderId="327"/>
    <xf numFmtId="0" fontId="65" fillId="0" borderId="325" applyNumberFormat="0" applyFill="0" applyAlignment="0" applyProtection="0"/>
    <xf numFmtId="0" fontId="43" fillId="55" borderId="323" applyNumberFormat="0" applyAlignment="0" applyProtection="0"/>
    <xf numFmtId="49" fontId="34" fillId="0" borderId="332" applyNumberFormat="0" applyFont="0" applyFill="0" applyBorder="0" applyProtection="0">
      <alignment horizontal="left" vertical="center" indent="2"/>
    </xf>
    <xf numFmtId="0" fontId="58" fillId="42" borderId="324" applyNumberFormat="0" applyAlignment="0" applyProtection="0"/>
    <xf numFmtId="4" fontId="32" fillId="33" borderId="329">
      <alignment horizontal="right" vertical="center"/>
    </xf>
    <xf numFmtId="0" fontId="32" fillId="31" borderId="332">
      <alignment horizontal="right" vertical="center"/>
    </xf>
    <xf numFmtId="4" fontId="36" fillId="31" borderId="327">
      <alignment horizontal="right" vertical="center"/>
    </xf>
    <xf numFmtId="0" fontId="32" fillId="33" borderId="328">
      <alignment horizontal="right" vertical="center"/>
    </xf>
    <xf numFmtId="0" fontId="32" fillId="33" borderId="327">
      <alignment horizontal="right" vertical="center"/>
    </xf>
    <xf numFmtId="0" fontId="32" fillId="33" borderId="327">
      <alignment horizontal="right" vertical="center"/>
    </xf>
    <xf numFmtId="0" fontId="12" fillId="30" borderId="0" applyNumberFormat="0" applyBorder="0" applyAlignment="0" applyProtection="0"/>
    <xf numFmtId="0" fontId="65" fillId="0" borderId="338" applyNumberFormat="0" applyFill="0" applyAlignment="0" applyProtection="0"/>
    <xf numFmtId="173" fontId="34" fillId="59" borderId="332" applyNumberFormat="0" applyFont="0" applyBorder="0" applyAlignment="0" applyProtection="0">
      <alignment horizontal="right" vertical="center"/>
    </xf>
    <xf numFmtId="0" fontId="34" fillId="33" borderId="322">
      <alignment horizontal="left" vertical="center" wrapText="1" indent="2"/>
    </xf>
    <xf numFmtId="0" fontId="34" fillId="32" borderId="332"/>
    <xf numFmtId="0" fontId="32" fillId="33" borderId="320">
      <alignment horizontal="right" vertical="center"/>
    </xf>
    <xf numFmtId="0" fontId="43" fillId="55" borderId="323" applyNumberFormat="0" applyAlignment="0" applyProtection="0"/>
    <xf numFmtId="0" fontId="12" fillId="18" borderId="0" applyNumberFormat="0" applyBorder="0" applyAlignment="0" applyProtection="0"/>
    <xf numFmtId="0" fontId="1" fillId="0" borderId="0" applyNumberFormat="0" applyFill="0" applyBorder="0" applyAlignment="0" applyProtection="0"/>
    <xf numFmtId="0" fontId="62" fillId="55" borderId="323" applyNumberFormat="0" applyAlignment="0" applyProtection="0"/>
    <xf numFmtId="0" fontId="32" fillId="33" borderId="332">
      <alignment horizontal="right" vertical="center"/>
    </xf>
    <xf numFmtId="0" fontId="26" fillId="28" borderId="0" applyNumberFormat="0" applyBorder="0" applyAlignment="0" applyProtection="0"/>
    <xf numFmtId="0" fontId="50" fillId="0" borderId="325" applyNumberFormat="0" applyFill="0" applyAlignment="0" applyProtection="0"/>
    <xf numFmtId="0" fontId="40" fillId="58" borderId="326" applyNumberFormat="0" applyFont="0" applyAlignment="0" applyProtection="0"/>
    <xf numFmtId="0" fontId="65" fillId="0" borderId="325" applyNumberFormat="0" applyFill="0" applyAlignment="0" applyProtection="0"/>
    <xf numFmtId="4" fontId="32" fillId="31" borderId="327">
      <alignment horizontal="right" vertical="center"/>
    </xf>
    <xf numFmtId="49" fontId="34" fillId="0" borderId="327" applyNumberFormat="0" applyFont="0" applyFill="0" applyBorder="0" applyProtection="0">
      <alignment horizontal="left" vertical="center" indent="2"/>
    </xf>
    <xf numFmtId="4" fontId="34" fillId="0" borderId="332">
      <alignment horizontal="right" vertical="center"/>
    </xf>
    <xf numFmtId="4" fontId="36" fillId="31" borderId="327">
      <alignment horizontal="right" vertical="center"/>
    </xf>
    <xf numFmtId="0" fontId="34" fillId="31" borderId="333">
      <alignment horizontal="left" vertical="center"/>
    </xf>
    <xf numFmtId="0" fontId="32" fillId="33" borderId="334">
      <alignment horizontal="right" vertical="center"/>
    </xf>
    <xf numFmtId="0" fontId="26" fillId="19" borderId="0" applyNumberFormat="0" applyBorder="0" applyAlignment="0" applyProtection="0"/>
    <xf numFmtId="0" fontId="36" fillId="31" borderId="332">
      <alignment horizontal="right" vertical="center"/>
    </xf>
    <xf numFmtId="0" fontId="62" fillId="55" borderId="323" applyNumberFormat="0" applyAlignment="0" applyProtection="0"/>
    <xf numFmtId="0" fontId="58" fillId="42" borderId="324" applyNumberFormat="0" applyAlignment="0" applyProtection="0"/>
    <xf numFmtId="0" fontId="34" fillId="0" borderId="327" applyNumberFormat="0" applyFill="0" applyAlignment="0" applyProtection="0"/>
    <xf numFmtId="0" fontId="5" fillId="58" borderId="331" applyNumberFormat="0" applyFont="0" applyAlignment="0" applyProtection="0"/>
    <xf numFmtId="0" fontId="65" fillId="0" borderId="325" applyNumberFormat="0" applyFill="0" applyAlignment="0" applyProtection="0"/>
    <xf numFmtId="0" fontId="32" fillId="31" borderId="327">
      <alignment horizontal="right" vertical="center"/>
    </xf>
    <xf numFmtId="49" fontId="33" fillId="0" borderId="332" applyNumberFormat="0" applyFill="0" applyBorder="0" applyProtection="0">
      <alignment horizontal="left" vertical="center"/>
    </xf>
    <xf numFmtId="0" fontId="12" fillId="21" borderId="0" applyNumberFormat="0" applyBorder="0" applyAlignment="0" applyProtection="0"/>
    <xf numFmtId="0" fontId="43" fillId="55" borderId="336" applyNumberFormat="0" applyAlignment="0" applyProtection="0"/>
    <xf numFmtId="4" fontId="32" fillId="33" borderId="327">
      <alignment horizontal="right" vertical="center"/>
    </xf>
    <xf numFmtId="0" fontId="45" fillId="55" borderId="324" applyNumberFormat="0" applyAlignment="0" applyProtection="0"/>
    <xf numFmtId="49" fontId="33" fillId="0" borderId="327" applyNumberFormat="0" applyFill="0" applyBorder="0" applyProtection="0">
      <alignment horizontal="left" vertical="center"/>
    </xf>
    <xf numFmtId="4" fontId="32" fillId="33" borderId="327">
      <alignment horizontal="right" vertical="center"/>
    </xf>
    <xf numFmtId="0" fontId="30" fillId="0" borderId="0" applyNumberFormat="0" applyFill="0" applyBorder="0" applyAlignment="0" applyProtection="0"/>
    <xf numFmtId="0" fontId="62" fillId="55" borderId="323" applyNumberFormat="0" applyAlignment="0" applyProtection="0"/>
    <xf numFmtId="0" fontId="26" fillId="28" borderId="0" applyNumberFormat="0" applyBorder="0" applyAlignment="0" applyProtection="0"/>
    <xf numFmtId="0" fontId="45" fillId="55" borderId="337" applyNumberFormat="0" applyAlignment="0" applyProtection="0"/>
    <xf numFmtId="4" fontId="32" fillId="33" borderId="329">
      <alignment horizontal="right" vertical="center"/>
    </xf>
    <xf numFmtId="0" fontId="32" fillId="33" borderId="320">
      <alignment horizontal="right" vertical="center"/>
    </xf>
    <xf numFmtId="4" fontId="32" fillId="33" borderId="327">
      <alignment horizontal="right" vertical="center"/>
    </xf>
    <xf numFmtId="4" fontId="34" fillId="0" borderId="327">
      <alignment horizontal="right" vertical="center"/>
    </xf>
    <xf numFmtId="0" fontId="32" fillId="31" borderId="327">
      <alignment horizontal="right" vertical="center"/>
    </xf>
    <xf numFmtId="4" fontId="34" fillId="32" borderId="327"/>
    <xf numFmtId="0" fontId="45" fillId="55" borderId="324" applyNumberFormat="0" applyAlignment="0" applyProtection="0"/>
    <xf numFmtId="0" fontId="29" fillId="12" borderId="10" applyNumberFormat="0" applyAlignment="0" applyProtection="0"/>
    <xf numFmtId="0" fontId="12" fillId="24" borderId="0" applyNumberFormat="0" applyBorder="0" applyAlignment="0" applyProtection="0"/>
    <xf numFmtId="0" fontId="5" fillId="58" borderId="326" applyNumberFormat="0" applyFont="0" applyAlignment="0" applyProtection="0"/>
    <xf numFmtId="173" fontId="34" fillId="59" borderId="332" applyNumberFormat="0" applyFont="0" applyBorder="0" applyAlignment="0" applyProtection="0">
      <alignment horizontal="right" vertical="center"/>
    </xf>
    <xf numFmtId="4" fontId="34" fillId="0" borderId="332">
      <alignment horizontal="right" vertical="center"/>
    </xf>
    <xf numFmtId="0" fontId="32" fillId="31" borderId="327">
      <alignment horizontal="right" vertical="center"/>
    </xf>
    <xf numFmtId="4" fontId="34" fillId="32" borderId="327"/>
    <xf numFmtId="0" fontId="32" fillId="33" borderId="332">
      <alignment horizontal="right" vertical="center"/>
    </xf>
    <xf numFmtId="4" fontId="34" fillId="0" borderId="332" applyFill="0" applyBorder="0" applyProtection="0">
      <alignment horizontal="right" vertical="center"/>
    </xf>
    <xf numFmtId="4" fontId="34" fillId="0" borderId="327">
      <alignment horizontal="right" vertical="center"/>
    </xf>
    <xf numFmtId="0" fontId="26" fillId="23" borderId="0" applyNumberFormat="0" applyBorder="0" applyAlignment="0" applyProtection="0"/>
    <xf numFmtId="0" fontId="49" fillId="42" borderId="324" applyNumberFormat="0" applyAlignment="0" applyProtection="0"/>
    <xf numFmtId="4" fontId="32" fillId="33" borderId="328">
      <alignment horizontal="right" vertical="center"/>
    </xf>
    <xf numFmtId="0" fontId="12" fillId="27" borderId="0" applyNumberFormat="0" applyBorder="0" applyAlignment="0" applyProtection="0"/>
    <xf numFmtId="0" fontId="62" fillId="55" borderId="323" applyNumberFormat="0" applyAlignment="0" applyProtection="0"/>
    <xf numFmtId="4" fontId="32" fillId="31" borderId="332">
      <alignment horizontal="right" vertical="center"/>
    </xf>
    <xf numFmtId="0" fontId="1" fillId="0" borderId="0" applyNumberFormat="0" applyFill="0" applyBorder="0" applyAlignment="0" applyProtection="0"/>
    <xf numFmtId="173" fontId="34" fillId="59" borderId="327" applyNumberFormat="0" applyFont="0" applyBorder="0" applyAlignment="0" applyProtection="0">
      <alignment horizontal="right" vertical="center"/>
    </xf>
    <xf numFmtId="0" fontId="34" fillId="0" borderId="330">
      <alignment horizontal="left" vertical="center" wrapText="1" indent="2"/>
    </xf>
    <xf numFmtId="0" fontId="32" fillId="33" borderId="329">
      <alignment horizontal="right" vertical="center"/>
    </xf>
    <xf numFmtId="0" fontId="36" fillId="31" borderId="327">
      <alignment horizontal="right" vertical="center"/>
    </xf>
    <xf numFmtId="4" fontId="32" fillId="33" borderId="328">
      <alignment horizontal="right" vertical="center"/>
    </xf>
    <xf numFmtId="4" fontId="36" fillId="31" borderId="327">
      <alignment horizontal="right" vertical="center"/>
    </xf>
    <xf numFmtId="0" fontId="32" fillId="31" borderId="327">
      <alignment horizontal="right" vertical="center"/>
    </xf>
    <xf numFmtId="0" fontId="12" fillId="27" borderId="0" applyNumberFormat="0" applyBorder="0" applyAlignment="0" applyProtection="0"/>
    <xf numFmtId="0" fontId="65" fillId="0" borderId="325" applyNumberFormat="0" applyFill="0" applyAlignment="0" applyProtection="0"/>
    <xf numFmtId="0" fontId="29" fillId="12" borderId="10" applyNumberFormat="0" applyAlignment="0" applyProtection="0"/>
    <xf numFmtId="0" fontId="32" fillId="31" borderId="327">
      <alignment horizontal="right" vertical="center"/>
    </xf>
    <xf numFmtId="0" fontId="58" fillId="42" borderId="324" applyNumberFormat="0" applyAlignment="0" applyProtection="0"/>
    <xf numFmtId="4" fontId="36" fillId="31" borderId="327">
      <alignment horizontal="right" vertical="center"/>
    </xf>
    <xf numFmtId="0" fontId="2" fillId="0" borderId="12" applyNumberFormat="0" applyFill="0" applyAlignment="0" applyProtection="0"/>
    <xf numFmtId="0" fontId="12" fillId="24" borderId="0" applyNumberFormat="0" applyBorder="0" applyAlignment="0" applyProtection="0"/>
    <xf numFmtId="0" fontId="26" fillId="19" borderId="0" applyNumberFormat="0" applyBorder="0" applyAlignment="0" applyProtection="0"/>
    <xf numFmtId="0" fontId="45" fillId="55" borderId="337" applyNumberFormat="0" applyAlignment="0" applyProtection="0"/>
    <xf numFmtId="0" fontId="40" fillId="58" borderId="331" applyNumberFormat="0" applyFont="0" applyAlignment="0" applyProtection="0"/>
    <xf numFmtId="0" fontId="65" fillId="0" borderId="338" applyNumberFormat="0" applyFill="0" applyAlignment="0" applyProtection="0"/>
    <xf numFmtId="4" fontId="34" fillId="0" borderId="327">
      <alignment horizontal="right" vertical="center"/>
    </xf>
    <xf numFmtId="0" fontId="65" fillId="0" borderId="338" applyNumberFormat="0" applyFill="0" applyAlignment="0" applyProtection="0"/>
    <xf numFmtId="0" fontId="34" fillId="32" borderId="327"/>
    <xf numFmtId="49" fontId="34" fillId="0" borderId="332" applyNumberFormat="0" applyFont="0" applyFill="0" applyBorder="0" applyProtection="0">
      <alignment horizontal="left" vertical="center" indent="2"/>
    </xf>
    <xf numFmtId="0" fontId="65" fillId="0" borderId="325" applyNumberFormat="0" applyFill="0" applyAlignment="0" applyProtection="0"/>
    <xf numFmtId="4" fontId="36" fillId="31" borderId="332">
      <alignment horizontal="right" vertical="center"/>
    </xf>
    <xf numFmtId="0" fontId="34" fillId="32" borderId="327"/>
    <xf numFmtId="0" fontId="46" fillId="55" borderId="337" applyNumberFormat="0" applyAlignment="0" applyProtection="0"/>
    <xf numFmtId="0" fontId="45" fillId="55" borderId="324" applyNumberFormat="0" applyAlignment="0" applyProtection="0"/>
    <xf numFmtId="0" fontId="26" fillId="23" borderId="0" applyNumberFormat="0" applyBorder="0" applyAlignment="0" applyProtection="0"/>
    <xf numFmtId="0" fontId="45" fillId="55" borderId="337" applyNumberFormat="0" applyAlignment="0" applyProtection="0"/>
    <xf numFmtId="0" fontId="46" fillId="55" borderId="337" applyNumberFormat="0" applyAlignment="0" applyProtection="0"/>
    <xf numFmtId="4" fontId="32" fillId="33" borderId="329">
      <alignment horizontal="right" vertical="center"/>
    </xf>
    <xf numFmtId="4" fontId="34" fillId="32" borderId="327"/>
    <xf numFmtId="49" fontId="34" fillId="0" borderId="332" applyNumberFormat="0" applyFont="0" applyFill="0" applyBorder="0" applyProtection="0">
      <alignment horizontal="left" vertical="center" indent="2"/>
    </xf>
    <xf numFmtId="0" fontId="5" fillId="58" borderId="326" applyNumberFormat="0" applyFont="0" applyAlignment="0" applyProtection="0"/>
    <xf numFmtId="0" fontId="34" fillId="0" borderId="335">
      <alignment horizontal="left" vertical="center" wrapText="1" indent="2"/>
    </xf>
    <xf numFmtId="49" fontId="33" fillId="0" borderId="332" applyNumberFormat="0" applyFill="0" applyBorder="0" applyProtection="0">
      <alignment horizontal="left" vertical="center"/>
    </xf>
    <xf numFmtId="0" fontId="26" fillId="19" borderId="0" applyNumberFormat="0" applyBorder="0" applyAlignment="0" applyProtection="0"/>
    <xf numFmtId="0" fontId="32" fillId="31" borderId="319">
      <alignment horizontal="right" vertical="center"/>
    </xf>
    <xf numFmtId="0" fontId="46" fillId="55" borderId="324" applyNumberFormat="0" applyAlignment="0" applyProtection="0"/>
    <xf numFmtId="0" fontId="30" fillId="0" borderId="0" applyNumberFormat="0" applyFill="0" applyBorder="0" applyAlignment="0" applyProtection="0"/>
    <xf numFmtId="4" fontId="32" fillId="33" borderId="328">
      <alignment horizontal="right" vertical="center"/>
    </xf>
    <xf numFmtId="0" fontId="40" fillId="58" borderId="326" applyNumberFormat="0" applyFont="0" applyAlignment="0" applyProtection="0"/>
    <xf numFmtId="0" fontId="43" fillId="55" borderId="336" applyNumberFormat="0" applyAlignment="0" applyProtection="0"/>
    <xf numFmtId="0" fontId="46" fillId="55" borderId="337" applyNumberFormat="0" applyAlignment="0" applyProtection="0"/>
    <xf numFmtId="0" fontId="32" fillId="31" borderId="327">
      <alignment horizontal="right" vertical="center"/>
    </xf>
    <xf numFmtId="0" fontId="26" fillId="28" borderId="0" applyNumberFormat="0" applyBorder="0" applyAlignment="0" applyProtection="0"/>
    <xf numFmtId="0" fontId="36" fillId="31" borderId="332">
      <alignment horizontal="right" vertical="center"/>
    </xf>
    <xf numFmtId="0" fontId="50" fillId="0" borderId="338" applyNumberFormat="0" applyFill="0" applyAlignment="0" applyProtection="0"/>
    <xf numFmtId="49" fontId="34" fillId="0" borderId="328" applyNumberFormat="0" applyFont="0" applyFill="0" applyBorder="0" applyProtection="0">
      <alignment horizontal="left" vertical="center" indent="5"/>
    </xf>
    <xf numFmtId="4" fontId="32" fillId="33" borderId="328">
      <alignment horizontal="right" vertical="center"/>
    </xf>
    <xf numFmtId="0" fontId="46" fillId="55" borderId="324" applyNumberFormat="0" applyAlignment="0" applyProtection="0"/>
    <xf numFmtId="0" fontId="58" fillId="42" borderId="337" applyNumberFormat="0" applyAlignment="0" applyProtection="0"/>
    <xf numFmtId="0" fontId="49" fillId="42" borderId="324" applyNumberFormat="0" applyAlignment="0" applyProtection="0"/>
    <xf numFmtId="0" fontId="58" fillId="42" borderId="337" applyNumberFormat="0" applyAlignment="0" applyProtection="0"/>
    <xf numFmtId="0" fontId="34" fillId="0" borderId="330">
      <alignment horizontal="left" vertical="center" wrapText="1" indent="2"/>
    </xf>
    <xf numFmtId="0" fontId="34" fillId="33" borderId="330">
      <alignment horizontal="left" vertical="center" wrapText="1" indent="2"/>
    </xf>
    <xf numFmtId="0" fontId="40" fillId="58" borderId="326" applyNumberFormat="0" applyFont="0" applyAlignment="0" applyProtection="0"/>
    <xf numFmtId="0" fontId="32" fillId="33" borderId="332">
      <alignment horizontal="right" vertical="center"/>
    </xf>
    <xf numFmtId="0" fontId="32" fillId="33" borderId="327">
      <alignment horizontal="right" vertical="center"/>
    </xf>
    <xf numFmtId="0" fontId="2" fillId="0" borderId="12" applyNumberFormat="0" applyFill="0" applyAlignment="0" applyProtection="0"/>
    <xf numFmtId="0" fontId="26" fillId="20" borderId="0" applyNumberFormat="0" applyBorder="0" applyAlignment="0" applyProtection="0"/>
    <xf numFmtId="4" fontId="32" fillId="33" borderId="332">
      <alignment horizontal="right" vertical="center"/>
    </xf>
    <xf numFmtId="0" fontId="26" fillId="28" borderId="0" applyNumberFormat="0" applyBorder="0" applyAlignment="0" applyProtection="0"/>
    <xf numFmtId="0" fontId="46" fillId="55" borderId="324" applyNumberFormat="0" applyAlignment="0" applyProtection="0"/>
    <xf numFmtId="0" fontId="32" fillId="33" borderId="334">
      <alignment horizontal="right" vertical="center"/>
    </xf>
    <xf numFmtId="0" fontId="26" fillId="16" borderId="0" applyNumberFormat="0" applyBorder="0" applyAlignment="0" applyProtection="0"/>
    <xf numFmtId="4" fontId="32" fillId="33" borderId="327">
      <alignment horizontal="right" vertical="center"/>
    </xf>
    <xf numFmtId="0" fontId="32" fillId="33" borderId="334">
      <alignment horizontal="right" vertical="center"/>
    </xf>
    <xf numFmtId="0" fontId="65" fillId="0" borderId="325" applyNumberFormat="0" applyFill="0" applyAlignment="0" applyProtection="0"/>
    <xf numFmtId="4" fontId="32" fillId="31" borderId="332">
      <alignment horizontal="right" vertical="center"/>
    </xf>
    <xf numFmtId="0" fontId="5" fillId="58" borderId="326" applyNumberFormat="0" applyFont="0" applyAlignment="0" applyProtection="0"/>
    <xf numFmtId="0" fontId="26" fillId="26" borderId="0" applyNumberFormat="0" applyBorder="0" applyAlignment="0" applyProtection="0"/>
    <xf numFmtId="0" fontId="34" fillId="0" borderId="335">
      <alignment horizontal="left" vertical="center" wrapText="1" indent="2"/>
    </xf>
    <xf numFmtId="0" fontId="32" fillId="33" borderId="327">
      <alignment horizontal="right" vertical="center"/>
    </xf>
    <xf numFmtId="0" fontId="26" fillId="22" borderId="0" applyNumberFormat="0" applyBorder="0" applyAlignment="0" applyProtection="0"/>
    <xf numFmtId="0" fontId="36" fillId="31" borderId="327">
      <alignment horizontal="right" vertical="center"/>
    </xf>
    <xf numFmtId="0" fontId="12" fillId="30" borderId="0" applyNumberFormat="0" applyBorder="0" applyAlignment="0" applyProtection="0"/>
    <xf numFmtId="0" fontId="26" fillId="25" borderId="0" applyNumberFormat="0" applyBorder="0" applyAlignment="0" applyProtection="0"/>
    <xf numFmtId="0" fontId="36" fillId="31" borderId="327">
      <alignment horizontal="right" vertical="center"/>
    </xf>
    <xf numFmtId="4" fontId="32" fillId="33" borderId="327">
      <alignment horizontal="right" vertical="center"/>
    </xf>
    <xf numFmtId="0" fontId="40" fillId="58" borderId="326" applyNumberFormat="0" applyFont="0" applyAlignment="0" applyProtection="0"/>
    <xf numFmtId="0" fontId="65" fillId="0" borderId="325" applyNumberFormat="0" applyFill="0" applyAlignment="0" applyProtection="0"/>
    <xf numFmtId="4" fontId="34" fillId="32" borderId="332"/>
    <xf numFmtId="0" fontId="12" fillId="24" borderId="0" applyNumberFormat="0" applyBorder="0" applyAlignment="0" applyProtection="0"/>
    <xf numFmtId="0" fontId="32" fillId="33" borderId="327">
      <alignment horizontal="right" vertical="center"/>
    </xf>
    <xf numFmtId="0" fontId="46" fillId="55" borderId="324" applyNumberFormat="0" applyAlignment="0" applyProtection="0"/>
    <xf numFmtId="0" fontId="43" fillId="55" borderId="323" applyNumberFormat="0" applyAlignment="0" applyProtection="0"/>
    <xf numFmtId="0" fontId="40" fillId="58" borderId="326" applyNumberFormat="0" applyFont="0" applyAlignment="0" applyProtection="0"/>
    <xf numFmtId="0" fontId="58" fillId="42" borderId="337" applyNumberFormat="0" applyAlignment="0" applyProtection="0"/>
    <xf numFmtId="0" fontId="45" fillId="55" borderId="324" applyNumberFormat="0" applyAlignment="0" applyProtection="0"/>
    <xf numFmtId="0" fontId="34" fillId="33" borderId="330">
      <alignment horizontal="left" vertical="center" wrapText="1" indent="2"/>
    </xf>
    <xf numFmtId="0" fontId="34" fillId="31" borderId="320">
      <alignment horizontal="left" vertical="center"/>
    </xf>
    <xf numFmtId="0" fontId="32" fillId="31" borderId="332">
      <alignment horizontal="right" vertical="center"/>
    </xf>
    <xf numFmtId="49" fontId="34" fillId="0" borderId="327" applyNumberFormat="0" applyFont="0" applyFill="0" applyBorder="0" applyProtection="0">
      <alignment horizontal="left" vertical="center" indent="2"/>
    </xf>
    <xf numFmtId="0" fontId="40" fillId="58" borderId="326" applyNumberFormat="0" applyFont="0" applyAlignment="0" applyProtection="0"/>
    <xf numFmtId="0" fontId="62" fillId="55" borderId="323" applyNumberFormat="0" applyAlignment="0" applyProtection="0"/>
    <xf numFmtId="0" fontId="26" fillId="29" borderId="0" applyNumberFormat="0" applyBorder="0" applyAlignment="0" applyProtection="0"/>
    <xf numFmtId="4" fontId="36" fillId="31" borderId="327">
      <alignment horizontal="right" vertical="center"/>
    </xf>
    <xf numFmtId="0" fontId="40" fillId="58" borderId="331" applyNumberFormat="0" applyFont="0" applyAlignment="0" applyProtection="0"/>
    <xf numFmtId="0" fontId="34" fillId="32" borderId="327"/>
    <xf numFmtId="0" fontId="12" fillId="21" borderId="0" applyNumberFormat="0" applyBorder="0" applyAlignment="0" applyProtection="0"/>
    <xf numFmtId="0" fontId="46" fillId="55" borderId="324" applyNumberFormat="0" applyAlignment="0" applyProtection="0"/>
    <xf numFmtId="0" fontId="58" fillId="42" borderId="324" applyNumberFormat="0" applyAlignment="0" applyProtection="0"/>
    <xf numFmtId="4" fontId="32" fillId="33" borderId="332">
      <alignment horizontal="right" vertical="center"/>
    </xf>
    <xf numFmtId="0" fontId="58" fillId="42" borderId="324" applyNumberFormat="0" applyAlignment="0" applyProtection="0"/>
    <xf numFmtId="0" fontId="34" fillId="33" borderId="335">
      <alignment horizontal="left" vertical="center" wrapText="1" indent="2"/>
    </xf>
    <xf numFmtId="0" fontId="5" fillId="58" borderId="326" applyNumberFormat="0" applyFont="0" applyAlignment="0" applyProtection="0"/>
    <xf numFmtId="0" fontId="58" fillId="42" borderId="324" applyNumberFormat="0" applyAlignment="0" applyProtection="0"/>
    <xf numFmtId="0" fontId="65" fillId="0" borderId="325" applyNumberFormat="0" applyFill="0" applyAlignment="0" applyProtection="0"/>
    <xf numFmtId="0" fontId="32" fillId="33" borderId="334">
      <alignment horizontal="right" vertical="center"/>
    </xf>
    <xf numFmtId="49" fontId="33" fillId="0" borderId="332" applyNumberFormat="0" applyFill="0" applyBorder="0" applyProtection="0">
      <alignment horizontal="left" vertical="center"/>
    </xf>
    <xf numFmtId="4" fontId="32" fillId="33" borderId="333">
      <alignment horizontal="right" vertical="center"/>
    </xf>
    <xf numFmtId="173" fontId="34" fillId="59" borderId="327" applyNumberFormat="0" applyFont="0" applyBorder="0" applyAlignment="0" applyProtection="0">
      <alignment horizontal="right" vertical="center"/>
    </xf>
    <xf numFmtId="0" fontId="26" fillId="17" borderId="0" applyNumberFormat="0" applyBorder="0" applyAlignment="0" applyProtection="0"/>
    <xf numFmtId="0" fontId="34" fillId="31" borderId="328">
      <alignment horizontal="left" vertical="center"/>
    </xf>
    <xf numFmtId="4" fontId="34" fillId="0" borderId="327" applyFill="0" applyBorder="0" applyProtection="0">
      <alignment horizontal="right" vertical="center"/>
    </xf>
    <xf numFmtId="173" fontId="34" fillId="59" borderId="327" applyNumberFormat="0" applyFont="0" applyBorder="0" applyAlignment="0" applyProtection="0">
      <alignment horizontal="right" vertical="center"/>
    </xf>
    <xf numFmtId="0" fontId="43" fillId="55" borderId="323" applyNumberFormat="0" applyAlignment="0" applyProtection="0"/>
    <xf numFmtId="0" fontId="62" fillId="55" borderId="323" applyNumberFormat="0" applyAlignment="0" applyProtection="0"/>
    <xf numFmtId="0" fontId="26" fillId="16" borderId="0" applyNumberFormat="0" applyBorder="0" applyAlignment="0" applyProtection="0"/>
    <xf numFmtId="4" fontId="34" fillId="0" borderId="327">
      <alignment horizontal="right" vertical="center"/>
    </xf>
    <xf numFmtId="0" fontId="26" fillId="14" borderId="0" applyNumberFormat="0" applyBorder="0" applyAlignment="0" applyProtection="0"/>
    <xf numFmtId="0" fontId="34" fillId="31" borderId="328">
      <alignment horizontal="left" vertical="center"/>
    </xf>
    <xf numFmtId="0" fontId="12" fillId="21" borderId="0" applyNumberFormat="0" applyBorder="0" applyAlignment="0" applyProtection="0"/>
    <xf numFmtId="0" fontId="45" fillId="55" borderId="337" applyNumberFormat="0" applyAlignment="0" applyProtection="0"/>
    <xf numFmtId="0" fontId="46" fillId="55" borderId="337" applyNumberFormat="0" applyAlignment="0" applyProtection="0"/>
    <xf numFmtId="4" fontId="32" fillId="33" borderId="327">
      <alignment horizontal="right" vertical="center"/>
    </xf>
    <xf numFmtId="0" fontId="40" fillId="58" borderId="331" applyNumberFormat="0" applyFont="0" applyAlignment="0" applyProtection="0"/>
    <xf numFmtId="4" fontId="32" fillId="33" borderId="327">
      <alignment horizontal="right" vertical="center"/>
    </xf>
    <xf numFmtId="0" fontId="36" fillId="31" borderId="332">
      <alignment horizontal="right" vertical="center"/>
    </xf>
    <xf numFmtId="0" fontId="50" fillId="0" borderId="325" applyNumberFormat="0" applyFill="0" applyAlignment="0" applyProtection="0"/>
    <xf numFmtId="0" fontId="34" fillId="32" borderId="332"/>
    <xf numFmtId="0" fontId="65" fillId="0" borderId="325" applyNumberFormat="0" applyFill="0" applyAlignment="0" applyProtection="0"/>
    <xf numFmtId="0" fontId="43" fillId="55" borderId="323" applyNumberFormat="0" applyAlignment="0" applyProtection="0"/>
    <xf numFmtId="0" fontId="49" fillId="42" borderId="324" applyNumberFormat="0" applyAlignment="0" applyProtection="0"/>
    <xf numFmtId="0" fontId="12" fillId="18" borderId="0" applyNumberFormat="0" applyBorder="0" applyAlignment="0" applyProtection="0"/>
    <xf numFmtId="49" fontId="33" fillId="0" borderId="327" applyNumberFormat="0" applyFill="0" applyBorder="0" applyProtection="0">
      <alignment horizontal="left" vertical="center"/>
    </xf>
    <xf numFmtId="4" fontId="32" fillId="33" borderId="328">
      <alignment horizontal="right" vertical="center"/>
    </xf>
    <xf numFmtId="0" fontId="30" fillId="0" borderId="0" applyNumberFormat="0" applyFill="0" applyBorder="0" applyAlignment="0" applyProtection="0"/>
    <xf numFmtId="0" fontId="34" fillId="0" borderId="335">
      <alignment horizontal="left" vertical="center" wrapText="1" indent="2"/>
    </xf>
    <xf numFmtId="0" fontId="62" fillId="55" borderId="336" applyNumberFormat="0" applyAlignment="0" applyProtection="0"/>
    <xf numFmtId="0" fontId="49" fillId="42" borderId="324" applyNumberFormat="0" applyAlignment="0" applyProtection="0"/>
    <xf numFmtId="0" fontId="36" fillId="31" borderId="327">
      <alignment horizontal="right" vertical="center"/>
    </xf>
    <xf numFmtId="0" fontId="46" fillId="55" borderId="337" applyNumberFormat="0" applyAlignment="0" applyProtection="0"/>
    <xf numFmtId="0" fontId="49" fillId="42" borderId="337" applyNumberFormat="0" applyAlignment="0" applyProtection="0"/>
    <xf numFmtId="0" fontId="5" fillId="58" borderId="326" applyNumberFormat="0" applyFont="0" applyAlignment="0" applyProtection="0"/>
    <xf numFmtId="0" fontId="46" fillId="55" borderId="337" applyNumberFormat="0" applyAlignment="0" applyProtection="0"/>
    <xf numFmtId="0" fontId="36" fillId="31" borderId="327">
      <alignment horizontal="right" vertical="center"/>
    </xf>
    <xf numFmtId="0" fontId="49" fillId="42" borderId="337" applyNumberFormat="0" applyAlignment="0" applyProtection="0"/>
    <xf numFmtId="0" fontId="28" fillId="12" borderId="11" applyNumberFormat="0" applyAlignment="0" applyProtection="0"/>
    <xf numFmtId="0" fontId="65" fillId="0" borderId="325" applyNumberFormat="0" applyFill="0" applyAlignment="0" applyProtection="0"/>
    <xf numFmtId="0" fontId="32" fillId="33" borderId="332">
      <alignment horizontal="right" vertical="center"/>
    </xf>
    <xf numFmtId="0" fontId="12" fillId="15" borderId="0" applyNumberFormat="0" applyBorder="0" applyAlignment="0" applyProtection="0"/>
    <xf numFmtId="0" fontId="34" fillId="0" borderId="327">
      <alignment horizontal="right" vertical="center"/>
    </xf>
    <xf numFmtId="0" fontId="46" fillId="55" borderId="337" applyNumberFormat="0" applyAlignment="0" applyProtection="0"/>
    <xf numFmtId="0" fontId="26" fillId="20" borderId="0" applyNumberFormat="0" applyBorder="0" applyAlignment="0" applyProtection="0"/>
    <xf numFmtId="0" fontId="49" fillId="42" borderId="324" applyNumberFormat="0" applyAlignment="0" applyProtection="0"/>
    <xf numFmtId="0" fontId="36" fillId="31" borderId="332">
      <alignment horizontal="right" vertical="center"/>
    </xf>
    <xf numFmtId="0" fontId="34" fillId="0" borderId="327">
      <alignment horizontal="right" vertical="center"/>
    </xf>
    <xf numFmtId="0" fontId="45" fillId="55" borderId="324" applyNumberFormat="0" applyAlignment="0" applyProtection="0"/>
    <xf numFmtId="0" fontId="32" fillId="31" borderId="332">
      <alignment horizontal="right" vertical="center"/>
    </xf>
    <xf numFmtId="0" fontId="34" fillId="0" borderId="332" applyNumberFormat="0" applyFill="0" applyAlignment="0" applyProtection="0"/>
    <xf numFmtId="4" fontId="32" fillId="31" borderId="327">
      <alignment horizontal="right" vertical="center"/>
    </xf>
    <xf numFmtId="0" fontId="32" fillId="33" borderId="328">
      <alignment horizontal="right" vertical="center"/>
    </xf>
    <xf numFmtId="4" fontId="36" fillId="31" borderId="332">
      <alignment horizontal="right" vertical="center"/>
    </xf>
    <xf numFmtId="0" fontId="46" fillId="55" borderId="324" applyNumberFormat="0" applyAlignment="0" applyProtection="0"/>
    <xf numFmtId="0" fontId="32" fillId="33" borderId="329">
      <alignment horizontal="right" vertical="center"/>
    </xf>
    <xf numFmtId="0" fontId="45" fillId="55" borderId="337" applyNumberFormat="0" applyAlignment="0" applyProtection="0"/>
    <xf numFmtId="0" fontId="65" fillId="0" borderId="338" applyNumberFormat="0" applyFill="0" applyAlignment="0" applyProtection="0"/>
    <xf numFmtId="0" fontId="50" fillId="0" borderId="325" applyNumberFormat="0" applyFill="0" applyAlignment="0" applyProtection="0"/>
    <xf numFmtId="0" fontId="32" fillId="33" borderId="334">
      <alignment horizontal="right" vertical="center"/>
    </xf>
    <xf numFmtId="0" fontId="34" fillId="0" borderId="319" applyNumberFormat="0" applyFill="0" applyAlignment="0" applyProtection="0"/>
    <xf numFmtId="0" fontId="34" fillId="33" borderId="330">
      <alignment horizontal="left" vertical="center" wrapText="1" indent="2"/>
    </xf>
    <xf numFmtId="0" fontId="12" fillId="21" borderId="0" applyNumberFormat="0" applyBorder="0" applyAlignment="0" applyProtection="0"/>
    <xf numFmtId="4" fontId="34" fillId="0" borderId="327">
      <alignment horizontal="right" vertical="center"/>
    </xf>
    <xf numFmtId="0" fontId="34" fillId="0" borderId="327">
      <alignment horizontal="right" vertical="center"/>
    </xf>
    <xf numFmtId="0" fontId="49" fillId="42" borderId="337" applyNumberFormat="0" applyAlignment="0" applyProtection="0"/>
    <xf numFmtId="49" fontId="34" fillId="0" borderId="328" applyNumberFormat="0" applyFont="0" applyFill="0" applyBorder="0" applyProtection="0">
      <alignment horizontal="left" vertical="center" indent="5"/>
    </xf>
    <xf numFmtId="0" fontId="34" fillId="31" borderId="328">
      <alignment horizontal="left" vertical="center"/>
    </xf>
    <xf numFmtId="0" fontId="34" fillId="0" borderId="330">
      <alignment horizontal="left" vertical="center" wrapText="1" indent="2"/>
    </xf>
    <xf numFmtId="0" fontId="28" fillId="12" borderId="11" applyNumberFormat="0" applyAlignment="0" applyProtection="0"/>
    <xf numFmtId="0" fontId="62" fillId="55" borderId="323" applyNumberFormat="0" applyAlignment="0" applyProtection="0"/>
    <xf numFmtId="0" fontId="26" fillId="25" borderId="0" applyNumberFormat="0" applyBorder="0" applyAlignment="0" applyProtection="0"/>
    <xf numFmtId="0" fontId="62" fillId="55" borderId="336" applyNumberFormat="0" applyAlignment="0" applyProtection="0"/>
    <xf numFmtId="0" fontId="32" fillId="33" borderId="319">
      <alignment horizontal="right" vertical="center"/>
    </xf>
    <xf numFmtId="0" fontId="32" fillId="31" borderId="327">
      <alignment horizontal="right" vertical="center"/>
    </xf>
    <xf numFmtId="0" fontId="50" fillId="0" borderId="325" applyNumberFormat="0" applyFill="0" applyAlignment="0" applyProtection="0"/>
    <xf numFmtId="0" fontId="34" fillId="0" borderId="327" applyNumberFormat="0" applyFill="0" applyAlignment="0" applyProtection="0"/>
    <xf numFmtId="0" fontId="50" fillId="0" borderId="325" applyNumberFormat="0" applyFill="0" applyAlignment="0" applyProtection="0"/>
    <xf numFmtId="4" fontId="34" fillId="0" borderId="327" applyFill="0" applyBorder="0" applyProtection="0">
      <alignment horizontal="right" vertical="center"/>
    </xf>
    <xf numFmtId="49" fontId="34" fillId="0" borderId="328" applyNumberFormat="0" applyFont="0" applyFill="0" applyBorder="0" applyProtection="0">
      <alignment horizontal="left" vertical="center" indent="5"/>
    </xf>
    <xf numFmtId="0" fontId="34" fillId="0" borderId="327" applyNumberFormat="0" applyFill="0" applyAlignment="0" applyProtection="0"/>
    <xf numFmtId="0" fontId="34" fillId="0" borderId="335">
      <alignment horizontal="left" vertical="center" wrapText="1" indent="2"/>
    </xf>
    <xf numFmtId="0" fontId="34" fillId="0" borderId="327" applyNumberFormat="0" applyFill="0" applyAlignment="0" applyProtection="0"/>
    <xf numFmtId="4" fontId="32" fillId="33" borderId="327">
      <alignment horizontal="right" vertical="center"/>
    </xf>
    <xf numFmtId="0" fontId="43" fillId="55" borderId="336" applyNumberFormat="0" applyAlignment="0" applyProtection="0"/>
    <xf numFmtId="0" fontId="49" fillId="42" borderId="324" applyNumberFormat="0" applyAlignment="0" applyProtection="0"/>
    <xf numFmtId="0" fontId="46" fillId="55" borderId="324" applyNumberFormat="0" applyAlignment="0" applyProtection="0"/>
    <xf numFmtId="4" fontId="34" fillId="0" borderId="327">
      <alignment horizontal="right" vertical="center"/>
    </xf>
    <xf numFmtId="0" fontId="34" fillId="33" borderId="330">
      <alignment horizontal="left" vertical="center" wrapText="1" indent="2"/>
    </xf>
    <xf numFmtId="0" fontId="34" fillId="0" borderId="330">
      <alignment horizontal="left" vertical="center" wrapText="1" indent="2"/>
    </xf>
    <xf numFmtId="0" fontId="62" fillId="55" borderId="323" applyNumberFormat="0" applyAlignment="0" applyProtection="0"/>
    <xf numFmtId="0" fontId="58" fillId="42" borderId="324" applyNumberFormat="0" applyAlignment="0" applyProtection="0"/>
    <xf numFmtId="0" fontId="45" fillId="55" borderId="324" applyNumberFormat="0" applyAlignment="0" applyProtection="0"/>
    <xf numFmtId="0" fontId="43" fillId="55" borderId="323" applyNumberFormat="0" applyAlignment="0" applyProtection="0"/>
    <xf numFmtId="0" fontId="32" fillId="33" borderId="329">
      <alignment horizontal="right" vertical="center"/>
    </xf>
    <xf numFmtId="0" fontId="36" fillId="31" borderId="327">
      <alignment horizontal="right" vertical="center"/>
    </xf>
    <xf numFmtId="4" fontId="32" fillId="31" borderId="327">
      <alignment horizontal="right" vertical="center"/>
    </xf>
    <xf numFmtId="4" fontId="32" fillId="33" borderId="327">
      <alignment horizontal="right" vertical="center"/>
    </xf>
    <xf numFmtId="49" fontId="34" fillId="0" borderId="328" applyNumberFormat="0" applyFont="0" applyFill="0" applyBorder="0" applyProtection="0">
      <alignment horizontal="left" vertical="center" indent="5"/>
    </xf>
    <xf numFmtId="4" fontId="34" fillId="0" borderId="327" applyFill="0" applyBorder="0" applyProtection="0">
      <alignment horizontal="right" vertical="center"/>
    </xf>
    <xf numFmtId="4" fontId="32" fillId="31" borderId="327">
      <alignment horizontal="right" vertical="center"/>
    </xf>
    <xf numFmtId="0" fontId="58" fillId="42" borderId="324" applyNumberFormat="0" applyAlignment="0" applyProtection="0"/>
    <xf numFmtId="0" fontId="49" fillId="42" borderId="324" applyNumberFormat="0" applyAlignment="0" applyProtection="0"/>
    <xf numFmtId="0" fontId="45" fillId="55" borderId="324" applyNumberFormat="0" applyAlignment="0" applyProtection="0"/>
    <xf numFmtId="0" fontId="34" fillId="33" borderId="330">
      <alignment horizontal="left" vertical="center" wrapText="1" indent="2"/>
    </xf>
    <xf numFmtId="0" fontId="34" fillId="0" borderId="330">
      <alignment horizontal="left" vertical="center" wrapText="1" indent="2"/>
    </xf>
    <xf numFmtId="0" fontId="34" fillId="33" borderId="330">
      <alignment horizontal="left" vertical="center" wrapText="1" indent="2"/>
    </xf>
    <xf numFmtId="173" fontId="34" fillId="59" borderId="332" applyNumberFormat="0" applyFont="0" applyBorder="0" applyAlignment="0" applyProtection="0">
      <alignment horizontal="right" vertical="center"/>
    </xf>
    <xf numFmtId="4" fontId="36" fillId="31" borderId="332">
      <alignment horizontal="right" vertical="center"/>
    </xf>
    <xf numFmtId="0" fontId="34" fillId="33" borderId="335">
      <alignment horizontal="left" vertical="center" wrapText="1" indent="2"/>
    </xf>
    <xf numFmtId="0" fontId="26" fillId="25" borderId="0" applyNumberFormat="0" applyBorder="0" applyAlignment="0" applyProtection="0"/>
    <xf numFmtId="0" fontId="26" fillId="16" borderId="0" applyNumberFormat="0" applyBorder="0" applyAlignment="0" applyProtection="0"/>
    <xf numFmtId="4" fontId="32" fillId="33" borderId="334">
      <alignment horizontal="right" vertical="center"/>
    </xf>
    <xf numFmtId="0" fontId="5" fillId="58" borderId="331" applyNumberFormat="0" applyFont="0" applyAlignment="0" applyProtection="0"/>
    <xf numFmtId="0" fontId="1" fillId="0" borderId="0" applyNumberFormat="0" applyFill="0" applyBorder="0" applyAlignment="0" applyProtection="0"/>
    <xf numFmtId="0" fontId="26" fillId="22" borderId="0" applyNumberFormat="0" applyBorder="0" applyAlignment="0" applyProtection="0"/>
    <xf numFmtId="0" fontId="34" fillId="33" borderId="335">
      <alignment horizontal="left" vertical="center" wrapText="1" indent="2"/>
    </xf>
    <xf numFmtId="4" fontId="32" fillId="33" borderId="334">
      <alignment horizontal="right" vertical="center"/>
    </xf>
    <xf numFmtId="0" fontId="62" fillId="55" borderId="336" applyNumberFormat="0" applyAlignment="0" applyProtection="0"/>
    <xf numFmtId="4" fontId="36" fillId="31" borderId="332">
      <alignment horizontal="right" vertical="center"/>
    </xf>
    <xf numFmtId="4" fontId="32" fillId="33" borderId="332">
      <alignment horizontal="right" vertical="center"/>
    </xf>
    <xf numFmtId="0" fontId="46" fillId="55" borderId="337" applyNumberFormat="0" applyAlignment="0" applyProtection="0"/>
    <xf numFmtId="0" fontId="65" fillId="0" borderId="338" applyNumberFormat="0" applyFill="0" applyAlignment="0" applyProtection="0"/>
    <xf numFmtId="4" fontId="32" fillId="33" borderId="332">
      <alignment horizontal="right" vertical="center"/>
    </xf>
    <xf numFmtId="4" fontId="36" fillId="31" borderId="332">
      <alignment horizontal="right" vertical="center"/>
    </xf>
    <xf numFmtId="0" fontId="50" fillId="0" borderId="338" applyNumberFormat="0" applyFill="0" applyAlignment="0" applyProtection="0"/>
    <xf numFmtId="0" fontId="49" fillId="42" borderId="337" applyNumberFormat="0" applyAlignment="0" applyProtection="0"/>
    <xf numFmtId="0" fontId="62" fillId="55" borderId="336" applyNumberFormat="0" applyAlignment="0" applyProtection="0"/>
    <xf numFmtId="0" fontId="43" fillId="55" borderId="336" applyNumberFormat="0" applyAlignment="0" applyProtection="0"/>
    <xf numFmtId="0" fontId="46" fillId="55" borderId="337" applyNumberFormat="0" applyAlignment="0" applyProtection="0"/>
    <xf numFmtId="0" fontId="62" fillId="55" borderId="336" applyNumberFormat="0" applyAlignment="0" applyProtection="0"/>
    <xf numFmtId="4" fontId="34" fillId="0" borderId="332" applyFill="0" applyBorder="0" applyProtection="0">
      <alignment horizontal="right" vertical="center"/>
    </xf>
    <xf numFmtId="0" fontId="45" fillId="55" borderId="337" applyNumberFormat="0" applyAlignment="0" applyProtection="0"/>
    <xf numFmtId="0" fontId="62" fillId="55" borderId="336" applyNumberFormat="0" applyAlignment="0" applyProtection="0"/>
    <xf numFmtId="0" fontId="34" fillId="33" borderId="335">
      <alignment horizontal="left" vertical="center" wrapText="1" indent="2"/>
    </xf>
    <xf numFmtId="0" fontId="58" fillId="42" borderId="337" applyNumberFormat="0" applyAlignment="0" applyProtection="0"/>
    <xf numFmtId="0" fontId="5" fillId="58" borderId="331" applyNumberFormat="0" applyFont="0" applyAlignment="0" applyProtection="0"/>
    <xf numFmtId="4" fontId="36" fillId="31" borderId="332">
      <alignment horizontal="right" vertical="center"/>
    </xf>
    <xf numFmtId="0" fontId="32" fillId="33" borderId="332">
      <alignment horizontal="right" vertical="center"/>
    </xf>
    <xf numFmtId="0" fontId="49" fillId="42" borderId="337" applyNumberFormat="0" applyAlignment="0" applyProtection="0"/>
    <xf numFmtId="173" fontId="34" fillId="59" borderId="332" applyNumberFormat="0" applyFont="0" applyBorder="0" applyAlignment="0" applyProtection="0">
      <alignment horizontal="right" vertical="center"/>
    </xf>
    <xf numFmtId="49" fontId="34" fillId="0" borderId="332" applyNumberFormat="0" applyFont="0" applyFill="0" applyBorder="0" applyProtection="0">
      <alignment horizontal="left" vertical="center" indent="2"/>
    </xf>
    <xf numFmtId="0" fontId="34" fillId="32" borderId="332"/>
    <xf numFmtId="0" fontId="34" fillId="0" borderId="332">
      <alignment horizontal="right" vertical="center"/>
    </xf>
    <xf numFmtId="0" fontId="26" fillId="26" borderId="0" applyNumberFormat="0" applyBorder="0" applyAlignment="0" applyProtection="0"/>
    <xf numFmtId="0" fontId="26" fillId="17" borderId="0" applyNumberFormat="0" applyBorder="0" applyAlignment="0" applyProtection="0"/>
    <xf numFmtId="4" fontId="32" fillId="33" borderId="332">
      <alignment horizontal="right" vertical="center"/>
    </xf>
    <xf numFmtId="49" fontId="34" fillId="0" borderId="332" applyNumberFormat="0" applyFont="0" applyFill="0" applyBorder="0" applyProtection="0">
      <alignment horizontal="left" vertical="center" indent="2"/>
    </xf>
    <xf numFmtId="0" fontId="34" fillId="0" borderId="332">
      <alignment horizontal="right" vertical="center"/>
    </xf>
    <xf numFmtId="0" fontId="50" fillId="0" borderId="338" applyNumberFormat="0" applyFill="0" applyAlignment="0" applyProtection="0"/>
    <xf numFmtId="0" fontId="34" fillId="0" borderId="332">
      <alignment horizontal="right" vertical="center"/>
    </xf>
    <xf numFmtId="0" fontId="26" fillId="20" borderId="0" applyNumberFormat="0" applyBorder="0" applyAlignment="0" applyProtection="0"/>
    <xf numFmtId="0" fontId="65" fillId="0" borderId="338" applyNumberFormat="0" applyFill="0" applyAlignment="0" applyProtection="0"/>
    <xf numFmtId="0" fontId="2" fillId="0" borderId="12" applyNumberFormat="0" applyFill="0" applyAlignment="0" applyProtection="0"/>
    <xf numFmtId="49" fontId="34" fillId="0" borderId="333" applyNumberFormat="0" applyFont="0" applyFill="0" applyBorder="0" applyProtection="0">
      <alignment horizontal="left" vertical="center" indent="5"/>
    </xf>
    <xf numFmtId="0" fontId="58" fillId="42" borderId="337" applyNumberFormat="0" applyAlignment="0" applyProtection="0"/>
    <xf numFmtId="4" fontId="34" fillId="0" borderId="332">
      <alignment horizontal="right" vertical="center"/>
    </xf>
    <xf numFmtId="0" fontId="65" fillId="0" borderId="338" applyNumberFormat="0" applyFill="0" applyAlignment="0" applyProtection="0"/>
    <xf numFmtId="4" fontId="32" fillId="31" borderId="332">
      <alignment horizontal="right" vertical="center"/>
    </xf>
    <xf numFmtId="0" fontId="34" fillId="0" borderId="332">
      <alignment horizontal="right" vertical="center"/>
    </xf>
    <xf numFmtId="0" fontId="43" fillId="55" borderId="336" applyNumberFormat="0" applyAlignment="0" applyProtection="0"/>
    <xf numFmtId="0" fontId="12" fillId="27" borderId="0" applyNumberFormat="0" applyBorder="0" applyAlignment="0" applyProtection="0"/>
    <xf numFmtId="0" fontId="40" fillId="58" borderId="331" applyNumberFormat="0" applyFont="0" applyAlignment="0" applyProtection="0"/>
    <xf numFmtId="0" fontId="5" fillId="58" borderId="331" applyNumberFormat="0" applyFont="0" applyAlignment="0" applyProtection="0"/>
    <xf numFmtId="4" fontId="34" fillId="32" borderId="332"/>
    <xf numFmtId="0" fontId="40" fillId="58" borderId="331" applyNumberFormat="0" applyFont="0" applyAlignment="0" applyProtection="0"/>
    <xf numFmtId="4" fontId="34" fillId="32" borderId="332"/>
    <xf numFmtId="0" fontId="62" fillId="55" borderId="336" applyNumberFormat="0" applyAlignment="0" applyProtection="0"/>
    <xf numFmtId="49" fontId="34" fillId="0" borderId="333" applyNumberFormat="0" applyFont="0" applyFill="0" applyBorder="0" applyProtection="0">
      <alignment horizontal="left" vertical="center" indent="5"/>
    </xf>
    <xf numFmtId="0" fontId="34" fillId="0" borderId="332">
      <alignment horizontal="right" vertical="center"/>
    </xf>
    <xf numFmtId="0" fontId="5" fillId="58" borderId="331" applyNumberFormat="0" applyFont="0" applyAlignment="0" applyProtection="0"/>
    <xf numFmtId="0" fontId="32" fillId="31" borderId="332">
      <alignment horizontal="right" vertical="center"/>
    </xf>
    <xf numFmtId="0" fontId="65" fillId="0" borderId="338" applyNumberFormat="0" applyFill="0" applyAlignment="0" applyProtection="0"/>
    <xf numFmtId="173" fontId="34" fillId="59" borderId="332" applyNumberFormat="0" applyFont="0" applyBorder="0" applyAlignment="0" applyProtection="0">
      <alignment horizontal="right" vertical="center"/>
    </xf>
    <xf numFmtId="0" fontId="50" fillId="0" borderId="338" applyNumberFormat="0" applyFill="0" applyAlignment="0" applyProtection="0"/>
    <xf numFmtId="0" fontId="65" fillId="0" borderId="338" applyNumberFormat="0" applyFill="0" applyAlignment="0" applyProtection="0"/>
    <xf numFmtId="0" fontId="45" fillId="55" borderId="337" applyNumberFormat="0" applyAlignment="0" applyProtection="0"/>
    <xf numFmtId="0" fontId="26" fillId="23" borderId="0" applyNumberFormat="0" applyBorder="0" applyAlignment="0" applyProtection="0"/>
    <xf numFmtId="0" fontId="32" fillId="31" borderId="332">
      <alignment horizontal="right" vertical="center"/>
    </xf>
    <xf numFmtId="0" fontId="34" fillId="0" borderId="335">
      <alignment horizontal="left" vertical="center" wrapText="1" indent="2"/>
    </xf>
    <xf numFmtId="0" fontId="32" fillId="31" borderId="332">
      <alignment horizontal="right" vertical="center"/>
    </xf>
    <xf numFmtId="0" fontId="12" fillId="30" borderId="0" applyNumberFormat="0" applyBorder="0" applyAlignment="0" applyProtection="0"/>
    <xf numFmtId="0" fontId="34" fillId="32" borderId="332"/>
    <xf numFmtId="4" fontId="32" fillId="33" borderId="332">
      <alignment horizontal="right" vertical="center"/>
    </xf>
    <xf numFmtId="4" fontId="36" fillId="31" borderId="332">
      <alignment horizontal="right" vertical="center"/>
    </xf>
    <xf numFmtId="0" fontId="65" fillId="0" borderId="338" applyNumberFormat="0" applyFill="0" applyAlignment="0" applyProtection="0"/>
    <xf numFmtId="0" fontId="34" fillId="0" borderId="335">
      <alignment horizontal="left" vertical="center" wrapText="1" indent="2"/>
    </xf>
    <xf numFmtId="49" fontId="34" fillId="0" borderId="332" applyNumberFormat="0" applyFont="0" applyFill="0" applyBorder="0" applyProtection="0">
      <alignment horizontal="left" vertical="center" indent="2"/>
    </xf>
    <xf numFmtId="0" fontId="34" fillId="32" borderId="332"/>
    <xf numFmtId="0" fontId="32" fillId="33" borderId="332">
      <alignment horizontal="right" vertical="center"/>
    </xf>
    <xf numFmtId="4" fontId="34" fillId="0" borderId="332">
      <alignment horizontal="right" vertical="center"/>
    </xf>
    <xf numFmtId="0" fontId="46" fillId="55" borderId="337" applyNumberFormat="0" applyAlignment="0" applyProtection="0"/>
    <xf numFmtId="173" fontId="34" fillId="59" borderId="332" applyNumberFormat="0" applyFont="0" applyBorder="0" applyAlignment="0" applyProtection="0">
      <alignment horizontal="right" vertical="center"/>
    </xf>
    <xf numFmtId="4" fontId="32" fillId="33" borderId="332">
      <alignment horizontal="right" vertical="center"/>
    </xf>
    <xf numFmtId="0" fontId="40" fillId="58" borderId="331" applyNumberFormat="0" applyFont="0" applyAlignment="0" applyProtection="0"/>
    <xf numFmtId="0" fontId="58" fillId="42" borderId="337" applyNumberFormat="0" applyAlignment="0" applyProtection="0"/>
    <xf numFmtId="0" fontId="43" fillId="55" borderId="336" applyNumberFormat="0" applyAlignment="0" applyProtection="0"/>
    <xf numFmtId="0" fontId="34" fillId="0" borderId="335">
      <alignment horizontal="left" vertical="center" wrapText="1" indent="2"/>
    </xf>
    <xf numFmtId="0" fontId="58" fillId="42" borderId="337" applyNumberFormat="0" applyAlignment="0" applyProtection="0"/>
    <xf numFmtId="0" fontId="43" fillId="55" borderId="336" applyNumberFormat="0" applyAlignment="0" applyProtection="0"/>
    <xf numFmtId="0" fontId="34" fillId="33" borderId="335">
      <alignment horizontal="left" vertical="center" wrapText="1" indent="2"/>
    </xf>
    <xf numFmtId="0" fontId="34" fillId="31" borderId="333">
      <alignment horizontal="left" vertical="center"/>
    </xf>
    <xf numFmtId="173" fontId="34" fillId="59" borderId="332" applyNumberFormat="0" applyFont="0" applyBorder="0" applyAlignment="0" applyProtection="0">
      <alignment horizontal="right" vertical="center"/>
    </xf>
    <xf numFmtId="4" fontId="34" fillId="0" borderId="332">
      <alignment horizontal="right" vertical="center"/>
    </xf>
    <xf numFmtId="0" fontId="26" fillId="28" borderId="0" applyNumberFormat="0" applyBorder="0" applyAlignment="0" applyProtection="0"/>
    <xf numFmtId="0" fontId="26" fillId="28" borderId="0" applyNumberFormat="0" applyBorder="0" applyAlignment="0" applyProtection="0"/>
    <xf numFmtId="49" fontId="34" fillId="0" borderId="332" applyNumberFormat="0" applyFont="0" applyFill="0" applyBorder="0" applyProtection="0">
      <alignment horizontal="left" vertical="center" indent="2"/>
    </xf>
    <xf numFmtId="0" fontId="43" fillId="55" borderId="336" applyNumberFormat="0" applyAlignment="0" applyProtection="0"/>
    <xf numFmtId="0" fontId="29" fillId="12" borderId="10" applyNumberFormat="0" applyAlignment="0" applyProtection="0"/>
    <xf numFmtId="0" fontId="62" fillId="55" borderId="336" applyNumberFormat="0" applyAlignment="0" applyProtection="0"/>
    <xf numFmtId="0" fontId="34" fillId="31" borderId="333">
      <alignment horizontal="left" vertical="center"/>
    </xf>
    <xf numFmtId="0" fontId="34" fillId="0" borderId="335">
      <alignment horizontal="left" vertical="center" wrapText="1" indent="2"/>
    </xf>
    <xf numFmtId="0" fontId="49" fillId="42" borderId="337" applyNumberFormat="0" applyAlignment="0" applyProtection="0"/>
    <xf numFmtId="0" fontId="32" fillId="31" borderId="332">
      <alignment horizontal="right" vertical="center"/>
    </xf>
    <xf numFmtId="0" fontId="34" fillId="33" borderId="335">
      <alignment horizontal="left" vertical="center" wrapText="1" indent="2"/>
    </xf>
    <xf numFmtId="4" fontId="36" fillId="31" borderId="332">
      <alignment horizontal="right" vertical="center"/>
    </xf>
    <xf numFmtId="0" fontId="32" fillId="33" borderId="333">
      <alignment horizontal="right" vertical="center"/>
    </xf>
    <xf numFmtId="4" fontId="36" fillId="31" borderId="332">
      <alignment horizontal="right" vertical="center"/>
    </xf>
    <xf numFmtId="0" fontId="65" fillId="0" borderId="338" applyNumberFormat="0" applyFill="0" applyAlignment="0" applyProtection="0"/>
    <xf numFmtId="0" fontId="5" fillId="58" borderId="331" applyNumberFormat="0" applyFont="0" applyAlignment="0" applyProtection="0"/>
    <xf numFmtId="0" fontId="32" fillId="31" borderId="332">
      <alignment horizontal="right" vertical="center"/>
    </xf>
    <xf numFmtId="0" fontId="12" fillId="27" borderId="0" applyNumberFormat="0" applyBorder="0" applyAlignment="0" applyProtection="0"/>
    <xf numFmtId="4" fontId="32" fillId="33" borderId="332">
      <alignment horizontal="right" vertical="center"/>
    </xf>
    <xf numFmtId="0" fontId="34" fillId="0" borderId="332" applyNumberFormat="0" applyFill="0" applyAlignment="0" applyProtection="0"/>
    <xf numFmtId="0" fontId="34" fillId="0" borderId="332">
      <alignment horizontal="right" vertical="center"/>
    </xf>
    <xf numFmtId="0" fontId="65" fillId="0" borderId="338" applyNumberFormat="0" applyFill="0" applyAlignment="0" applyProtection="0"/>
    <xf numFmtId="0" fontId="36" fillId="31" borderId="332">
      <alignment horizontal="right" vertical="center"/>
    </xf>
    <xf numFmtId="0" fontId="46" fillId="55" borderId="337" applyNumberFormat="0" applyAlignment="0" applyProtection="0"/>
    <xf numFmtId="4" fontId="32" fillId="33" borderId="332">
      <alignment horizontal="right" vertical="center"/>
    </xf>
    <xf numFmtId="0" fontId="46" fillId="55" borderId="337" applyNumberFormat="0" applyAlignment="0" applyProtection="0"/>
    <xf numFmtId="0" fontId="32" fillId="33" borderId="332">
      <alignment horizontal="right" vertical="center"/>
    </xf>
    <xf numFmtId="0" fontId="34" fillId="32" borderId="332"/>
    <xf numFmtId="173" fontId="34" fillId="59" borderId="332" applyNumberFormat="0" applyFont="0" applyBorder="0" applyAlignment="0" applyProtection="0">
      <alignment horizontal="right" vertical="center"/>
    </xf>
    <xf numFmtId="0" fontId="26" fillId="16" borderId="0" applyNumberFormat="0" applyBorder="0" applyAlignment="0" applyProtection="0"/>
    <xf numFmtId="49" fontId="33" fillId="0" borderId="332" applyNumberFormat="0" applyFill="0" applyBorder="0" applyProtection="0">
      <alignment horizontal="left" vertical="center"/>
    </xf>
    <xf numFmtId="0" fontId="46" fillId="55" borderId="337" applyNumberFormat="0" applyAlignment="0" applyProtection="0"/>
    <xf numFmtId="0" fontId="26" fillId="23" borderId="0" applyNumberFormat="0" applyBorder="0" applyAlignment="0" applyProtection="0"/>
    <xf numFmtId="49" fontId="33" fillId="0" borderId="332" applyNumberFormat="0" applyFill="0" applyBorder="0" applyProtection="0">
      <alignment horizontal="left" vertical="center"/>
    </xf>
    <xf numFmtId="0" fontId="62" fillId="55" borderId="336" applyNumberFormat="0" applyAlignment="0" applyProtection="0"/>
    <xf numFmtId="0" fontId="36" fillId="31" borderId="332">
      <alignment horizontal="right" vertical="center"/>
    </xf>
    <xf numFmtId="173" fontId="34" fillId="59" borderId="332" applyNumberFormat="0" applyFont="0" applyBorder="0" applyAlignment="0" applyProtection="0">
      <alignment horizontal="right" vertical="center"/>
    </xf>
    <xf numFmtId="0" fontId="26" fillId="19" borderId="0" applyNumberFormat="0" applyBorder="0" applyAlignment="0" applyProtection="0"/>
    <xf numFmtId="0" fontId="5" fillId="58" borderId="331" applyNumberFormat="0" applyFont="0" applyAlignment="0" applyProtection="0"/>
    <xf numFmtId="0" fontId="30" fillId="0" borderId="0" applyNumberFormat="0" applyFill="0" applyBorder="0" applyAlignment="0" applyProtection="0"/>
    <xf numFmtId="4" fontId="34" fillId="0" borderId="332" applyFill="0" applyBorder="0" applyProtection="0">
      <alignment horizontal="right" vertical="center"/>
    </xf>
    <xf numFmtId="0" fontId="58" fillId="42" borderId="337" applyNumberFormat="0" applyAlignment="0" applyProtection="0"/>
    <xf numFmtId="4" fontId="32" fillId="33" borderId="333">
      <alignment horizontal="right" vertical="center"/>
    </xf>
    <xf numFmtId="0" fontId="65" fillId="0" borderId="338" applyNumberFormat="0" applyFill="0" applyAlignment="0" applyProtection="0"/>
    <xf numFmtId="0" fontId="34" fillId="32" borderId="332"/>
    <xf numFmtId="0" fontId="62" fillId="55" borderId="336" applyNumberFormat="0" applyAlignment="0" applyProtection="0"/>
    <xf numFmtId="0" fontId="26" fillId="20" borderId="0" applyNumberFormat="0" applyBorder="0" applyAlignment="0" applyProtection="0"/>
    <xf numFmtId="0" fontId="58" fillId="42" borderId="337" applyNumberFormat="0" applyAlignment="0" applyProtection="0"/>
    <xf numFmtId="0" fontId="34" fillId="0" borderId="332" applyNumberFormat="0" applyFill="0" applyAlignment="0" applyProtection="0"/>
    <xf numFmtId="0" fontId="46" fillId="55" borderId="337" applyNumberFormat="0" applyAlignment="0" applyProtection="0"/>
    <xf numFmtId="0" fontId="34" fillId="0" borderId="332" applyNumberFormat="0" applyFill="0" applyAlignment="0" applyProtection="0"/>
    <xf numFmtId="0" fontId="34" fillId="0" borderId="332">
      <alignment horizontal="right" vertical="center"/>
    </xf>
    <xf numFmtId="49" fontId="33" fillId="0" borderId="332" applyNumberFormat="0" applyFill="0" applyBorder="0" applyProtection="0">
      <alignment horizontal="left" vertical="center"/>
    </xf>
    <xf numFmtId="4" fontId="32" fillId="33" borderId="334">
      <alignment horizontal="right" vertical="center"/>
    </xf>
    <xf numFmtId="4" fontId="34" fillId="0" borderId="332" applyFill="0" applyBorder="0" applyProtection="0">
      <alignment horizontal="right" vertical="center"/>
    </xf>
    <xf numFmtId="0" fontId="34" fillId="32" borderId="332"/>
    <xf numFmtId="4" fontId="34" fillId="0" borderId="332">
      <alignment horizontal="right" vertical="center"/>
    </xf>
    <xf numFmtId="49" fontId="33" fillId="0" borderId="332" applyNumberFormat="0" applyFill="0" applyBorder="0" applyProtection="0">
      <alignment horizontal="left" vertical="center"/>
    </xf>
    <xf numFmtId="0" fontId="5" fillId="58" borderId="331" applyNumberFormat="0" applyFont="0" applyAlignment="0" applyProtection="0"/>
    <xf numFmtId="4" fontId="34" fillId="32" borderId="332"/>
    <xf numFmtId="0" fontId="46" fillId="55" borderId="337" applyNumberFormat="0" applyAlignment="0" applyProtection="0"/>
    <xf numFmtId="0" fontId="46" fillId="55" borderId="337" applyNumberFormat="0" applyAlignment="0" applyProtection="0"/>
    <xf numFmtId="49" fontId="34" fillId="0" borderId="333" applyNumberFormat="0" applyFont="0" applyFill="0" applyBorder="0" applyProtection="0">
      <alignment horizontal="left" vertical="center" indent="5"/>
    </xf>
    <xf numFmtId="0" fontId="12" fillId="24" borderId="0" applyNumberFormat="0" applyBorder="0" applyAlignment="0" applyProtection="0"/>
    <xf numFmtId="0" fontId="32" fillId="33" borderId="333">
      <alignment horizontal="right" vertical="center"/>
    </xf>
    <xf numFmtId="0" fontId="58" fillId="42" borderId="337" applyNumberFormat="0" applyAlignment="0" applyProtection="0"/>
    <xf numFmtId="4" fontId="34" fillId="0" borderId="332">
      <alignment horizontal="right" vertical="center"/>
    </xf>
    <xf numFmtId="0" fontId="58" fillId="42" borderId="337" applyNumberFormat="0" applyAlignment="0" applyProtection="0"/>
    <xf numFmtId="0" fontId="36" fillId="31" borderId="332">
      <alignment horizontal="right" vertical="center"/>
    </xf>
    <xf numFmtId="0" fontId="26" fillId="29" borderId="0" applyNumberFormat="0" applyBorder="0" applyAlignment="0" applyProtection="0"/>
    <xf numFmtId="49" fontId="34" fillId="0" borderId="332" applyNumberFormat="0" applyFont="0" applyFill="0" applyBorder="0" applyProtection="0">
      <alignment horizontal="left" vertical="center" indent="2"/>
    </xf>
    <xf numFmtId="173" fontId="34" fillId="59" borderId="332" applyNumberFormat="0" applyFont="0" applyBorder="0" applyAlignment="0" applyProtection="0">
      <alignment horizontal="right" vertical="center"/>
    </xf>
    <xf numFmtId="0" fontId="40" fillId="58" borderId="331" applyNumberFormat="0" applyFont="0" applyAlignment="0" applyProtection="0"/>
    <xf numFmtId="4" fontId="34" fillId="0" borderId="332" applyFill="0" applyBorder="0" applyProtection="0">
      <alignment horizontal="right" vertical="center"/>
    </xf>
    <xf numFmtId="49" fontId="34" fillId="0" borderId="333" applyNumberFormat="0" applyFont="0" applyFill="0" applyBorder="0" applyProtection="0">
      <alignment horizontal="left" vertical="center" indent="5"/>
    </xf>
    <xf numFmtId="0" fontId="45" fillId="55" borderId="337" applyNumberFormat="0" applyAlignment="0" applyProtection="0"/>
    <xf numFmtId="0" fontId="12" fillId="30" borderId="0" applyNumberFormat="0" applyBorder="0" applyAlignment="0" applyProtection="0"/>
    <xf numFmtId="0" fontId="34" fillId="0" borderId="335">
      <alignment horizontal="left" vertical="center" wrapText="1" indent="2"/>
    </xf>
    <xf numFmtId="4" fontId="32" fillId="33" borderId="333">
      <alignment horizontal="right" vertical="center"/>
    </xf>
    <xf numFmtId="0" fontId="12" fillId="21" borderId="0" applyNumberFormat="0" applyBorder="0" applyAlignment="0" applyProtection="0"/>
    <xf numFmtId="49" fontId="34" fillId="0" borderId="333" applyNumberFormat="0" applyFont="0" applyFill="0" applyBorder="0" applyProtection="0">
      <alignment horizontal="left" vertical="center" indent="5"/>
    </xf>
    <xf numFmtId="0" fontId="58" fillId="42" borderId="337" applyNumberFormat="0" applyAlignment="0" applyProtection="0"/>
    <xf numFmtId="0" fontId="45" fillId="55" borderId="337" applyNumberFormat="0" applyAlignment="0" applyProtection="0"/>
    <xf numFmtId="0" fontId="12" fillId="18" borderId="0" applyNumberFormat="0" applyBorder="0" applyAlignment="0" applyProtection="0"/>
    <xf numFmtId="0" fontId="62" fillId="55" borderId="336" applyNumberFormat="0" applyAlignment="0" applyProtection="0"/>
    <xf numFmtId="49" fontId="33" fillId="0" borderId="332" applyNumberFormat="0" applyFill="0" applyBorder="0" applyProtection="0">
      <alignment horizontal="left" vertical="center"/>
    </xf>
    <xf numFmtId="0" fontId="58" fillId="42" borderId="337" applyNumberFormat="0" applyAlignment="0" applyProtection="0"/>
    <xf numFmtId="0" fontId="28" fillId="12" borderId="11" applyNumberFormat="0" applyAlignment="0" applyProtection="0"/>
    <xf numFmtId="4" fontId="32" fillId="33" borderId="332">
      <alignment horizontal="right" vertical="center"/>
    </xf>
    <xf numFmtId="4" fontId="34" fillId="0" borderId="332">
      <alignment horizontal="right" vertical="center"/>
    </xf>
    <xf numFmtId="4" fontId="32" fillId="31" borderId="332">
      <alignment horizontal="right" vertical="center"/>
    </xf>
    <xf numFmtId="0" fontId="65" fillId="0" borderId="338" applyNumberFormat="0" applyFill="0" applyAlignment="0" applyProtection="0"/>
    <xf numFmtId="0" fontId="34" fillId="31" borderId="333">
      <alignment horizontal="left" vertical="center"/>
    </xf>
    <xf numFmtId="0" fontId="34" fillId="0" borderId="335">
      <alignment horizontal="left" vertical="center" wrapText="1" indent="2"/>
    </xf>
    <xf numFmtId="4" fontId="32" fillId="31" borderId="332">
      <alignment horizontal="right" vertical="center"/>
    </xf>
    <xf numFmtId="0" fontId="34" fillId="32" borderId="332"/>
    <xf numFmtId="0" fontId="49" fillId="42" borderId="337" applyNumberFormat="0" applyAlignment="0" applyProtection="0"/>
    <xf numFmtId="0" fontId="32" fillId="33" borderId="332">
      <alignment horizontal="right" vertical="center"/>
    </xf>
    <xf numFmtId="0" fontId="46" fillId="55" borderId="337" applyNumberFormat="0" applyAlignment="0" applyProtection="0"/>
    <xf numFmtId="0" fontId="28" fillId="12" borderId="11" applyNumberFormat="0" applyAlignment="0" applyProtection="0"/>
    <xf numFmtId="4" fontId="34" fillId="0" borderId="332" applyFill="0" applyBorder="0" applyProtection="0">
      <alignment horizontal="right" vertical="center"/>
    </xf>
    <xf numFmtId="0" fontId="40" fillId="58" borderId="331" applyNumberFormat="0" applyFont="0" applyAlignment="0" applyProtection="0"/>
    <xf numFmtId="0" fontId="32" fillId="31" borderId="332">
      <alignment horizontal="right" vertical="center"/>
    </xf>
    <xf numFmtId="0" fontId="50" fillId="0" borderId="338" applyNumberFormat="0" applyFill="0" applyAlignment="0" applyProtection="0"/>
    <xf numFmtId="0" fontId="34" fillId="0" borderId="332" applyNumberFormat="0" applyFill="0" applyAlignment="0" applyProtection="0"/>
    <xf numFmtId="0" fontId="50" fillId="0" borderId="338" applyNumberFormat="0" applyFill="0" applyAlignment="0" applyProtection="0"/>
    <xf numFmtId="4" fontId="34" fillId="0" borderId="332" applyFill="0" applyBorder="0" applyProtection="0">
      <alignment horizontal="right" vertical="center"/>
    </xf>
    <xf numFmtId="49" fontId="34" fillId="0" borderId="333" applyNumberFormat="0" applyFont="0" applyFill="0" applyBorder="0" applyProtection="0">
      <alignment horizontal="left" vertical="center" indent="5"/>
    </xf>
    <xf numFmtId="0" fontId="34" fillId="0" borderId="332" applyNumberFormat="0" applyFill="0" applyAlignment="0" applyProtection="0"/>
    <xf numFmtId="0" fontId="34" fillId="0" borderId="332" applyNumberFormat="0" applyFill="0" applyAlignment="0" applyProtection="0"/>
    <xf numFmtId="4" fontId="32" fillId="33" borderId="332">
      <alignment horizontal="right" vertical="center"/>
    </xf>
    <xf numFmtId="0" fontId="49" fillId="42" borderId="337" applyNumberFormat="0" applyAlignment="0" applyProtection="0"/>
    <xf numFmtId="0" fontId="46" fillId="55" borderId="337" applyNumberFormat="0" applyAlignment="0" applyProtection="0"/>
    <xf numFmtId="4" fontId="34" fillId="0" borderId="332">
      <alignment horizontal="right" vertical="center"/>
    </xf>
    <xf numFmtId="0" fontId="34" fillId="33" borderId="335">
      <alignment horizontal="left" vertical="center" wrapText="1" indent="2"/>
    </xf>
    <xf numFmtId="0" fontId="34" fillId="0" borderId="335">
      <alignment horizontal="left" vertical="center" wrapText="1" indent="2"/>
    </xf>
    <xf numFmtId="0" fontId="62" fillId="55" borderId="336" applyNumberFormat="0" applyAlignment="0" applyProtection="0"/>
    <xf numFmtId="0" fontId="58" fillId="42" borderId="337" applyNumberFormat="0" applyAlignment="0" applyProtection="0"/>
    <xf numFmtId="0" fontId="45" fillId="55" borderId="337" applyNumberFormat="0" applyAlignment="0" applyProtection="0"/>
    <xf numFmtId="0" fontId="43" fillId="55" borderId="336" applyNumberFormat="0" applyAlignment="0" applyProtection="0"/>
    <xf numFmtId="0" fontId="32" fillId="33" borderId="334">
      <alignment horizontal="right" vertical="center"/>
    </xf>
    <xf numFmtId="0" fontId="36" fillId="31" borderId="332">
      <alignment horizontal="right" vertical="center"/>
    </xf>
    <xf numFmtId="4" fontId="32" fillId="31" borderId="332">
      <alignment horizontal="right" vertical="center"/>
    </xf>
    <xf numFmtId="4" fontId="32" fillId="33" borderId="332">
      <alignment horizontal="right" vertical="center"/>
    </xf>
    <xf numFmtId="49" fontId="34" fillId="0" borderId="333" applyNumberFormat="0" applyFont="0" applyFill="0" applyBorder="0" applyProtection="0">
      <alignment horizontal="left" vertical="center" indent="5"/>
    </xf>
    <xf numFmtId="4" fontId="34" fillId="0" borderId="332" applyFill="0" applyBorder="0" applyProtection="0">
      <alignment horizontal="right" vertical="center"/>
    </xf>
    <xf numFmtId="4" fontId="32" fillId="31" borderId="332">
      <alignment horizontal="right" vertical="center"/>
    </xf>
    <xf numFmtId="0" fontId="58" fillId="42" borderId="337" applyNumberFormat="0" applyAlignment="0" applyProtection="0"/>
    <xf numFmtId="0" fontId="49" fillId="42" borderId="337" applyNumberFormat="0" applyAlignment="0" applyProtection="0"/>
    <xf numFmtId="0" fontId="45" fillId="55" borderId="337" applyNumberFormat="0" applyAlignment="0" applyProtection="0"/>
    <xf numFmtId="0" fontId="34" fillId="33" borderId="335">
      <alignment horizontal="left" vertical="center" wrapText="1" indent="2"/>
    </xf>
    <xf numFmtId="0" fontId="34" fillId="0" borderId="335">
      <alignment horizontal="left" vertical="center" wrapText="1" indent="2"/>
    </xf>
    <xf numFmtId="0" fontId="34" fillId="33" borderId="335">
      <alignment horizontal="left" vertical="center" wrapText="1" indent="2"/>
    </xf>
    <xf numFmtId="0" fontId="34" fillId="32" borderId="350"/>
    <xf numFmtId="0" fontId="29" fillId="12" borderId="10" applyNumberFormat="0" applyAlignment="0" applyProtection="0"/>
    <xf numFmtId="0" fontId="34" fillId="0" borderId="353">
      <alignment horizontal="left" vertical="center" wrapText="1" indent="2"/>
    </xf>
    <xf numFmtId="0" fontId="34" fillId="33" borderId="353">
      <alignment horizontal="left" vertical="center" wrapText="1" indent="2"/>
    </xf>
    <xf numFmtId="0" fontId="40" fillId="58" borderId="363" applyNumberFormat="0" applyFont="0" applyAlignment="0" applyProtection="0"/>
    <xf numFmtId="0" fontId="40" fillId="58" borderId="371" applyNumberFormat="0" applyFont="0" applyAlignment="0" applyProtection="0"/>
    <xf numFmtId="4" fontId="32" fillId="33" borderId="352">
      <alignment horizontal="right" vertical="center"/>
    </xf>
    <xf numFmtId="0" fontId="12" fillId="30" borderId="0" applyNumberFormat="0" applyBorder="0" applyAlignment="0" applyProtection="0"/>
    <xf numFmtId="0" fontId="34" fillId="33" borderId="353">
      <alignment horizontal="left" vertical="center" wrapText="1" indent="2"/>
    </xf>
    <xf numFmtId="0" fontId="58" fillId="42" borderId="347" applyNumberFormat="0" applyAlignment="0" applyProtection="0"/>
    <xf numFmtId="0" fontId="32" fillId="33" borderId="350">
      <alignment horizontal="right" vertical="center"/>
    </xf>
    <xf numFmtId="4" fontId="32" fillId="33" borderId="366">
      <alignment horizontal="right" vertical="center"/>
    </xf>
    <xf numFmtId="0" fontId="32" fillId="33" borderId="356">
      <alignment horizontal="right" vertical="center"/>
    </xf>
    <xf numFmtId="0" fontId="26" fillId="17" borderId="0" applyNumberFormat="0" applyBorder="0" applyAlignment="0" applyProtection="0"/>
    <xf numFmtId="0" fontId="46" fillId="55" borderId="361" applyNumberFormat="0" applyAlignment="0" applyProtection="0"/>
    <xf numFmtId="0" fontId="32" fillId="33" borderId="358">
      <alignment horizontal="right" vertical="center"/>
    </xf>
    <xf numFmtId="0" fontId="1" fillId="0" borderId="0" applyNumberFormat="0" applyFill="0" applyBorder="0" applyAlignment="0" applyProtection="0"/>
    <xf numFmtId="0" fontId="50" fillId="0" borderId="348" applyNumberFormat="0" applyFill="0" applyAlignment="0" applyProtection="0"/>
    <xf numFmtId="4" fontId="32" fillId="33" borderId="352">
      <alignment horizontal="right" vertical="center"/>
    </xf>
    <xf numFmtId="0" fontId="49" fillId="42" borderId="347" applyNumberFormat="0" applyAlignment="0" applyProtection="0"/>
    <xf numFmtId="0" fontId="12" fillId="24" borderId="0" applyNumberFormat="0" applyBorder="0" applyAlignment="0" applyProtection="0"/>
    <xf numFmtId="0" fontId="26" fillId="29" borderId="0" applyNumberFormat="0" applyBorder="0" applyAlignment="0" applyProtection="0"/>
    <xf numFmtId="4" fontId="34" fillId="32" borderId="350"/>
    <xf numFmtId="0" fontId="65" fillId="0" borderId="378" applyNumberFormat="0" applyFill="0" applyAlignment="0" applyProtection="0"/>
    <xf numFmtId="0" fontId="46" fillId="55" borderId="361" applyNumberFormat="0" applyAlignment="0" applyProtection="0"/>
    <xf numFmtId="49" fontId="34" fillId="0" borderId="350" applyNumberFormat="0" applyFont="0" applyFill="0" applyBorder="0" applyProtection="0">
      <alignment horizontal="left" vertical="center" indent="2"/>
    </xf>
    <xf numFmtId="0" fontId="32" fillId="31" borderId="350">
      <alignment horizontal="right" vertical="center"/>
    </xf>
    <xf numFmtId="0" fontId="32" fillId="31" borderId="356">
      <alignment horizontal="right" vertical="center"/>
    </xf>
    <xf numFmtId="0" fontId="45" fillId="55" borderId="369" applyNumberFormat="0" applyAlignment="0" applyProtection="0"/>
    <xf numFmtId="0" fontId="34" fillId="0" borderId="364" applyNumberFormat="0" applyFill="0" applyAlignment="0" applyProtection="0"/>
    <xf numFmtId="0" fontId="65" fillId="0" borderId="370" applyNumberFormat="0" applyFill="0" applyAlignment="0" applyProtection="0"/>
    <xf numFmtId="4" fontId="34" fillId="32" borderId="356"/>
    <xf numFmtId="49" fontId="34" fillId="0" borderId="356" applyNumberFormat="0" applyFont="0" applyFill="0" applyBorder="0" applyProtection="0">
      <alignment horizontal="left" vertical="center" indent="2"/>
    </xf>
    <xf numFmtId="0" fontId="28" fillId="12" borderId="11" applyNumberFormat="0" applyAlignment="0" applyProtection="0"/>
    <xf numFmtId="0" fontId="32" fillId="33" borderId="392">
      <alignment horizontal="right" vertical="center"/>
    </xf>
    <xf numFmtId="0" fontId="46" fillId="55" borderId="347" applyNumberFormat="0" applyAlignment="0" applyProtection="0"/>
    <xf numFmtId="0" fontId="34" fillId="31" borderId="416">
      <alignment horizontal="left" vertical="center"/>
    </xf>
    <xf numFmtId="0" fontId="12" fillId="15" borderId="0" applyNumberFormat="0" applyBorder="0" applyAlignment="0" applyProtection="0"/>
    <xf numFmtId="0" fontId="46" fillId="55" borderId="369" applyNumberFormat="0" applyAlignment="0" applyProtection="0"/>
    <xf numFmtId="0" fontId="5" fillId="58" borderId="349" applyNumberFormat="0" applyFont="0" applyAlignment="0" applyProtection="0"/>
    <xf numFmtId="0" fontId="46" fillId="55" borderId="347" applyNumberFormat="0" applyAlignment="0" applyProtection="0"/>
    <xf numFmtId="0" fontId="32" fillId="33" borderId="352">
      <alignment horizontal="right" vertical="center"/>
    </xf>
    <xf numFmtId="0" fontId="32" fillId="33" borderId="356">
      <alignment horizontal="right" vertical="center"/>
    </xf>
    <xf numFmtId="0" fontId="40" fillId="58" borderId="349" applyNumberFormat="0" applyFont="0" applyAlignment="0" applyProtection="0"/>
    <xf numFmtId="0" fontId="32" fillId="33" borderId="397">
      <alignment horizontal="right" vertical="center"/>
    </xf>
    <xf numFmtId="0" fontId="34" fillId="0" borderId="359">
      <alignment horizontal="left" vertical="center" wrapText="1" indent="2"/>
    </xf>
    <xf numFmtId="4" fontId="32" fillId="33" borderId="358">
      <alignment horizontal="right" vertical="center"/>
    </xf>
    <xf numFmtId="0" fontId="58" fillId="42" borderId="369" applyNumberFormat="0" applyAlignment="0" applyProtection="0"/>
    <xf numFmtId="4" fontId="34" fillId="32" borderId="350"/>
    <xf numFmtId="0" fontId="65" fillId="0" borderId="348" applyNumberFormat="0" applyFill="0" applyAlignment="0" applyProtection="0"/>
    <xf numFmtId="0" fontId="28" fillId="12" borderId="11" applyNumberFormat="0" applyAlignment="0" applyProtection="0"/>
    <xf numFmtId="0" fontId="29" fillId="12" borderId="10" applyNumberFormat="0" applyAlignment="0" applyProtection="0"/>
    <xf numFmtId="0" fontId="50" fillId="0" borderId="402" applyNumberFormat="0" applyFill="0" applyAlignment="0" applyProtection="0"/>
    <xf numFmtId="0" fontId="58" fillId="42" borderId="347" applyNumberFormat="0" applyAlignment="0" applyProtection="0"/>
    <xf numFmtId="0" fontId="1" fillId="0" borderId="0" applyNumberFormat="0" applyFill="0" applyBorder="0" applyAlignment="0" applyProtection="0"/>
    <xf numFmtId="4" fontId="32" fillId="33" borderId="350">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46" fillId="55" borderId="377" applyNumberFormat="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34" fillId="0" borderId="359">
      <alignment horizontal="left" vertical="center" wrapText="1" indent="2"/>
    </xf>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20"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4" fontId="32" fillId="33" borderId="383">
      <alignment horizontal="right" vertical="center"/>
    </xf>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40" fillId="58" borderId="371" applyNumberFormat="0" applyFont="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65" fillId="0" borderId="402" applyNumberFormat="0" applyFill="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332" applyNumberFormat="0" applyFill="0" applyAlignment="0" applyProtection="0"/>
    <xf numFmtId="0" fontId="32" fillId="33" borderId="332">
      <alignment horizontal="right" vertical="center"/>
    </xf>
    <xf numFmtId="0" fontId="32" fillId="33" borderId="332">
      <alignment horizontal="right" vertical="center"/>
    </xf>
    <xf numFmtId="0" fontId="34" fillId="0" borderId="335">
      <alignment horizontal="left" vertical="center" wrapText="1" indent="2"/>
    </xf>
    <xf numFmtId="0" fontId="32" fillId="33" borderId="334">
      <alignment horizontal="right" vertical="center"/>
    </xf>
    <xf numFmtId="0" fontId="34" fillId="0" borderId="332">
      <alignment horizontal="right" vertical="center"/>
    </xf>
    <xf numFmtId="0" fontId="36" fillId="31" borderId="332">
      <alignment horizontal="right" vertical="center"/>
    </xf>
    <xf numFmtId="0" fontId="34" fillId="32" borderId="332"/>
    <xf numFmtId="0" fontId="32" fillId="31" borderId="332">
      <alignment horizontal="right" vertical="center"/>
    </xf>
    <xf numFmtId="0" fontId="62" fillId="55" borderId="354" applyNumberFormat="0" applyAlignment="0" applyProtection="0"/>
    <xf numFmtId="0" fontId="36" fillId="31" borderId="350">
      <alignment horizontal="right" vertical="center"/>
    </xf>
    <xf numFmtId="4" fontId="36" fillId="31" borderId="356">
      <alignment horizontal="right" vertical="center"/>
    </xf>
    <xf numFmtId="0" fontId="30" fillId="0" borderId="0" applyNumberFormat="0" applyFill="0" applyBorder="0" applyAlignment="0" applyProtection="0"/>
    <xf numFmtId="0" fontId="5" fillId="58" borderId="355" applyNumberFormat="0" applyFont="0" applyAlignment="0" applyProtection="0"/>
    <xf numFmtId="4" fontId="32" fillId="33" borderId="352">
      <alignment horizontal="right" vertical="center"/>
    </xf>
    <xf numFmtId="0" fontId="65" fillId="0" borderId="348" applyNumberFormat="0" applyFill="0" applyAlignment="0" applyProtection="0"/>
    <xf numFmtId="0" fontId="46" fillId="55" borderId="347" applyNumberFormat="0" applyAlignment="0" applyProtection="0"/>
    <xf numFmtId="0" fontId="32" fillId="33" borderId="350">
      <alignment horizontal="right" vertical="center"/>
    </xf>
    <xf numFmtId="0" fontId="32" fillId="33" borderId="350">
      <alignment horizontal="right" vertical="center"/>
    </xf>
    <xf numFmtId="0" fontId="32" fillId="33" borderId="351">
      <alignment horizontal="right" vertical="center"/>
    </xf>
    <xf numFmtId="4" fontId="34" fillId="32" borderId="372"/>
    <xf numFmtId="0" fontId="12" fillId="27" borderId="0" applyNumberFormat="0" applyBorder="0" applyAlignment="0" applyProtection="0"/>
    <xf numFmtId="0" fontId="32" fillId="33" borderId="356">
      <alignment horizontal="right" vertical="center"/>
    </xf>
    <xf numFmtId="49" fontId="33" fillId="0" borderId="356" applyNumberFormat="0" applyFill="0" applyBorder="0" applyProtection="0">
      <alignment horizontal="left" vertical="center"/>
    </xf>
    <xf numFmtId="49" fontId="33" fillId="0" borderId="356" applyNumberFormat="0" applyFill="0" applyBorder="0" applyProtection="0">
      <alignment horizontal="left" vertical="center"/>
    </xf>
    <xf numFmtId="0" fontId="32" fillId="33" borderId="358">
      <alignment horizontal="right" vertical="center"/>
    </xf>
    <xf numFmtId="0" fontId="49" fillId="42" borderId="347" applyNumberFormat="0" applyAlignment="0" applyProtection="0"/>
    <xf numFmtId="0" fontId="65" fillId="0" borderId="348" applyNumberFormat="0" applyFill="0" applyAlignment="0" applyProtection="0"/>
    <xf numFmtId="4" fontId="34" fillId="0" borderId="350">
      <alignment horizontal="right" vertical="center"/>
    </xf>
    <xf numFmtId="4" fontId="32" fillId="31" borderId="372">
      <alignment horizontal="right" vertical="center"/>
    </xf>
    <xf numFmtId="0" fontId="43" fillId="55" borderId="360" applyNumberFormat="0" applyAlignment="0" applyProtection="0"/>
    <xf numFmtId="0" fontId="32" fillId="33" borderId="385">
      <alignment horizontal="right" vertical="center"/>
    </xf>
    <xf numFmtId="0" fontId="32" fillId="33" borderId="372">
      <alignment horizontal="right" vertical="center"/>
    </xf>
    <xf numFmtId="0" fontId="32" fillId="31" borderId="372">
      <alignment horizontal="right" vertical="center"/>
    </xf>
    <xf numFmtId="0" fontId="43" fillId="55" borderId="360" applyNumberFormat="0" applyAlignment="0" applyProtection="0"/>
    <xf numFmtId="0" fontId="32" fillId="33" borderId="383">
      <alignment horizontal="right" vertical="center"/>
    </xf>
    <xf numFmtId="0" fontId="65" fillId="0" borderId="362" applyNumberFormat="0" applyFill="0" applyAlignment="0" applyProtection="0"/>
    <xf numFmtId="4" fontId="32" fillId="33" borderId="350">
      <alignment horizontal="right" vertical="center"/>
    </xf>
    <xf numFmtId="0" fontId="34" fillId="32" borderId="350"/>
    <xf numFmtId="0" fontId="46" fillId="55" borderId="361" applyNumberFormat="0" applyAlignment="0" applyProtection="0"/>
    <xf numFmtId="0" fontId="45" fillId="55" borderId="369" applyNumberFormat="0" applyAlignment="0" applyProtection="0"/>
    <xf numFmtId="0" fontId="46" fillId="55" borderId="347" applyNumberFormat="0" applyAlignment="0" applyProtection="0"/>
    <xf numFmtId="0" fontId="32" fillId="33" borderId="372">
      <alignment horizontal="right" vertical="center"/>
    </xf>
    <xf numFmtId="0" fontId="34" fillId="31" borderId="365">
      <alignment horizontal="left" vertical="center"/>
    </xf>
    <xf numFmtId="0" fontId="32" fillId="33" borderId="373">
      <alignment horizontal="right" vertical="center"/>
    </xf>
    <xf numFmtId="0" fontId="46" fillId="55" borderId="347" applyNumberFormat="0" applyAlignment="0" applyProtection="0"/>
    <xf numFmtId="0" fontId="28" fillId="12" borderId="11" applyNumberFormat="0" applyAlignment="0" applyProtection="0"/>
    <xf numFmtId="0" fontId="34" fillId="0" borderId="390">
      <alignment horizontal="right" vertical="center"/>
    </xf>
    <xf numFmtId="0" fontId="49" fillId="42" borderId="361" applyNumberFormat="0" applyAlignment="0" applyProtection="0"/>
    <xf numFmtId="0" fontId="50" fillId="0" borderId="362" applyNumberFormat="0" applyFill="0" applyAlignment="0" applyProtection="0"/>
    <xf numFmtId="0" fontId="32" fillId="33" borderId="352">
      <alignment horizontal="right" vertical="center"/>
    </xf>
    <xf numFmtId="4" fontId="36" fillId="31" borderId="356">
      <alignment horizontal="right" vertical="center"/>
    </xf>
    <xf numFmtId="0" fontId="46" fillId="55" borderId="347" applyNumberFormat="0" applyAlignment="0" applyProtection="0"/>
    <xf numFmtId="4" fontId="32" fillId="33" borderId="350">
      <alignment horizontal="right" vertical="center"/>
    </xf>
    <xf numFmtId="0" fontId="32" fillId="33" borderId="350">
      <alignment horizontal="right" vertical="center"/>
    </xf>
    <xf numFmtId="0" fontId="65" fillId="0" borderId="348" applyNumberFormat="0" applyFill="0" applyAlignment="0" applyProtection="0"/>
    <xf numFmtId="0" fontId="32" fillId="33" borderId="350">
      <alignment horizontal="right" vertical="center"/>
    </xf>
    <xf numFmtId="4" fontId="32" fillId="33" borderId="352">
      <alignment horizontal="right" vertical="center"/>
    </xf>
    <xf numFmtId="4" fontId="32" fillId="33" borderId="351">
      <alignment horizontal="right" vertical="center"/>
    </xf>
    <xf numFmtId="0" fontId="46" fillId="55" borderId="340" applyNumberFormat="0" applyAlignment="0" applyProtection="0"/>
    <xf numFmtId="4" fontId="36" fillId="31" borderId="350">
      <alignment horizontal="right" vertical="center"/>
    </xf>
    <xf numFmtId="43" fontId="37" fillId="0" borderId="0" applyFont="0" applyFill="0" applyBorder="0" applyAlignment="0" applyProtection="0"/>
    <xf numFmtId="4" fontId="32" fillId="33" borderId="351">
      <alignment horizontal="right" vertical="center"/>
    </xf>
    <xf numFmtId="43" fontId="37" fillId="0" borderId="0" applyFont="0" applyFill="0" applyBorder="0" applyAlignment="0" applyProtection="0"/>
    <xf numFmtId="0" fontId="49" fillId="42" borderId="347" applyNumberFormat="0" applyAlignment="0" applyProtection="0"/>
    <xf numFmtId="0" fontId="65" fillId="0" borderId="388" applyNumberFormat="0" applyFill="0" applyAlignment="0" applyProtection="0"/>
    <xf numFmtId="0" fontId="32" fillId="31" borderId="356">
      <alignment horizontal="right" vertical="center"/>
    </xf>
    <xf numFmtId="0" fontId="32" fillId="33" borderId="357">
      <alignment horizontal="right" vertical="center"/>
    </xf>
    <xf numFmtId="0" fontId="34" fillId="31" borderId="357">
      <alignment horizontal="left" vertical="center"/>
    </xf>
    <xf numFmtId="0" fontId="65" fillId="0" borderId="348" applyNumberFormat="0" applyFill="0" applyAlignment="0" applyProtection="0"/>
    <xf numFmtId="0" fontId="62" fillId="55" borderId="354" applyNumberFormat="0" applyAlignment="0" applyProtection="0"/>
    <xf numFmtId="0" fontId="46" fillId="55" borderId="347" applyNumberFormat="0" applyAlignment="0" applyProtection="0"/>
    <xf numFmtId="0" fontId="65" fillId="0" borderId="348" applyNumberFormat="0" applyFill="0" applyAlignment="0" applyProtection="0"/>
    <xf numFmtId="0" fontId="58" fillId="42" borderId="340" applyNumberFormat="0" applyAlignment="0" applyProtection="0"/>
    <xf numFmtId="4" fontId="34" fillId="0" borderId="350">
      <alignment horizontal="right" vertical="center"/>
    </xf>
    <xf numFmtId="4" fontId="32" fillId="31" borderId="350">
      <alignment horizontal="right" vertical="center"/>
    </xf>
    <xf numFmtId="4" fontId="36" fillId="31" borderId="350">
      <alignment horizontal="right" vertical="center"/>
    </xf>
    <xf numFmtId="49" fontId="33" fillId="0" borderId="350" applyNumberFormat="0" applyFill="0" applyBorder="0" applyProtection="0">
      <alignment horizontal="left" vertical="center"/>
    </xf>
    <xf numFmtId="0" fontId="58" fillId="42" borderId="361" applyNumberFormat="0" applyAlignment="0" applyProtection="0"/>
    <xf numFmtId="0" fontId="65" fillId="0" borderId="362" applyNumberFormat="0" applyFill="0" applyAlignment="0" applyProtection="0"/>
    <xf numFmtId="0" fontId="40" fillId="58" borderId="349" applyNumberFormat="0" applyFont="0" applyAlignment="0" applyProtection="0"/>
    <xf numFmtId="0" fontId="34" fillId="0" borderId="350">
      <alignment horizontal="right" vertical="center"/>
    </xf>
    <xf numFmtId="0" fontId="32" fillId="33" borderId="356">
      <alignment horizontal="right" vertical="center"/>
    </xf>
    <xf numFmtId="0" fontId="58" fillId="42" borderId="361" applyNumberFormat="0" applyAlignment="0" applyProtection="0"/>
    <xf numFmtId="0" fontId="32" fillId="31" borderId="356">
      <alignment horizontal="right" vertical="center"/>
    </xf>
    <xf numFmtId="0" fontId="26" fillId="13" borderId="0" applyNumberFormat="0" applyBorder="0" applyAlignment="0" applyProtection="0"/>
    <xf numFmtId="0" fontId="46" fillId="55" borderId="377" applyNumberFormat="0" applyAlignment="0" applyProtection="0"/>
    <xf numFmtId="0" fontId="45" fillId="55" borderId="377" applyNumberFormat="0" applyAlignment="0" applyProtection="0"/>
    <xf numFmtId="0" fontId="40" fillId="58" borderId="363" applyNumberFormat="0" applyFont="0" applyAlignment="0" applyProtection="0"/>
    <xf numFmtId="0" fontId="40" fillId="58" borderId="371" applyNumberFormat="0" applyFont="0" applyAlignment="0" applyProtection="0"/>
    <xf numFmtId="0" fontId="12" fillId="15" borderId="0" applyNumberFormat="0" applyBorder="0" applyAlignment="0" applyProtection="0"/>
    <xf numFmtId="0" fontId="32" fillId="33" borderId="383">
      <alignment horizontal="right" vertical="center"/>
    </xf>
    <xf numFmtId="0" fontId="50" fillId="0" borderId="362" applyNumberFormat="0" applyFill="0" applyAlignment="0" applyProtection="0"/>
    <xf numFmtId="4" fontId="34" fillId="0" borderId="332" applyFill="0" applyBorder="0" applyProtection="0">
      <alignment horizontal="right" vertical="center"/>
    </xf>
    <xf numFmtId="0" fontId="58" fillId="42" borderId="347" applyNumberFormat="0" applyAlignment="0" applyProtection="0"/>
    <xf numFmtId="0" fontId="58" fillId="42" borderId="361" applyNumberFormat="0" applyAlignment="0" applyProtection="0"/>
    <xf numFmtId="0" fontId="36" fillId="31" borderId="350">
      <alignment horizontal="right" vertical="center"/>
    </xf>
    <xf numFmtId="0" fontId="34" fillId="32" borderId="364"/>
    <xf numFmtId="0" fontId="34" fillId="0" borderId="367">
      <alignment horizontal="left" vertical="center" wrapText="1" indent="2"/>
    </xf>
    <xf numFmtId="4" fontId="32" fillId="33" borderId="350">
      <alignment horizontal="right" vertical="center"/>
    </xf>
    <xf numFmtId="0" fontId="36" fillId="31" borderId="350">
      <alignment horizontal="right" vertical="center"/>
    </xf>
    <xf numFmtId="0" fontId="34" fillId="33" borderId="359">
      <alignment horizontal="left" vertical="center" wrapText="1" indent="2"/>
    </xf>
    <xf numFmtId="0" fontId="40" fillId="58" borderId="342" applyNumberFormat="0" applyFont="0" applyAlignment="0" applyProtection="0"/>
    <xf numFmtId="0" fontId="5" fillId="58" borderId="342" applyNumberFormat="0" applyFont="0" applyAlignment="0" applyProtection="0"/>
    <xf numFmtId="0" fontId="62" fillId="55" borderId="339" applyNumberFormat="0" applyAlignment="0" applyProtection="0"/>
    <xf numFmtId="0" fontId="26" fillId="14" borderId="0" applyNumberFormat="0" applyBorder="0" applyAlignment="0" applyProtection="0"/>
    <xf numFmtId="0" fontId="34" fillId="0" borderId="375">
      <alignment horizontal="left" vertical="center" wrapText="1" indent="2"/>
    </xf>
    <xf numFmtId="0" fontId="32" fillId="33" borderId="365">
      <alignment horizontal="right" vertical="center"/>
    </xf>
    <xf numFmtId="0" fontId="34" fillId="32" borderId="350"/>
    <xf numFmtId="0" fontId="65" fillId="0" borderId="348" applyNumberFormat="0" applyFill="0" applyAlignment="0" applyProtection="0"/>
    <xf numFmtId="0" fontId="50" fillId="0" borderId="362" applyNumberFormat="0" applyFill="0" applyAlignment="0" applyProtection="0"/>
    <xf numFmtId="0" fontId="65" fillId="0" borderId="341" applyNumberFormat="0" applyFill="0" applyAlignment="0" applyProtection="0"/>
    <xf numFmtId="0" fontId="34" fillId="31" borderId="351">
      <alignment horizontal="left" vertical="center"/>
    </xf>
    <xf numFmtId="0" fontId="45" fillId="55" borderId="347" applyNumberFormat="0" applyAlignment="0" applyProtection="0"/>
    <xf numFmtId="4" fontId="32" fillId="33" borderId="350">
      <alignment horizontal="right" vertical="center"/>
    </xf>
    <xf numFmtId="4" fontId="36" fillId="31" borderId="390">
      <alignment horizontal="right" vertical="center"/>
    </xf>
    <xf numFmtId="0" fontId="34" fillId="32" borderId="356"/>
    <xf numFmtId="0" fontId="26" fillId="14" borderId="0" applyNumberFormat="0" applyBorder="0" applyAlignment="0" applyProtection="0"/>
    <xf numFmtId="0" fontId="46" fillId="55" borderId="361" applyNumberFormat="0" applyAlignment="0" applyProtection="0"/>
    <xf numFmtId="0" fontId="49" fillId="42" borderId="347" applyNumberFormat="0" applyAlignment="0" applyProtection="0"/>
    <xf numFmtId="0" fontId="36" fillId="31" borderId="350">
      <alignment horizontal="right" vertical="center"/>
    </xf>
    <xf numFmtId="0" fontId="58" fillId="42" borderId="361" applyNumberFormat="0" applyAlignment="0" applyProtection="0"/>
    <xf numFmtId="0" fontId="32" fillId="33" borderId="351">
      <alignment horizontal="right" vertical="center"/>
    </xf>
    <xf numFmtId="0" fontId="34" fillId="0" borderId="350" applyNumberFormat="0" applyFill="0" applyAlignment="0" applyProtection="0"/>
    <xf numFmtId="0" fontId="58" fillId="42" borderId="361" applyNumberFormat="0" applyAlignment="0" applyProtection="0"/>
    <xf numFmtId="0" fontId="32" fillId="33" borderId="350">
      <alignment horizontal="right" vertical="center"/>
    </xf>
    <xf numFmtId="0" fontId="26" fillId="17" borderId="0" applyNumberFormat="0" applyBorder="0" applyAlignment="0" applyProtection="0"/>
    <xf numFmtId="0" fontId="32" fillId="33" borderId="357">
      <alignment horizontal="right" vertical="center"/>
    </xf>
    <xf numFmtId="4" fontId="32" fillId="33" borderId="358">
      <alignment horizontal="right" vertical="center"/>
    </xf>
    <xf numFmtId="0" fontId="46" fillId="55" borderId="347" applyNumberFormat="0" applyAlignment="0" applyProtection="0"/>
    <xf numFmtId="0" fontId="34" fillId="32" borderId="383"/>
    <xf numFmtId="0" fontId="49" fillId="42" borderId="361" applyNumberFormat="0" applyAlignment="0" applyProtection="0"/>
    <xf numFmtId="4" fontId="32" fillId="33" borderId="351">
      <alignment horizontal="right" vertical="center"/>
    </xf>
    <xf numFmtId="4" fontId="34" fillId="32" borderId="350"/>
    <xf numFmtId="0" fontId="45" fillId="55" borderId="347" applyNumberFormat="0" applyAlignment="0" applyProtection="0"/>
    <xf numFmtId="0" fontId="40" fillId="58" borderId="349" applyNumberFormat="0" applyFont="0" applyAlignment="0" applyProtection="0"/>
    <xf numFmtId="0" fontId="34" fillId="33" borderId="367">
      <alignment horizontal="left" vertical="center" wrapText="1" indent="2"/>
    </xf>
    <xf numFmtId="0" fontId="32" fillId="33" borderId="356">
      <alignment horizontal="right" vertical="center"/>
    </xf>
    <xf numFmtId="0" fontId="32" fillId="33" borderId="351">
      <alignment horizontal="right" vertical="center"/>
    </xf>
    <xf numFmtId="4" fontId="32" fillId="33" borderId="356">
      <alignment horizontal="right" vertical="center"/>
    </xf>
    <xf numFmtId="0" fontId="46" fillId="55" borderId="377" applyNumberFormat="0" applyAlignment="0" applyProtection="0"/>
    <xf numFmtId="4" fontId="36" fillId="31" borderId="356">
      <alignment horizontal="right" vertical="center"/>
    </xf>
    <xf numFmtId="0" fontId="1" fillId="0" borderId="0" applyNumberFormat="0" applyFill="0" applyBorder="0" applyAlignment="0" applyProtection="0"/>
    <xf numFmtId="4" fontId="32" fillId="33" borderId="364">
      <alignment horizontal="right" vertical="center"/>
    </xf>
    <xf numFmtId="0" fontId="40" fillId="58" borderId="389" applyNumberFormat="0" applyFont="0" applyAlignment="0" applyProtection="0"/>
    <xf numFmtId="4" fontId="32" fillId="33" borderId="374">
      <alignment horizontal="right" vertical="center"/>
    </xf>
    <xf numFmtId="0" fontId="29" fillId="12" borderId="10" applyNumberFormat="0" applyAlignment="0" applyProtection="0"/>
    <xf numFmtId="0" fontId="46" fillId="55" borderId="361" applyNumberFormat="0" applyAlignment="0" applyProtection="0"/>
    <xf numFmtId="0" fontId="50" fillId="0" borderId="370" applyNumberFormat="0" applyFill="0" applyAlignment="0" applyProtection="0"/>
    <xf numFmtId="4" fontId="36" fillId="31" borderId="350">
      <alignment horizontal="right" vertical="center"/>
    </xf>
    <xf numFmtId="4" fontId="32" fillId="33" borderId="384">
      <alignment horizontal="right" vertical="center"/>
    </xf>
    <xf numFmtId="0" fontId="58" fillId="42" borderId="347" applyNumberFormat="0" applyAlignment="0" applyProtection="0"/>
    <xf numFmtId="0" fontId="32" fillId="33" borderId="356">
      <alignment horizontal="right" vertical="center"/>
    </xf>
    <xf numFmtId="0" fontId="32" fillId="33" borderId="357">
      <alignment horizontal="right" vertical="center"/>
    </xf>
    <xf numFmtId="0" fontId="32" fillId="33" borderId="351">
      <alignment horizontal="right" vertical="center"/>
    </xf>
    <xf numFmtId="0" fontId="46" fillId="55" borderId="340" applyNumberFormat="0" applyAlignment="0" applyProtection="0"/>
    <xf numFmtId="4" fontId="32" fillId="33" borderId="350">
      <alignment horizontal="right" vertical="center"/>
    </xf>
    <xf numFmtId="0" fontId="43" fillId="55" borderId="360" applyNumberFormat="0" applyAlignment="0" applyProtection="0"/>
    <xf numFmtId="0" fontId="58" fillId="42" borderId="369" applyNumberFormat="0" applyAlignment="0" applyProtection="0"/>
    <xf numFmtId="0" fontId="32" fillId="33" borderId="350">
      <alignment horizontal="right" vertical="center"/>
    </xf>
    <xf numFmtId="0" fontId="34" fillId="0" borderId="350">
      <alignment horizontal="right" vertical="center"/>
    </xf>
    <xf numFmtId="0" fontId="32" fillId="33" borderId="350">
      <alignment horizontal="right" vertical="center"/>
    </xf>
    <xf numFmtId="0" fontId="58" fillId="42" borderId="347" applyNumberFormat="0" applyAlignment="0" applyProtection="0"/>
    <xf numFmtId="0" fontId="58" fillId="42" borderId="340" applyNumberFormat="0" applyAlignment="0" applyProtection="0"/>
    <xf numFmtId="0" fontId="46" fillId="55" borderId="377" applyNumberFormat="0" applyAlignment="0" applyProtection="0"/>
    <xf numFmtId="173" fontId="34" fillId="59" borderId="356" applyNumberFormat="0" applyFont="0" applyBorder="0" applyAlignment="0" applyProtection="0">
      <alignment horizontal="right" vertical="center"/>
    </xf>
    <xf numFmtId="0" fontId="29" fillId="12" borderId="10" applyNumberFormat="0" applyAlignment="0" applyProtection="0"/>
    <xf numFmtId="0" fontId="40" fillId="58" borderId="342" applyNumberFormat="0" applyFont="0" applyAlignment="0" applyProtection="0"/>
    <xf numFmtId="0" fontId="62" fillId="55" borderId="339" applyNumberFormat="0" applyAlignment="0" applyProtection="0"/>
    <xf numFmtId="0" fontId="50" fillId="0" borderId="348" applyNumberFormat="0" applyFill="0" applyAlignment="0" applyProtection="0"/>
    <xf numFmtId="0" fontId="65" fillId="0" borderId="341" applyNumberFormat="0" applyFill="0" applyAlignment="0" applyProtection="0"/>
    <xf numFmtId="0" fontId="65" fillId="0" borderId="362" applyNumberFormat="0" applyFill="0" applyAlignment="0" applyProtection="0"/>
    <xf numFmtId="0" fontId="62" fillId="55" borderId="354" applyNumberFormat="0" applyAlignment="0" applyProtection="0"/>
    <xf numFmtId="49" fontId="34" fillId="0" borderId="350" applyNumberFormat="0" applyFont="0" applyFill="0" applyBorder="0" applyProtection="0">
      <alignment horizontal="left" vertical="center" indent="2"/>
    </xf>
    <xf numFmtId="49" fontId="34" fillId="0" borderId="351" applyNumberFormat="0" applyFont="0" applyFill="0" applyBorder="0" applyProtection="0">
      <alignment horizontal="left" vertical="center" indent="5"/>
    </xf>
    <xf numFmtId="0" fontId="65" fillId="0" borderId="348" applyNumberFormat="0" applyFill="0" applyAlignment="0" applyProtection="0"/>
    <xf numFmtId="4" fontId="34" fillId="0" borderId="350">
      <alignment horizontal="right" vertical="center"/>
    </xf>
    <xf numFmtId="0" fontId="5" fillId="58" borderId="349" applyNumberFormat="0" applyFont="0" applyAlignment="0" applyProtection="0"/>
    <xf numFmtId="0" fontId="28" fillId="12" borderId="11" applyNumberFormat="0" applyAlignment="0" applyProtection="0"/>
    <xf numFmtId="0" fontId="34" fillId="0" borderId="353">
      <alignment horizontal="left" vertical="center" wrapText="1" indent="2"/>
    </xf>
    <xf numFmtId="0" fontId="32" fillId="33" borderId="352">
      <alignment horizontal="right" vertical="center"/>
    </xf>
    <xf numFmtId="0" fontId="45" fillId="55" borderId="347" applyNumberFormat="0" applyAlignment="0" applyProtection="0"/>
    <xf numFmtId="4" fontId="32" fillId="33" borderId="350">
      <alignment horizontal="right" vertical="center"/>
    </xf>
    <xf numFmtId="0" fontId="28" fillId="12" borderId="11" applyNumberFormat="0" applyAlignment="0" applyProtection="0"/>
    <xf numFmtId="0" fontId="45" fillId="55" borderId="361" applyNumberFormat="0" applyAlignment="0" applyProtection="0"/>
    <xf numFmtId="173" fontId="34" fillId="59" borderId="350" applyNumberFormat="0" applyFont="0" applyBorder="0" applyAlignment="0" applyProtection="0">
      <alignment horizontal="right" vertical="center"/>
    </xf>
    <xf numFmtId="173" fontId="34" fillId="59" borderId="356" applyNumberFormat="0" applyFont="0" applyBorder="0" applyAlignment="0" applyProtection="0">
      <alignment horizontal="right" vertical="center"/>
    </xf>
    <xf numFmtId="49" fontId="33" fillId="0" borderId="350" applyNumberFormat="0" applyFill="0" applyBorder="0" applyProtection="0">
      <alignment horizontal="left" vertical="center"/>
    </xf>
    <xf numFmtId="0" fontId="43" fillId="55" borderId="368" applyNumberFormat="0" applyAlignment="0" applyProtection="0"/>
    <xf numFmtId="49" fontId="34" fillId="0" borderId="364" applyNumberFormat="0" applyFont="0" applyFill="0" applyBorder="0" applyProtection="0">
      <alignment horizontal="left" vertical="center" indent="2"/>
    </xf>
    <xf numFmtId="4" fontId="32" fillId="33" borderId="366">
      <alignment horizontal="right" vertical="center"/>
    </xf>
    <xf numFmtId="0" fontId="32" fillId="31" borderId="343">
      <alignment horizontal="right" vertical="center"/>
    </xf>
    <xf numFmtId="4" fontId="32" fillId="31" borderId="343">
      <alignment horizontal="right" vertical="center"/>
    </xf>
    <xf numFmtId="0" fontId="36" fillId="31" borderId="343">
      <alignment horizontal="right" vertical="center"/>
    </xf>
    <xf numFmtId="4" fontId="36" fillId="31" borderId="343">
      <alignment horizontal="right" vertical="center"/>
    </xf>
    <xf numFmtId="0" fontId="32" fillId="33" borderId="343">
      <alignment horizontal="right" vertical="center"/>
    </xf>
    <xf numFmtId="4" fontId="32" fillId="33" borderId="343">
      <alignment horizontal="right" vertical="center"/>
    </xf>
    <xf numFmtId="0" fontId="32" fillId="33" borderId="343">
      <alignment horizontal="right" vertical="center"/>
    </xf>
    <xf numFmtId="4" fontId="32" fillId="33" borderId="343">
      <alignment horizontal="right" vertical="center"/>
    </xf>
    <xf numFmtId="0" fontId="32" fillId="33" borderId="344">
      <alignment horizontal="right" vertical="center"/>
    </xf>
    <xf numFmtId="4" fontId="32" fillId="33" borderId="344">
      <alignment horizontal="right" vertical="center"/>
    </xf>
    <xf numFmtId="0" fontId="32" fillId="33" borderId="345">
      <alignment horizontal="right" vertical="center"/>
    </xf>
    <xf numFmtId="4" fontId="32" fillId="33" borderId="345">
      <alignment horizontal="right" vertical="center"/>
    </xf>
    <xf numFmtId="0" fontId="46" fillId="55" borderId="340" applyNumberFormat="0" applyAlignment="0" applyProtection="0"/>
    <xf numFmtId="0" fontId="34" fillId="33" borderId="346">
      <alignment horizontal="left" vertical="center" wrapText="1" indent="2"/>
    </xf>
    <xf numFmtId="0" fontId="34" fillId="0" borderId="346">
      <alignment horizontal="left" vertical="center" wrapText="1" indent="2"/>
    </xf>
    <xf numFmtId="0" fontId="34" fillId="31" borderId="344">
      <alignment horizontal="left" vertical="center"/>
    </xf>
    <xf numFmtId="4" fontId="32" fillId="33" borderId="364">
      <alignment horizontal="right" vertical="center"/>
    </xf>
    <xf numFmtId="0" fontId="58" fillId="42" borderId="340" applyNumberFormat="0" applyAlignment="0" applyProtection="0"/>
    <xf numFmtId="0" fontId="34" fillId="0" borderId="343">
      <alignment horizontal="right" vertical="center"/>
    </xf>
    <xf numFmtId="4" fontId="34" fillId="0" borderId="343">
      <alignment horizontal="right" vertical="center"/>
    </xf>
    <xf numFmtId="0" fontId="26" fillId="16" borderId="0" applyNumberFormat="0" applyBorder="0" applyAlignment="0" applyProtection="0"/>
    <xf numFmtId="0" fontId="34" fillId="0" borderId="343" applyNumberFormat="0" applyFill="0" applyAlignment="0" applyProtection="0"/>
    <xf numFmtId="0" fontId="62" fillId="55" borderId="339" applyNumberFormat="0" applyAlignment="0" applyProtection="0"/>
    <xf numFmtId="173" fontId="34" fillId="59" borderId="343" applyNumberFormat="0" applyFont="0" applyBorder="0" applyAlignment="0" applyProtection="0">
      <alignment horizontal="right" vertical="center"/>
    </xf>
    <xf numFmtId="0" fontId="34" fillId="32" borderId="343"/>
    <xf numFmtId="4" fontId="34" fillId="32" borderId="343"/>
    <xf numFmtId="0" fontId="65" fillId="0" borderId="341" applyNumberFormat="0" applyFill="0" applyAlignment="0" applyProtection="0"/>
    <xf numFmtId="0" fontId="12" fillId="15" borderId="0" applyNumberFormat="0" applyBorder="0" applyAlignment="0" applyProtection="0"/>
    <xf numFmtId="4" fontId="36" fillId="31" borderId="364">
      <alignment horizontal="right" vertical="center"/>
    </xf>
    <xf numFmtId="0" fontId="62" fillId="55" borderId="376" applyNumberFormat="0" applyAlignment="0" applyProtection="0"/>
    <xf numFmtId="4" fontId="32" fillId="33" borderId="352">
      <alignment horizontal="right" vertical="center"/>
    </xf>
    <xf numFmtId="0" fontId="34" fillId="32" borderId="350"/>
    <xf numFmtId="49" fontId="34" fillId="0" borderId="350" applyNumberFormat="0" applyFont="0" applyFill="0" applyBorder="0" applyProtection="0">
      <alignment horizontal="left" vertical="center" indent="2"/>
    </xf>
    <xf numFmtId="0" fontId="32" fillId="31" borderId="372">
      <alignment horizontal="right" vertical="center"/>
    </xf>
    <xf numFmtId="0" fontId="65" fillId="0" borderId="348" applyNumberFormat="0" applyFill="0" applyAlignment="0" applyProtection="0"/>
    <xf numFmtId="0" fontId="26" fillId="20" borderId="0" applyNumberFormat="0" applyBorder="0" applyAlignment="0" applyProtection="0"/>
    <xf numFmtId="0" fontId="45" fillId="55" borderId="369" applyNumberFormat="0" applyAlignment="0" applyProtection="0"/>
    <xf numFmtId="4" fontId="36" fillId="31" borderId="350">
      <alignment horizontal="right" vertical="center"/>
    </xf>
    <xf numFmtId="0" fontId="32" fillId="31" borderId="383">
      <alignment horizontal="right" vertical="center"/>
    </xf>
    <xf numFmtId="0" fontId="46" fillId="55" borderId="347" applyNumberFormat="0" applyAlignment="0" applyProtection="0"/>
    <xf numFmtId="173" fontId="34" fillId="59" borderId="356" applyNumberFormat="0" applyFont="0" applyBorder="0" applyAlignment="0" applyProtection="0">
      <alignment horizontal="right" vertical="center"/>
    </xf>
    <xf numFmtId="0" fontId="34" fillId="32" borderId="364"/>
    <xf numFmtId="4" fontId="32" fillId="33" borderId="364">
      <alignment horizontal="right" vertical="center"/>
    </xf>
    <xf numFmtId="0" fontId="40" fillId="58" borderId="355" applyNumberFormat="0" applyFont="0" applyAlignment="0" applyProtection="0"/>
    <xf numFmtId="0" fontId="50" fillId="0" borderId="348" applyNumberFormat="0" applyFill="0" applyAlignment="0" applyProtection="0"/>
    <xf numFmtId="0" fontId="34" fillId="32" borderId="350"/>
    <xf numFmtId="0" fontId="45" fillId="55" borderId="347" applyNumberFormat="0" applyAlignment="0" applyProtection="0"/>
    <xf numFmtId="49" fontId="33" fillId="0" borderId="350" applyNumberFormat="0" applyFill="0" applyBorder="0" applyProtection="0">
      <alignment horizontal="left" vertical="center"/>
    </xf>
    <xf numFmtId="0" fontId="34" fillId="0" borderId="350" applyNumberFormat="0" applyFill="0" applyAlignment="0" applyProtection="0"/>
    <xf numFmtId="0" fontId="5" fillId="58" borderId="349" applyNumberFormat="0" applyFont="0" applyAlignment="0" applyProtection="0"/>
    <xf numFmtId="0" fontId="26" fillId="14" borderId="0" applyNumberFormat="0" applyBorder="0" applyAlignment="0" applyProtection="0"/>
    <xf numFmtId="0" fontId="12" fillId="27" borderId="0" applyNumberFormat="0" applyBorder="0" applyAlignment="0" applyProtection="0"/>
    <xf numFmtId="4" fontId="34" fillId="0" borderId="350">
      <alignment horizontal="right" vertical="center"/>
    </xf>
    <xf numFmtId="0" fontId="26" fillId="19" borderId="0" applyNumberFormat="0" applyBorder="0" applyAlignment="0" applyProtection="0"/>
    <xf numFmtId="0" fontId="45" fillId="55" borderId="347" applyNumberFormat="0" applyAlignment="0" applyProtection="0"/>
    <xf numFmtId="0" fontId="32" fillId="33" borderId="357">
      <alignment horizontal="right" vertical="center"/>
    </xf>
    <xf numFmtId="0" fontId="26" fillId="14" borderId="0" applyNumberFormat="0" applyBorder="0" applyAlignment="0" applyProtection="0"/>
    <xf numFmtId="0" fontId="34" fillId="0" borderId="375">
      <alignment horizontal="left" vertical="center" wrapText="1" indent="2"/>
    </xf>
    <xf numFmtId="0" fontId="45" fillId="55" borderId="387" applyNumberFormat="0" applyAlignment="0" applyProtection="0"/>
    <xf numFmtId="0" fontId="26" fillId="22" borderId="0" applyNumberFormat="0" applyBorder="0" applyAlignment="0" applyProtection="0"/>
    <xf numFmtId="0" fontId="26" fillId="16" borderId="0" applyNumberFormat="0" applyBorder="0" applyAlignment="0" applyProtection="0"/>
    <xf numFmtId="0" fontId="40" fillId="58" borderId="355" applyNumberFormat="0" applyFont="0" applyAlignment="0" applyProtection="0"/>
    <xf numFmtId="49" fontId="34" fillId="0" borderId="351" applyNumberFormat="0" applyFont="0" applyFill="0" applyBorder="0" applyProtection="0">
      <alignment horizontal="left" vertical="center" indent="5"/>
    </xf>
    <xf numFmtId="0" fontId="65" fillId="0" borderId="348" applyNumberFormat="0" applyFill="0" applyAlignment="0" applyProtection="0"/>
    <xf numFmtId="0" fontId="40" fillId="58" borderId="349" applyNumberFormat="0" applyFont="0" applyAlignment="0" applyProtection="0"/>
    <xf numFmtId="0" fontId="32" fillId="33" borderId="351">
      <alignment horizontal="right" vertical="center"/>
    </xf>
    <xf numFmtId="0" fontId="43" fillId="55" borderId="354" applyNumberFormat="0" applyAlignment="0" applyProtection="0"/>
    <xf numFmtId="4" fontId="32" fillId="33" borderId="352">
      <alignment horizontal="right" vertical="center"/>
    </xf>
    <xf numFmtId="4" fontId="36" fillId="31" borderId="350">
      <alignment horizontal="right" vertical="center"/>
    </xf>
    <xf numFmtId="0" fontId="58" fillId="42" borderId="347" applyNumberFormat="0" applyAlignment="0" applyProtection="0"/>
    <xf numFmtId="0" fontId="46" fillId="55" borderId="347" applyNumberFormat="0" applyAlignment="0" applyProtection="0"/>
    <xf numFmtId="0" fontId="36" fillId="31" borderId="350">
      <alignment horizontal="right" vertical="center"/>
    </xf>
    <xf numFmtId="0" fontId="65" fillId="0" borderId="348" applyNumberFormat="0" applyFill="0" applyAlignment="0" applyProtection="0"/>
    <xf numFmtId="0" fontId="46" fillId="55" borderId="347" applyNumberFormat="0" applyAlignment="0" applyProtection="0"/>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5" fillId="58" borderId="349" applyNumberFormat="0" applyFont="0" applyAlignment="0" applyProtection="0"/>
    <xf numFmtId="0" fontId="26" fillId="26" borderId="0" applyNumberFormat="0" applyBorder="0" applyAlignment="0" applyProtection="0"/>
    <xf numFmtId="0" fontId="26" fillId="16" borderId="0" applyNumberFormat="0" applyBorder="0" applyAlignment="0" applyProtection="0"/>
    <xf numFmtId="0" fontId="45" fillId="55" borderId="361" applyNumberFormat="0" applyAlignment="0" applyProtection="0"/>
    <xf numFmtId="0" fontId="26" fillId="13" borderId="0" applyNumberFormat="0" applyBorder="0" applyAlignment="0" applyProtection="0"/>
    <xf numFmtId="0" fontId="46" fillId="55" borderId="387" applyNumberFormat="0" applyAlignment="0" applyProtection="0"/>
    <xf numFmtId="0" fontId="62" fillId="55" borderId="354" applyNumberFormat="0" applyAlignment="0" applyProtection="0"/>
    <xf numFmtId="0" fontId="32" fillId="33" borderId="350">
      <alignment horizontal="right" vertical="center"/>
    </xf>
    <xf numFmtId="0" fontId="34" fillId="32" borderId="383"/>
    <xf numFmtId="4" fontId="36" fillId="31" borderId="350">
      <alignment horizontal="right" vertical="center"/>
    </xf>
    <xf numFmtId="0" fontId="1" fillId="0" borderId="0" applyNumberFormat="0" applyFill="0" applyBorder="0" applyAlignment="0" applyProtection="0"/>
    <xf numFmtId="49" fontId="34" fillId="0" borderId="343" applyNumberFormat="0" applyFont="0" applyFill="0" applyBorder="0" applyProtection="0">
      <alignment horizontal="left" vertical="center" indent="2"/>
    </xf>
    <xf numFmtId="49" fontId="34" fillId="0" borderId="344" applyNumberFormat="0" applyFont="0" applyFill="0" applyBorder="0" applyProtection="0">
      <alignment horizontal="left" vertical="center" indent="5"/>
    </xf>
    <xf numFmtId="0" fontId="26" fillId="14" borderId="0" applyNumberFormat="0" applyBorder="0" applyAlignment="0" applyProtection="0"/>
    <xf numFmtId="0" fontId="32" fillId="33" borderId="352">
      <alignment horizontal="right" vertical="center"/>
    </xf>
    <xf numFmtId="0" fontId="36" fillId="31" borderId="356">
      <alignment horizontal="right" vertical="center"/>
    </xf>
    <xf numFmtId="0" fontId="32" fillId="31" borderId="350">
      <alignment horizontal="right" vertical="center"/>
    </xf>
    <xf numFmtId="0" fontId="45" fillId="55" borderId="380" applyNumberFormat="0" applyAlignment="0" applyProtection="0"/>
    <xf numFmtId="0" fontId="65" fillId="0" borderId="362" applyNumberFormat="0" applyFill="0" applyAlignment="0" applyProtection="0"/>
    <xf numFmtId="0" fontId="50" fillId="0" borderId="348" applyNumberFormat="0" applyFill="0" applyAlignment="0" applyProtection="0"/>
    <xf numFmtId="0" fontId="26" fillId="26" borderId="0" applyNumberFormat="0" applyBorder="0" applyAlignment="0" applyProtection="0"/>
    <xf numFmtId="0" fontId="32" fillId="33" borderId="390">
      <alignment horizontal="right" vertical="center"/>
    </xf>
    <xf numFmtId="0" fontId="34" fillId="0" borderId="353">
      <alignment horizontal="left" vertical="center" wrapText="1" indent="2"/>
    </xf>
    <xf numFmtId="4" fontId="34" fillId="0" borderId="343" applyFill="0" applyBorder="0" applyProtection="0">
      <alignment horizontal="right" vertical="center"/>
    </xf>
    <xf numFmtId="49" fontId="33" fillId="0" borderId="343" applyNumberFormat="0" applyFill="0" applyBorder="0" applyProtection="0">
      <alignment horizontal="left" vertical="center"/>
    </xf>
    <xf numFmtId="4" fontId="32" fillId="33" borderId="372">
      <alignment horizontal="right" vertical="center"/>
    </xf>
    <xf numFmtId="0" fontId="50" fillId="0" borderId="348" applyNumberFormat="0" applyFill="0" applyAlignment="0" applyProtection="0"/>
    <xf numFmtId="4" fontId="34" fillId="0" borderId="350" applyFill="0" applyBorder="0" applyProtection="0">
      <alignment horizontal="right" vertical="center"/>
    </xf>
    <xf numFmtId="0" fontId="45" fillId="55" borderId="347" applyNumberFormat="0" applyAlignment="0" applyProtection="0"/>
    <xf numFmtId="0" fontId="49" fillId="42" borderId="347" applyNumberFormat="0" applyAlignment="0" applyProtection="0"/>
    <xf numFmtId="0" fontId="34" fillId="33" borderId="353">
      <alignment horizontal="left" vertical="center" wrapText="1" indent="2"/>
    </xf>
    <xf numFmtId="4" fontId="32" fillId="33" borderId="373">
      <alignment horizontal="right" vertical="center"/>
    </xf>
    <xf numFmtId="4" fontId="32" fillId="33" borderId="350">
      <alignment horizontal="right" vertical="center"/>
    </xf>
    <xf numFmtId="0" fontId="45" fillId="55" borderId="347" applyNumberFormat="0" applyAlignment="0" applyProtection="0"/>
    <xf numFmtId="4" fontId="34" fillId="0" borderId="356">
      <alignment horizontal="right" vertical="center"/>
    </xf>
    <xf numFmtId="0" fontId="45" fillId="55" borderId="380" applyNumberFormat="0" applyAlignment="0" applyProtection="0"/>
    <xf numFmtId="0" fontId="32" fillId="33" borderId="350">
      <alignment horizontal="right" vertical="center"/>
    </xf>
    <xf numFmtId="0" fontId="43" fillId="55" borderId="354" applyNumberFormat="0" applyAlignment="0" applyProtection="0"/>
    <xf numFmtId="0" fontId="65" fillId="0" borderId="348" applyNumberFormat="0" applyFill="0" applyAlignment="0" applyProtection="0"/>
    <xf numFmtId="0" fontId="34" fillId="0" borderId="350">
      <alignment horizontal="right" vertical="center"/>
    </xf>
    <xf numFmtId="0" fontId="46" fillId="55" borderId="347" applyNumberFormat="0" applyAlignment="0" applyProtection="0"/>
    <xf numFmtId="49" fontId="34" fillId="0" borderId="356" applyNumberFormat="0" applyFont="0" applyFill="0" applyBorder="0" applyProtection="0">
      <alignment horizontal="left" vertical="center" indent="2"/>
    </xf>
    <xf numFmtId="0" fontId="46" fillId="55" borderId="347" applyNumberFormat="0" applyAlignment="0" applyProtection="0"/>
    <xf numFmtId="0" fontId="32" fillId="33" borderId="352">
      <alignment horizontal="right" vertical="center"/>
    </xf>
    <xf numFmtId="0" fontId="32" fillId="33" borderId="350">
      <alignment horizontal="right" vertical="center"/>
    </xf>
    <xf numFmtId="0" fontId="34" fillId="32" borderId="350"/>
    <xf numFmtId="0" fontId="50" fillId="0" borderId="378" applyNumberFormat="0" applyFill="0" applyAlignment="0" applyProtection="0"/>
    <xf numFmtId="0" fontId="1" fillId="0" borderId="0" applyNumberFormat="0" applyFill="0" applyBorder="0" applyAlignment="0" applyProtection="0"/>
    <xf numFmtId="0" fontId="34" fillId="31" borderId="351">
      <alignment horizontal="left" vertical="center"/>
    </xf>
    <xf numFmtId="0" fontId="32" fillId="33" borderId="373">
      <alignment horizontal="right" vertical="center"/>
    </xf>
    <xf numFmtId="173" fontId="34" fillId="59" borderId="350" applyNumberFormat="0" applyFont="0" applyBorder="0" applyAlignment="0" applyProtection="0">
      <alignment horizontal="right" vertical="center"/>
    </xf>
    <xf numFmtId="4" fontId="32" fillId="33" borderId="372">
      <alignment horizontal="right" vertical="center"/>
    </xf>
    <xf numFmtId="0" fontId="34" fillId="33" borderId="359">
      <alignment horizontal="left" vertical="center" wrapText="1" indent="2"/>
    </xf>
    <xf numFmtId="0" fontId="43" fillId="55" borderId="339" applyNumberFormat="0" applyAlignment="0" applyProtection="0"/>
    <xf numFmtId="0" fontId="45" fillId="55" borderId="340" applyNumberFormat="0" applyAlignment="0" applyProtection="0"/>
    <xf numFmtId="0" fontId="50" fillId="0" borderId="341" applyNumberFormat="0" applyFill="0" applyAlignment="0" applyProtection="0"/>
    <xf numFmtId="4" fontId="32" fillId="33" borderId="374">
      <alignment horizontal="right" vertical="center"/>
    </xf>
    <xf numFmtId="4" fontId="36" fillId="31" borderId="350">
      <alignment horizontal="right" vertical="center"/>
    </xf>
    <xf numFmtId="0" fontId="43" fillId="55" borderId="354" applyNumberFormat="0" applyAlignment="0" applyProtection="0"/>
    <xf numFmtId="4" fontId="32" fillId="33" borderId="357">
      <alignment horizontal="right" vertical="center"/>
    </xf>
    <xf numFmtId="173" fontId="34" fillId="59" borderId="356" applyNumberFormat="0" applyFont="0" applyBorder="0" applyAlignment="0" applyProtection="0">
      <alignment horizontal="right" vertical="center"/>
    </xf>
    <xf numFmtId="4" fontId="36" fillId="31" borderId="356">
      <alignment horizontal="right" vertical="center"/>
    </xf>
    <xf numFmtId="0" fontId="32" fillId="33" borderId="352">
      <alignment horizontal="right" vertical="center"/>
    </xf>
    <xf numFmtId="0" fontId="43" fillId="55" borderId="354" applyNumberFormat="0" applyAlignment="0" applyProtection="0"/>
    <xf numFmtId="0" fontId="26" fillId="17" borderId="0" applyNumberFormat="0" applyBorder="0" applyAlignment="0" applyProtection="0"/>
    <xf numFmtId="4" fontId="36" fillId="31" borderId="356">
      <alignment horizontal="right" vertical="center"/>
    </xf>
    <xf numFmtId="49" fontId="33" fillId="0" borderId="364" applyNumberFormat="0" applyFill="0" applyBorder="0" applyProtection="0">
      <alignment horizontal="left" vertical="center"/>
    </xf>
    <xf numFmtId="4" fontId="34" fillId="32" borderId="356"/>
    <xf numFmtId="0" fontId="5" fillId="58" borderId="349" applyNumberFormat="0" applyFont="0" applyAlignment="0" applyProtection="0"/>
    <xf numFmtId="0" fontId="26" fillId="22" borderId="0" applyNumberFormat="0" applyBorder="0" applyAlignment="0" applyProtection="0"/>
    <xf numFmtId="0" fontId="65" fillId="0" borderId="362" applyNumberFormat="0" applyFill="0" applyAlignment="0" applyProtection="0"/>
    <xf numFmtId="0" fontId="26" fillId="28" borderId="0" applyNumberFormat="0" applyBorder="0" applyAlignment="0" applyProtection="0"/>
    <xf numFmtId="0" fontId="32" fillId="33" borderId="350">
      <alignment horizontal="right" vertical="center"/>
    </xf>
    <xf numFmtId="4" fontId="34" fillId="0" borderId="356" applyFill="0" applyBorder="0" applyProtection="0">
      <alignment horizontal="right" vertical="center"/>
    </xf>
    <xf numFmtId="0" fontId="34" fillId="33" borderId="353">
      <alignment horizontal="left" vertical="center" wrapText="1" indent="2"/>
    </xf>
    <xf numFmtId="4" fontId="36" fillId="31" borderId="350">
      <alignment horizontal="right" vertical="center"/>
    </xf>
    <xf numFmtId="4" fontId="32" fillId="33" borderId="352">
      <alignment horizontal="right" vertical="center"/>
    </xf>
    <xf numFmtId="4" fontId="32" fillId="33" borderId="350">
      <alignment horizontal="right" vertical="center"/>
    </xf>
    <xf numFmtId="4" fontId="34" fillId="32" borderId="350"/>
    <xf numFmtId="0" fontId="65" fillId="0" borderId="362" applyNumberFormat="0" applyFill="0" applyAlignment="0" applyProtection="0"/>
    <xf numFmtId="0" fontId="49" fillId="42" borderId="340" applyNumberFormat="0" applyAlignment="0" applyProtection="0"/>
    <xf numFmtId="49" fontId="34" fillId="0" borderId="350" applyNumberFormat="0" applyFont="0" applyFill="0" applyBorder="0" applyProtection="0">
      <alignment horizontal="left" vertical="center" indent="2"/>
    </xf>
    <xf numFmtId="173" fontId="34" fillId="59" borderId="350" applyNumberFormat="0" applyFont="0" applyBorder="0" applyAlignment="0" applyProtection="0">
      <alignment horizontal="right" vertical="center"/>
    </xf>
    <xf numFmtId="0" fontId="45" fillId="55" borderId="369" applyNumberFormat="0" applyAlignment="0" applyProtection="0"/>
    <xf numFmtId="4" fontId="34" fillId="0" borderId="356">
      <alignment horizontal="right" vertical="center"/>
    </xf>
    <xf numFmtId="4" fontId="34" fillId="0" borderId="364" applyFill="0" applyBorder="0" applyProtection="0">
      <alignment horizontal="right" vertical="center"/>
    </xf>
    <xf numFmtId="0" fontId="58" fillId="42" borderId="361" applyNumberFormat="0" applyAlignment="0" applyProtection="0"/>
    <xf numFmtId="4" fontId="32" fillId="33" borderId="352">
      <alignment horizontal="right" vertical="center"/>
    </xf>
    <xf numFmtId="0" fontId="26" fillId="22" borderId="0" applyNumberFormat="0" applyBorder="0" applyAlignment="0" applyProtection="0"/>
    <xf numFmtId="0" fontId="50" fillId="0" borderId="381" applyNumberFormat="0" applyFill="0" applyAlignment="0" applyProtection="0"/>
    <xf numFmtId="0" fontId="28" fillId="12" borderId="11" applyNumberFormat="0" applyAlignment="0" applyProtection="0"/>
    <xf numFmtId="0" fontId="43" fillId="55" borderId="360" applyNumberFormat="0" applyAlignment="0" applyProtection="0"/>
    <xf numFmtId="0" fontId="65" fillId="0" borderId="370" applyNumberFormat="0" applyFill="0" applyAlignment="0" applyProtection="0"/>
    <xf numFmtId="0" fontId="46" fillId="55" borderId="369" applyNumberFormat="0" applyAlignment="0" applyProtection="0"/>
    <xf numFmtId="0" fontId="58" fillId="42" borderId="347" applyNumberFormat="0" applyAlignment="0" applyProtection="0"/>
    <xf numFmtId="0" fontId="34" fillId="33" borderId="353">
      <alignment horizontal="left" vertical="center" wrapText="1" indent="2"/>
    </xf>
    <xf numFmtId="0" fontId="50" fillId="0" borderId="348" applyNumberFormat="0" applyFill="0" applyAlignment="0" applyProtection="0"/>
    <xf numFmtId="4" fontId="34" fillId="32" borderId="350"/>
    <xf numFmtId="49" fontId="33" fillId="0" borderId="364" applyNumberFormat="0" applyFill="0" applyBorder="0" applyProtection="0">
      <alignment horizontal="left" vertical="center"/>
    </xf>
    <xf numFmtId="0" fontId="34" fillId="33" borderId="346">
      <alignment horizontal="left" vertical="center" wrapText="1" indent="2"/>
    </xf>
    <xf numFmtId="0" fontId="34" fillId="0" borderId="346">
      <alignment horizontal="left" vertical="center" wrapText="1" indent="2"/>
    </xf>
    <xf numFmtId="4" fontId="32" fillId="33" borderId="356">
      <alignment horizontal="right" vertical="center"/>
    </xf>
    <xf numFmtId="0" fontId="34" fillId="31" borderId="365">
      <alignment horizontal="left" vertical="center"/>
    </xf>
    <xf numFmtId="0" fontId="32" fillId="33" borderId="374">
      <alignment horizontal="right" vertical="center"/>
    </xf>
    <xf numFmtId="0" fontId="34" fillId="0" borderId="364">
      <alignment horizontal="right" vertical="center"/>
    </xf>
    <xf numFmtId="0" fontId="34" fillId="31" borderId="365">
      <alignment horizontal="left" vertical="center"/>
    </xf>
    <xf numFmtId="0" fontId="34" fillId="32" borderId="372"/>
    <xf numFmtId="0" fontId="58" fillId="42" borderId="347" applyNumberFormat="0" applyAlignment="0" applyProtection="0"/>
    <xf numFmtId="0" fontId="32" fillId="33" borderId="356">
      <alignment horizontal="right" vertical="center"/>
    </xf>
    <xf numFmtId="0" fontId="26" fillId="26" borderId="0" applyNumberFormat="0" applyBorder="0" applyAlignment="0" applyProtection="0"/>
    <xf numFmtId="0" fontId="12" fillId="24" borderId="0" applyNumberFormat="0" applyBorder="0" applyAlignment="0" applyProtection="0"/>
    <xf numFmtId="0" fontId="26" fillId="22" borderId="0" applyNumberFormat="0" applyBorder="0" applyAlignment="0" applyProtection="0"/>
    <xf numFmtId="4" fontId="34" fillId="0" borderId="372" applyFill="0" applyBorder="0" applyProtection="0">
      <alignment horizontal="right" vertical="center"/>
    </xf>
    <xf numFmtId="0" fontId="34" fillId="33" borderId="386">
      <alignment horizontal="left" vertical="center" wrapText="1" indent="2"/>
    </xf>
    <xf numFmtId="0" fontId="46" fillId="55" borderId="361" applyNumberFormat="0" applyAlignment="0" applyProtection="0"/>
    <xf numFmtId="0" fontId="12" fillId="21" borderId="0" applyNumberFormat="0" applyBorder="0" applyAlignment="0" applyProtection="0"/>
    <xf numFmtId="0" fontId="49" fillId="42" borderId="369" applyNumberFormat="0" applyAlignment="0" applyProtection="0"/>
    <xf numFmtId="0" fontId="32" fillId="33" borderId="358">
      <alignment horizontal="right" vertical="center"/>
    </xf>
    <xf numFmtId="0" fontId="46" fillId="55" borderId="361" applyNumberFormat="0" applyAlignment="0" applyProtection="0"/>
    <xf numFmtId="4" fontId="34" fillId="32" borderId="356"/>
    <xf numFmtId="0" fontId="34" fillId="0" borderId="350">
      <alignment horizontal="right" vertical="center"/>
    </xf>
    <xf numFmtId="0" fontId="65" fillId="0" borderId="362" applyNumberFormat="0" applyFill="0" applyAlignment="0" applyProtection="0"/>
    <xf numFmtId="0" fontId="43" fillId="55" borderId="354" applyNumberFormat="0" applyAlignment="0" applyProtection="0"/>
    <xf numFmtId="4" fontId="32" fillId="31" borderId="350">
      <alignment horizontal="right" vertical="center"/>
    </xf>
    <xf numFmtId="0" fontId="50" fillId="0" borderId="348" applyNumberFormat="0" applyFill="0" applyAlignment="0" applyProtection="0"/>
    <xf numFmtId="0" fontId="46" fillId="55" borderId="347" applyNumberFormat="0" applyAlignment="0" applyProtection="0"/>
    <xf numFmtId="4" fontId="32" fillId="33" borderId="351">
      <alignment horizontal="right" vertical="center"/>
    </xf>
    <xf numFmtId="0" fontId="45" fillId="55" borderId="361" applyNumberFormat="0" applyAlignment="0" applyProtection="0"/>
    <xf numFmtId="0" fontId="45" fillId="55" borderId="347" applyNumberFormat="0" applyAlignment="0" applyProtection="0"/>
    <xf numFmtId="0" fontId="34" fillId="0" borderId="353">
      <alignment horizontal="left" vertical="center" wrapText="1" indent="2"/>
    </xf>
    <xf numFmtId="49" fontId="34" fillId="0" borderId="350" applyNumberFormat="0" applyFont="0" applyFill="0" applyBorder="0" applyProtection="0">
      <alignment horizontal="left" vertical="center" indent="2"/>
    </xf>
    <xf numFmtId="0" fontId="58" fillId="42" borderId="347" applyNumberFormat="0" applyAlignment="0" applyProtection="0"/>
    <xf numFmtId="0" fontId="40" fillId="58" borderId="349" applyNumberFormat="0" applyFont="0" applyAlignment="0" applyProtection="0"/>
    <xf numFmtId="4" fontId="32" fillId="33" borderId="351">
      <alignment horizontal="right" vertical="center"/>
    </xf>
    <xf numFmtId="0" fontId="34" fillId="33" borderId="353">
      <alignment horizontal="left" vertical="center" wrapText="1" indent="2"/>
    </xf>
    <xf numFmtId="0" fontId="50" fillId="0" borderId="348" applyNumberFormat="0" applyFill="0" applyAlignment="0" applyProtection="0"/>
    <xf numFmtId="0" fontId="62" fillId="55" borderId="354" applyNumberFormat="0" applyAlignment="0" applyProtection="0"/>
    <xf numFmtId="0" fontId="40" fillId="58" borderId="349" applyNumberFormat="0" applyFont="0" applyAlignment="0" applyProtection="0"/>
    <xf numFmtId="0" fontId="58" fillId="42" borderId="347" applyNumberFormat="0" applyAlignment="0" applyProtection="0"/>
    <xf numFmtId="0" fontId="34" fillId="0" borderId="350" applyNumberFormat="0" applyFill="0" applyAlignment="0" applyProtection="0"/>
    <xf numFmtId="0" fontId="32" fillId="31" borderId="350">
      <alignment horizontal="right" vertical="center"/>
    </xf>
    <xf numFmtId="0" fontId="32" fillId="33" borderId="350">
      <alignment horizontal="right" vertical="center"/>
    </xf>
    <xf numFmtId="0" fontId="40" fillId="58" borderId="349" applyNumberFormat="0" applyFont="0" applyAlignment="0" applyProtection="0"/>
    <xf numFmtId="0" fontId="50" fillId="0" borderId="348" applyNumberFormat="0" applyFill="0" applyAlignment="0" applyProtection="0"/>
    <xf numFmtId="0" fontId="32" fillId="31" borderId="350">
      <alignment horizontal="right" vertical="center"/>
    </xf>
    <xf numFmtId="4" fontId="34" fillId="0" borderId="350" applyFill="0" applyBorder="0" applyProtection="0">
      <alignment horizontal="right" vertical="center"/>
    </xf>
    <xf numFmtId="4" fontId="32" fillId="33" borderId="356">
      <alignment horizontal="right" vertical="center"/>
    </xf>
    <xf numFmtId="49" fontId="34" fillId="0" borderId="350" applyNumberFormat="0" applyFont="0" applyFill="0" applyBorder="0" applyProtection="0">
      <alignment horizontal="left" vertical="center" indent="2"/>
    </xf>
    <xf numFmtId="0" fontId="49" fillId="42" borderId="347" applyNumberFormat="0" applyAlignment="0" applyProtection="0"/>
    <xf numFmtId="0" fontId="32" fillId="31" borderId="372">
      <alignment horizontal="right" vertical="center"/>
    </xf>
    <xf numFmtId="0" fontId="12" fillId="21" borderId="0" applyNumberFormat="0" applyBorder="0" applyAlignment="0" applyProtection="0"/>
    <xf numFmtId="4" fontId="32" fillId="33" borderId="374">
      <alignment horizontal="right" vertical="center"/>
    </xf>
    <xf numFmtId="0" fontId="12" fillId="30" borderId="0" applyNumberFormat="0" applyBorder="0" applyAlignment="0" applyProtection="0"/>
    <xf numFmtId="0" fontId="32" fillId="33" borderId="358">
      <alignment horizontal="right" vertical="center"/>
    </xf>
    <xf numFmtId="0" fontId="26" fillId="28" borderId="0" applyNumberFormat="0" applyBorder="0" applyAlignment="0" applyProtection="0"/>
    <xf numFmtId="0" fontId="49" fillId="42" borderId="369" applyNumberFormat="0" applyAlignment="0" applyProtection="0"/>
    <xf numFmtId="0" fontId="26" fillId="25" borderId="0" applyNumberFormat="0" applyBorder="0" applyAlignment="0" applyProtection="0"/>
    <xf numFmtId="0" fontId="26" fillId="23" borderId="0" applyNumberFormat="0" applyBorder="0" applyAlignment="0" applyProtection="0"/>
    <xf numFmtId="0" fontId="32" fillId="33" borderId="372">
      <alignment horizontal="right" vertical="center"/>
    </xf>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32" fillId="33" borderId="364">
      <alignment horizontal="right" vertical="center"/>
    </xf>
    <xf numFmtId="0" fontId="2" fillId="0" borderId="12" applyNumberFormat="0" applyFill="0" applyAlignment="0" applyProtection="0"/>
    <xf numFmtId="4" fontId="34" fillId="0" borderId="356" applyFill="0" applyBorder="0" applyProtection="0">
      <alignment horizontal="right" vertical="center"/>
    </xf>
    <xf numFmtId="0" fontId="62" fillId="55" borderId="360" applyNumberFormat="0" applyAlignment="0" applyProtection="0"/>
    <xf numFmtId="4" fontId="34" fillId="32" borderId="364"/>
    <xf numFmtId="0" fontId="40" fillId="58" borderId="363" applyNumberFormat="0" applyFont="0" applyAlignment="0" applyProtection="0"/>
    <xf numFmtId="0" fontId="65" fillId="0" borderId="370" applyNumberFormat="0" applyFill="0" applyAlignment="0" applyProtection="0"/>
    <xf numFmtId="0" fontId="43" fillId="55" borderId="354" applyNumberFormat="0" applyAlignment="0" applyProtection="0"/>
    <xf numFmtId="0" fontId="26" fillId="22" borderId="0" applyNumberFormat="0" applyBorder="0" applyAlignment="0" applyProtection="0"/>
    <xf numFmtId="0" fontId="1" fillId="0" borderId="0" applyNumberFormat="0" applyFill="0" applyBorder="0" applyAlignment="0" applyProtection="0"/>
    <xf numFmtId="4" fontId="32" fillId="33" borderId="343">
      <alignment horizontal="right" vertical="center"/>
    </xf>
    <xf numFmtId="0" fontId="34" fillId="32" borderId="343"/>
    <xf numFmtId="0" fontId="45" fillId="55" borderId="340" applyNumberFormat="0" applyAlignment="0" applyProtection="0"/>
    <xf numFmtId="0" fontId="32" fillId="31" borderId="343">
      <alignment horizontal="right" vertical="center"/>
    </xf>
    <xf numFmtId="0" fontId="34" fillId="0" borderId="343">
      <alignment horizontal="right" vertical="center"/>
    </xf>
    <xf numFmtId="0" fontId="65" fillId="0" borderId="341" applyNumberFormat="0" applyFill="0" applyAlignment="0" applyProtection="0"/>
    <xf numFmtId="0" fontId="34" fillId="31" borderId="344">
      <alignment horizontal="left" vertical="center"/>
    </xf>
    <xf numFmtId="0" fontId="58" fillId="42" borderId="340" applyNumberFormat="0" applyAlignment="0" applyProtection="0"/>
    <xf numFmtId="173" fontId="34" fillId="59" borderId="343" applyNumberFormat="0" applyFont="0" applyBorder="0" applyAlignment="0" applyProtection="0">
      <alignment horizontal="right" vertical="center"/>
    </xf>
    <xf numFmtId="0" fontId="40" fillId="58" borderId="342" applyNumberFormat="0" applyFont="0" applyAlignment="0" applyProtection="0"/>
    <xf numFmtId="0" fontId="34" fillId="0" borderId="346">
      <alignment horizontal="left" vertical="center" wrapText="1" indent="2"/>
    </xf>
    <xf numFmtId="4" fontId="34" fillId="32" borderId="343"/>
    <xf numFmtId="49" fontId="33" fillId="0" borderId="343" applyNumberFormat="0" applyFill="0" applyBorder="0" applyProtection="0">
      <alignment horizontal="left" vertical="center"/>
    </xf>
    <xf numFmtId="0" fontId="34" fillId="0" borderId="343">
      <alignment horizontal="right" vertical="center"/>
    </xf>
    <xf numFmtId="4" fontId="32" fillId="33" borderId="345">
      <alignment horizontal="right" vertical="center"/>
    </xf>
    <xf numFmtId="4" fontId="32" fillId="33" borderId="343">
      <alignment horizontal="right" vertical="center"/>
    </xf>
    <xf numFmtId="4" fontId="32" fillId="33" borderId="343">
      <alignment horizontal="right" vertical="center"/>
    </xf>
    <xf numFmtId="0" fontId="36" fillId="31" borderId="343">
      <alignment horizontal="right" vertical="center"/>
    </xf>
    <xf numFmtId="0" fontId="32" fillId="31" borderId="343">
      <alignment horizontal="right" vertical="center"/>
    </xf>
    <xf numFmtId="49" fontId="34" fillId="0" borderId="343" applyNumberFormat="0" applyFont="0" applyFill="0" applyBorder="0" applyProtection="0">
      <alignment horizontal="left" vertical="center" indent="2"/>
    </xf>
    <xf numFmtId="0" fontId="58" fillId="42" borderId="340" applyNumberFormat="0" applyAlignment="0" applyProtection="0"/>
    <xf numFmtId="0" fontId="43" fillId="55" borderId="339" applyNumberFormat="0" applyAlignment="0" applyProtection="0"/>
    <xf numFmtId="49" fontId="34" fillId="0" borderId="343" applyNumberFormat="0" applyFont="0" applyFill="0" applyBorder="0" applyProtection="0">
      <alignment horizontal="left" vertical="center" indent="2"/>
    </xf>
    <xf numFmtId="0" fontId="49" fillId="42" borderId="340" applyNumberFormat="0" applyAlignment="0" applyProtection="0"/>
    <xf numFmtId="4" fontId="34" fillId="0" borderId="343" applyFill="0" applyBorder="0" applyProtection="0">
      <alignment horizontal="right" vertical="center"/>
    </xf>
    <xf numFmtId="0" fontId="46" fillId="55" borderId="340" applyNumberFormat="0" applyAlignment="0" applyProtection="0"/>
    <xf numFmtId="0" fontId="65" fillId="0" borderId="341" applyNumberFormat="0" applyFill="0" applyAlignment="0" applyProtection="0"/>
    <xf numFmtId="0" fontId="62" fillId="55" borderId="339" applyNumberFormat="0" applyAlignment="0" applyProtection="0"/>
    <xf numFmtId="0" fontId="34" fillId="0" borderId="343" applyNumberFormat="0" applyFill="0" applyAlignment="0" applyProtection="0"/>
    <xf numFmtId="4" fontId="34" fillId="0" borderId="343">
      <alignment horizontal="right" vertical="center"/>
    </xf>
    <xf numFmtId="0" fontId="34" fillId="0" borderId="343">
      <alignment horizontal="right" vertical="center"/>
    </xf>
    <xf numFmtId="0" fontId="58" fillId="42" borderId="340" applyNumberFormat="0" applyAlignment="0" applyProtection="0"/>
    <xf numFmtId="0" fontId="43" fillId="55" borderId="339" applyNumberFormat="0" applyAlignment="0" applyProtection="0"/>
    <xf numFmtId="0" fontId="45" fillId="55" borderId="340" applyNumberFormat="0" applyAlignment="0" applyProtection="0"/>
    <xf numFmtId="0" fontId="34" fillId="33" borderId="346">
      <alignment horizontal="left" vertical="center" wrapText="1" indent="2"/>
    </xf>
    <xf numFmtId="0" fontId="46" fillId="55" borderId="340" applyNumberFormat="0" applyAlignment="0" applyProtection="0"/>
    <xf numFmtId="0" fontId="46" fillId="55" borderId="340" applyNumberFormat="0" applyAlignment="0" applyProtection="0"/>
    <xf numFmtId="4" fontId="32" fillId="33" borderId="344">
      <alignment horizontal="right" vertical="center"/>
    </xf>
    <xf numFmtId="0" fontId="32" fillId="33" borderId="344">
      <alignment horizontal="right" vertical="center"/>
    </xf>
    <xf numFmtId="0" fontId="32" fillId="33" borderId="343">
      <alignment horizontal="right" vertical="center"/>
    </xf>
    <xf numFmtId="4" fontId="36" fillId="31" borderId="343">
      <alignment horizontal="right" vertical="center"/>
    </xf>
    <xf numFmtId="0" fontId="49" fillId="42" borderId="340" applyNumberFormat="0" applyAlignment="0" applyProtection="0"/>
    <xf numFmtId="0" fontId="50" fillId="0" borderId="341" applyNumberFormat="0" applyFill="0" applyAlignment="0" applyProtection="0"/>
    <xf numFmtId="0" fontId="65" fillId="0" borderId="341" applyNumberFormat="0" applyFill="0" applyAlignment="0" applyProtection="0"/>
    <xf numFmtId="0" fontId="40" fillId="58" borderId="342" applyNumberFormat="0" applyFont="0" applyAlignment="0" applyProtection="0"/>
    <xf numFmtId="0" fontId="58" fillId="42" borderId="340" applyNumberFormat="0" applyAlignment="0" applyProtection="0"/>
    <xf numFmtId="49" fontId="33" fillId="0" borderId="343" applyNumberFormat="0" applyFill="0" applyBorder="0" applyProtection="0">
      <alignment horizontal="left" vertical="center"/>
    </xf>
    <xf numFmtId="0" fontId="34" fillId="33" borderId="346">
      <alignment horizontal="left" vertical="center" wrapText="1" indent="2"/>
    </xf>
    <xf numFmtId="0" fontId="46" fillId="55" borderId="340" applyNumberFormat="0" applyAlignment="0" applyProtection="0"/>
    <xf numFmtId="0" fontId="34" fillId="0" borderId="346">
      <alignment horizontal="left" vertical="center" wrapText="1" indent="2"/>
    </xf>
    <xf numFmtId="0" fontId="40" fillId="58" borderId="342" applyNumberFormat="0" applyFont="0" applyAlignment="0" applyProtection="0"/>
    <xf numFmtId="0" fontId="5" fillId="58" borderId="342" applyNumberFormat="0" applyFont="0" applyAlignment="0" applyProtection="0"/>
    <xf numFmtId="0" fontId="62" fillId="55" borderId="339" applyNumberFormat="0" applyAlignment="0" applyProtection="0"/>
    <xf numFmtId="0" fontId="65" fillId="0" borderId="341" applyNumberFormat="0" applyFill="0" applyAlignment="0" applyProtection="0"/>
    <xf numFmtId="4" fontId="34" fillId="32" borderId="343"/>
    <xf numFmtId="0" fontId="32" fillId="33" borderId="343">
      <alignment horizontal="right" vertical="center"/>
    </xf>
    <xf numFmtId="0" fontId="65" fillId="0" borderId="341" applyNumberFormat="0" applyFill="0" applyAlignment="0" applyProtection="0"/>
    <xf numFmtId="4" fontId="32" fillId="33" borderId="345">
      <alignment horizontal="right" vertical="center"/>
    </xf>
    <xf numFmtId="0" fontId="45" fillId="55" borderId="340" applyNumberFormat="0" applyAlignment="0" applyProtection="0"/>
    <xf numFmtId="0" fontId="32" fillId="33" borderId="344">
      <alignment horizontal="right" vertical="center"/>
    </xf>
    <xf numFmtId="0" fontId="46" fillId="55" borderId="340" applyNumberFormat="0" applyAlignment="0" applyProtection="0"/>
    <xf numFmtId="0" fontId="50" fillId="0" borderId="341" applyNumberFormat="0" applyFill="0" applyAlignment="0" applyProtection="0"/>
    <xf numFmtId="0" fontId="40" fillId="58" borderId="342" applyNumberFormat="0" applyFont="0" applyAlignment="0" applyProtection="0"/>
    <xf numFmtId="4" fontId="32" fillId="33" borderId="344">
      <alignment horizontal="right" vertical="center"/>
    </xf>
    <xf numFmtId="0" fontId="34" fillId="33" borderId="346">
      <alignment horizontal="left" vertical="center" wrapText="1" indent="2"/>
    </xf>
    <xf numFmtId="0" fontId="34" fillId="32" borderId="343"/>
    <xf numFmtId="173" fontId="34" fillId="59" borderId="343" applyNumberFormat="0" applyFont="0" applyBorder="0" applyAlignment="0" applyProtection="0">
      <alignment horizontal="right" vertical="center"/>
    </xf>
    <xf numFmtId="0" fontId="34" fillId="0" borderId="343" applyNumberFormat="0" applyFill="0" applyAlignment="0" applyProtection="0"/>
    <xf numFmtId="4" fontId="34" fillId="0" borderId="343" applyFill="0" applyBorder="0" applyProtection="0">
      <alignment horizontal="right" vertical="center"/>
    </xf>
    <xf numFmtId="4" fontId="32" fillId="31" borderId="343">
      <alignment horizontal="right" vertical="center"/>
    </xf>
    <xf numFmtId="0" fontId="50" fillId="0" borderId="341" applyNumberFormat="0" applyFill="0" applyAlignment="0" applyProtection="0"/>
    <xf numFmtId="49" fontId="33" fillId="0" borderId="343" applyNumberFormat="0" applyFill="0" applyBorder="0" applyProtection="0">
      <alignment horizontal="left" vertical="center"/>
    </xf>
    <xf numFmtId="49" fontId="34" fillId="0" borderId="344" applyNumberFormat="0" applyFont="0" applyFill="0" applyBorder="0" applyProtection="0">
      <alignment horizontal="left" vertical="center" indent="5"/>
    </xf>
    <xf numFmtId="0" fontId="34" fillId="31" borderId="344">
      <alignment horizontal="left" vertical="center"/>
    </xf>
    <xf numFmtId="0" fontId="46" fillId="55" borderId="340" applyNumberFormat="0" applyAlignment="0" applyProtection="0"/>
    <xf numFmtId="4" fontId="32" fillId="33" borderId="345">
      <alignment horizontal="right" vertical="center"/>
    </xf>
    <xf numFmtId="0" fontId="58" fillId="42" borderId="340" applyNumberFormat="0" applyAlignment="0" applyProtection="0"/>
    <xf numFmtId="0" fontId="58" fillId="42" borderId="340" applyNumberFormat="0" applyAlignment="0" applyProtection="0"/>
    <xf numFmtId="0" fontId="40" fillId="58" borderId="342" applyNumberFormat="0" applyFont="0" applyAlignment="0" applyProtection="0"/>
    <xf numFmtId="0" fontId="62" fillId="55" borderId="339" applyNumberFormat="0" applyAlignment="0" applyProtection="0"/>
    <xf numFmtId="0" fontId="65" fillId="0" borderId="341" applyNumberFormat="0" applyFill="0" applyAlignment="0" applyProtection="0"/>
    <xf numFmtId="0" fontId="32" fillId="33" borderId="343">
      <alignment horizontal="right" vertical="center"/>
    </xf>
    <xf numFmtId="0" fontId="5" fillId="58" borderId="342" applyNumberFormat="0" applyFont="0" applyAlignment="0" applyProtection="0"/>
    <xf numFmtId="4" fontId="34" fillId="0" borderId="343">
      <alignment horizontal="right" vertical="center"/>
    </xf>
    <xf numFmtId="0" fontId="65" fillId="0" borderId="341" applyNumberFormat="0" applyFill="0" applyAlignment="0" applyProtection="0"/>
    <xf numFmtId="0" fontId="32" fillId="33" borderId="343">
      <alignment horizontal="right" vertical="center"/>
    </xf>
    <xf numFmtId="0" fontId="32" fillId="33" borderId="343">
      <alignment horizontal="right" vertical="center"/>
    </xf>
    <xf numFmtId="4" fontId="36" fillId="31" borderId="343">
      <alignment horizontal="right" vertical="center"/>
    </xf>
    <xf numFmtId="0" fontId="32" fillId="31" borderId="343">
      <alignment horizontal="right" vertical="center"/>
    </xf>
    <xf numFmtId="4" fontId="32" fillId="31" borderId="343">
      <alignment horizontal="right" vertical="center"/>
    </xf>
    <xf numFmtId="0" fontId="36" fillId="31" borderId="343">
      <alignment horizontal="right" vertical="center"/>
    </xf>
    <xf numFmtId="4" fontId="36" fillId="31" borderId="343">
      <alignment horizontal="right" vertical="center"/>
    </xf>
    <xf numFmtId="0" fontId="32" fillId="33" borderId="343">
      <alignment horizontal="right" vertical="center"/>
    </xf>
    <xf numFmtId="4" fontId="32" fillId="33" borderId="343">
      <alignment horizontal="right" vertical="center"/>
    </xf>
    <xf numFmtId="0" fontId="32" fillId="33" borderId="343">
      <alignment horizontal="right" vertical="center"/>
    </xf>
    <xf numFmtId="4" fontId="32" fillId="33" borderId="343">
      <alignment horizontal="right" vertical="center"/>
    </xf>
    <xf numFmtId="0" fontId="32" fillId="33" borderId="344">
      <alignment horizontal="right" vertical="center"/>
    </xf>
    <xf numFmtId="4" fontId="32" fillId="33" borderId="344">
      <alignment horizontal="right" vertical="center"/>
    </xf>
    <xf numFmtId="0" fontId="32" fillId="33" borderId="345">
      <alignment horizontal="right" vertical="center"/>
    </xf>
    <xf numFmtId="4" fontId="32" fillId="33" borderId="345">
      <alignment horizontal="right" vertical="center"/>
    </xf>
    <xf numFmtId="0" fontId="46" fillId="55" borderId="340" applyNumberFormat="0" applyAlignment="0" applyProtection="0"/>
    <xf numFmtId="0" fontId="34" fillId="33" borderId="346">
      <alignment horizontal="left" vertical="center" wrapText="1" indent="2"/>
    </xf>
    <xf numFmtId="0" fontId="34" fillId="0" borderId="346">
      <alignment horizontal="left" vertical="center" wrapText="1" indent="2"/>
    </xf>
    <xf numFmtId="0" fontId="34" fillId="31" borderId="344">
      <alignment horizontal="left" vertical="center"/>
    </xf>
    <xf numFmtId="0" fontId="58" fillId="42" borderId="340" applyNumberFormat="0" applyAlignment="0" applyProtection="0"/>
    <xf numFmtId="0" fontId="34" fillId="0" borderId="343">
      <alignment horizontal="right" vertical="center"/>
    </xf>
    <xf numFmtId="4" fontId="34" fillId="0" borderId="343">
      <alignment horizontal="right" vertical="center"/>
    </xf>
    <xf numFmtId="0" fontId="34" fillId="0" borderId="343" applyNumberFormat="0" applyFill="0" applyAlignment="0" applyProtection="0"/>
    <xf numFmtId="0" fontId="62" fillId="55" borderId="339" applyNumberFormat="0" applyAlignment="0" applyProtection="0"/>
    <xf numFmtId="173" fontId="34" fillId="59" borderId="343" applyNumberFormat="0" applyFont="0" applyBorder="0" applyAlignment="0" applyProtection="0">
      <alignment horizontal="right" vertical="center"/>
    </xf>
    <xf numFmtId="0" fontId="34" fillId="32" borderId="343"/>
    <xf numFmtId="4" fontId="34" fillId="32" borderId="343"/>
    <xf numFmtId="0" fontId="65" fillId="0" borderId="341" applyNumberFormat="0" applyFill="0" applyAlignment="0" applyProtection="0"/>
    <xf numFmtId="0" fontId="5" fillId="58" borderId="342" applyNumberFormat="0" applyFont="0" applyAlignment="0" applyProtection="0"/>
    <xf numFmtId="0" fontId="40" fillId="58" borderId="342" applyNumberFormat="0" applyFont="0" applyAlignment="0" applyProtection="0"/>
    <xf numFmtId="0" fontId="34" fillId="0" borderId="343" applyNumberFormat="0" applyFill="0" applyAlignment="0" applyProtection="0"/>
    <xf numFmtId="0" fontId="50" fillId="0" borderId="341" applyNumberFormat="0" applyFill="0" applyAlignment="0" applyProtection="0"/>
    <xf numFmtId="0" fontId="65" fillId="0" borderId="341" applyNumberFormat="0" applyFill="0" applyAlignment="0" applyProtection="0"/>
    <xf numFmtId="0" fontId="49" fillId="42" borderId="340" applyNumberFormat="0" applyAlignment="0" applyProtection="0"/>
    <xf numFmtId="0" fontId="46" fillId="55" borderId="340" applyNumberFormat="0" applyAlignment="0" applyProtection="0"/>
    <xf numFmtId="4" fontId="36" fillId="31" borderId="343">
      <alignment horizontal="right" vertical="center"/>
    </xf>
    <xf numFmtId="0" fontId="32" fillId="31" borderId="343">
      <alignment horizontal="right" vertical="center"/>
    </xf>
    <xf numFmtId="173" fontId="34" fillId="59" borderId="343" applyNumberFormat="0" applyFont="0" applyBorder="0" applyAlignment="0" applyProtection="0">
      <alignment horizontal="right" vertical="center"/>
    </xf>
    <xf numFmtId="0" fontId="50" fillId="0" borderId="341" applyNumberFormat="0" applyFill="0" applyAlignment="0" applyProtection="0"/>
    <xf numFmtId="49" fontId="34" fillId="0" borderId="343" applyNumberFormat="0" applyFont="0" applyFill="0" applyBorder="0" applyProtection="0">
      <alignment horizontal="left" vertical="center" indent="2"/>
    </xf>
    <xf numFmtId="49" fontId="34" fillId="0" borderId="344" applyNumberFormat="0" applyFont="0" applyFill="0" applyBorder="0" applyProtection="0">
      <alignment horizontal="left" vertical="center" indent="5"/>
    </xf>
    <xf numFmtId="49" fontId="34" fillId="0" borderId="343" applyNumberFormat="0" applyFont="0" applyFill="0" applyBorder="0" applyProtection="0">
      <alignment horizontal="left" vertical="center" indent="2"/>
    </xf>
    <xf numFmtId="4" fontId="34" fillId="0" borderId="343" applyFill="0" applyBorder="0" applyProtection="0">
      <alignment horizontal="right" vertical="center"/>
    </xf>
    <xf numFmtId="49" fontId="33" fillId="0" borderId="343" applyNumberFormat="0" applyFill="0" applyBorder="0" applyProtection="0">
      <alignment horizontal="left" vertical="center"/>
    </xf>
    <xf numFmtId="0" fontId="34" fillId="0" borderId="346">
      <alignment horizontal="left" vertical="center" wrapText="1" indent="2"/>
    </xf>
    <xf numFmtId="0" fontId="62" fillId="55" borderId="339" applyNumberFormat="0" applyAlignment="0" applyProtection="0"/>
    <xf numFmtId="0" fontId="32" fillId="33" borderId="345">
      <alignment horizontal="right" vertical="center"/>
    </xf>
    <xf numFmtId="0" fontId="49" fillId="42" borderId="340" applyNumberFormat="0" applyAlignment="0" applyProtection="0"/>
    <xf numFmtId="0" fontId="32" fillId="33" borderId="345">
      <alignment horizontal="right" vertical="center"/>
    </xf>
    <xf numFmtId="4" fontId="32" fillId="33" borderId="343">
      <alignment horizontal="right" vertical="center"/>
    </xf>
    <xf numFmtId="0" fontId="32" fillId="33" borderId="343">
      <alignment horizontal="right" vertical="center"/>
    </xf>
    <xf numFmtId="0" fontId="43" fillId="55" borderId="339" applyNumberFormat="0" applyAlignment="0" applyProtection="0"/>
    <xf numFmtId="0" fontId="45" fillId="55" borderId="340" applyNumberFormat="0" applyAlignment="0" applyProtection="0"/>
    <xf numFmtId="0" fontId="50" fillId="0" borderId="341" applyNumberFormat="0" applyFill="0" applyAlignment="0" applyProtection="0"/>
    <xf numFmtId="0" fontId="34" fillId="32" borderId="343"/>
    <xf numFmtId="4" fontId="34" fillId="32" borderId="343"/>
    <xf numFmtId="4" fontId="32" fillId="33" borderId="343">
      <alignment horizontal="right" vertical="center"/>
    </xf>
    <xf numFmtId="0" fontId="36" fillId="31" borderId="343">
      <alignment horizontal="right" vertical="center"/>
    </xf>
    <xf numFmtId="0" fontId="49" fillId="42" borderId="340" applyNumberFormat="0" applyAlignment="0" applyProtection="0"/>
    <xf numFmtId="0" fontId="46" fillId="55" borderId="340" applyNumberFormat="0" applyAlignment="0" applyProtection="0"/>
    <xf numFmtId="4" fontId="34" fillId="0" borderId="343">
      <alignment horizontal="right" vertical="center"/>
    </xf>
    <xf numFmtId="0" fontId="34" fillId="33" borderId="346">
      <alignment horizontal="left" vertical="center" wrapText="1" indent="2"/>
    </xf>
    <xf numFmtId="0" fontId="34" fillId="0" borderId="346">
      <alignment horizontal="left" vertical="center" wrapText="1" indent="2"/>
    </xf>
    <xf numFmtId="0" fontId="62" fillId="55" borderId="339" applyNumberFormat="0" applyAlignment="0" applyProtection="0"/>
    <xf numFmtId="0" fontId="58" fillId="42" borderId="340" applyNumberFormat="0" applyAlignment="0" applyProtection="0"/>
    <xf numFmtId="0" fontId="45" fillId="55" borderId="340" applyNumberFormat="0" applyAlignment="0" applyProtection="0"/>
    <xf numFmtId="0" fontId="43" fillId="55" borderId="339" applyNumberFormat="0" applyAlignment="0" applyProtection="0"/>
    <xf numFmtId="0" fontId="32" fillId="33" borderId="345">
      <alignment horizontal="right" vertical="center"/>
    </xf>
    <xf numFmtId="0" fontId="36" fillId="31" borderId="343">
      <alignment horizontal="right" vertical="center"/>
    </xf>
    <xf numFmtId="4" fontId="32" fillId="31" borderId="343">
      <alignment horizontal="right" vertical="center"/>
    </xf>
    <xf numFmtId="4" fontId="32" fillId="33" borderId="343">
      <alignment horizontal="right" vertical="center"/>
    </xf>
    <xf numFmtId="49" fontId="34" fillId="0" borderId="344" applyNumberFormat="0" applyFont="0" applyFill="0" applyBorder="0" applyProtection="0">
      <alignment horizontal="left" vertical="center" indent="5"/>
    </xf>
    <xf numFmtId="4" fontId="34" fillId="0" borderId="343" applyFill="0" applyBorder="0" applyProtection="0">
      <alignment horizontal="right" vertical="center"/>
    </xf>
    <xf numFmtId="4" fontId="32" fillId="31" borderId="343">
      <alignment horizontal="right" vertical="center"/>
    </xf>
    <xf numFmtId="4" fontId="32" fillId="31" borderId="383">
      <alignment horizontal="right" vertical="center"/>
    </xf>
    <xf numFmtId="0" fontId="58" fillId="42" borderId="340" applyNumberFormat="0" applyAlignment="0" applyProtection="0"/>
    <xf numFmtId="0" fontId="49" fillId="42" borderId="340" applyNumberFormat="0" applyAlignment="0" applyProtection="0"/>
    <xf numFmtId="0" fontId="45" fillId="55" borderId="340" applyNumberFormat="0" applyAlignment="0" applyProtection="0"/>
    <xf numFmtId="0" fontId="34" fillId="33" borderId="346">
      <alignment horizontal="left" vertical="center" wrapText="1" indent="2"/>
    </xf>
    <xf numFmtId="0" fontId="34" fillId="0" borderId="346">
      <alignment horizontal="left" vertical="center" wrapText="1" indent="2"/>
    </xf>
    <xf numFmtId="0" fontId="34" fillId="33" borderId="346">
      <alignment horizontal="left" vertical="center" wrapText="1" indent="2"/>
    </xf>
    <xf numFmtId="0" fontId="34" fillId="0" borderId="346">
      <alignment horizontal="left" vertical="center" wrapText="1" indent="2"/>
    </xf>
    <xf numFmtId="0" fontId="43" fillId="55" borderId="339" applyNumberFormat="0" applyAlignment="0" applyProtection="0"/>
    <xf numFmtId="0" fontId="45" fillId="55" borderId="340" applyNumberFormat="0" applyAlignment="0" applyProtection="0"/>
    <xf numFmtId="0" fontId="46" fillId="55" borderId="340" applyNumberFormat="0" applyAlignment="0" applyProtection="0"/>
    <xf numFmtId="0" fontId="49" fillId="42" borderId="340" applyNumberFormat="0" applyAlignment="0" applyProtection="0"/>
    <xf numFmtId="0" fontId="50" fillId="0" borderId="341" applyNumberFormat="0" applyFill="0" applyAlignment="0" applyProtection="0"/>
    <xf numFmtId="0" fontId="58" fillId="42" borderId="340" applyNumberFormat="0" applyAlignment="0" applyProtection="0"/>
    <xf numFmtId="0" fontId="40" fillId="58" borderId="342" applyNumberFormat="0" applyFont="0" applyAlignment="0" applyProtection="0"/>
    <xf numFmtId="0" fontId="5" fillId="58" borderId="342" applyNumberFormat="0" applyFont="0" applyAlignment="0" applyProtection="0"/>
    <xf numFmtId="0" fontId="62" fillId="55" borderId="339" applyNumberFormat="0" applyAlignment="0" applyProtection="0"/>
    <xf numFmtId="0" fontId="65" fillId="0" borderId="341" applyNumberFormat="0" applyFill="0" applyAlignment="0" applyProtection="0"/>
    <xf numFmtId="0" fontId="46" fillId="55" borderId="340" applyNumberFormat="0" applyAlignment="0" applyProtection="0"/>
    <xf numFmtId="0" fontId="58" fillId="42" borderId="340" applyNumberFormat="0" applyAlignment="0" applyProtection="0"/>
    <xf numFmtId="0" fontId="40" fillId="58" borderId="342" applyNumberFormat="0" applyFont="0" applyAlignment="0" applyProtection="0"/>
    <xf numFmtId="0" fontId="62" fillId="55" borderId="339" applyNumberFormat="0" applyAlignment="0" applyProtection="0"/>
    <xf numFmtId="0" fontId="65" fillId="0" borderId="341" applyNumberFormat="0" applyFill="0" applyAlignment="0" applyProtection="0"/>
    <xf numFmtId="0" fontId="34" fillId="31" borderId="351">
      <alignment horizontal="left" vertical="center"/>
    </xf>
    <xf numFmtId="4" fontId="34" fillId="0" borderId="350">
      <alignment horizontal="right" vertical="center"/>
    </xf>
    <xf numFmtId="0" fontId="32" fillId="33" borderId="334">
      <alignment horizontal="right" vertical="center"/>
    </xf>
    <xf numFmtId="4" fontId="32" fillId="33" borderId="334">
      <alignment horizontal="right" vertical="center"/>
    </xf>
    <xf numFmtId="0" fontId="46" fillId="55" borderId="340" applyNumberFormat="0" applyAlignment="0" applyProtection="0"/>
    <xf numFmtId="0" fontId="34" fillId="33" borderId="335">
      <alignment horizontal="left" vertical="center" wrapText="1" indent="2"/>
    </xf>
    <xf numFmtId="0" fontId="34" fillId="0" borderId="335">
      <alignment horizontal="left" vertical="center" wrapText="1" indent="2"/>
    </xf>
    <xf numFmtId="0" fontId="58" fillId="42" borderId="361" applyNumberFormat="0" applyAlignment="0" applyProtection="0"/>
    <xf numFmtId="0" fontId="58" fillId="42" borderId="340" applyNumberFormat="0" applyAlignment="0" applyProtection="0"/>
    <xf numFmtId="0" fontId="62" fillId="55" borderId="339" applyNumberFormat="0" applyAlignment="0" applyProtection="0"/>
    <xf numFmtId="0" fontId="65" fillId="0" borderId="341" applyNumberFormat="0" applyFill="0" applyAlignment="0" applyProtection="0"/>
    <xf numFmtId="0" fontId="46" fillId="55" borderId="347" applyNumberFormat="0" applyAlignment="0" applyProtection="0"/>
    <xf numFmtId="0" fontId="43" fillId="55" borderId="339" applyNumberFormat="0" applyAlignment="0" applyProtection="0"/>
    <xf numFmtId="0" fontId="45" fillId="55" borderId="340" applyNumberFormat="0" applyAlignment="0" applyProtection="0"/>
    <xf numFmtId="0" fontId="50" fillId="0" borderId="341" applyNumberFormat="0" applyFill="0" applyAlignment="0" applyProtection="0"/>
    <xf numFmtId="49" fontId="34" fillId="0" borderId="343" applyNumberFormat="0" applyFont="0" applyFill="0" applyBorder="0" applyProtection="0">
      <alignment horizontal="left" vertical="center" indent="2"/>
    </xf>
    <xf numFmtId="0" fontId="32" fillId="31" borderId="343">
      <alignment horizontal="right" vertical="center"/>
    </xf>
    <xf numFmtId="4" fontId="32" fillId="31" borderId="343">
      <alignment horizontal="right" vertical="center"/>
    </xf>
    <xf numFmtId="0" fontId="36" fillId="31" borderId="343">
      <alignment horizontal="right" vertical="center"/>
    </xf>
    <xf numFmtId="4" fontId="36" fillId="31" borderId="343">
      <alignment horizontal="right" vertical="center"/>
    </xf>
    <xf numFmtId="0" fontId="32" fillId="33" borderId="343">
      <alignment horizontal="right" vertical="center"/>
    </xf>
    <xf numFmtId="4" fontId="32" fillId="33" borderId="343">
      <alignment horizontal="right" vertical="center"/>
    </xf>
    <xf numFmtId="0" fontId="32" fillId="33" borderId="343">
      <alignment horizontal="right" vertical="center"/>
    </xf>
    <xf numFmtId="4" fontId="32" fillId="33" borderId="343">
      <alignment horizontal="right" vertical="center"/>
    </xf>
    <xf numFmtId="0" fontId="49" fillId="42" borderId="340" applyNumberFormat="0" applyAlignment="0" applyProtection="0"/>
    <xf numFmtId="0" fontId="34" fillId="0" borderId="343">
      <alignment horizontal="right" vertical="center"/>
    </xf>
    <xf numFmtId="4" fontId="34" fillId="0" borderId="343">
      <alignment horizontal="right" vertical="center"/>
    </xf>
    <xf numFmtId="4" fontId="34" fillId="0" borderId="343" applyFill="0" applyBorder="0" applyProtection="0">
      <alignment horizontal="right" vertical="center"/>
    </xf>
    <xf numFmtId="49" fontId="33" fillId="0" borderId="343" applyNumberFormat="0" applyFill="0" applyBorder="0" applyProtection="0">
      <alignment horizontal="left" vertical="center"/>
    </xf>
    <xf numFmtId="0" fontId="34" fillId="0" borderId="343" applyNumberFormat="0" applyFill="0" applyAlignment="0" applyProtection="0"/>
    <xf numFmtId="173" fontId="34" fillId="59" borderId="343" applyNumberFormat="0" applyFont="0" applyBorder="0" applyAlignment="0" applyProtection="0">
      <alignment horizontal="right" vertical="center"/>
    </xf>
    <xf numFmtId="0" fontId="34" fillId="32" borderId="343"/>
    <xf numFmtId="4" fontId="34" fillId="32" borderId="343"/>
    <xf numFmtId="4" fontId="32" fillId="33" borderId="343">
      <alignment horizontal="right" vertical="center"/>
    </xf>
    <xf numFmtId="0" fontId="34" fillId="32" borderId="343"/>
    <xf numFmtId="0" fontId="45" fillId="55" borderId="340" applyNumberFormat="0" applyAlignment="0" applyProtection="0"/>
    <xf numFmtId="0" fontId="32" fillId="31" borderId="343">
      <alignment horizontal="right" vertical="center"/>
    </xf>
    <xf numFmtId="0" fontId="34" fillId="0" borderId="343">
      <alignment horizontal="right" vertical="center"/>
    </xf>
    <xf numFmtId="0" fontId="65" fillId="0" borderId="341" applyNumberFormat="0" applyFill="0" applyAlignment="0" applyProtection="0"/>
    <xf numFmtId="0" fontId="34" fillId="31" borderId="344">
      <alignment horizontal="left" vertical="center"/>
    </xf>
    <xf numFmtId="0" fontId="58" fillId="42" borderId="340" applyNumberFormat="0" applyAlignment="0" applyProtection="0"/>
    <xf numFmtId="173" fontId="34" fillId="59" borderId="343" applyNumberFormat="0" applyFont="0" applyBorder="0" applyAlignment="0" applyProtection="0">
      <alignment horizontal="right" vertical="center"/>
    </xf>
    <xf numFmtId="0" fontId="40" fillId="58" borderId="342" applyNumberFormat="0" applyFont="0" applyAlignment="0" applyProtection="0"/>
    <xf numFmtId="0" fontId="34" fillId="0" borderId="346">
      <alignment horizontal="left" vertical="center" wrapText="1" indent="2"/>
    </xf>
    <xf numFmtId="4" fontId="34" fillId="32" borderId="343"/>
    <xf numFmtId="49" fontId="33" fillId="0" borderId="343" applyNumberFormat="0" applyFill="0" applyBorder="0" applyProtection="0">
      <alignment horizontal="left" vertical="center"/>
    </xf>
    <xf numFmtId="0" fontId="34" fillId="0" borderId="343">
      <alignment horizontal="right" vertical="center"/>
    </xf>
    <xf numFmtId="4" fontId="32" fillId="33" borderId="345">
      <alignment horizontal="right" vertical="center"/>
    </xf>
    <xf numFmtId="4" fontId="32" fillId="33" borderId="343">
      <alignment horizontal="right" vertical="center"/>
    </xf>
    <xf numFmtId="4" fontId="32" fillId="33" borderId="343">
      <alignment horizontal="right" vertical="center"/>
    </xf>
    <xf numFmtId="0" fontId="36" fillId="31" borderId="343">
      <alignment horizontal="right" vertical="center"/>
    </xf>
    <xf numFmtId="0" fontId="32" fillId="31" borderId="343">
      <alignment horizontal="right" vertical="center"/>
    </xf>
    <xf numFmtId="49" fontId="34" fillId="0" borderId="343" applyNumberFormat="0" applyFont="0" applyFill="0" applyBorder="0" applyProtection="0">
      <alignment horizontal="left" vertical="center" indent="2"/>
    </xf>
    <xf numFmtId="0" fontId="58" fillId="42" borderId="340" applyNumberFormat="0" applyAlignment="0" applyProtection="0"/>
    <xf numFmtId="0" fontId="43" fillId="55" borderId="339" applyNumberFormat="0" applyAlignment="0" applyProtection="0"/>
    <xf numFmtId="49" fontId="34" fillId="0" borderId="343" applyNumberFormat="0" applyFont="0" applyFill="0" applyBorder="0" applyProtection="0">
      <alignment horizontal="left" vertical="center" indent="2"/>
    </xf>
    <xf numFmtId="0" fontId="49" fillId="42" borderId="340" applyNumberFormat="0" applyAlignment="0" applyProtection="0"/>
    <xf numFmtId="4" fontId="34" fillId="0" borderId="343" applyFill="0" applyBorder="0" applyProtection="0">
      <alignment horizontal="right" vertical="center"/>
    </xf>
    <xf numFmtId="0" fontId="46" fillId="55" borderId="340" applyNumberFormat="0" applyAlignment="0" applyProtection="0"/>
    <xf numFmtId="0" fontId="65" fillId="0" borderId="341" applyNumberFormat="0" applyFill="0" applyAlignment="0" applyProtection="0"/>
    <xf numFmtId="0" fontId="62" fillId="55" borderId="339" applyNumberFormat="0" applyAlignment="0" applyProtection="0"/>
    <xf numFmtId="0" fontId="34" fillId="0" borderId="343" applyNumberFormat="0" applyFill="0" applyAlignment="0" applyProtection="0"/>
    <xf numFmtId="4" fontId="34" fillId="0" borderId="343">
      <alignment horizontal="right" vertical="center"/>
    </xf>
    <xf numFmtId="0" fontId="34" fillId="0" borderId="343">
      <alignment horizontal="right" vertical="center"/>
    </xf>
    <xf numFmtId="0" fontId="58" fillId="42" borderId="340" applyNumberFormat="0" applyAlignment="0" applyProtection="0"/>
    <xf numFmtId="0" fontId="43" fillId="55" borderId="339" applyNumberFormat="0" applyAlignment="0" applyProtection="0"/>
    <xf numFmtId="0" fontId="45" fillId="55" borderId="340" applyNumberFormat="0" applyAlignment="0" applyProtection="0"/>
    <xf numFmtId="0" fontId="34" fillId="33" borderId="346">
      <alignment horizontal="left" vertical="center" wrapText="1" indent="2"/>
    </xf>
    <xf numFmtId="0" fontId="46" fillId="55" borderId="340" applyNumberFormat="0" applyAlignment="0" applyProtection="0"/>
    <xf numFmtId="0" fontId="46" fillId="55" borderId="340" applyNumberFormat="0" applyAlignment="0" applyProtection="0"/>
    <xf numFmtId="4" fontId="32" fillId="33" borderId="344">
      <alignment horizontal="right" vertical="center"/>
    </xf>
    <xf numFmtId="0" fontId="32" fillId="33" borderId="344">
      <alignment horizontal="right" vertical="center"/>
    </xf>
    <xf numFmtId="0" fontId="32" fillId="33" borderId="343">
      <alignment horizontal="right" vertical="center"/>
    </xf>
    <xf numFmtId="4" fontId="36" fillId="31" borderId="343">
      <alignment horizontal="right" vertical="center"/>
    </xf>
    <xf numFmtId="0" fontId="49" fillId="42" borderId="340" applyNumberFormat="0" applyAlignment="0" applyProtection="0"/>
    <xf numFmtId="0" fontId="50" fillId="0" borderId="341" applyNumberFormat="0" applyFill="0" applyAlignment="0" applyProtection="0"/>
    <xf numFmtId="0" fontId="65" fillId="0" borderId="341" applyNumberFormat="0" applyFill="0" applyAlignment="0" applyProtection="0"/>
    <xf numFmtId="0" fontId="40" fillId="58" borderId="342" applyNumberFormat="0" applyFont="0" applyAlignment="0" applyProtection="0"/>
    <xf numFmtId="0" fontId="58" fillId="42" borderId="340" applyNumberFormat="0" applyAlignment="0" applyProtection="0"/>
    <xf numFmtId="49" fontId="33" fillId="0" borderId="343" applyNumberFormat="0" applyFill="0" applyBorder="0" applyProtection="0">
      <alignment horizontal="left" vertical="center"/>
    </xf>
    <xf numFmtId="0" fontId="34" fillId="33" borderId="346">
      <alignment horizontal="left" vertical="center" wrapText="1" indent="2"/>
    </xf>
    <xf numFmtId="0" fontId="46" fillId="55" borderId="340" applyNumberFormat="0" applyAlignment="0" applyProtection="0"/>
    <xf numFmtId="0" fontId="34" fillId="0" borderId="346">
      <alignment horizontal="left" vertical="center" wrapText="1" indent="2"/>
    </xf>
    <xf numFmtId="0" fontId="40" fillId="58" borderId="342" applyNumberFormat="0" applyFont="0" applyAlignment="0" applyProtection="0"/>
    <xf numFmtId="0" fontId="5" fillId="58" borderId="342" applyNumberFormat="0" applyFont="0" applyAlignment="0" applyProtection="0"/>
    <xf numFmtId="0" fontId="62" fillId="55" borderId="339" applyNumberFormat="0" applyAlignment="0" applyProtection="0"/>
    <xf numFmtId="0" fontId="65" fillId="0" borderId="341" applyNumberFormat="0" applyFill="0" applyAlignment="0" applyProtection="0"/>
    <xf numFmtId="4" fontId="34" fillId="32" borderId="343"/>
    <xf numFmtId="0" fontId="32" fillId="33" borderId="343">
      <alignment horizontal="right" vertical="center"/>
    </xf>
    <xf numFmtId="0" fontId="65" fillId="0" borderId="341" applyNumberFormat="0" applyFill="0" applyAlignment="0" applyProtection="0"/>
    <xf numFmtId="4" fontId="32" fillId="33" borderId="345">
      <alignment horizontal="right" vertical="center"/>
    </xf>
    <xf numFmtId="0" fontId="45" fillId="55" borderId="340" applyNumberFormat="0" applyAlignment="0" applyProtection="0"/>
    <xf numFmtId="0" fontId="32" fillId="33" borderId="344">
      <alignment horizontal="right" vertical="center"/>
    </xf>
    <xf numFmtId="0" fontId="46" fillId="55" borderId="340" applyNumberFormat="0" applyAlignment="0" applyProtection="0"/>
    <xf numFmtId="0" fontId="50" fillId="0" borderId="341" applyNumberFormat="0" applyFill="0" applyAlignment="0" applyProtection="0"/>
    <xf numFmtId="0" fontId="40" fillId="58" borderId="342" applyNumberFormat="0" applyFont="0" applyAlignment="0" applyProtection="0"/>
    <xf numFmtId="4" fontId="32" fillId="33" borderId="344">
      <alignment horizontal="right" vertical="center"/>
    </xf>
    <xf numFmtId="0" fontId="34" fillId="33" borderId="346">
      <alignment horizontal="left" vertical="center" wrapText="1" indent="2"/>
    </xf>
    <xf numFmtId="0" fontId="34" fillId="32" borderId="343"/>
    <xf numFmtId="173" fontId="34" fillId="59" borderId="343" applyNumberFormat="0" applyFont="0" applyBorder="0" applyAlignment="0" applyProtection="0">
      <alignment horizontal="right" vertical="center"/>
    </xf>
    <xf numFmtId="0" fontId="34" fillId="0" borderId="343" applyNumberFormat="0" applyFill="0" applyAlignment="0" applyProtection="0"/>
    <xf numFmtId="4" fontId="34" fillId="0" borderId="343" applyFill="0" applyBorder="0" applyProtection="0">
      <alignment horizontal="right" vertical="center"/>
    </xf>
    <xf numFmtId="4" fontId="32" fillId="31" borderId="343">
      <alignment horizontal="right" vertical="center"/>
    </xf>
    <xf numFmtId="0" fontId="50" fillId="0" borderId="341" applyNumberFormat="0" applyFill="0" applyAlignment="0" applyProtection="0"/>
    <xf numFmtId="49" fontId="33" fillId="0" borderId="343" applyNumberFormat="0" applyFill="0" applyBorder="0" applyProtection="0">
      <alignment horizontal="left" vertical="center"/>
    </xf>
    <xf numFmtId="49" fontId="34" fillId="0" borderId="344" applyNumberFormat="0" applyFont="0" applyFill="0" applyBorder="0" applyProtection="0">
      <alignment horizontal="left" vertical="center" indent="5"/>
    </xf>
    <xf numFmtId="0" fontId="34" fillId="31" borderId="344">
      <alignment horizontal="left" vertical="center"/>
    </xf>
    <xf numFmtId="0" fontId="46" fillId="55" borderId="340" applyNumberFormat="0" applyAlignment="0" applyProtection="0"/>
    <xf numFmtId="4" fontId="32" fillId="33" borderId="345">
      <alignment horizontal="right" vertical="center"/>
    </xf>
    <xf numFmtId="0" fontId="58" fillId="42" borderId="340" applyNumberFormat="0" applyAlignment="0" applyProtection="0"/>
    <xf numFmtId="0" fontId="58" fillId="42" borderId="340" applyNumberFormat="0" applyAlignment="0" applyProtection="0"/>
    <xf numFmtId="0" fontId="40" fillId="58" borderId="342" applyNumberFormat="0" applyFont="0" applyAlignment="0" applyProtection="0"/>
    <xf numFmtId="0" fontId="62" fillId="55" borderId="339" applyNumberFormat="0" applyAlignment="0" applyProtection="0"/>
    <xf numFmtId="0" fontId="65" fillId="0" borderId="341" applyNumberFormat="0" applyFill="0" applyAlignment="0" applyProtection="0"/>
    <xf numFmtId="0" fontId="32" fillId="33" borderId="343">
      <alignment horizontal="right" vertical="center"/>
    </xf>
    <xf numFmtId="0" fontId="5" fillId="58" borderId="342" applyNumberFormat="0" applyFont="0" applyAlignment="0" applyProtection="0"/>
    <xf numFmtId="4" fontId="34" fillId="0" borderId="343">
      <alignment horizontal="right" vertical="center"/>
    </xf>
    <xf numFmtId="0" fontId="65" fillId="0" borderId="341" applyNumberFormat="0" applyFill="0" applyAlignment="0" applyProtection="0"/>
    <xf numFmtId="0" fontId="32" fillId="33" borderId="343">
      <alignment horizontal="right" vertical="center"/>
    </xf>
    <xf numFmtId="0" fontId="32" fillId="33" borderId="343">
      <alignment horizontal="right" vertical="center"/>
    </xf>
    <xf numFmtId="4" fontId="36" fillId="31" borderId="343">
      <alignment horizontal="right" vertical="center"/>
    </xf>
    <xf numFmtId="0" fontId="32" fillId="31" borderId="343">
      <alignment horizontal="right" vertical="center"/>
    </xf>
    <xf numFmtId="4" fontId="32" fillId="31" borderId="343">
      <alignment horizontal="right" vertical="center"/>
    </xf>
    <xf numFmtId="0" fontId="36" fillId="31" borderId="343">
      <alignment horizontal="right" vertical="center"/>
    </xf>
    <xf numFmtId="4" fontId="36" fillId="31" borderId="343">
      <alignment horizontal="right" vertical="center"/>
    </xf>
    <xf numFmtId="0" fontId="32" fillId="33" borderId="343">
      <alignment horizontal="right" vertical="center"/>
    </xf>
    <xf numFmtId="4" fontId="32" fillId="33" borderId="343">
      <alignment horizontal="right" vertical="center"/>
    </xf>
    <xf numFmtId="0" fontId="32" fillId="33" borderId="343">
      <alignment horizontal="right" vertical="center"/>
    </xf>
    <xf numFmtId="4" fontId="32" fillId="33" borderId="343">
      <alignment horizontal="right" vertical="center"/>
    </xf>
    <xf numFmtId="0" fontId="32" fillId="33" borderId="344">
      <alignment horizontal="right" vertical="center"/>
    </xf>
    <xf numFmtId="4" fontId="32" fillId="33" borderId="344">
      <alignment horizontal="right" vertical="center"/>
    </xf>
    <xf numFmtId="0" fontId="32" fillId="33" borderId="345">
      <alignment horizontal="right" vertical="center"/>
    </xf>
    <xf numFmtId="4" fontId="32" fillId="33" borderId="345">
      <alignment horizontal="right" vertical="center"/>
    </xf>
    <xf numFmtId="0" fontId="46" fillId="55" borderId="340" applyNumberFormat="0" applyAlignment="0" applyProtection="0"/>
    <xf numFmtId="0" fontId="34" fillId="33" borderId="346">
      <alignment horizontal="left" vertical="center" wrapText="1" indent="2"/>
    </xf>
    <xf numFmtId="0" fontId="34" fillId="0" borderId="346">
      <alignment horizontal="left" vertical="center" wrapText="1" indent="2"/>
    </xf>
    <xf numFmtId="0" fontId="34" fillId="31" borderId="344">
      <alignment horizontal="left" vertical="center"/>
    </xf>
    <xf numFmtId="0" fontId="58" fillId="42" borderId="340" applyNumberFormat="0" applyAlignment="0" applyProtection="0"/>
    <xf numFmtId="0" fontId="34" fillId="0" borderId="343">
      <alignment horizontal="right" vertical="center"/>
    </xf>
    <xf numFmtId="4" fontId="34" fillId="0" borderId="343">
      <alignment horizontal="right" vertical="center"/>
    </xf>
    <xf numFmtId="0" fontId="34" fillId="0" borderId="343" applyNumberFormat="0" applyFill="0" applyAlignment="0" applyProtection="0"/>
    <xf numFmtId="0" fontId="62" fillId="55" borderId="339" applyNumberFormat="0" applyAlignment="0" applyProtection="0"/>
    <xf numFmtId="173" fontId="34" fillId="59" borderId="343" applyNumberFormat="0" applyFont="0" applyBorder="0" applyAlignment="0" applyProtection="0">
      <alignment horizontal="right" vertical="center"/>
    </xf>
    <xf numFmtId="0" fontId="34" fillId="32" borderId="343"/>
    <xf numFmtId="4" fontId="34" fillId="32" borderId="343"/>
    <xf numFmtId="0" fontId="65" fillId="0" borderId="341" applyNumberFormat="0" applyFill="0" applyAlignment="0" applyProtection="0"/>
    <xf numFmtId="0" fontId="5" fillId="58" borderId="342" applyNumberFormat="0" applyFont="0" applyAlignment="0" applyProtection="0"/>
    <xf numFmtId="0" fontId="40" fillId="58" borderId="342" applyNumberFormat="0" applyFont="0" applyAlignment="0" applyProtection="0"/>
    <xf numFmtId="0" fontId="34" fillId="0" borderId="343" applyNumberFormat="0" applyFill="0" applyAlignment="0" applyProtection="0"/>
    <xf numFmtId="0" fontId="50" fillId="0" borderId="341" applyNumberFormat="0" applyFill="0" applyAlignment="0" applyProtection="0"/>
    <xf numFmtId="0" fontId="65" fillId="0" borderId="341" applyNumberFormat="0" applyFill="0" applyAlignment="0" applyProtection="0"/>
    <xf numFmtId="0" fontId="49" fillId="42" borderId="340" applyNumberFormat="0" applyAlignment="0" applyProtection="0"/>
    <xf numFmtId="0" fontId="46" fillId="55" borderId="340" applyNumberFormat="0" applyAlignment="0" applyProtection="0"/>
    <xf numFmtId="4" fontId="36" fillId="31" borderId="343">
      <alignment horizontal="right" vertical="center"/>
    </xf>
    <xf numFmtId="0" fontId="32" fillId="31" borderId="343">
      <alignment horizontal="right" vertical="center"/>
    </xf>
    <xf numFmtId="173" fontId="34" fillId="59" borderId="343" applyNumberFormat="0" applyFont="0" applyBorder="0" applyAlignment="0" applyProtection="0">
      <alignment horizontal="right" vertical="center"/>
    </xf>
    <xf numFmtId="0" fontId="50" fillId="0" borderId="341" applyNumberFormat="0" applyFill="0" applyAlignment="0" applyProtection="0"/>
    <xf numFmtId="49" fontId="34" fillId="0" borderId="343" applyNumberFormat="0" applyFont="0" applyFill="0" applyBorder="0" applyProtection="0">
      <alignment horizontal="left" vertical="center" indent="2"/>
    </xf>
    <xf numFmtId="49" fontId="34" fillId="0" borderId="344" applyNumberFormat="0" applyFont="0" applyFill="0" applyBorder="0" applyProtection="0">
      <alignment horizontal="left" vertical="center" indent="5"/>
    </xf>
    <xf numFmtId="49" fontId="34" fillId="0" borderId="343" applyNumberFormat="0" applyFont="0" applyFill="0" applyBorder="0" applyProtection="0">
      <alignment horizontal="left" vertical="center" indent="2"/>
    </xf>
    <xf numFmtId="4" fontId="34" fillId="0" borderId="343" applyFill="0" applyBorder="0" applyProtection="0">
      <alignment horizontal="right" vertical="center"/>
    </xf>
    <xf numFmtId="49" fontId="33" fillId="0" borderId="343" applyNumberFormat="0" applyFill="0" applyBorder="0" applyProtection="0">
      <alignment horizontal="left" vertical="center"/>
    </xf>
    <xf numFmtId="0" fontId="34" fillId="0" borderId="346">
      <alignment horizontal="left" vertical="center" wrapText="1" indent="2"/>
    </xf>
    <xf numFmtId="0" fontId="62" fillId="55" borderId="339" applyNumberFormat="0" applyAlignment="0" applyProtection="0"/>
    <xf numFmtId="0" fontId="32" fillId="33" borderId="345">
      <alignment horizontal="right" vertical="center"/>
    </xf>
    <xf numFmtId="0" fontId="49" fillId="42" borderId="340" applyNumberFormat="0" applyAlignment="0" applyProtection="0"/>
    <xf numFmtId="0" fontId="32" fillId="33" borderId="345">
      <alignment horizontal="right" vertical="center"/>
    </xf>
    <xf numFmtId="4" fontId="32" fillId="33" borderId="343">
      <alignment horizontal="right" vertical="center"/>
    </xf>
    <xf numFmtId="0" fontId="32" fillId="33" borderId="343">
      <alignment horizontal="right" vertical="center"/>
    </xf>
    <xf numFmtId="0" fontId="43" fillId="55" borderId="339" applyNumberFormat="0" applyAlignment="0" applyProtection="0"/>
    <xf numFmtId="0" fontId="45" fillId="55" borderId="340" applyNumberFormat="0" applyAlignment="0" applyProtection="0"/>
    <xf numFmtId="0" fontId="50" fillId="0" borderId="341" applyNumberFormat="0" applyFill="0" applyAlignment="0" applyProtection="0"/>
    <xf numFmtId="0" fontId="34" fillId="32" borderId="343"/>
    <xf numFmtId="4" fontId="34" fillId="32" borderId="343"/>
    <xf numFmtId="4" fontId="32" fillId="33" borderId="343">
      <alignment horizontal="right" vertical="center"/>
    </xf>
    <xf numFmtId="0" fontId="36" fillId="31" borderId="343">
      <alignment horizontal="right" vertical="center"/>
    </xf>
    <xf numFmtId="0" fontId="49" fillId="42" borderId="340" applyNumberFormat="0" applyAlignment="0" applyProtection="0"/>
    <xf numFmtId="0" fontId="46" fillId="55" borderId="340" applyNumberFormat="0" applyAlignment="0" applyProtection="0"/>
    <xf numFmtId="4" fontId="34" fillId="0" borderId="343">
      <alignment horizontal="right" vertical="center"/>
    </xf>
    <xf numFmtId="0" fontId="34" fillId="33" borderId="346">
      <alignment horizontal="left" vertical="center" wrapText="1" indent="2"/>
    </xf>
    <xf numFmtId="0" fontId="34" fillId="0" borderId="346">
      <alignment horizontal="left" vertical="center" wrapText="1" indent="2"/>
    </xf>
    <xf numFmtId="0" fontId="62" fillId="55" borderId="339" applyNumberFormat="0" applyAlignment="0" applyProtection="0"/>
    <xf numFmtId="0" fontId="58" fillId="42" borderId="340" applyNumberFormat="0" applyAlignment="0" applyProtection="0"/>
    <xf numFmtId="0" fontId="45" fillId="55" borderId="340" applyNumberFormat="0" applyAlignment="0" applyProtection="0"/>
    <xf numFmtId="0" fontId="43" fillId="55" borderId="339" applyNumberFormat="0" applyAlignment="0" applyProtection="0"/>
    <xf numFmtId="0" fontId="32" fillId="33" borderId="345">
      <alignment horizontal="right" vertical="center"/>
    </xf>
    <xf numFmtId="0" fontId="36" fillId="31" borderId="343">
      <alignment horizontal="right" vertical="center"/>
    </xf>
    <xf numFmtId="4" fontId="32" fillId="31" borderId="343">
      <alignment horizontal="right" vertical="center"/>
    </xf>
    <xf numFmtId="4" fontId="32" fillId="33" borderId="343">
      <alignment horizontal="right" vertical="center"/>
    </xf>
    <xf numFmtId="49" fontId="34" fillId="0" borderId="344" applyNumberFormat="0" applyFont="0" applyFill="0" applyBorder="0" applyProtection="0">
      <alignment horizontal="left" vertical="center" indent="5"/>
    </xf>
    <xf numFmtId="4" fontId="34" fillId="0" borderId="343" applyFill="0" applyBorder="0" applyProtection="0">
      <alignment horizontal="right" vertical="center"/>
    </xf>
    <xf numFmtId="4" fontId="32" fillId="31" borderId="343">
      <alignment horizontal="right" vertical="center"/>
    </xf>
    <xf numFmtId="0" fontId="58" fillId="42" borderId="340" applyNumberFormat="0" applyAlignment="0" applyProtection="0"/>
    <xf numFmtId="0" fontId="49" fillId="42" borderId="340" applyNumberFormat="0" applyAlignment="0" applyProtection="0"/>
    <xf numFmtId="0" fontId="45" fillId="55" borderId="340" applyNumberFormat="0" applyAlignment="0" applyProtection="0"/>
    <xf numFmtId="0" fontId="34" fillId="33" borderId="346">
      <alignment horizontal="left" vertical="center" wrapText="1" indent="2"/>
    </xf>
    <xf numFmtId="0" fontId="34" fillId="0" borderId="346">
      <alignment horizontal="left" vertical="center" wrapText="1" indent="2"/>
    </xf>
    <xf numFmtId="0" fontId="34" fillId="33" borderId="346">
      <alignment horizontal="left" vertical="center" wrapText="1" indent="2"/>
    </xf>
    <xf numFmtId="4" fontId="34" fillId="32" borderId="356"/>
    <xf numFmtId="173" fontId="34" fillId="59" borderId="350" applyNumberFormat="0" applyFont="0" applyBorder="0" applyAlignment="0" applyProtection="0">
      <alignment horizontal="right" vertical="center"/>
    </xf>
    <xf numFmtId="0" fontId="58" fillId="42" borderId="347" applyNumberFormat="0" applyAlignment="0" applyProtection="0"/>
    <xf numFmtId="0" fontId="32" fillId="31" borderId="350">
      <alignment horizontal="right" vertical="center"/>
    </xf>
    <xf numFmtId="0" fontId="26" fillId="17" borderId="0" applyNumberFormat="0" applyBorder="0" applyAlignment="0" applyProtection="0"/>
    <xf numFmtId="0" fontId="26" fillId="19" borderId="0" applyNumberFormat="0" applyBorder="0" applyAlignment="0" applyProtection="0"/>
    <xf numFmtId="0" fontId="5" fillId="58" borderId="355" applyNumberFormat="0" applyFont="0" applyAlignment="0" applyProtection="0"/>
    <xf numFmtId="0" fontId="49" fillId="42" borderId="369" applyNumberFormat="0" applyAlignment="0" applyProtection="0"/>
    <xf numFmtId="0" fontId="49" fillId="42" borderId="377" applyNumberFormat="0" applyAlignment="0" applyProtection="0"/>
    <xf numFmtId="0" fontId="12" fillId="21" borderId="0" applyNumberFormat="0" applyBorder="0" applyAlignment="0" applyProtection="0"/>
    <xf numFmtId="0" fontId="65" fillId="0" borderId="381" applyNumberFormat="0" applyFill="0" applyAlignment="0" applyProtection="0"/>
    <xf numFmtId="0" fontId="65" fillId="0" borderId="362" applyNumberFormat="0" applyFill="0" applyAlignment="0" applyProtection="0"/>
    <xf numFmtId="0" fontId="46" fillId="55" borderId="361" applyNumberFormat="0" applyAlignment="0" applyProtection="0"/>
    <xf numFmtId="0" fontId="43" fillId="55" borderId="376" applyNumberFormat="0" applyAlignment="0" applyProtection="0"/>
    <xf numFmtId="0" fontId="34" fillId="31" borderId="351">
      <alignment horizontal="left" vertical="center"/>
    </xf>
    <xf numFmtId="0" fontId="34" fillId="33" borderId="359">
      <alignment horizontal="left" vertical="center" wrapText="1" indent="2"/>
    </xf>
    <xf numFmtId="0" fontId="40" fillId="58" borderId="349" applyNumberFormat="0" applyFont="0" applyAlignment="0" applyProtection="0"/>
    <xf numFmtId="0" fontId="34" fillId="31" borderId="365">
      <alignment horizontal="left" vertical="center"/>
    </xf>
    <xf numFmtId="0" fontId="49" fillId="42" borderId="369" applyNumberFormat="0" applyAlignment="0" applyProtection="0"/>
    <xf numFmtId="4" fontId="32" fillId="33" borderId="366">
      <alignment horizontal="right" vertical="center"/>
    </xf>
    <xf numFmtId="4" fontId="34" fillId="32" borderId="383"/>
    <xf numFmtId="0" fontId="40" fillId="58" borderId="389" applyNumberFormat="0" applyFont="0" applyAlignment="0" applyProtection="0"/>
    <xf numFmtId="0" fontId="46" fillId="55" borderId="387" applyNumberFormat="0" applyAlignment="0" applyProtection="0"/>
    <xf numFmtId="49" fontId="34" fillId="0" borderId="372" applyNumberFormat="0" applyFont="0" applyFill="0" applyBorder="0" applyProtection="0">
      <alignment horizontal="left" vertical="center" indent="2"/>
    </xf>
    <xf numFmtId="0" fontId="26" fillId="25" borderId="0" applyNumberFormat="0" applyBorder="0" applyAlignment="0" applyProtection="0"/>
    <xf numFmtId="0" fontId="26" fillId="16" borderId="0" applyNumberFormat="0" applyBorder="0" applyAlignment="0" applyProtection="0"/>
    <xf numFmtId="0" fontId="12" fillId="27" borderId="0" applyNumberFormat="0" applyBorder="0" applyAlignment="0" applyProtection="0"/>
    <xf numFmtId="0" fontId="40" fillId="58" borderId="371" applyNumberFormat="0" applyFont="0" applyAlignment="0" applyProtection="0"/>
    <xf numFmtId="0" fontId="26" fillId="26" borderId="0" applyNumberFormat="0" applyBorder="0" applyAlignment="0" applyProtection="0"/>
    <xf numFmtId="0" fontId="40" fillId="58" borderId="355" applyNumberFormat="0" applyFont="0" applyAlignment="0" applyProtection="0"/>
    <xf numFmtId="0" fontId="12" fillId="24" borderId="0" applyNumberFormat="0" applyBorder="0" applyAlignment="0" applyProtection="0"/>
    <xf numFmtId="0" fontId="5" fillId="58" borderId="355" applyNumberFormat="0" applyFont="0" applyAlignment="0" applyProtection="0"/>
    <xf numFmtId="0" fontId="34" fillId="0" borderId="359">
      <alignment horizontal="left" vertical="center" wrapText="1" indent="2"/>
    </xf>
    <xf numFmtId="0" fontId="34" fillId="33" borderId="353">
      <alignment horizontal="left" vertical="center" wrapText="1" indent="2"/>
    </xf>
    <xf numFmtId="0" fontId="32" fillId="33" borderId="366">
      <alignment horizontal="right" vertical="center"/>
    </xf>
    <xf numFmtId="4" fontId="34" fillId="32" borderId="350"/>
    <xf numFmtId="0" fontId="65" fillId="0" borderId="348" applyNumberFormat="0" applyFill="0" applyAlignment="0" applyProtection="0"/>
    <xf numFmtId="173" fontId="34" fillId="59" borderId="350" applyNumberFormat="0" applyFont="0" applyBorder="0" applyAlignment="0" applyProtection="0">
      <alignment horizontal="right" vertical="center"/>
    </xf>
    <xf numFmtId="0" fontId="34" fillId="0" borderId="350">
      <alignment horizontal="right" vertical="center"/>
    </xf>
    <xf numFmtId="4" fontId="34" fillId="0" borderId="350">
      <alignment horizontal="right" vertical="center"/>
    </xf>
    <xf numFmtId="0" fontId="12" fillId="30" borderId="0" applyNumberFormat="0" applyBorder="0" applyAlignment="0" applyProtection="0"/>
    <xf numFmtId="0" fontId="34" fillId="0" borderId="353">
      <alignment horizontal="left" vertical="center" wrapText="1" indent="2"/>
    </xf>
    <xf numFmtId="4" fontId="32" fillId="33" borderId="350">
      <alignment horizontal="right" vertical="center"/>
    </xf>
    <xf numFmtId="0" fontId="32" fillId="33" borderId="351">
      <alignment horizontal="right" vertical="center"/>
    </xf>
    <xf numFmtId="4" fontId="32" fillId="33" borderId="351">
      <alignment horizontal="right" vertical="center"/>
    </xf>
    <xf numFmtId="0" fontId="32" fillId="33" borderId="350">
      <alignment horizontal="right" vertical="center"/>
    </xf>
    <xf numFmtId="4" fontId="32" fillId="31" borderId="350">
      <alignment horizontal="right" vertical="center"/>
    </xf>
    <xf numFmtId="0" fontId="36" fillId="31" borderId="350">
      <alignment horizontal="right" vertical="center"/>
    </xf>
    <xf numFmtId="0" fontId="45" fillId="55" borderId="361" applyNumberFormat="0" applyAlignment="0" applyProtection="0"/>
    <xf numFmtId="49" fontId="34" fillId="0" borderId="356" applyNumberFormat="0" applyFont="0" applyFill="0" applyBorder="0" applyProtection="0">
      <alignment horizontal="left" vertical="center" indent="2"/>
    </xf>
    <xf numFmtId="49" fontId="34" fillId="0" borderId="357" applyNumberFormat="0" applyFont="0" applyFill="0" applyBorder="0" applyProtection="0">
      <alignment horizontal="left" vertical="center" indent="5"/>
    </xf>
    <xf numFmtId="49" fontId="34" fillId="0" borderId="356" applyNumberFormat="0" applyFont="0" applyFill="0" applyBorder="0" applyProtection="0">
      <alignment horizontal="left" vertical="center" indent="2"/>
    </xf>
    <xf numFmtId="0" fontId="34" fillId="33" borderId="359">
      <alignment horizontal="left" vertical="center" wrapText="1" indent="2"/>
    </xf>
    <xf numFmtId="0" fontId="40" fillId="58" borderId="363" applyNumberFormat="0" applyFont="0" applyAlignment="0" applyProtection="0"/>
    <xf numFmtId="0" fontId="26" fillId="16" borderId="0" applyNumberFormat="0" applyBorder="0" applyAlignment="0" applyProtection="0"/>
    <xf numFmtId="0" fontId="26" fillId="20" borderId="0" applyNumberFormat="0" applyBorder="0" applyAlignment="0" applyProtection="0"/>
    <xf numFmtId="0" fontId="65" fillId="0" borderId="348" applyNumberFormat="0" applyFill="0" applyAlignment="0" applyProtection="0"/>
    <xf numFmtId="0" fontId="46" fillId="55" borderId="361" applyNumberFormat="0" applyAlignment="0" applyProtection="0"/>
    <xf numFmtId="0" fontId="26" fillId="13" borderId="0" applyNumberFormat="0" applyBorder="0" applyAlignment="0" applyProtection="0"/>
    <xf numFmtId="0" fontId="2" fillId="0" borderId="12" applyNumberFormat="0" applyFill="0" applyAlignment="0" applyProtection="0"/>
    <xf numFmtId="4" fontId="34" fillId="0" borderId="364" applyFill="0" applyBorder="0" applyProtection="0">
      <alignment horizontal="right" vertical="center"/>
    </xf>
    <xf numFmtId="0" fontId="62" fillId="55" borderId="360" applyNumberFormat="0" applyAlignment="0" applyProtection="0"/>
    <xf numFmtId="0" fontId="26" fillId="16" borderId="0" applyNumberFormat="0" applyBorder="0" applyAlignment="0" applyProtection="0"/>
    <xf numFmtId="0" fontId="45" fillId="55" borderId="387" applyNumberFormat="0" applyAlignment="0" applyProtection="0"/>
    <xf numFmtId="4" fontId="32" fillId="33" borderId="385">
      <alignment horizontal="right" vertical="center"/>
    </xf>
    <xf numFmtId="0" fontId="34" fillId="31" borderId="357">
      <alignment horizontal="left" vertical="center"/>
    </xf>
    <xf numFmtId="0" fontId="34" fillId="33" borderId="375">
      <alignment horizontal="left" vertical="center" wrapText="1" indent="2"/>
    </xf>
    <xf numFmtId="0" fontId="49" fillId="42" borderId="361" applyNumberFormat="0" applyAlignment="0" applyProtection="0"/>
    <xf numFmtId="0" fontId="32" fillId="33" borderId="383">
      <alignment horizontal="right" vertical="center"/>
    </xf>
    <xf numFmtId="173" fontId="34" fillId="59" borderId="364" applyNumberFormat="0" applyFont="0" applyBorder="0" applyAlignment="0" applyProtection="0">
      <alignment horizontal="right" vertical="center"/>
    </xf>
    <xf numFmtId="0" fontId="34" fillId="0" borderId="367">
      <alignment horizontal="left" vertical="center" wrapText="1" indent="2"/>
    </xf>
    <xf numFmtId="4" fontId="32" fillId="33" borderId="356">
      <alignment horizontal="right" vertical="center"/>
    </xf>
    <xf numFmtId="4" fontId="34" fillId="0" borderId="356">
      <alignment horizontal="right" vertical="center"/>
    </xf>
    <xf numFmtId="0" fontId="5" fillId="58" borderId="355" applyNumberFormat="0" applyFont="0" applyAlignment="0" applyProtection="0"/>
    <xf numFmtId="49" fontId="34" fillId="0" borderId="365" applyNumberFormat="0" applyFont="0" applyFill="0" applyBorder="0" applyProtection="0">
      <alignment horizontal="left" vertical="center" indent="5"/>
    </xf>
    <xf numFmtId="0" fontId="28" fillId="12" borderId="11" applyNumberFormat="0" applyAlignment="0" applyProtection="0"/>
    <xf numFmtId="0" fontId="62" fillId="55" borderId="376" applyNumberFormat="0" applyAlignment="0" applyProtection="0"/>
    <xf numFmtId="0" fontId="40" fillId="58" borderId="355" applyNumberFormat="0" applyFont="0" applyAlignment="0" applyProtection="0"/>
    <xf numFmtId="0" fontId="45" fillId="55" borderId="377" applyNumberFormat="0" applyAlignment="0" applyProtection="0"/>
    <xf numFmtId="4" fontId="32" fillId="33" borderId="356">
      <alignment horizontal="right" vertical="center"/>
    </xf>
    <xf numFmtId="0" fontId="45" fillId="55" borderId="361" applyNumberFormat="0" applyAlignment="0" applyProtection="0"/>
    <xf numFmtId="0" fontId="46" fillId="55" borderId="361" applyNumberFormat="0" applyAlignment="0" applyProtection="0"/>
    <xf numFmtId="4" fontId="32" fillId="31" borderId="364">
      <alignment horizontal="right" vertical="center"/>
    </xf>
    <xf numFmtId="0" fontId="5" fillId="58" borderId="382" applyNumberFormat="0" applyFont="0" applyAlignment="0" applyProtection="0"/>
    <xf numFmtId="0" fontId="62" fillId="55" borderId="368" applyNumberFormat="0" applyAlignment="0" applyProtection="0"/>
    <xf numFmtId="0" fontId="34" fillId="0" borderId="390" applyNumberFormat="0" applyFill="0" applyAlignment="0" applyProtection="0"/>
    <xf numFmtId="0" fontId="26" fillId="14" borderId="0" applyNumberFormat="0" applyBorder="0" applyAlignment="0" applyProtection="0"/>
    <xf numFmtId="0" fontId="65" fillId="0" borderId="348" applyNumberFormat="0" applyFill="0" applyAlignment="0" applyProtection="0"/>
    <xf numFmtId="0" fontId="40" fillId="58" borderId="349" applyNumberFormat="0" applyFont="0" applyAlignment="0" applyProtection="0"/>
    <xf numFmtId="0" fontId="50" fillId="0" borderId="362" applyNumberFormat="0" applyFill="0" applyAlignment="0" applyProtection="0"/>
    <xf numFmtId="0" fontId="32" fillId="33" borderId="373">
      <alignment horizontal="right" vertical="center"/>
    </xf>
    <xf numFmtId="0" fontId="5" fillId="58" borderId="349" applyNumberFormat="0" applyFont="0" applyAlignment="0" applyProtection="0"/>
    <xf numFmtId="0" fontId="50" fillId="0" borderId="381" applyNumberFormat="0" applyFill="0" applyAlignment="0" applyProtection="0"/>
    <xf numFmtId="0" fontId="40" fillId="58" borderId="414" applyNumberFormat="0" applyFont="0" applyAlignment="0" applyProtection="0"/>
    <xf numFmtId="0" fontId="32" fillId="33" borderId="374">
      <alignment horizontal="right" vertical="center"/>
    </xf>
    <xf numFmtId="0" fontId="26" fillId="13" borderId="0" applyNumberFormat="0" applyBorder="0" applyAlignment="0" applyProtection="0"/>
    <xf numFmtId="0" fontId="32" fillId="33" borderId="384">
      <alignment horizontal="right" vertical="center"/>
    </xf>
    <xf numFmtId="0" fontId="34" fillId="0" borderId="359">
      <alignment horizontal="left" vertical="center" wrapText="1" indent="2"/>
    </xf>
    <xf numFmtId="4" fontId="34" fillId="0" borderId="364">
      <alignment horizontal="right" vertical="center"/>
    </xf>
    <xf numFmtId="4" fontId="32" fillId="33" borderId="357">
      <alignment horizontal="right" vertical="center"/>
    </xf>
    <xf numFmtId="0" fontId="2" fillId="0" borderId="12" applyNumberFormat="0" applyFill="0" applyAlignment="0" applyProtection="0"/>
    <xf numFmtId="0" fontId="58" fillId="42" borderId="347" applyNumberFormat="0" applyAlignment="0" applyProtection="0"/>
    <xf numFmtId="0" fontId="26" fillId="14" borderId="0" applyNumberFormat="0" applyBorder="0" applyAlignment="0" applyProtection="0"/>
    <xf numFmtId="0" fontId="34" fillId="33" borderId="353">
      <alignment horizontal="left" vertical="center" wrapText="1" indent="2"/>
    </xf>
    <xf numFmtId="4" fontId="36" fillId="31" borderId="350">
      <alignment horizontal="right" vertical="center"/>
    </xf>
    <xf numFmtId="0" fontId="34" fillId="33" borderId="359">
      <alignment horizontal="left" vertical="center" wrapText="1" indent="2"/>
    </xf>
    <xf numFmtId="4" fontId="34" fillId="32" borderId="364"/>
    <xf numFmtId="0" fontId="34" fillId="0" borderId="364">
      <alignment horizontal="right" vertical="center"/>
    </xf>
    <xf numFmtId="4" fontId="32" fillId="33" borderId="364">
      <alignment horizontal="right" vertical="center"/>
    </xf>
    <xf numFmtId="0" fontId="26" fillId="20" borderId="0" applyNumberFormat="0" applyBorder="0" applyAlignment="0" applyProtection="0"/>
    <xf numFmtId="0" fontId="26" fillId="14" borderId="0" applyNumberFormat="0" applyBorder="0" applyAlignment="0" applyProtection="0"/>
    <xf numFmtId="0" fontId="34" fillId="0" borderId="356" applyNumberFormat="0" applyFill="0" applyAlignment="0" applyProtection="0"/>
    <xf numFmtId="0" fontId="2" fillId="0" borderId="12" applyNumberFormat="0" applyFill="0" applyAlignment="0" applyProtection="0"/>
    <xf numFmtId="0" fontId="12" fillId="15" borderId="0" applyNumberFormat="0" applyBorder="0" applyAlignment="0" applyProtection="0"/>
    <xf numFmtId="0" fontId="40" fillId="58" borderId="363" applyNumberFormat="0" applyFont="0" applyAlignment="0" applyProtection="0"/>
    <xf numFmtId="4" fontId="36" fillId="31" borderId="350">
      <alignment horizontal="right" vertical="center"/>
    </xf>
    <xf numFmtId="4" fontId="32" fillId="31" borderId="350">
      <alignment horizontal="right" vertical="center"/>
    </xf>
    <xf numFmtId="0" fontId="34" fillId="0" borderId="353">
      <alignment horizontal="left" vertical="center" wrapText="1" indent="2"/>
    </xf>
    <xf numFmtId="0" fontId="62" fillId="55" borderId="354" applyNumberFormat="0" applyAlignment="0" applyProtection="0"/>
    <xf numFmtId="0" fontId="34" fillId="0" borderId="350">
      <alignment horizontal="right" vertical="center"/>
    </xf>
    <xf numFmtId="0" fontId="65" fillId="0" borderId="348" applyNumberFormat="0" applyFill="0" applyAlignment="0" applyProtection="0"/>
    <xf numFmtId="49" fontId="33" fillId="0" borderId="350" applyNumberFormat="0" applyFill="0" applyBorder="0" applyProtection="0">
      <alignment horizontal="left" vertical="center"/>
    </xf>
    <xf numFmtId="4" fontId="34" fillId="32" borderId="350"/>
    <xf numFmtId="0" fontId="58" fillId="42" borderId="347" applyNumberFormat="0" applyAlignment="0" applyProtection="0"/>
    <xf numFmtId="0" fontId="34" fillId="33" borderId="386">
      <alignment horizontal="left" vertical="center" wrapText="1" indent="2"/>
    </xf>
    <xf numFmtId="0" fontId="32" fillId="33" borderId="356">
      <alignment horizontal="right" vertical="center"/>
    </xf>
    <xf numFmtId="173" fontId="34" fillId="59" borderId="350" applyNumberFormat="0" applyFont="0" applyBorder="0" applyAlignment="0" applyProtection="0">
      <alignment horizontal="right" vertical="center"/>
    </xf>
    <xf numFmtId="0" fontId="34" fillId="0" borderId="356" applyNumberFormat="0" applyFill="0" applyAlignment="0" applyProtection="0"/>
    <xf numFmtId="0" fontId="46" fillId="55" borderId="347" applyNumberFormat="0" applyAlignment="0" applyProtection="0"/>
    <xf numFmtId="4" fontId="32" fillId="33" borderId="364">
      <alignment horizontal="right" vertical="center"/>
    </xf>
    <xf numFmtId="0" fontId="34" fillId="0" borderId="356">
      <alignment horizontal="right" vertical="center"/>
    </xf>
    <xf numFmtId="0" fontId="62" fillId="55" borderId="360" applyNumberFormat="0" applyAlignment="0" applyProtection="0"/>
    <xf numFmtId="0" fontId="36" fillId="31" borderId="356">
      <alignment horizontal="right" vertical="center"/>
    </xf>
    <xf numFmtId="0" fontId="58" fillId="42" borderId="347" applyNumberFormat="0" applyAlignment="0" applyProtection="0"/>
    <xf numFmtId="0" fontId="43" fillId="55" borderId="354" applyNumberFormat="0" applyAlignment="0" applyProtection="0"/>
    <xf numFmtId="0" fontId="34" fillId="0" borderId="356" applyNumberFormat="0" applyFill="0" applyAlignment="0" applyProtection="0"/>
    <xf numFmtId="49" fontId="33" fillId="0" borderId="350" applyNumberFormat="0" applyFill="0" applyBorder="0" applyProtection="0">
      <alignment horizontal="left" vertical="center"/>
    </xf>
    <xf numFmtId="0" fontId="65" fillId="0" borderId="348" applyNumberFormat="0" applyFill="0" applyAlignment="0" applyProtection="0"/>
    <xf numFmtId="0" fontId="34" fillId="0" borderId="350">
      <alignment horizontal="right" vertical="center"/>
    </xf>
    <xf numFmtId="0" fontId="32" fillId="33" borderId="351">
      <alignment horizontal="right" vertical="center"/>
    </xf>
    <xf numFmtId="0" fontId="65" fillId="0" borderId="348" applyNumberFormat="0" applyFill="0" applyAlignment="0" applyProtection="0"/>
    <xf numFmtId="0" fontId="34" fillId="0" borderId="390" applyNumberFormat="0" applyFill="0" applyAlignment="0" applyProtection="0"/>
    <xf numFmtId="0" fontId="30" fillId="0" borderId="0" applyNumberFormat="0" applyFill="0" applyBorder="0" applyAlignment="0" applyProtection="0"/>
    <xf numFmtId="0" fontId="32" fillId="33" borderId="364">
      <alignment horizontal="right" vertical="center"/>
    </xf>
    <xf numFmtId="0" fontId="34" fillId="0" borderId="372">
      <alignment horizontal="right" vertical="center"/>
    </xf>
    <xf numFmtId="0" fontId="26" fillId="28" borderId="0" applyNumberFormat="0" applyBorder="0" applyAlignment="0" applyProtection="0"/>
    <xf numFmtId="0" fontId="34" fillId="0" borderId="404" applyNumberFormat="0" applyFill="0" applyAlignment="0" applyProtection="0"/>
    <xf numFmtId="0" fontId="34" fillId="31" borderId="357">
      <alignment horizontal="left" vertical="center"/>
    </xf>
    <xf numFmtId="0" fontId="36" fillId="31" borderId="356">
      <alignment horizontal="right" vertical="center"/>
    </xf>
    <xf numFmtId="4" fontId="34" fillId="0" borderId="350" applyFill="0" applyBorder="0" applyProtection="0">
      <alignment horizontal="right" vertical="center"/>
    </xf>
    <xf numFmtId="0" fontId="45" fillId="55" borderId="361" applyNumberFormat="0" applyAlignment="0" applyProtection="0"/>
    <xf numFmtId="0" fontId="34" fillId="32" borderId="356"/>
    <xf numFmtId="0" fontId="46" fillId="55" borderId="377" applyNumberFormat="0" applyAlignment="0" applyProtection="0"/>
    <xf numFmtId="0" fontId="62" fillId="55" borderId="360" applyNumberFormat="0" applyAlignment="0" applyProtection="0"/>
    <xf numFmtId="4" fontId="32" fillId="33" borderId="366">
      <alignment horizontal="right" vertical="center"/>
    </xf>
    <xf numFmtId="0" fontId="26" fillId="14" borderId="0" applyNumberFormat="0" applyBorder="0" applyAlignment="0" applyProtection="0"/>
    <xf numFmtId="0" fontId="34" fillId="0" borderId="353">
      <alignment horizontal="left" vertical="center" wrapText="1" indent="2"/>
    </xf>
    <xf numFmtId="4" fontId="32" fillId="33" borderId="398">
      <alignment horizontal="right" vertical="center"/>
    </xf>
    <xf numFmtId="0" fontId="65" fillId="0" borderId="348" applyNumberFormat="0" applyFill="0" applyAlignment="0" applyProtection="0"/>
    <xf numFmtId="0" fontId="43" fillId="55" borderId="354" applyNumberFormat="0" applyAlignment="0" applyProtection="0"/>
    <xf numFmtId="0" fontId="32" fillId="33" borderId="350">
      <alignment horizontal="right" vertical="center"/>
    </xf>
    <xf numFmtId="0" fontId="45" fillId="55" borderId="347" applyNumberFormat="0" applyAlignment="0" applyProtection="0"/>
    <xf numFmtId="0" fontId="34" fillId="33" borderId="359">
      <alignment horizontal="left" vertical="center" wrapText="1" indent="2"/>
    </xf>
    <xf numFmtId="0" fontId="32" fillId="33" borderId="372">
      <alignment horizontal="right" vertical="center"/>
    </xf>
    <xf numFmtId="0" fontId="34" fillId="31" borderId="351">
      <alignment horizontal="left" vertical="center"/>
    </xf>
    <xf numFmtId="0" fontId="65" fillId="0" borderId="370" applyNumberFormat="0" applyFill="0" applyAlignment="0" applyProtection="0"/>
    <xf numFmtId="0" fontId="58" fillId="42" borderId="377" applyNumberFormat="0" applyAlignment="0" applyProtection="0"/>
    <xf numFmtId="0" fontId="26" fillId="13" borderId="0" applyNumberFormat="0" applyBorder="0" applyAlignment="0" applyProtection="0"/>
    <xf numFmtId="0" fontId="46" fillId="55" borderId="369" applyNumberFormat="0" applyAlignment="0" applyProtection="0"/>
    <xf numFmtId="49" fontId="34" fillId="0" borderId="373" applyNumberFormat="0" applyFont="0" applyFill="0" applyBorder="0" applyProtection="0">
      <alignment horizontal="left" vertical="center" indent="5"/>
    </xf>
    <xf numFmtId="0" fontId="32" fillId="31" borderId="350">
      <alignment horizontal="right" vertical="center"/>
    </xf>
    <xf numFmtId="0" fontId="32" fillId="33" borderId="357">
      <alignment horizontal="right" vertical="center"/>
    </xf>
    <xf numFmtId="4" fontId="36" fillId="31" borderId="356">
      <alignment horizontal="right" vertical="center"/>
    </xf>
    <xf numFmtId="0" fontId="50" fillId="0" borderId="348" applyNumberFormat="0" applyFill="0" applyAlignment="0" applyProtection="0"/>
    <xf numFmtId="0" fontId="30" fillId="0" borderId="0" applyNumberFormat="0" applyFill="0" applyBorder="0" applyAlignment="0" applyProtection="0"/>
    <xf numFmtId="0" fontId="34" fillId="0" borderId="350">
      <alignment horizontal="right" vertical="center"/>
    </xf>
    <xf numFmtId="0" fontId="5" fillId="58" borderId="349" applyNumberFormat="0" applyFont="0" applyAlignment="0" applyProtection="0"/>
    <xf numFmtId="4" fontId="34" fillId="0" borderId="356">
      <alignment horizontal="right" vertical="center"/>
    </xf>
    <xf numFmtId="0" fontId="12" fillId="15" borderId="0" applyNumberFormat="0" applyBorder="0" applyAlignment="0" applyProtection="0"/>
    <xf numFmtId="0" fontId="34" fillId="0" borderId="356">
      <alignment horizontal="right" vertical="center"/>
    </xf>
    <xf numFmtId="0" fontId="12" fillId="30" borderId="0" applyNumberFormat="0" applyBorder="0" applyAlignment="0" applyProtection="0"/>
    <xf numFmtId="0" fontId="58" fillId="42" borderId="347" applyNumberFormat="0" applyAlignment="0" applyProtection="0"/>
    <xf numFmtId="4" fontId="34" fillId="0" borderId="364">
      <alignment horizontal="right" vertical="center"/>
    </xf>
    <xf numFmtId="49" fontId="34" fillId="0" borderId="351" applyNumberFormat="0" applyFont="0" applyFill="0" applyBorder="0" applyProtection="0">
      <alignment horizontal="left" vertical="center" indent="5"/>
    </xf>
    <xf numFmtId="4" fontId="34" fillId="0" borderId="364" applyFill="0" applyBorder="0" applyProtection="0">
      <alignment horizontal="right" vertical="center"/>
    </xf>
    <xf numFmtId="0" fontId="34" fillId="0" borderId="350" applyNumberFormat="0" applyFill="0" applyAlignment="0" applyProtection="0"/>
    <xf numFmtId="0" fontId="50" fillId="0" borderId="348" applyNumberFormat="0" applyFill="0" applyAlignment="0" applyProtection="0"/>
    <xf numFmtId="0" fontId="62" fillId="55" borderId="354" applyNumberFormat="0" applyAlignment="0" applyProtection="0"/>
    <xf numFmtId="4" fontId="32" fillId="33" borderId="350">
      <alignment horizontal="right" vertical="center"/>
    </xf>
    <xf numFmtId="4" fontId="34" fillId="32" borderId="350"/>
    <xf numFmtId="0" fontId="65" fillId="0" borderId="348" applyNumberFormat="0" applyFill="0" applyAlignment="0" applyProtection="0"/>
    <xf numFmtId="0" fontId="32" fillId="33" borderId="356">
      <alignment horizontal="right" vertical="center"/>
    </xf>
    <xf numFmtId="0" fontId="43" fillId="55" borderId="354" applyNumberFormat="0" applyAlignment="0" applyProtection="0"/>
    <xf numFmtId="0" fontId="45" fillId="55" borderId="347" applyNumberFormat="0" applyAlignment="0" applyProtection="0"/>
    <xf numFmtId="0" fontId="46" fillId="55" borderId="347" applyNumberFormat="0" applyAlignment="0" applyProtection="0"/>
    <xf numFmtId="0" fontId="62" fillId="55" borderId="354" applyNumberFormat="0" applyAlignment="0" applyProtection="0"/>
    <xf numFmtId="0" fontId="32" fillId="33" borderId="352">
      <alignment horizontal="right" vertical="center"/>
    </xf>
    <xf numFmtId="0" fontId="34" fillId="0" borderId="350" applyNumberFormat="0" applyFill="0" applyAlignment="0" applyProtection="0"/>
    <xf numFmtId="49" fontId="34" fillId="0" borderId="351" applyNumberFormat="0" applyFont="0" applyFill="0" applyBorder="0" applyProtection="0">
      <alignment horizontal="left" vertical="center" indent="5"/>
    </xf>
    <xf numFmtId="0" fontId="65" fillId="0" borderId="348" applyNumberFormat="0" applyFill="0" applyAlignment="0" applyProtection="0"/>
    <xf numFmtId="0" fontId="34" fillId="0" borderId="350" applyNumberFormat="0" applyFill="0" applyAlignment="0" applyProtection="0"/>
    <xf numFmtId="0" fontId="50" fillId="0" borderId="362" applyNumberFormat="0" applyFill="0" applyAlignment="0" applyProtection="0"/>
    <xf numFmtId="0" fontId="40" fillId="58" borderId="355" applyNumberFormat="0" applyFont="0" applyAlignment="0" applyProtection="0"/>
    <xf numFmtId="4" fontId="34" fillId="0" borderId="364">
      <alignment horizontal="right" vertical="center"/>
    </xf>
    <xf numFmtId="0" fontId="62" fillId="55" borderId="376" applyNumberFormat="0" applyAlignment="0" applyProtection="0"/>
    <xf numFmtId="0" fontId="40" fillId="58" borderId="395" applyNumberFormat="0" applyFont="0" applyAlignment="0" applyProtection="0"/>
    <xf numFmtId="0" fontId="50" fillId="0" borderId="370" applyNumberFormat="0" applyFill="0" applyAlignment="0" applyProtection="0"/>
    <xf numFmtId="0" fontId="45" fillId="55" borderId="387" applyNumberFormat="0" applyAlignment="0" applyProtection="0"/>
    <xf numFmtId="0" fontId="40" fillId="58" borderId="349" applyNumberFormat="0" applyFont="0" applyAlignment="0" applyProtection="0"/>
    <xf numFmtId="173" fontId="34" fillId="59" borderId="372" applyNumberFormat="0" applyFont="0" applyBorder="0" applyAlignment="0" applyProtection="0">
      <alignment horizontal="right" vertical="center"/>
    </xf>
    <xf numFmtId="0" fontId="58" fillId="42" borderId="380" applyNumberFormat="0" applyAlignment="0" applyProtection="0"/>
    <xf numFmtId="0" fontId="26" fillId="20" borderId="0" applyNumberFormat="0" applyBorder="0" applyAlignment="0" applyProtection="0"/>
    <xf numFmtId="0" fontId="26" fillId="25" borderId="0" applyNumberFormat="0" applyBorder="0" applyAlignment="0" applyProtection="0"/>
    <xf numFmtId="4" fontId="32" fillId="33" borderId="358">
      <alignment horizontal="right" vertical="center"/>
    </xf>
    <xf numFmtId="4" fontId="32" fillId="33" borderId="358">
      <alignment horizontal="right" vertical="center"/>
    </xf>
    <xf numFmtId="0" fontId="65" fillId="0" borderId="362" applyNumberFormat="0" applyFill="0" applyAlignment="0" applyProtection="0"/>
    <xf numFmtId="0" fontId="26" fillId="22" borderId="0" applyNumberFormat="0" applyBorder="0" applyAlignment="0" applyProtection="0"/>
    <xf numFmtId="0" fontId="12" fillId="27" borderId="0" applyNumberFormat="0" applyBorder="0" applyAlignment="0" applyProtection="0"/>
    <xf numFmtId="0" fontId="34" fillId="0" borderId="353">
      <alignment horizontal="left" vertical="center" wrapText="1" indent="2"/>
    </xf>
    <xf numFmtId="0" fontId="49" fillId="42" borderId="369" applyNumberFormat="0" applyAlignment="0" applyProtection="0"/>
    <xf numFmtId="4" fontId="32" fillId="31" borderId="350">
      <alignment horizontal="right" vertical="center"/>
    </xf>
    <xf numFmtId="4" fontId="32" fillId="31" borderId="364">
      <alignment horizontal="right" vertical="center"/>
    </xf>
    <xf numFmtId="0" fontId="62" fillId="55" borderId="354" applyNumberFormat="0" applyAlignment="0" applyProtection="0"/>
    <xf numFmtId="49" fontId="34" fillId="0" borderId="351" applyNumberFormat="0" applyFont="0" applyFill="0" applyBorder="0" applyProtection="0">
      <alignment horizontal="left" vertical="center" indent="5"/>
    </xf>
    <xf numFmtId="4" fontId="34" fillId="0" borderId="350">
      <alignment horizontal="right" vertical="center"/>
    </xf>
    <xf numFmtId="49" fontId="34" fillId="0" borderId="356" applyNumberFormat="0" applyFont="0" applyFill="0" applyBorder="0" applyProtection="0">
      <alignment horizontal="left" vertical="center" indent="2"/>
    </xf>
    <xf numFmtId="4" fontId="32" fillId="33" borderId="356">
      <alignment horizontal="right" vertical="center"/>
    </xf>
    <xf numFmtId="0" fontId="12" fillId="24" borderId="0" applyNumberFormat="0" applyBorder="0" applyAlignment="0" applyProtection="0"/>
    <xf numFmtId="0" fontId="26" fillId="28" borderId="0" applyNumberFormat="0" applyBorder="0" applyAlignment="0" applyProtection="0"/>
    <xf numFmtId="0" fontId="50" fillId="0" borderId="348" applyNumberFormat="0" applyFill="0" applyAlignment="0" applyProtection="0"/>
    <xf numFmtId="0" fontId="32" fillId="33" borderId="396">
      <alignment horizontal="right" vertical="center"/>
    </xf>
    <xf numFmtId="4" fontId="32" fillId="33" borderId="352">
      <alignment horizontal="right" vertical="center"/>
    </xf>
    <xf numFmtId="4" fontId="32" fillId="33" borderId="350">
      <alignment horizontal="right" vertical="center"/>
    </xf>
    <xf numFmtId="4" fontId="32" fillId="33" borderId="350">
      <alignment horizontal="right" vertical="center"/>
    </xf>
    <xf numFmtId="0" fontId="65" fillId="0" borderId="348" applyNumberFormat="0" applyFill="0" applyAlignment="0" applyProtection="0"/>
    <xf numFmtId="0" fontId="46" fillId="55" borderId="347" applyNumberFormat="0" applyAlignment="0" applyProtection="0"/>
    <xf numFmtId="0" fontId="49" fillId="42" borderId="347" applyNumberFormat="0" applyAlignment="0" applyProtection="0"/>
    <xf numFmtId="0" fontId="62" fillId="55" borderId="360" applyNumberFormat="0" applyAlignment="0" applyProtection="0"/>
    <xf numFmtId="0" fontId="29" fillId="12" borderId="10" applyNumberFormat="0" applyAlignment="0" applyProtection="0"/>
    <xf numFmtId="49" fontId="33" fillId="0" borderId="350" applyNumberFormat="0" applyFill="0" applyBorder="0" applyProtection="0">
      <alignment horizontal="left" vertical="center"/>
    </xf>
    <xf numFmtId="0" fontId="5" fillId="58" borderId="349" applyNumberFormat="0" applyFont="0" applyAlignment="0" applyProtection="0"/>
    <xf numFmtId="0" fontId="34" fillId="0" borderId="364">
      <alignment horizontal="right" vertical="center"/>
    </xf>
    <xf numFmtId="4" fontId="32" fillId="33" borderId="350">
      <alignment horizontal="right" vertical="center"/>
    </xf>
    <xf numFmtId="0" fontId="12" fillId="18" borderId="0" applyNumberFormat="0" applyBorder="0" applyAlignment="0" applyProtection="0"/>
    <xf numFmtId="0" fontId="12" fillId="21" borderId="0" applyNumberFormat="0" applyBorder="0" applyAlignment="0" applyProtection="0"/>
    <xf numFmtId="49" fontId="34" fillId="0" borderId="356" applyNumberFormat="0" applyFont="0" applyFill="0" applyBorder="0" applyProtection="0">
      <alignment horizontal="left" vertical="center" indent="2"/>
    </xf>
    <xf numFmtId="4" fontId="32" fillId="33" borderId="356">
      <alignment horizontal="right" vertical="center"/>
    </xf>
    <xf numFmtId="4" fontId="34" fillId="0" borderId="383">
      <alignment horizontal="right" vertical="center"/>
    </xf>
    <xf numFmtId="49" fontId="34" fillId="0" borderId="350" applyNumberFormat="0" applyFont="0" applyFill="0" applyBorder="0" applyProtection="0">
      <alignment horizontal="left" vertical="center" indent="2"/>
    </xf>
    <xf numFmtId="0" fontId="65" fillId="0" borderId="348" applyNumberFormat="0" applyFill="0" applyAlignment="0" applyProtection="0"/>
    <xf numFmtId="4" fontId="34" fillId="0" borderId="350" applyFill="0" applyBorder="0" applyProtection="0">
      <alignment horizontal="right" vertical="center"/>
    </xf>
    <xf numFmtId="0" fontId="58" fillId="42" borderId="347" applyNumberFormat="0" applyAlignment="0" applyProtection="0"/>
    <xf numFmtId="49" fontId="33" fillId="0" borderId="350" applyNumberFormat="0" applyFill="0" applyBorder="0" applyProtection="0">
      <alignment horizontal="left" vertical="center"/>
    </xf>
    <xf numFmtId="49" fontId="34" fillId="0" borderId="350" applyNumberFormat="0" applyFont="0" applyFill="0" applyBorder="0" applyProtection="0">
      <alignment horizontal="left" vertical="center" indent="2"/>
    </xf>
    <xf numFmtId="4" fontId="34" fillId="0" borderId="350" applyFill="0" applyBorder="0" applyProtection="0">
      <alignment horizontal="right" vertical="center"/>
    </xf>
    <xf numFmtId="0" fontId="65" fillId="0" borderId="362" applyNumberFormat="0" applyFill="0" applyAlignment="0" applyProtection="0"/>
    <xf numFmtId="173" fontId="34" fillId="59" borderId="350" applyNumberFormat="0" applyFont="0" applyBorder="0" applyAlignment="0" applyProtection="0">
      <alignment horizontal="right" vertical="center"/>
    </xf>
    <xf numFmtId="0" fontId="40" fillId="58" borderId="355" applyNumberFormat="0" applyFont="0" applyAlignment="0" applyProtection="0"/>
    <xf numFmtId="4" fontId="32" fillId="33" borderId="358">
      <alignment horizontal="right" vertical="center"/>
    </xf>
    <xf numFmtId="4" fontId="32" fillId="33" borderId="391">
      <alignment horizontal="right" vertical="center"/>
    </xf>
    <xf numFmtId="0" fontId="36" fillId="31" borderId="350">
      <alignment horizontal="right" vertical="center"/>
    </xf>
    <xf numFmtId="0" fontId="12" fillId="30" borderId="0" applyNumberFormat="0" applyBorder="0" applyAlignment="0" applyProtection="0"/>
    <xf numFmtId="4" fontId="36" fillId="31" borderId="356">
      <alignment horizontal="right" vertical="center"/>
    </xf>
    <xf numFmtId="0" fontId="26" fillId="25" borderId="0" applyNumberFormat="0" applyBorder="0" applyAlignment="0" applyProtection="0"/>
    <xf numFmtId="0" fontId="43" fillId="55" borderId="360" applyNumberFormat="0" applyAlignment="0" applyProtection="0"/>
    <xf numFmtId="0" fontId="49" fillId="42" borderId="347" applyNumberFormat="0" applyAlignment="0" applyProtection="0"/>
    <xf numFmtId="4" fontId="32" fillId="33" borderId="350">
      <alignment horizontal="right" vertical="center"/>
    </xf>
    <xf numFmtId="0" fontId="34" fillId="31" borderId="351">
      <alignment horizontal="left" vertical="center"/>
    </xf>
    <xf numFmtId="0" fontId="26" fillId="26" borderId="0" applyNumberFormat="0" applyBorder="0" applyAlignment="0" applyProtection="0"/>
    <xf numFmtId="0" fontId="50" fillId="0" borderId="362" applyNumberFormat="0" applyFill="0" applyAlignment="0" applyProtection="0"/>
    <xf numFmtId="0" fontId="32" fillId="33" borderId="356">
      <alignment horizontal="right" vertical="center"/>
    </xf>
    <xf numFmtId="0" fontId="40" fillId="58" borderId="371" applyNumberFormat="0" applyFont="0" applyAlignment="0" applyProtection="0"/>
    <xf numFmtId="0" fontId="65" fillId="0" borderId="370" applyNumberFormat="0" applyFill="0" applyAlignment="0" applyProtection="0"/>
    <xf numFmtId="0" fontId="32" fillId="33" borderId="356">
      <alignment horizontal="right" vertical="center"/>
    </xf>
    <xf numFmtId="4" fontId="32" fillId="33" borderId="356">
      <alignment horizontal="right" vertical="center"/>
    </xf>
    <xf numFmtId="0" fontId="50" fillId="0" borderId="362" applyNumberFormat="0" applyFill="0" applyAlignment="0" applyProtection="0"/>
    <xf numFmtId="0" fontId="50" fillId="0" borderId="362" applyNumberFormat="0" applyFill="0" applyAlignment="0" applyProtection="0"/>
    <xf numFmtId="0" fontId="40" fillId="58" borderId="355" applyNumberFormat="0" applyFont="0" applyAlignment="0" applyProtection="0"/>
    <xf numFmtId="0" fontId="12" fillId="27" borderId="0" applyNumberFormat="0" applyBorder="0" applyAlignment="0" applyProtection="0"/>
    <xf numFmtId="4" fontId="32" fillId="31" borderId="356">
      <alignment horizontal="right" vertical="center"/>
    </xf>
    <xf numFmtId="0" fontId="32" fillId="33" borderId="350">
      <alignment horizontal="right" vertical="center"/>
    </xf>
    <xf numFmtId="0" fontId="34" fillId="33" borderId="353">
      <alignment horizontal="left" vertical="center" wrapText="1" indent="2"/>
    </xf>
    <xf numFmtId="173" fontId="34" fillId="59" borderId="350" applyNumberFormat="0" applyFont="0" applyBorder="0" applyAlignment="0" applyProtection="0">
      <alignment horizontal="right" vertical="center"/>
    </xf>
    <xf numFmtId="0" fontId="40" fillId="58" borderId="349" applyNumberFormat="0" applyFont="0" applyAlignment="0" applyProtection="0"/>
    <xf numFmtId="49" fontId="34" fillId="0" borderId="350" applyNumberFormat="0" applyFont="0" applyFill="0" applyBorder="0" applyProtection="0">
      <alignment horizontal="left" vertical="center" indent="2"/>
    </xf>
    <xf numFmtId="4" fontId="32" fillId="33" borderId="358">
      <alignment horizontal="right" vertical="center"/>
    </xf>
    <xf numFmtId="0" fontId="26" fillId="28" borderId="0" applyNumberFormat="0" applyBorder="0" applyAlignment="0" applyProtection="0"/>
    <xf numFmtId="0" fontId="65" fillId="0" borderId="378" applyNumberFormat="0" applyFill="0" applyAlignment="0" applyProtection="0"/>
    <xf numFmtId="0" fontId="26" fillId="13" borderId="0" applyNumberFormat="0" applyBorder="0" applyAlignment="0" applyProtection="0"/>
    <xf numFmtId="49" fontId="33" fillId="0" borderId="350" applyNumberFormat="0" applyFill="0" applyBorder="0" applyProtection="0">
      <alignment horizontal="left" vertical="center"/>
    </xf>
    <xf numFmtId="0" fontId="32" fillId="33" borderId="364">
      <alignment horizontal="right" vertical="center"/>
    </xf>
    <xf numFmtId="173" fontId="34" fillId="59" borderId="350" applyNumberFormat="0" applyFont="0" applyBorder="0" applyAlignment="0" applyProtection="0">
      <alignment horizontal="right" vertical="center"/>
    </xf>
    <xf numFmtId="0" fontId="62" fillId="55" borderId="354" applyNumberFormat="0" applyAlignment="0" applyProtection="0"/>
    <xf numFmtId="0" fontId="34" fillId="0" borderId="350">
      <alignment horizontal="right" vertical="center"/>
    </xf>
    <xf numFmtId="0" fontId="34" fillId="0" borderId="383" applyNumberFormat="0" applyFill="0" applyAlignment="0" applyProtection="0"/>
    <xf numFmtId="0" fontId="34" fillId="32" borderId="350"/>
    <xf numFmtId="4" fontId="32" fillId="33" borderId="350">
      <alignment horizontal="right" vertical="center"/>
    </xf>
    <xf numFmtId="0" fontId="34" fillId="32" borderId="350"/>
    <xf numFmtId="0" fontId="58" fillId="42" borderId="347" applyNumberFormat="0" applyAlignment="0" applyProtection="0"/>
    <xf numFmtId="4" fontId="32" fillId="33" borderId="358">
      <alignment horizontal="right" vertical="center"/>
    </xf>
    <xf numFmtId="0" fontId="36" fillId="31" borderId="350">
      <alignment horizontal="right" vertical="center"/>
    </xf>
    <xf numFmtId="0" fontId="34" fillId="0" borderId="353">
      <alignment horizontal="left" vertical="center" wrapText="1" indent="2"/>
    </xf>
    <xf numFmtId="0" fontId="32" fillId="31" borderId="350">
      <alignment horizontal="right" vertical="center"/>
    </xf>
    <xf numFmtId="0" fontId="49" fillId="42" borderId="347" applyNumberFormat="0" applyAlignment="0" applyProtection="0"/>
    <xf numFmtId="0" fontId="34" fillId="33" borderId="353">
      <alignment horizontal="left" vertical="center" wrapText="1" indent="2"/>
    </xf>
    <xf numFmtId="0" fontId="34" fillId="32" borderId="356"/>
    <xf numFmtId="0" fontId="26" fillId="14" borderId="0" applyNumberFormat="0" applyBorder="0" applyAlignment="0" applyProtection="0"/>
    <xf numFmtId="0" fontId="40" fillId="58" borderId="382" applyNumberFormat="0" applyFont="0" applyAlignment="0" applyProtection="0"/>
    <xf numFmtId="0" fontId="46" fillId="55" borderId="377" applyNumberFormat="0" applyAlignment="0" applyProtection="0"/>
    <xf numFmtId="0" fontId="58" fillId="42" borderId="369" applyNumberFormat="0" applyAlignment="0" applyProtection="0"/>
    <xf numFmtId="0" fontId="26" fillId="23" borderId="0" applyNumberFormat="0" applyBorder="0" applyAlignment="0" applyProtection="0"/>
    <xf numFmtId="0" fontId="34" fillId="32" borderId="356"/>
    <xf numFmtId="0" fontId="26" fillId="16" borderId="0" applyNumberFormat="0" applyBorder="0" applyAlignment="0" applyProtection="0"/>
    <xf numFmtId="0" fontId="45" fillId="55" borderId="347" applyNumberFormat="0" applyAlignment="0" applyProtection="0"/>
    <xf numFmtId="0" fontId="36" fillId="31" borderId="350">
      <alignment horizontal="right" vertical="center"/>
    </xf>
    <xf numFmtId="4" fontId="32" fillId="33" borderId="358">
      <alignment horizontal="right" vertical="center"/>
    </xf>
    <xf numFmtId="173" fontId="34" fillId="59" borderId="372" applyNumberFormat="0" applyFont="0" applyBorder="0" applyAlignment="0" applyProtection="0">
      <alignment horizontal="right" vertical="center"/>
    </xf>
    <xf numFmtId="0" fontId="5" fillId="58" borderId="371" applyNumberFormat="0" applyFont="0" applyAlignment="0" applyProtection="0"/>
    <xf numFmtId="0" fontId="26" fillId="19" borderId="0" applyNumberFormat="0" applyBorder="0" applyAlignment="0" applyProtection="0"/>
    <xf numFmtId="173" fontId="34" fillId="59" borderId="364" applyNumberFormat="0" applyFont="0" applyBorder="0" applyAlignment="0" applyProtection="0">
      <alignment horizontal="right" vertical="center"/>
    </xf>
    <xf numFmtId="49" fontId="33" fillId="0" borderId="356" applyNumberFormat="0" applyFill="0" applyBorder="0" applyProtection="0">
      <alignment horizontal="left" vertical="center"/>
    </xf>
    <xf numFmtId="0" fontId="30" fillId="0" borderId="0" applyNumberFormat="0" applyFill="0" applyBorder="0" applyAlignment="0" applyProtection="0"/>
    <xf numFmtId="0" fontId="32" fillId="33" borderId="372">
      <alignment horizontal="right" vertical="center"/>
    </xf>
    <xf numFmtId="0" fontId="65" fillId="0" borderId="381" applyNumberFormat="0" applyFill="0" applyAlignment="0" applyProtection="0"/>
    <xf numFmtId="0" fontId="32" fillId="33" borderId="350">
      <alignment horizontal="right" vertical="center"/>
    </xf>
    <xf numFmtId="4" fontId="34" fillId="0" borderId="350" applyFill="0" applyBorder="0" applyProtection="0">
      <alignment horizontal="right" vertical="center"/>
    </xf>
    <xf numFmtId="0" fontId="34" fillId="33" borderId="353">
      <alignment horizontal="left" vertical="center" wrapText="1" indent="2"/>
    </xf>
    <xf numFmtId="0" fontId="40" fillId="58" borderId="349" applyNumberFormat="0" applyFont="0" applyAlignment="0" applyProtection="0"/>
    <xf numFmtId="0" fontId="49" fillId="42" borderId="347" applyNumberFormat="0" applyAlignment="0" applyProtection="0"/>
    <xf numFmtId="4" fontId="34" fillId="32" borderId="350"/>
    <xf numFmtId="4" fontId="34" fillId="0" borderId="350" applyFill="0" applyBorder="0" applyProtection="0">
      <alignment horizontal="right" vertical="center"/>
    </xf>
    <xf numFmtId="0" fontId="65" fillId="0" borderId="348" applyNumberFormat="0" applyFill="0" applyAlignment="0" applyProtection="0"/>
    <xf numFmtId="0" fontId="34" fillId="31" borderId="351">
      <alignment horizontal="left" vertical="center"/>
    </xf>
    <xf numFmtId="0" fontId="34" fillId="0" borderId="353">
      <alignment horizontal="left" vertical="center" wrapText="1" indent="2"/>
    </xf>
    <xf numFmtId="0" fontId="34" fillId="33" borderId="359">
      <alignment horizontal="left" vertical="center" wrapText="1" indent="2"/>
    </xf>
    <xf numFmtId="0" fontId="58" fillId="42" borderId="347" applyNumberFormat="0" applyAlignment="0" applyProtection="0"/>
    <xf numFmtId="0" fontId="32" fillId="31" borderId="356">
      <alignment horizontal="right" vertical="center"/>
    </xf>
    <xf numFmtId="0" fontId="34" fillId="33" borderId="353">
      <alignment horizontal="left" vertical="center" wrapText="1" indent="2"/>
    </xf>
    <xf numFmtId="0" fontId="34" fillId="0" borderId="386">
      <alignment horizontal="left" vertical="center" wrapText="1" indent="2"/>
    </xf>
    <xf numFmtId="0" fontId="1" fillId="0" borderId="0" applyNumberFormat="0" applyFill="0" applyBorder="0" applyAlignment="0" applyProtection="0"/>
    <xf numFmtId="0" fontId="58" fillId="42" borderId="361" applyNumberFormat="0" applyAlignment="0" applyProtection="0"/>
    <xf numFmtId="0" fontId="5" fillId="58" borderId="363" applyNumberFormat="0" applyFont="0" applyAlignment="0" applyProtection="0"/>
    <xf numFmtId="0" fontId="40" fillId="58" borderId="349" applyNumberFormat="0" applyFont="0" applyAlignment="0" applyProtection="0"/>
    <xf numFmtId="0" fontId="58" fillId="42" borderId="347" applyNumberFormat="0" applyAlignment="0" applyProtection="0"/>
    <xf numFmtId="0" fontId="32" fillId="31" borderId="356">
      <alignment horizontal="right" vertical="center"/>
    </xf>
    <xf numFmtId="4" fontId="34" fillId="32" borderId="350"/>
    <xf numFmtId="0" fontId="46" fillId="55" borderId="347" applyNumberFormat="0" applyAlignment="0" applyProtection="0"/>
    <xf numFmtId="0" fontId="58" fillId="42" borderId="347" applyNumberFormat="0" applyAlignment="0" applyProtection="0"/>
    <xf numFmtId="4" fontId="32" fillId="33" borderId="350">
      <alignment horizontal="right" vertical="center"/>
    </xf>
    <xf numFmtId="0" fontId="50" fillId="0" borderId="348" applyNumberFormat="0" applyFill="0" applyAlignment="0" applyProtection="0"/>
    <xf numFmtId="0" fontId="1" fillId="0" borderId="0" applyNumberFormat="0" applyFill="0" applyBorder="0" applyAlignment="0" applyProtection="0"/>
    <xf numFmtId="0" fontId="32" fillId="33" borderId="373">
      <alignment horizontal="right" vertical="center"/>
    </xf>
    <xf numFmtId="4" fontId="34" fillId="0" borderId="372" applyFill="0" applyBorder="0" applyProtection="0">
      <alignment horizontal="right" vertical="center"/>
    </xf>
    <xf numFmtId="0" fontId="65" fillId="0" borderId="370" applyNumberFormat="0" applyFill="0" applyAlignment="0" applyProtection="0"/>
    <xf numFmtId="49" fontId="34" fillId="0" borderId="384" applyNumberFormat="0" applyFont="0" applyFill="0" applyBorder="0" applyProtection="0">
      <alignment horizontal="left" vertical="center" indent="5"/>
    </xf>
    <xf numFmtId="0" fontId="49" fillId="42" borderId="361" applyNumberFormat="0" applyAlignment="0" applyProtection="0"/>
    <xf numFmtId="0" fontId="46" fillId="55" borderId="347" applyNumberFormat="0" applyAlignment="0" applyProtection="0"/>
    <xf numFmtId="0" fontId="65" fillId="0" borderId="362" applyNumberFormat="0" applyFill="0" applyAlignment="0" applyProtection="0"/>
    <xf numFmtId="0" fontId="49" fillId="42" borderId="347" applyNumberFormat="0" applyAlignment="0" applyProtection="0"/>
    <xf numFmtId="0" fontId="45" fillId="55" borderId="361" applyNumberFormat="0" applyAlignment="0" applyProtection="0"/>
    <xf numFmtId="4" fontId="34" fillId="32" borderId="356"/>
    <xf numFmtId="4" fontId="36" fillId="31" borderId="372">
      <alignment horizontal="right" vertical="center"/>
    </xf>
    <xf numFmtId="0" fontId="65" fillId="0" borderId="381" applyNumberFormat="0" applyFill="0" applyAlignment="0" applyProtection="0"/>
    <xf numFmtId="4" fontId="32" fillId="33" borderId="356">
      <alignment horizontal="right" vertical="center"/>
    </xf>
    <xf numFmtId="0" fontId="34" fillId="33" borderId="353">
      <alignment horizontal="left" vertical="center" wrapText="1" indent="2"/>
    </xf>
    <xf numFmtId="4" fontId="34" fillId="0" borderId="383" applyFill="0" applyBorder="0" applyProtection="0">
      <alignment horizontal="right" vertical="center"/>
    </xf>
    <xf numFmtId="0" fontId="62" fillId="55" borderId="354" applyNumberFormat="0" applyAlignment="0" applyProtection="0"/>
    <xf numFmtId="0" fontId="58" fillId="42" borderId="347" applyNumberFormat="0" applyAlignment="0" applyProtection="0"/>
    <xf numFmtId="4" fontId="32" fillId="33" borderId="350">
      <alignment horizontal="right" vertical="center"/>
    </xf>
    <xf numFmtId="0" fontId="34" fillId="32" borderId="350"/>
    <xf numFmtId="4" fontId="34" fillId="32" borderId="364"/>
    <xf numFmtId="0" fontId="34" fillId="31" borderId="357">
      <alignment horizontal="left" vertical="center"/>
    </xf>
    <xf numFmtId="0" fontId="34" fillId="0" borderId="353">
      <alignment horizontal="left" vertical="center" wrapText="1" indent="2"/>
    </xf>
    <xf numFmtId="4" fontId="34" fillId="0" borderId="356">
      <alignment horizontal="right" vertical="center"/>
    </xf>
    <xf numFmtId="0" fontId="12" fillId="24" borderId="0" applyNumberFormat="0" applyBorder="0" applyAlignment="0" applyProtection="0"/>
    <xf numFmtId="0" fontId="34" fillId="33" borderId="367">
      <alignment horizontal="left" vertical="center" wrapText="1" indent="2"/>
    </xf>
    <xf numFmtId="4" fontId="32" fillId="31" borderId="372">
      <alignment horizontal="right" vertical="center"/>
    </xf>
    <xf numFmtId="0" fontId="45" fillId="55" borderId="347" applyNumberFormat="0" applyAlignment="0" applyProtection="0"/>
    <xf numFmtId="0" fontId="32" fillId="33" borderId="356">
      <alignment horizontal="right" vertical="center"/>
    </xf>
    <xf numFmtId="0" fontId="32" fillId="33" borderId="358">
      <alignment horizontal="right" vertical="center"/>
    </xf>
    <xf numFmtId="4" fontId="32" fillId="31" borderId="350">
      <alignment horizontal="right" vertical="center"/>
    </xf>
    <xf numFmtId="0" fontId="62" fillId="55" borderId="379" applyNumberFormat="0" applyAlignment="0" applyProtection="0"/>
    <xf numFmtId="0" fontId="32" fillId="31" borderId="350">
      <alignment horizontal="right" vertical="center"/>
    </xf>
    <xf numFmtId="0" fontId="32" fillId="33" borderId="350">
      <alignment horizontal="right" vertical="center"/>
    </xf>
    <xf numFmtId="0" fontId="36" fillId="31" borderId="356">
      <alignment horizontal="right" vertical="center"/>
    </xf>
    <xf numFmtId="0" fontId="50" fillId="0" borderId="370" applyNumberFormat="0" applyFill="0" applyAlignment="0" applyProtection="0"/>
    <xf numFmtId="0" fontId="65" fillId="0" borderId="362" applyNumberFormat="0" applyFill="0" applyAlignment="0" applyProtection="0"/>
    <xf numFmtId="0" fontId="26" fillId="29" borderId="0" applyNumberFormat="0" applyBorder="0" applyAlignment="0" applyProtection="0"/>
    <xf numFmtId="0" fontId="36" fillId="31" borderId="356">
      <alignment horizontal="right" vertical="center"/>
    </xf>
    <xf numFmtId="0" fontId="62" fillId="55" borderId="354" applyNumberFormat="0" applyAlignment="0" applyProtection="0"/>
    <xf numFmtId="0" fontId="32" fillId="31" borderId="390">
      <alignment horizontal="right" vertical="center"/>
    </xf>
    <xf numFmtId="49" fontId="34" fillId="0" borderId="350" applyNumberFormat="0" applyFont="0" applyFill="0" applyBorder="0" applyProtection="0">
      <alignment horizontal="left" vertical="center" indent="2"/>
    </xf>
    <xf numFmtId="0" fontId="40" fillId="58" borderId="371" applyNumberFormat="0" applyFont="0" applyAlignment="0" applyProtection="0"/>
    <xf numFmtId="0" fontId="40" fillId="58" borderId="349" applyNumberFormat="0" applyFont="0" applyAlignment="0" applyProtection="0"/>
    <xf numFmtId="173" fontId="34" fillId="59" borderId="350" applyNumberFormat="0" applyFont="0" applyBorder="0" applyAlignment="0" applyProtection="0">
      <alignment horizontal="right" vertical="center"/>
    </xf>
    <xf numFmtId="0" fontId="58" fillId="42" borderId="347" applyNumberFormat="0" applyAlignment="0" applyProtection="0"/>
    <xf numFmtId="0" fontId="32" fillId="33" borderId="350">
      <alignment horizontal="right" vertical="center"/>
    </xf>
    <xf numFmtId="0" fontId="34" fillId="32" borderId="350"/>
    <xf numFmtId="0" fontId="62" fillId="55" borderId="354" applyNumberFormat="0" applyAlignment="0" applyProtection="0"/>
    <xf numFmtId="0" fontId="46" fillId="55" borderId="347" applyNumberFormat="0" applyAlignment="0" applyProtection="0"/>
    <xf numFmtId="0" fontId="45" fillId="55" borderId="347" applyNumberFormat="0" applyAlignment="0" applyProtection="0"/>
    <xf numFmtId="0" fontId="49" fillId="42" borderId="347" applyNumberFormat="0" applyAlignment="0" applyProtection="0"/>
    <xf numFmtId="0" fontId="49" fillId="42" borderId="347" applyNumberFormat="0" applyAlignment="0" applyProtection="0"/>
    <xf numFmtId="0" fontId="34" fillId="0" borderId="353">
      <alignment horizontal="left" vertical="center" wrapText="1" indent="2"/>
    </xf>
    <xf numFmtId="4" fontId="32" fillId="33" borderId="351">
      <alignment horizontal="right" vertical="center"/>
    </xf>
    <xf numFmtId="4" fontId="34" fillId="0" borderId="350">
      <alignment horizontal="right" vertical="center"/>
    </xf>
    <xf numFmtId="49" fontId="33" fillId="0" borderId="350" applyNumberFormat="0" applyFill="0" applyBorder="0" applyProtection="0">
      <alignment horizontal="left" vertical="center"/>
    </xf>
    <xf numFmtId="4" fontId="34" fillId="0" borderId="350">
      <alignment horizontal="right" vertical="center"/>
    </xf>
    <xf numFmtId="0" fontId="62" fillId="55" borderId="354" applyNumberFormat="0" applyAlignment="0" applyProtection="0"/>
    <xf numFmtId="0" fontId="46" fillId="55" borderId="361" applyNumberFormat="0" applyAlignment="0" applyProtection="0"/>
    <xf numFmtId="4" fontId="36" fillId="31" borderId="356">
      <alignment horizontal="right" vertical="center"/>
    </xf>
    <xf numFmtId="0" fontId="34" fillId="31" borderId="373">
      <alignment horizontal="left" vertical="center"/>
    </xf>
    <xf numFmtId="4" fontId="34" fillId="32" borderId="356"/>
    <xf numFmtId="0" fontId="32" fillId="33" borderId="356">
      <alignment horizontal="right" vertical="center"/>
    </xf>
    <xf numFmtId="0" fontId="32" fillId="33" borderId="364">
      <alignment horizontal="right" vertical="center"/>
    </xf>
    <xf numFmtId="0" fontId="5" fillId="58" borderId="355" applyNumberFormat="0" applyFont="0" applyAlignment="0" applyProtection="0"/>
    <xf numFmtId="0" fontId="34" fillId="0" borderId="353">
      <alignment horizontal="left" vertical="center" wrapText="1" indent="2"/>
    </xf>
    <xf numFmtId="0" fontId="12" fillId="21"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34" fillId="32" borderId="356"/>
    <xf numFmtId="4" fontId="32" fillId="33" borderId="357">
      <alignment horizontal="right" vertical="center"/>
    </xf>
    <xf numFmtId="0" fontId="32" fillId="33" borderId="384">
      <alignment horizontal="right" vertical="center"/>
    </xf>
    <xf numFmtId="0" fontId="1" fillId="0" borderId="0" applyNumberFormat="0" applyFill="0" applyBorder="0" applyAlignment="0" applyProtection="0"/>
    <xf numFmtId="4" fontId="34" fillId="32" borderId="372"/>
    <xf numFmtId="0" fontId="34" fillId="32" borderId="356"/>
    <xf numFmtId="0" fontId="40" fillId="58" borderId="349" applyNumberFormat="0" applyFont="0" applyAlignment="0" applyProtection="0"/>
    <xf numFmtId="4" fontId="36" fillId="31" borderId="372">
      <alignment horizontal="right" vertical="center"/>
    </xf>
    <xf numFmtId="0" fontId="32" fillId="31" borderId="350">
      <alignment horizontal="right" vertical="center"/>
    </xf>
    <xf numFmtId="0" fontId="12" fillId="18" borderId="0" applyNumberFormat="0" applyBorder="0" applyAlignment="0" applyProtection="0"/>
    <xf numFmtId="49" fontId="34" fillId="0" borderId="357" applyNumberFormat="0" applyFont="0" applyFill="0" applyBorder="0" applyProtection="0">
      <alignment horizontal="left" vertical="center" indent="5"/>
    </xf>
    <xf numFmtId="0" fontId="34" fillId="0" borderId="350" applyNumberFormat="0" applyFill="0" applyAlignment="0" applyProtection="0"/>
    <xf numFmtId="49" fontId="33" fillId="0" borderId="350" applyNumberFormat="0" applyFill="0" applyBorder="0" applyProtection="0">
      <alignment horizontal="left" vertical="center"/>
    </xf>
    <xf numFmtId="0" fontId="34" fillId="0" borderId="350">
      <alignment horizontal="right" vertical="center"/>
    </xf>
    <xf numFmtId="0" fontId="49" fillId="42" borderId="361" applyNumberFormat="0" applyAlignment="0" applyProtection="0"/>
    <xf numFmtId="0" fontId="32" fillId="33" borderId="358">
      <alignment horizontal="right" vertical="center"/>
    </xf>
    <xf numFmtId="0" fontId="34" fillId="0" borderId="356">
      <alignment horizontal="right" vertical="center"/>
    </xf>
    <xf numFmtId="4" fontId="32" fillId="31" borderId="350">
      <alignment horizontal="right" vertical="center"/>
    </xf>
    <xf numFmtId="0" fontId="40" fillId="58" borderId="355" applyNumberFormat="0" applyFont="0" applyAlignment="0" applyProtection="0"/>
    <xf numFmtId="0" fontId="46" fillId="55" borderId="347" applyNumberFormat="0" applyAlignment="0" applyProtection="0"/>
    <xf numFmtId="0" fontId="32" fillId="33" borderId="352">
      <alignment horizontal="right" vertical="center"/>
    </xf>
    <xf numFmtId="4" fontId="32" fillId="31" borderId="350">
      <alignment horizontal="right" vertical="center"/>
    </xf>
    <xf numFmtId="0" fontId="32" fillId="33" borderId="350">
      <alignment horizontal="right" vertical="center"/>
    </xf>
    <xf numFmtId="0" fontId="46" fillId="55" borderId="347" applyNumberFormat="0" applyAlignment="0" applyProtection="0"/>
    <xf numFmtId="4" fontId="32" fillId="33" borderId="357">
      <alignment horizontal="right" vertical="center"/>
    </xf>
    <xf numFmtId="0" fontId="5" fillId="58" borderId="363" applyNumberFormat="0" applyFont="0" applyAlignment="0" applyProtection="0"/>
    <xf numFmtId="0" fontId="28" fillId="12" borderId="11" applyNumberFormat="0" applyAlignment="0" applyProtection="0"/>
    <xf numFmtId="4" fontId="34" fillId="0" borderId="350" applyFill="0" applyBorder="0" applyProtection="0">
      <alignment horizontal="right" vertical="center"/>
    </xf>
    <xf numFmtId="0" fontId="40" fillId="58" borderId="349" applyNumberFormat="0" applyFont="0" applyAlignment="0" applyProtection="0"/>
    <xf numFmtId="0" fontId="34" fillId="0" borderId="356">
      <alignment horizontal="right" vertical="center"/>
    </xf>
    <xf numFmtId="0" fontId="26" fillId="23" borderId="0" applyNumberFormat="0" applyBorder="0" applyAlignment="0" applyProtection="0"/>
    <xf numFmtId="0" fontId="49" fillId="42" borderId="361" applyNumberFormat="0" applyAlignment="0" applyProtection="0"/>
    <xf numFmtId="0" fontId="43" fillId="55" borderId="360" applyNumberFormat="0" applyAlignment="0" applyProtection="0"/>
    <xf numFmtId="0" fontId="45" fillId="55" borderId="401" applyNumberFormat="0" applyAlignment="0" applyProtection="0"/>
    <xf numFmtId="0" fontId="50" fillId="0" borderId="370" applyNumberFormat="0" applyFill="0" applyAlignment="0" applyProtection="0"/>
    <xf numFmtId="0" fontId="32" fillId="31" borderId="350">
      <alignment horizontal="right" vertical="center"/>
    </xf>
    <xf numFmtId="0" fontId="50" fillId="0" borderId="348" applyNumberFormat="0" applyFill="0" applyAlignment="0" applyProtection="0"/>
    <xf numFmtId="0" fontId="34" fillId="0" borderId="350" applyNumberFormat="0" applyFill="0" applyAlignment="0" applyProtection="0"/>
    <xf numFmtId="0" fontId="50" fillId="0" borderId="348" applyNumberFormat="0" applyFill="0" applyAlignment="0" applyProtection="0"/>
    <xf numFmtId="4" fontId="34" fillId="0" borderId="350" applyFill="0" applyBorder="0" applyProtection="0">
      <alignment horizontal="right" vertical="center"/>
    </xf>
    <xf numFmtId="49" fontId="34" fillId="0" borderId="351" applyNumberFormat="0" applyFont="0" applyFill="0" applyBorder="0" applyProtection="0">
      <alignment horizontal="left" vertical="center" indent="5"/>
    </xf>
    <xf numFmtId="0" fontId="34" fillId="0" borderId="350" applyNumberFormat="0" applyFill="0" applyAlignment="0" applyProtection="0"/>
    <xf numFmtId="0" fontId="46" fillId="55" borderId="361" applyNumberFormat="0" applyAlignment="0" applyProtection="0"/>
    <xf numFmtId="0" fontId="34" fillId="0" borderId="350" applyNumberFormat="0" applyFill="0" applyAlignment="0" applyProtection="0"/>
    <xf numFmtId="173" fontId="34" fillId="59" borderId="356" applyNumberFormat="0" applyFont="0" applyBorder="0" applyAlignment="0" applyProtection="0">
      <alignment horizontal="right" vertical="center"/>
    </xf>
    <xf numFmtId="0" fontId="29" fillId="12" borderId="10" applyNumberFormat="0" applyAlignment="0" applyProtection="0"/>
    <xf numFmtId="4" fontId="32" fillId="33" borderId="350">
      <alignment horizontal="right" vertical="center"/>
    </xf>
    <xf numFmtId="0" fontId="26" fillId="29" borderId="0" applyNumberFormat="0" applyBorder="0" applyAlignment="0" applyProtection="0"/>
    <xf numFmtId="0" fontId="46" fillId="55" borderId="361" applyNumberFormat="0" applyAlignment="0" applyProtection="0"/>
    <xf numFmtId="0" fontId="26" fillId="13" borderId="0" applyNumberFormat="0" applyBorder="0" applyAlignment="0" applyProtection="0"/>
    <xf numFmtId="4" fontId="32" fillId="31" borderId="356">
      <alignment horizontal="right" vertical="center"/>
    </xf>
    <xf numFmtId="0" fontId="49" fillId="42" borderId="347" applyNumberFormat="0" applyAlignment="0" applyProtection="0"/>
    <xf numFmtId="0" fontId="46" fillId="55" borderId="347" applyNumberFormat="0" applyAlignment="0" applyProtection="0"/>
    <xf numFmtId="4" fontId="34" fillId="0" borderId="350">
      <alignment horizontal="right" vertical="center"/>
    </xf>
    <xf numFmtId="0" fontId="34" fillId="33" borderId="353">
      <alignment horizontal="left" vertical="center" wrapText="1" indent="2"/>
    </xf>
    <xf numFmtId="0" fontId="34" fillId="0" borderId="353">
      <alignment horizontal="left" vertical="center" wrapText="1" indent="2"/>
    </xf>
    <xf numFmtId="0" fontId="62" fillId="55" borderId="354" applyNumberFormat="0" applyAlignment="0" applyProtection="0"/>
    <xf numFmtId="0" fontId="58" fillId="42" borderId="347" applyNumberFormat="0" applyAlignment="0" applyProtection="0"/>
    <xf numFmtId="0" fontId="45" fillId="55" borderId="347" applyNumberFormat="0" applyAlignment="0" applyProtection="0"/>
    <xf numFmtId="0" fontId="43" fillId="55" borderId="354" applyNumberFormat="0" applyAlignment="0" applyProtection="0"/>
    <xf numFmtId="0" fontId="32" fillId="33" borderId="352">
      <alignment horizontal="right" vertical="center"/>
    </xf>
    <xf numFmtId="0" fontId="36" fillId="31" borderId="350">
      <alignment horizontal="right" vertical="center"/>
    </xf>
    <xf numFmtId="4" fontId="32" fillId="31" borderId="350">
      <alignment horizontal="right" vertical="center"/>
    </xf>
    <xf numFmtId="4" fontId="32" fillId="33" borderId="350">
      <alignment horizontal="right" vertical="center"/>
    </xf>
    <xf numFmtId="49" fontId="34" fillId="0" borderId="351" applyNumberFormat="0" applyFont="0" applyFill="0" applyBorder="0" applyProtection="0">
      <alignment horizontal="left" vertical="center" indent="5"/>
    </xf>
    <xf numFmtId="4" fontId="34" fillId="0" borderId="350" applyFill="0" applyBorder="0" applyProtection="0">
      <alignment horizontal="right" vertical="center"/>
    </xf>
    <xf numFmtId="4" fontId="32" fillId="31" borderId="350">
      <alignment horizontal="right" vertical="center"/>
    </xf>
    <xf numFmtId="0" fontId="58" fillId="42" borderId="347" applyNumberFormat="0" applyAlignment="0" applyProtection="0"/>
    <xf numFmtId="0" fontId="49" fillId="42" borderId="347" applyNumberFormat="0" applyAlignment="0" applyProtection="0"/>
    <xf numFmtId="0" fontId="45" fillId="55" borderId="347" applyNumberFormat="0" applyAlignment="0" applyProtection="0"/>
    <xf numFmtId="0" fontId="34" fillId="33" borderId="353">
      <alignment horizontal="left" vertical="center" wrapText="1" indent="2"/>
    </xf>
    <xf numFmtId="0" fontId="34" fillId="0" borderId="353">
      <alignment horizontal="left" vertical="center" wrapText="1" indent="2"/>
    </xf>
    <xf numFmtId="0" fontId="34" fillId="33" borderId="353">
      <alignment horizontal="left" vertical="center" wrapText="1" indent="2"/>
    </xf>
    <xf numFmtId="4" fontId="32" fillId="33" borderId="357">
      <alignment horizontal="right" vertical="center"/>
    </xf>
    <xf numFmtId="0" fontId="34" fillId="0" borderId="356">
      <alignment horizontal="right" vertical="center"/>
    </xf>
    <xf numFmtId="4" fontId="34" fillId="0" borderId="356">
      <alignment horizontal="right" vertical="center"/>
    </xf>
    <xf numFmtId="0" fontId="62" fillId="55" borderId="394" applyNumberFormat="0" applyAlignment="0" applyProtection="0"/>
    <xf numFmtId="0" fontId="34" fillId="0" borderId="359">
      <alignment horizontal="left" vertical="center" wrapText="1" indent="2"/>
    </xf>
    <xf numFmtId="4" fontId="32" fillId="33" borderId="356">
      <alignment horizontal="right" vertical="center"/>
    </xf>
    <xf numFmtId="0" fontId="32" fillId="33" borderId="357">
      <alignment horizontal="right" vertical="center"/>
    </xf>
    <xf numFmtId="4" fontId="32" fillId="33" borderId="357">
      <alignment horizontal="right" vertical="center"/>
    </xf>
    <xf numFmtId="0" fontId="32" fillId="33" borderId="356">
      <alignment horizontal="right" vertical="center"/>
    </xf>
    <xf numFmtId="4" fontId="32" fillId="31" borderId="356">
      <alignment horizontal="right" vertical="center"/>
    </xf>
    <xf numFmtId="0" fontId="36" fillId="31" borderId="356">
      <alignment horizontal="right" vertical="center"/>
    </xf>
    <xf numFmtId="0" fontId="34" fillId="33" borderId="407">
      <alignment horizontal="left" vertical="center" wrapText="1" indent="2"/>
    </xf>
    <xf numFmtId="0" fontId="34" fillId="0" borderId="364" applyNumberFormat="0" applyFill="0" applyAlignment="0" applyProtection="0"/>
    <xf numFmtId="0" fontId="32" fillId="33" borderId="366">
      <alignment horizontal="right" vertical="center"/>
    </xf>
    <xf numFmtId="4" fontId="36" fillId="31" borderId="364">
      <alignment horizontal="right" vertical="center"/>
    </xf>
    <xf numFmtId="4" fontId="32" fillId="33" borderId="372">
      <alignment horizontal="right" vertical="center"/>
    </xf>
    <xf numFmtId="0" fontId="62" fillId="55" borderId="368" applyNumberFormat="0" applyAlignment="0" applyProtection="0"/>
    <xf numFmtId="49" fontId="34" fillId="0" borderId="372" applyNumberFormat="0" applyFont="0" applyFill="0" applyBorder="0" applyProtection="0">
      <alignment horizontal="left" vertical="center" indent="2"/>
    </xf>
    <xf numFmtId="0" fontId="32" fillId="33" borderId="364">
      <alignment horizontal="right" vertical="center"/>
    </xf>
    <xf numFmtId="0" fontId="46" fillId="55" borderId="377" applyNumberFormat="0" applyAlignment="0" applyProtection="0"/>
    <xf numFmtId="0" fontId="32" fillId="33" borderId="383">
      <alignment horizontal="right" vertical="center"/>
    </xf>
    <xf numFmtId="4" fontId="32" fillId="33" borderId="365">
      <alignment horizontal="right" vertical="center"/>
    </xf>
    <xf numFmtId="0" fontId="26" fillId="19" borderId="0" applyNumberFormat="0" applyBorder="0" applyAlignment="0" applyProtection="0"/>
    <xf numFmtId="49" fontId="33" fillId="0" borderId="372" applyNumberFormat="0" applyFill="0" applyBorder="0" applyProtection="0">
      <alignment horizontal="left" vertical="center"/>
    </xf>
    <xf numFmtId="0" fontId="46" fillId="55" borderId="380" applyNumberFormat="0" applyAlignment="0" applyProtection="0"/>
    <xf numFmtId="0" fontId="36" fillId="31" borderId="372">
      <alignment horizontal="right" vertical="center"/>
    </xf>
    <xf numFmtId="49" fontId="33" fillId="0" borderId="364" applyNumberFormat="0" applyFill="0" applyBorder="0" applyProtection="0">
      <alignment horizontal="left" vertical="center"/>
    </xf>
    <xf numFmtId="0" fontId="32" fillId="33" borderId="374">
      <alignment horizontal="right" vertical="center"/>
    </xf>
    <xf numFmtId="0" fontId="34" fillId="0" borderId="372">
      <alignment horizontal="right" vertical="center"/>
    </xf>
    <xf numFmtId="0" fontId="46" fillId="55" borderId="369" applyNumberFormat="0" applyAlignment="0" applyProtection="0"/>
    <xf numFmtId="0" fontId="34" fillId="0" borderId="375">
      <alignment horizontal="left" vertical="center" wrapText="1" indent="2"/>
    </xf>
    <xf numFmtId="4" fontId="32" fillId="33" borderId="373">
      <alignment horizontal="right" vertical="center"/>
    </xf>
    <xf numFmtId="4" fontId="34" fillId="0" borderId="364" applyFill="0" applyBorder="0" applyProtection="0">
      <alignment horizontal="right" vertical="center"/>
    </xf>
    <xf numFmtId="49" fontId="34" fillId="0" borderId="373" applyNumberFormat="0" applyFont="0" applyFill="0" applyBorder="0" applyProtection="0">
      <alignment horizontal="left" vertical="center" indent="5"/>
    </xf>
    <xf numFmtId="4" fontId="32" fillId="33" borderId="385">
      <alignment horizontal="right" vertical="center"/>
    </xf>
    <xf numFmtId="0" fontId="34" fillId="32" borderId="404"/>
    <xf numFmtId="0" fontId="26" fillId="19" borderId="0" applyNumberFormat="0" applyBorder="0" applyAlignment="0" applyProtection="0"/>
    <xf numFmtId="0" fontId="65" fillId="0" borderId="370" applyNumberFormat="0" applyFill="0" applyAlignment="0" applyProtection="0"/>
    <xf numFmtId="4" fontId="32" fillId="33" borderId="385">
      <alignment horizontal="right" vertical="center"/>
    </xf>
    <xf numFmtId="0" fontId="40" fillId="58" borderId="363" applyNumberFormat="0" applyFont="0" applyAlignment="0" applyProtection="0"/>
    <xf numFmtId="0" fontId="50" fillId="0" borderId="378" applyNumberFormat="0" applyFill="0" applyAlignment="0" applyProtection="0"/>
    <xf numFmtId="0" fontId="30" fillId="0" borderId="0" applyNumberFormat="0" applyFill="0" applyBorder="0" applyAlignment="0" applyProtection="0"/>
    <xf numFmtId="4" fontId="34" fillId="0" borderId="364">
      <alignment horizontal="right" vertical="center"/>
    </xf>
    <xf numFmtId="0" fontId="62" fillId="55" borderId="368" applyNumberFormat="0" applyAlignment="0" applyProtection="0"/>
    <xf numFmtId="0" fontId="34" fillId="33" borderId="367">
      <alignment horizontal="left" vertical="center" wrapText="1" indent="2"/>
    </xf>
    <xf numFmtId="0" fontId="36" fillId="31" borderId="364">
      <alignment horizontal="right" vertical="center"/>
    </xf>
    <xf numFmtId="0" fontId="34" fillId="32" borderId="383"/>
    <xf numFmtId="0" fontId="50" fillId="0" borderId="388" applyNumberFormat="0" applyFill="0" applyAlignment="0" applyProtection="0"/>
    <xf numFmtId="0" fontId="32" fillId="33" borderId="364">
      <alignment horizontal="right" vertical="center"/>
    </xf>
    <xf numFmtId="0" fontId="43" fillId="55" borderId="376" applyNumberFormat="0" applyAlignment="0" applyProtection="0"/>
    <xf numFmtId="0" fontId="40" fillId="58" borderId="355" applyNumberFormat="0" applyFont="0" applyAlignment="0" applyProtection="0"/>
    <xf numFmtId="0" fontId="32" fillId="33" borderId="366">
      <alignment horizontal="right" vertical="center"/>
    </xf>
    <xf numFmtId="0" fontId="30" fillId="0" borderId="0" applyNumberFormat="0" applyFill="0" applyBorder="0" applyAlignment="0" applyProtection="0"/>
    <xf numFmtId="0" fontId="5" fillId="58" borderId="355" applyNumberFormat="0" applyFont="0" applyAlignment="0" applyProtection="0"/>
    <xf numFmtId="173" fontId="34" fillId="59" borderId="364" applyNumberFormat="0" applyFont="0" applyBorder="0" applyAlignment="0" applyProtection="0">
      <alignment horizontal="right" vertical="center"/>
    </xf>
    <xf numFmtId="0" fontId="32" fillId="33" borderId="372">
      <alignment horizontal="right" vertical="center"/>
    </xf>
    <xf numFmtId="0" fontId="43" fillId="55" borderId="368" applyNumberFormat="0" applyAlignment="0" applyProtection="0"/>
    <xf numFmtId="0" fontId="46" fillId="55" borderId="369" applyNumberFormat="0" applyAlignment="0" applyProtection="0"/>
    <xf numFmtId="173" fontId="34" fillId="59" borderId="364" applyNumberFormat="0" applyFont="0" applyBorder="0" applyAlignment="0" applyProtection="0">
      <alignment horizontal="right" vertical="center"/>
    </xf>
    <xf numFmtId="0" fontId="46" fillId="55" borderId="377" applyNumberFormat="0" applyAlignment="0" applyProtection="0"/>
    <xf numFmtId="0" fontId="46" fillId="55" borderId="377" applyNumberFormat="0" applyAlignment="0" applyProtection="0"/>
    <xf numFmtId="0" fontId="26" fillId="26" borderId="0" applyNumberFormat="0" applyBorder="0" applyAlignment="0" applyProtection="0"/>
    <xf numFmtId="0" fontId="58" fillId="42" borderId="361" applyNumberFormat="0" applyAlignment="0" applyProtection="0"/>
    <xf numFmtId="0" fontId="26" fillId="19" borderId="0" applyNumberFormat="0" applyBorder="0" applyAlignment="0" applyProtection="0"/>
    <xf numFmtId="0" fontId="34" fillId="33" borderId="359">
      <alignment horizontal="left" vertical="center" wrapText="1" indent="2"/>
    </xf>
    <xf numFmtId="4" fontId="36" fillId="31" borderId="356">
      <alignment horizontal="right" vertical="center"/>
    </xf>
    <xf numFmtId="0" fontId="40" fillId="58" borderId="371" applyNumberFormat="0" applyFont="0" applyAlignment="0" applyProtection="0"/>
    <xf numFmtId="4" fontId="36" fillId="31" borderId="372">
      <alignment horizontal="right" vertical="center"/>
    </xf>
    <xf numFmtId="4" fontId="34" fillId="32" borderId="404"/>
    <xf numFmtId="0" fontId="26" fillId="20" borderId="0" applyNumberFormat="0" applyBorder="0" applyAlignment="0" applyProtection="0"/>
    <xf numFmtId="0" fontId="65" fillId="0" borderId="378" applyNumberFormat="0" applyFill="0" applyAlignment="0" applyProtection="0"/>
    <xf numFmtId="4" fontId="34" fillId="0" borderId="372">
      <alignment horizontal="right" vertical="center"/>
    </xf>
    <xf numFmtId="0" fontId="2" fillId="0" borderId="12" applyNumberFormat="0" applyFill="0" applyAlignment="0" applyProtection="0"/>
    <xf numFmtId="0" fontId="26" fillId="22" borderId="0" applyNumberFormat="0" applyBorder="0" applyAlignment="0" applyProtection="0"/>
    <xf numFmtId="0" fontId="2" fillId="0" borderId="12" applyNumberFormat="0" applyFill="0" applyAlignment="0" applyProtection="0"/>
    <xf numFmtId="4" fontId="36" fillId="31" borderId="356">
      <alignment horizontal="right" vertical="center"/>
    </xf>
    <xf numFmtId="4" fontId="32" fillId="31" borderId="356">
      <alignment horizontal="right" vertical="center"/>
    </xf>
    <xf numFmtId="0" fontId="34" fillId="0" borderId="359">
      <alignment horizontal="left" vertical="center" wrapText="1" indent="2"/>
    </xf>
    <xf numFmtId="0" fontId="62" fillId="55" borderId="360" applyNumberFormat="0" applyAlignment="0" applyProtection="0"/>
    <xf numFmtId="0" fontId="34" fillId="0" borderId="356">
      <alignment horizontal="right" vertical="center"/>
    </xf>
    <xf numFmtId="0" fontId="65" fillId="0" borderId="362" applyNumberFormat="0" applyFill="0" applyAlignment="0" applyProtection="0"/>
    <xf numFmtId="49" fontId="33" fillId="0" borderId="356" applyNumberFormat="0" applyFill="0" applyBorder="0" applyProtection="0">
      <alignment horizontal="left" vertical="center"/>
    </xf>
    <xf numFmtId="4" fontId="34" fillId="32" borderId="356"/>
    <xf numFmtId="0" fontId="58" fillId="42" borderId="361" applyNumberFormat="0" applyAlignment="0" applyProtection="0"/>
    <xf numFmtId="4" fontId="34" fillId="32" borderId="372"/>
    <xf numFmtId="0" fontId="46" fillId="55" borderId="380" applyNumberFormat="0" applyAlignment="0" applyProtection="0"/>
    <xf numFmtId="173" fontId="34" fillId="59" borderId="356" applyNumberFormat="0" applyFont="0" applyBorder="0" applyAlignment="0" applyProtection="0">
      <alignment horizontal="right" vertical="center"/>
    </xf>
    <xf numFmtId="0" fontId="34" fillId="33" borderId="367">
      <alignment horizontal="left" vertical="center" wrapText="1" indent="2"/>
    </xf>
    <xf numFmtId="0" fontId="46" fillId="55" borderId="361" applyNumberFormat="0" applyAlignment="0" applyProtection="0"/>
    <xf numFmtId="0" fontId="34" fillId="0" borderId="367">
      <alignment horizontal="left" vertical="center" wrapText="1" indent="2"/>
    </xf>
    <xf numFmtId="4" fontId="32" fillId="31" borderId="364">
      <alignment horizontal="right" vertical="center"/>
    </xf>
    <xf numFmtId="49" fontId="34" fillId="0" borderId="372" applyNumberFormat="0" applyFont="0" applyFill="0" applyBorder="0" applyProtection="0">
      <alignment horizontal="left" vertical="center" indent="2"/>
    </xf>
    <xf numFmtId="0" fontId="50" fillId="0" borderId="378" applyNumberFormat="0" applyFill="0" applyAlignment="0" applyProtection="0"/>
    <xf numFmtId="0" fontId="58" fillId="42" borderId="361" applyNumberFormat="0" applyAlignment="0" applyProtection="0"/>
    <xf numFmtId="0" fontId="43" fillId="55" borderId="360" applyNumberFormat="0" applyAlignment="0" applyProtection="0"/>
    <xf numFmtId="0" fontId="12" fillId="27" borderId="0" applyNumberFormat="0" applyBorder="0" applyAlignment="0" applyProtection="0"/>
    <xf numFmtId="49" fontId="33" fillId="0" borderId="356" applyNumberFormat="0" applyFill="0" applyBorder="0" applyProtection="0">
      <alignment horizontal="left" vertical="center"/>
    </xf>
    <xf numFmtId="0" fontId="65" fillId="0" borderId="362" applyNumberFormat="0" applyFill="0" applyAlignment="0" applyProtection="0"/>
    <xf numFmtId="0" fontId="34" fillId="0" borderId="356">
      <alignment horizontal="right" vertical="center"/>
    </xf>
    <xf numFmtId="0" fontId="32" fillId="33" borderId="357">
      <alignment horizontal="right" vertical="center"/>
    </xf>
    <xf numFmtId="0" fontId="65" fillId="0" borderId="362" applyNumberFormat="0" applyFill="0" applyAlignment="0" applyProtection="0"/>
    <xf numFmtId="0" fontId="62" fillId="55" borderId="376" applyNumberFormat="0" applyAlignment="0" applyProtection="0"/>
    <xf numFmtId="4" fontId="34" fillId="0" borderId="383">
      <alignment horizontal="right" vertical="center"/>
    </xf>
    <xf numFmtId="4" fontId="32" fillId="31" borderId="364">
      <alignment horizontal="right" vertical="center"/>
    </xf>
    <xf numFmtId="4" fontId="34" fillId="0" borderId="372">
      <alignment horizontal="right" vertical="center"/>
    </xf>
    <xf numFmtId="0" fontId="29" fillId="12" borderId="10" applyNumberFormat="0" applyAlignment="0" applyProtection="0"/>
    <xf numFmtId="4" fontId="34" fillId="0" borderId="364" applyFill="0" applyBorder="0" applyProtection="0">
      <alignment horizontal="right" vertical="center"/>
    </xf>
    <xf numFmtId="0" fontId="26" fillId="14" borderId="0" applyNumberFormat="0" applyBorder="0" applyAlignment="0" applyProtection="0"/>
    <xf numFmtId="4" fontId="34" fillId="0" borderId="356" applyFill="0" applyBorder="0" applyProtection="0">
      <alignment horizontal="right" vertical="center"/>
    </xf>
    <xf numFmtId="0" fontId="36" fillId="31" borderId="372">
      <alignment horizontal="right" vertical="center"/>
    </xf>
    <xf numFmtId="0" fontId="65" fillId="0" borderId="370" applyNumberFormat="0" applyFill="0" applyAlignment="0" applyProtection="0"/>
    <xf numFmtId="0" fontId="34" fillId="0" borderId="364" applyNumberFormat="0" applyFill="0" applyAlignment="0" applyProtection="0"/>
    <xf numFmtId="4" fontId="32" fillId="33" borderId="404">
      <alignment horizontal="right" vertical="center"/>
    </xf>
    <xf numFmtId="0" fontId="1" fillId="0" borderId="0" applyNumberFormat="0" applyFill="0" applyBorder="0" applyAlignment="0" applyProtection="0"/>
    <xf numFmtId="0" fontId="40" fillId="58" borderId="363" applyNumberFormat="0" applyFont="0" applyAlignment="0" applyProtection="0"/>
    <xf numFmtId="0" fontId="34" fillId="0" borderId="359">
      <alignment horizontal="left" vertical="center" wrapText="1" indent="2"/>
    </xf>
    <xf numFmtId="4" fontId="34" fillId="0" borderId="364">
      <alignment horizontal="right" vertical="center"/>
    </xf>
    <xf numFmtId="0" fontId="65" fillId="0" borderId="362" applyNumberFormat="0" applyFill="0" applyAlignment="0" applyProtection="0"/>
    <xf numFmtId="0" fontId="43" fillId="55" borderId="360" applyNumberFormat="0" applyAlignment="0" applyProtection="0"/>
    <xf numFmtId="0" fontId="32" fillId="33" borderId="356">
      <alignment horizontal="right" vertical="center"/>
    </xf>
    <xf numFmtId="0" fontId="45" fillId="55" borderId="361" applyNumberFormat="0" applyAlignment="0" applyProtection="0"/>
    <xf numFmtId="0" fontId="65" fillId="0" borderId="370" applyNumberFormat="0" applyFill="0" applyAlignment="0" applyProtection="0"/>
    <xf numFmtId="4" fontId="32" fillId="33" borderId="366">
      <alignment horizontal="right" vertical="center"/>
    </xf>
    <xf numFmtId="0" fontId="34" fillId="31" borderId="357">
      <alignment horizontal="left" vertical="center"/>
    </xf>
    <xf numFmtId="0" fontId="5" fillId="58" borderId="363" applyNumberFormat="0" applyFont="0" applyAlignment="0" applyProtection="0"/>
    <xf numFmtId="4" fontId="36" fillId="31" borderId="372">
      <alignment horizontal="right" vertical="center"/>
    </xf>
    <xf numFmtId="0" fontId="32" fillId="33" borderId="364">
      <alignment horizontal="right" vertical="center"/>
    </xf>
    <xf numFmtId="0" fontId="32" fillId="33" borderId="366">
      <alignment horizontal="right" vertical="center"/>
    </xf>
    <xf numFmtId="0" fontId="46" fillId="55" borderId="369" applyNumberFormat="0" applyAlignment="0" applyProtection="0"/>
    <xf numFmtId="0" fontId="32" fillId="31" borderId="356">
      <alignment horizontal="right" vertical="center"/>
    </xf>
    <xf numFmtId="0" fontId="34" fillId="33" borderId="399">
      <alignment horizontal="left" vertical="center" wrapText="1" indent="2"/>
    </xf>
    <xf numFmtId="4" fontId="36" fillId="31" borderId="390">
      <alignment horizontal="right" vertical="center"/>
    </xf>
    <xf numFmtId="0" fontId="50" fillId="0" borderId="362" applyNumberFormat="0" applyFill="0" applyAlignment="0" applyProtection="0"/>
    <xf numFmtId="0" fontId="45" fillId="55" borderId="380" applyNumberFormat="0" applyAlignment="0" applyProtection="0"/>
    <xf numFmtId="0" fontId="34" fillId="0" borderId="356">
      <alignment horizontal="right" vertical="center"/>
    </xf>
    <xf numFmtId="0" fontId="5" fillId="58" borderId="355" applyNumberFormat="0" applyFont="0" applyAlignment="0" applyProtection="0"/>
    <xf numFmtId="0" fontId="46" fillId="55" borderId="369" applyNumberFormat="0" applyAlignment="0" applyProtection="0"/>
    <xf numFmtId="173" fontId="34" fillId="59" borderId="372" applyNumberFormat="0" applyFont="0" applyBorder="0" applyAlignment="0" applyProtection="0">
      <alignment horizontal="right" vertical="center"/>
    </xf>
    <xf numFmtId="4" fontId="34" fillId="32" borderId="404"/>
    <xf numFmtId="0" fontId="12" fillId="30" borderId="0" applyNumberFormat="0" applyBorder="0" applyAlignment="0" applyProtection="0"/>
    <xf numFmtId="0" fontId="32" fillId="33" borderId="364">
      <alignment horizontal="right" vertical="center"/>
    </xf>
    <xf numFmtId="0" fontId="58" fillId="42" borderId="361" applyNumberFormat="0" applyAlignment="0" applyProtection="0"/>
    <xf numFmtId="0" fontId="12" fillId="15" borderId="0" applyNumberFormat="0" applyBorder="0" applyAlignment="0" applyProtection="0"/>
    <xf numFmtId="49" fontId="34" fillId="0" borderId="357" applyNumberFormat="0" applyFont="0" applyFill="0" applyBorder="0" applyProtection="0">
      <alignment horizontal="left" vertical="center" indent="5"/>
    </xf>
    <xf numFmtId="0" fontId="32" fillId="33" borderId="372">
      <alignment horizontal="right" vertical="center"/>
    </xf>
    <xf numFmtId="0" fontId="34" fillId="0" borderId="356" applyNumberFormat="0" applyFill="0" applyAlignment="0" applyProtection="0"/>
    <xf numFmtId="0" fontId="50" fillId="0" borderId="362" applyNumberFormat="0" applyFill="0" applyAlignment="0" applyProtection="0"/>
    <xf numFmtId="0" fontId="62" fillId="55" borderId="360" applyNumberFormat="0" applyAlignment="0" applyProtection="0"/>
    <xf numFmtId="4" fontId="32" fillId="33" borderId="356">
      <alignment horizontal="right" vertical="center"/>
    </xf>
    <xf numFmtId="4" fontId="34" fillId="32" borderId="356"/>
    <xf numFmtId="0" fontId="65" fillId="0" borderId="362" applyNumberFormat="0" applyFill="0" applyAlignment="0" applyProtection="0"/>
    <xf numFmtId="0" fontId="50" fillId="0" borderId="370" applyNumberFormat="0" applyFill="0" applyAlignment="0" applyProtection="0"/>
    <xf numFmtId="0" fontId="43" fillId="55" borderId="360" applyNumberFormat="0" applyAlignment="0" applyProtection="0"/>
    <xf numFmtId="0" fontId="45" fillId="55" borderId="361" applyNumberFormat="0" applyAlignment="0" applyProtection="0"/>
    <xf numFmtId="0" fontId="46" fillId="55" borderId="361" applyNumberFormat="0" applyAlignment="0" applyProtection="0"/>
    <xf numFmtId="0" fontId="62" fillId="55" borderId="360" applyNumberFormat="0" applyAlignment="0" applyProtection="0"/>
    <xf numFmtId="0" fontId="32" fillId="33" borderId="358">
      <alignment horizontal="right" vertical="center"/>
    </xf>
    <xf numFmtId="0" fontId="34" fillId="0" borderId="356" applyNumberFormat="0" applyFill="0" applyAlignment="0" applyProtection="0"/>
    <xf numFmtId="49" fontId="34" fillId="0" borderId="357" applyNumberFormat="0" applyFont="0" applyFill="0" applyBorder="0" applyProtection="0">
      <alignment horizontal="left" vertical="center" indent="5"/>
    </xf>
    <xf numFmtId="0" fontId="65" fillId="0" borderId="362" applyNumberFormat="0" applyFill="0" applyAlignment="0" applyProtection="0"/>
    <xf numFmtId="0" fontId="34" fillId="0" borderId="356" applyNumberFormat="0" applyFill="0" applyAlignment="0" applyProtection="0"/>
    <xf numFmtId="0" fontId="65" fillId="0" borderId="378" applyNumberFormat="0" applyFill="0" applyAlignment="0" applyProtection="0"/>
    <xf numFmtId="0" fontId="26" fillId="26" borderId="0" applyNumberFormat="0" applyBorder="0" applyAlignment="0" applyProtection="0"/>
    <xf numFmtId="173" fontId="34" fillId="59" borderId="364" applyNumberFormat="0" applyFont="0" applyBorder="0" applyAlignment="0" applyProtection="0">
      <alignment horizontal="right" vertical="center"/>
    </xf>
    <xf numFmtId="4" fontId="32" fillId="33" borderId="406">
      <alignment horizontal="right" vertical="center"/>
    </xf>
    <xf numFmtId="0" fontId="26" fillId="23" borderId="0" applyNumberFormat="0" applyBorder="0" applyAlignment="0" applyProtection="0"/>
    <xf numFmtId="49" fontId="33" fillId="0" borderId="364" applyNumberFormat="0" applyFill="0" applyBorder="0" applyProtection="0">
      <alignment horizontal="left" vertical="center"/>
    </xf>
    <xf numFmtId="4" fontId="34" fillId="0" borderId="372">
      <alignment horizontal="right" vertical="center"/>
    </xf>
    <xf numFmtId="0" fontId="40" fillId="58" borderId="355" applyNumberFormat="0" applyFont="0" applyAlignment="0" applyProtection="0"/>
    <xf numFmtId="0" fontId="34" fillId="0" borderId="396">
      <alignment horizontal="right" vertical="center"/>
    </xf>
    <xf numFmtId="0" fontId="32" fillId="33" borderId="364">
      <alignment horizontal="right" vertical="center"/>
    </xf>
    <xf numFmtId="0" fontId="43" fillId="55" borderId="368" applyNumberFormat="0" applyAlignment="0" applyProtection="0"/>
    <xf numFmtId="0" fontId="32" fillId="33" borderId="383">
      <alignment horizontal="right" vertical="center"/>
    </xf>
    <xf numFmtId="4" fontId="34" fillId="0" borderId="364" applyFill="0" applyBorder="0" applyProtection="0">
      <alignment horizontal="right" vertical="center"/>
    </xf>
    <xf numFmtId="4" fontId="34" fillId="32" borderId="372"/>
    <xf numFmtId="4" fontId="36" fillId="31" borderId="364">
      <alignment horizontal="right" vertical="center"/>
    </xf>
    <xf numFmtId="0" fontId="26" fillId="28" borderId="0" applyNumberFormat="0" applyBorder="0" applyAlignment="0" applyProtection="0"/>
    <xf numFmtId="0" fontId="32" fillId="33" borderId="383">
      <alignment horizontal="right" vertical="center"/>
    </xf>
    <xf numFmtId="0" fontId="34" fillId="0" borderId="404" applyNumberFormat="0" applyFill="0" applyAlignment="0" applyProtection="0"/>
    <xf numFmtId="0" fontId="34" fillId="0" borderId="359">
      <alignment horizontal="left" vertical="center" wrapText="1" indent="2"/>
    </xf>
    <xf numFmtId="0" fontId="29" fillId="12" borderId="10" applyNumberFormat="0" applyAlignment="0" applyProtection="0"/>
    <xf numFmtId="4" fontId="32" fillId="31" borderId="356">
      <alignment horizontal="right" vertical="center"/>
    </xf>
    <xf numFmtId="0" fontId="32" fillId="33" borderId="374">
      <alignment horizontal="right" vertical="center"/>
    </xf>
    <xf numFmtId="0" fontId="65" fillId="0" borderId="378" applyNumberFormat="0" applyFill="0" applyAlignment="0" applyProtection="0"/>
    <xf numFmtId="0" fontId="62" fillId="55" borderId="360" applyNumberFormat="0" applyAlignment="0" applyProtection="0"/>
    <xf numFmtId="49" fontId="34" fillId="0" borderId="357" applyNumberFormat="0" applyFont="0" applyFill="0" applyBorder="0" applyProtection="0">
      <alignment horizontal="left" vertical="center" indent="5"/>
    </xf>
    <xf numFmtId="4" fontId="34" fillId="0" borderId="356">
      <alignment horizontal="right" vertical="center"/>
    </xf>
    <xf numFmtId="0" fontId="34" fillId="0" borderId="364">
      <alignment horizontal="right" vertical="center"/>
    </xf>
    <xf numFmtId="4" fontId="36" fillId="31" borderId="364">
      <alignment horizontal="right" vertical="center"/>
    </xf>
    <xf numFmtId="0" fontId="62" fillId="55" borderId="368" applyNumberFormat="0" applyAlignment="0" applyProtection="0"/>
    <xf numFmtId="0" fontId="26" fillId="28" borderId="0" applyNumberFormat="0" applyBorder="0" applyAlignment="0" applyProtection="0"/>
    <xf numFmtId="0" fontId="50" fillId="0" borderId="362" applyNumberFormat="0" applyFill="0" applyAlignment="0" applyProtection="0"/>
    <xf numFmtId="4" fontId="32" fillId="33" borderId="358">
      <alignment horizontal="right" vertical="center"/>
    </xf>
    <xf numFmtId="4" fontId="32" fillId="33" borderId="356">
      <alignment horizontal="right" vertical="center"/>
    </xf>
    <xf numFmtId="4" fontId="32" fillId="33" borderId="356">
      <alignment horizontal="right" vertical="center"/>
    </xf>
    <xf numFmtId="0" fontId="65" fillId="0" borderId="362" applyNumberFormat="0" applyFill="0" applyAlignment="0" applyProtection="0"/>
    <xf numFmtId="0" fontId="46" fillId="55" borderId="361" applyNumberFormat="0" applyAlignment="0" applyProtection="0"/>
    <xf numFmtId="4" fontId="32" fillId="33" borderId="373">
      <alignment horizontal="right" vertical="center"/>
    </xf>
    <xf numFmtId="0" fontId="29" fillId="12" borderId="10" applyNumberFormat="0" applyAlignment="0" applyProtection="0"/>
    <xf numFmtId="49" fontId="33" fillId="0" borderId="356" applyNumberFormat="0" applyFill="0" applyBorder="0" applyProtection="0">
      <alignment horizontal="left" vertical="center"/>
    </xf>
    <xf numFmtId="0" fontId="5" fillId="58" borderId="355" applyNumberFormat="0" applyFont="0" applyAlignment="0" applyProtection="0"/>
    <xf numFmtId="0" fontId="26" fillId="22" borderId="0" applyNumberFormat="0" applyBorder="0" applyAlignment="0" applyProtection="0"/>
    <xf numFmtId="4" fontId="32" fillId="33" borderId="356">
      <alignment horizontal="right" vertical="center"/>
    </xf>
    <xf numFmtId="0" fontId="26" fillId="25" borderId="0" applyNumberFormat="0" applyBorder="0" applyAlignment="0" applyProtection="0"/>
    <xf numFmtId="0" fontId="32" fillId="33" borderId="364">
      <alignment horizontal="right" vertical="center"/>
    </xf>
    <xf numFmtId="49" fontId="33" fillId="0" borderId="396" applyNumberFormat="0" applyFill="0" applyBorder="0" applyProtection="0">
      <alignment horizontal="left" vertical="center"/>
    </xf>
    <xf numFmtId="0" fontId="34" fillId="0" borderId="367">
      <alignment horizontal="left" vertical="center" wrapText="1" indent="2"/>
    </xf>
    <xf numFmtId="49" fontId="34" fillId="0" borderId="364" applyNumberFormat="0" applyFont="0" applyFill="0" applyBorder="0" applyProtection="0">
      <alignment horizontal="left" vertical="center" indent="2"/>
    </xf>
    <xf numFmtId="49" fontId="34" fillId="0" borderId="356" applyNumberFormat="0" applyFont="0" applyFill="0" applyBorder="0" applyProtection="0">
      <alignment horizontal="left" vertical="center" indent="2"/>
    </xf>
    <xf numFmtId="0" fontId="65" fillId="0" borderId="362" applyNumberFormat="0" applyFill="0" applyAlignment="0" applyProtection="0"/>
    <xf numFmtId="4" fontId="34" fillId="0" borderId="356" applyFill="0" applyBorder="0" applyProtection="0">
      <alignment horizontal="right" vertical="center"/>
    </xf>
    <xf numFmtId="0" fontId="58" fillId="42" borderId="361" applyNumberFormat="0" applyAlignment="0" applyProtection="0"/>
    <xf numFmtId="49" fontId="33" fillId="0" borderId="356" applyNumberFormat="0" applyFill="0" applyBorder="0" applyProtection="0">
      <alignment horizontal="left" vertical="center"/>
    </xf>
    <xf numFmtId="49" fontId="34" fillId="0" borderId="356" applyNumberFormat="0" applyFont="0" applyFill="0" applyBorder="0" applyProtection="0">
      <alignment horizontal="left" vertical="center" indent="2"/>
    </xf>
    <xf numFmtId="4" fontId="34" fillId="0" borderId="356" applyFill="0" applyBorder="0" applyProtection="0">
      <alignment horizontal="right" vertical="center"/>
    </xf>
    <xf numFmtId="0" fontId="32" fillId="33" borderId="385">
      <alignment horizontal="right" vertical="center"/>
    </xf>
    <xf numFmtId="173" fontId="34" fillId="59" borderId="356" applyNumberFormat="0" applyFont="0" applyBorder="0" applyAlignment="0" applyProtection="0">
      <alignment horizontal="right" vertical="center"/>
    </xf>
    <xf numFmtId="0" fontId="32" fillId="33" borderId="372">
      <alignment horizontal="right" vertical="center"/>
    </xf>
    <xf numFmtId="0" fontId="26" fillId="28" borderId="0" applyNumberFormat="0" applyBorder="0" applyAlignment="0" applyProtection="0"/>
    <xf numFmtId="0" fontId="34" fillId="31" borderId="365">
      <alignment horizontal="left" vertical="center"/>
    </xf>
    <xf numFmtId="0" fontId="36" fillId="31" borderId="356">
      <alignment horizontal="right" vertical="center"/>
    </xf>
    <xf numFmtId="0" fontId="49" fillId="42" borderId="377" applyNumberFormat="0" applyAlignment="0" applyProtection="0"/>
    <xf numFmtId="0" fontId="36" fillId="31" borderId="364">
      <alignment horizontal="right" vertical="center"/>
    </xf>
    <xf numFmtId="0" fontId="62" fillId="55" borderId="368" applyNumberFormat="0" applyAlignment="0" applyProtection="0"/>
    <xf numFmtId="0" fontId="65" fillId="0" borderId="370" applyNumberFormat="0" applyFill="0" applyAlignment="0" applyProtection="0"/>
    <xf numFmtId="0" fontId="49" fillId="42" borderId="361" applyNumberFormat="0" applyAlignment="0" applyProtection="0"/>
    <xf numFmtId="4" fontId="32" fillId="33" borderId="356">
      <alignment horizontal="right" vertical="center"/>
    </xf>
    <xf numFmtId="0" fontId="34" fillId="31" borderId="357">
      <alignment horizontal="left" vertical="center"/>
    </xf>
    <xf numFmtId="0" fontId="46" fillId="55" borderId="369" applyNumberFormat="0" applyAlignment="0" applyProtection="0"/>
    <xf numFmtId="4" fontId="32" fillId="33" borderId="364">
      <alignment horizontal="right" vertical="center"/>
    </xf>
    <xf numFmtId="0" fontId="46" fillId="55" borderId="401" applyNumberFormat="0" applyAlignment="0" applyProtection="0"/>
    <xf numFmtId="4" fontId="34" fillId="32" borderId="390"/>
    <xf numFmtId="0" fontId="65" fillId="0" borderId="370" applyNumberFormat="0" applyFill="0" applyAlignment="0" applyProtection="0"/>
    <xf numFmtId="4" fontId="36" fillId="31" borderId="372">
      <alignment horizontal="right" vertical="center"/>
    </xf>
    <xf numFmtId="0" fontId="32" fillId="33" borderId="364">
      <alignment horizontal="right" vertical="center"/>
    </xf>
    <xf numFmtId="0" fontId="34" fillId="32" borderId="364"/>
    <xf numFmtId="0" fontId="26" fillId="16" borderId="0" applyNumberFormat="0" applyBorder="0" applyAlignment="0" applyProtection="0"/>
    <xf numFmtId="0" fontId="50" fillId="0" borderId="370" applyNumberFormat="0" applyFill="0" applyAlignment="0" applyProtection="0"/>
    <xf numFmtId="0" fontId="12" fillId="27" borderId="0" applyNumberFormat="0" applyBorder="0" applyAlignment="0" applyProtection="0"/>
    <xf numFmtId="0" fontId="62" fillId="55" borderId="368" applyNumberFormat="0" applyAlignment="0" applyProtection="0"/>
    <xf numFmtId="0" fontId="32" fillId="33" borderId="356">
      <alignment horizontal="right" vertical="center"/>
    </xf>
    <xf numFmtId="0" fontId="34" fillId="33" borderId="359">
      <alignment horizontal="left" vertical="center" wrapText="1" indent="2"/>
    </xf>
    <xf numFmtId="173" fontId="34" fillId="59" borderId="356" applyNumberFormat="0" applyFont="0" applyBorder="0" applyAlignment="0" applyProtection="0">
      <alignment horizontal="right" vertical="center"/>
    </xf>
    <xf numFmtId="0" fontId="40" fillId="58" borderId="355" applyNumberFormat="0" applyFont="0" applyAlignment="0" applyProtection="0"/>
    <xf numFmtId="49" fontId="34" fillId="0" borderId="356" applyNumberFormat="0" applyFont="0" applyFill="0" applyBorder="0" applyProtection="0">
      <alignment horizontal="left" vertical="center" indent="2"/>
    </xf>
    <xf numFmtId="0" fontId="43" fillId="55" borderId="368" applyNumberFormat="0" applyAlignment="0" applyProtection="0"/>
    <xf numFmtId="0" fontId="65" fillId="0" borderId="370" applyNumberFormat="0" applyFill="0" applyAlignment="0" applyProtection="0"/>
    <xf numFmtId="0" fontId="26" fillId="25" borderId="0" applyNumberFormat="0" applyBorder="0" applyAlignment="0" applyProtection="0"/>
    <xf numFmtId="0" fontId="26" fillId="13" borderId="0" applyNumberFormat="0" applyBorder="0" applyAlignment="0" applyProtection="0"/>
    <xf numFmtId="49" fontId="33" fillId="0" borderId="356" applyNumberFormat="0" applyFill="0" applyBorder="0" applyProtection="0">
      <alignment horizontal="left" vertical="center"/>
    </xf>
    <xf numFmtId="0" fontId="45" fillId="55" borderId="377" applyNumberFormat="0" applyAlignment="0" applyProtection="0"/>
    <xf numFmtId="173" fontId="34" fillId="59" borderId="356" applyNumberFormat="0" applyFont="0" applyBorder="0" applyAlignment="0" applyProtection="0">
      <alignment horizontal="right" vertical="center"/>
    </xf>
    <xf numFmtId="0" fontId="62" fillId="55" borderId="360" applyNumberFormat="0" applyAlignment="0" applyProtection="0"/>
    <xf numFmtId="0" fontId="34" fillId="0" borderId="356">
      <alignment horizontal="right" vertical="center"/>
    </xf>
    <xf numFmtId="0" fontId="58" fillId="42" borderId="369" applyNumberFormat="0" applyAlignment="0" applyProtection="0"/>
    <xf numFmtId="0" fontId="34" fillId="32" borderId="356"/>
    <xf numFmtId="4" fontId="32" fillId="33" borderId="356">
      <alignment horizontal="right" vertical="center"/>
    </xf>
    <xf numFmtId="0" fontId="34" fillId="32" borderId="356"/>
    <xf numFmtId="0" fontId="58" fillId="42" borderId="361" applyNumberFormat="0" applyAlignment="0" applyProtection="0"/>
    <xf numFmtId="0" fontId="26" fillId="23" borderId="0" applyNumberFormat="0" applyBorder="0" applyAlignment="0" applyProtection="0"/>
    <xf numFmtId="0" fontId="36" fillId="31" borderId="356">
      <alignment horizontal="right" vertical="center"/>
    </xf>
    <xf numFmtId="0" fontId="34" fillId="0" borderId="359">
      <alignment horizontal="left" vertical="center" wrapText="1" indent="2"/>
    </xf>
    <xf numFmtId="0" fontId="32" fillId="31" borderId="356">
      <alignment horizontal="right" vertical="center"/>
    </xf>
    <xf numFmtId="0" fontId="49" fillId="42" borderId="361" applyNumberFormat="0" applyAlignment="0" applyProtection="0"/>
    <xf numFmtId="0" fontId="34" fillId="33" borderId="359">
      <alignment horizontal="left" vertical="center" wrapText="1" indent="2"/>
    </xf>
    <xf numFmtId="0" fontId="40" fillId="58" borderId="363" applyNumberFormat="0" applyFont="0" applyAlignment="0" applyProtection="0"/>
    <xf numFmtId="0" fontId="36" fillId="31" borderId="364">
      <alignment horizontal="right" vertical="center"/>
    </xf>
    <xf numFmtId="0" fontId="36" fillId="31" borderId="364">
      <alignment horizontal="right" vertical="center"/>
    </xf>
    <xf numFmtId="4" fontId="32" fillId="33" borderId="366">
      <alignment horizontal="right" vertical="center"/>
    </xf>
    <xf numFmtId="0" fontId="26" fillId="23" borderId="0" applyNumberFormat="0" applyBorder="0" applyAlignment="0" applyProtection="0"/>
    <xf numFmtId="4" fontId="32" fillId="33" borderId="365">
      <alignment horizontal="right" vertical="center"/>
    </xf>
    <xf numFmtId="0" fontId="32" fillId="33" borderId="364">
      <alignment horizontal="right" vertical="center"/>
    </xf>
    <xf numFmtId="0" fontId="12" fillId="27" borderId="0" applyNumberFormat="0" applyBorder="0" applyAlignment="0" applyProtection="0"/>
    <xf numFmtId="0" fontId="32" fillId="33" borderId="364">
      <alignment horizontal="right" vertical="center"/>
    </xf>
    <xf numFmtId="0" fontId="45" fillId="55" borderId="361" applyNumberFormat="0" applyAlignment="0" applyProtection="0"/>
    <xf numFmtId="0" fontId="36" fillId="31" borderId="356">
      <alignment horizontal="right" vertical="center"/>
    </xf>
    <xf numFmtId="0" fontId="32" fillId="31" borderId="364">
      <alignment horizontal="right" vertical="center"/>
    </xf>
    <xf numFmtId="0" fontId="32" fillId="31" borderId="372">
      <alignment horizontal="right" vertical="center"/>
    </xf>
    <xf numFmtId="4" fontId="36" fillId="31" borderId="390">
      <alignment horizontal="right" vertical="center"/>
    </xf>
    <xf numFmtId="0" fontId="1" fillId="0" borderId="0" applyNumberFormat="0" applyFill="0" applyBorder="0" applyAlignment="0" applyProtection="0"/>
    <xf numFmtId="0" fontId="26" fillId="19" borderId="0" applyNumberFormat="0" applyBorder="0" applyAlignment="0" applyProtection="0"/>
    <xf numFmtId="0" fontId="34" fillId="33" borderId="367">
      <alignment horizontal="left" vertical="center" wrapText="1" indent="2"/>
    </xf>
    <xf numFmtId="0" fontId="45" fillId="55" borderId="401" applyNumberFormat="0" applyAlignment="0" applyProtection="0"/>
    <xf numFmtId="0" fontId="30" fillId="0" borderId="0" applyNumberFormat="0" applyFill="0" applyBorder="0" applyAlignment="0" applyProtection="0"/>
    <xf numFmtId="49" fontId="34" fillId="0" borderId="364" applyNumberFormat="0" applyFont="0" applyFill="0" applyBorder="0" applyProtection="0">
      <alignment horizontal="left" vertical="center" indent="2"/>
    </xf>
    <xf numFmtId="49" fontId="33" fillId="0" borderId="390" applyNumberFormat="0" applyFill="0" applyBorder="0" applyProtection="0">
      <alignment horizontal="left" vertical="center"/>
    </xf>
    <xf numFmtId="0" fontId="32" fillId="33" borderId="356">
      <alignment horizontal="right" vertical="center"/>
    </xf>
    <xf numFmtId="4" fontId="34" fillId="0" borderId="356" applyFill="0" applyBorder="0" applyProtection="0">
      <alignment horizontal="right" vertical="center"/>
    </xf>
    <xf numFmtId="0" fontId="34" fillId="33" borderId="359">
      <alignment horizontal="left" vertical="center" wrapText="1" indent="2"/>
    </xf>
    <xf numFmtId="0" fontId="40" fillId="58" borderId="355" applyNumberFormat="0" applyFont="0" applyAlignment="0" applyProtection="0"/>
    <xf numFmtId="0" fontId="49" fillId="42" borderId="361" applyNumberFormat="0" applyAlignment="0" applyProtection="0"/>
    <xf numFmtId="4" fontId="34" fillId="32" borderId="356"/>
    <xf numFmtId="4" fontId="34" fillId="0" borderId="356" applyFill="0" applyBorder="0" applyProtection="0">
      <alignment horizontal="right" vertical="center"/>
    </xf>
    <xf numFmtId="0" fontId="65" fillId="0" borderId="362" applyNumberFormat="0" applyFill="0" applyAlignment="0" applyProtection="0"/>
    <xf numFmtId="0" fontId="34" fillId="31" borderId="357">
      <alignment horizontal="left" vertical="center"/>
    </xf>
    <xf numFmtId="0" fontId="34" fillId="0" borderId="359">
      <alignment horizontal="left" vertical="center" wrapText="1" indent="2"/>
    </xf>
    <xf numFmtId="0" fontId="34" fillId="33" borderId="375">
      <alignment horizontal="left" vertical="center" wrapText="1" indent="2"/>
    </xf>
    <xf numFmtId="0" fontId="58" fillId="42" borderId="361" applyNumberFormat="0" applyAlignment="0" applyProtection="0"/>
    <xf numFmtId="49" fontId="34" fillId="0" borderId="396" applyNumberFormat="0" applyFont="0" applyFill="0" applyBorder="0" applyProtection="0">
      <alignment horizontal="left" vertical="center" indent="2"/>
    </xf>
    <xf numFmtId="0" fontId="34" fillId="33" borderId="359">
      <alignment horizontal="left" vertical="center" wrapText="1" indent="2"/>
    </xf>
    <xf numFmtId="4" fontId="36" fillId="31" borderId="383">
      <alignment horizontal="right" vertical="center"/>
    </xf>
    <xf numFmtId="0" fontId="26" fillId="17" borderId="0" applyNumberFormat="0" applyBorder="0" applyAlignment="0" applyProtection="0"/>
    <xf numFmtId="49" fontId="34" fillId="0" borderId="383" applyNumberFormat="0" applyFont="0" applyFill="0" applyBorder="0" applyProtection="0">
      <alignment horizontal="left" vertical="center" indent="2"/>
    </xf>
    <xf numFmtId="0" fontId="26" fillId="22" borderId="0" applyNumberFormat="0" applyBorder="0" applyAlignment="0" applyProtection="0"/>
    <xf numFmtId="0" fontId="40" fillId="58" borderId="355" applyNumberFormat="0" applyFont="0" applyAlignment="0" applyProtection="0"/>
    <xf numFmtId="0" fontId="58" fillId="42" borderId="361" applyNumberFormat="0" applyAlignment="0" applyProtection="0"/>
    <xf numFmtId="0" fontId="46" fillId="55" borderId="369" applyNumberFormat="0" applyAlignment="0" applyProtection="0"/>
    <xf numFmtId="4" fontId="34" fillId="32" borderId="356"/>
    <xf numFmtId="0" fontId="46" fillId="55" borderId="361" applyNumberFormat="0" applyAlignment="0" applyProtection="0"/>
    <xf numFmtId="0" fontId="58" fillId="42" borderId="361" applyNumberFormat="0" applyAlignment="0" applyProtection="0"/>
    <xf numFmtId="4" fontId="32" fillId="33" borderId="356">
      <alignment horizontal="right" vertical="center"/>
    </xf>
    <xf numFmtId="0" fontId="50" fillId="0" borderId="362" applyNumberFormat="0" applyFill="0" applyAlignment="0" applyProtection="0"/>
    <xf numFmtId="0" fontId="58" fillId="42" borderId="380" applyNumberFormat="0" applyAlignment="0" applyProtection="0"/>
    <xf numFmtId="0" fontId="12" fillId="18" borderId="0" applyNumberFormat="0" applyBorder="0" applyAlignment="0" applyProtection="0"/>
    <xf numFmtId="0" fontId="58" fillId="42" borderId="369" applyNumberFormat="0" applyAlignment="0" applyProtection="0"/>
    <xf numFmtId="0" fontId="40" fillId="58" borderId="363" applyNumberFormat="0" applyFont="0" applyAlignment="0" applyProtection="0"/>
    <xf numFmtId="4" fontId="32" fillId="31" borderId="372">
      <alignment horizontal="right" vertical="center"/>
    </xf>
    <xf numFmtId="0" fontId="32" fillId="33" borderId="391">
      <alignment horizontal="right" vertical="center"/>
    </xf>
    <xf numFmtId="0" fontId="34" fillId="0" borderId="386">
      <alignment horizontal="left" vertical="center" wrapText="1" indent="2"/>
    </xf>
    <xf numFmtId="0" fontId="2" fillId="0" borderId="12" applyNumberFormat="0" applyFill="0" applyAlignment="0" applyProtection="0"/>
    <xf numFmtId="0" fontId="49" fillId="42" borderId="361" applyNumberFormat="0" applyAlignment="0" applyProtection="0"/>
    <xf numFmtId="0" fontId="62" fillId="55" borderId="376" applyNumberFormat="0" applyAlignment="0" applyProtection="0"/>
    <xf numFmtId="0" fontId="26" fillId="28" borderId="0" applyNumberFormat="0" applyBorder="0" applyAlignment="0" applyProtection="0"/>
    <xf numFmtId="0" fontId="32" fillId="31" borderId="364">
      <alignment horizontal="right" vertical="center"/>
    </xf>
    <xf numFmtId="0" fontId="34" fillId="0" borderId="372">
      <alignment horizontal="right" vertical="center"/>
    </xf>
    <xf numFmtId="0" fontId="46" fillId="55" borderId="369" applyNumberFormat="0" applyAlignment="0" applyProtection="0"/>
    <xf numFmtId="0" fontId="26" fillId="26" borderId="0" applyNumberFormat="0" applyBorder="0" applyAlignment="0" applyProtection="0"/>
    <xf numFmtId="0" fontId="34" fillId="33" borderId="359">
      <alignment horizontal="left" vertical="center" wrapText="1" indent="2"/>
    </xf>
    <xf numFmtId="0" fontId="65" fillId="0" borderId="381" applyNumberFormat="0" applyFill="0" applyAlignment="0" applyProtection="0"/>
    <xf numFmtId="0" fontId="62" fillId="55" borderId="360" applyNumberFormat="0" applyAlignment="0" applyProtection="0"/>
    <xf numFmtId="0" fontId="58" fillId="42" borderId="361" applyNumberFormat="0" applyAlignment="0" applyProtection="0"/>
    <xf numFmtId="4" fontId="32" fillId="33" borderId="356">
      <alignment horizontal="right" vertical="center"/>
    </xf>
    <xf numFmtId="0" fontId="34" fillId="32" borderId="356"/>
    <xf numFmtId="4" fontId="32" fillId="33" borderId="372">
      <alignment horizontal="right" vertical="center"/>
    </xf>
    <xf numFmtId="0" fontId="58" fillId="42" borderId="377" applyNumberFormat="0" applyAlignment="0" applyProtection="0"/>
    <xf numFmtId="0" fontId="34" fillId="0" borderId="359">
      <alignment horizontal="left" vertical="center" wrapText="1" indent="2"/>
    </xf>
    <xf numFmtId="0" fontId="12" fillId="18" borderId="0" applyNumberFormat="0" applyBorder="0" applyAlignment="0" applyProtection="0"/>
    <xf numFmtId="0" fontId="32" fillId="31" borderId="364">
      <alignment horizontal="right" vertical="center"/>
    </xf>
    <xf numFmtId="0" fontId="12" fillId="24" borderId="0" applyNumberFormat="0" applyBorder="0" applyAlignment="0" applyProtection="0"/>
    <xf numFmtId="0" fontId="26" fillId="29" borderId="0" applyNumberFormat="0" applyBorder="0" applyAlignment="0" applyProtection="0"/>
    <xf numFmtId="0" fontId="32" fillId="33" borderId="373">
      <alignment horizontal="right" vertical="center"/>
    </xf>
    <xf numFmtId="0" fontId="45" fillId="55" borderId="361" applyNumberFormat="0" applyAlignment="0" applyProtection="0"/>
    <xf numFmtId="4" fontId="32" fillId="33" borderId="372">
      <alignment horizontal="right" vertical="center"/>
    </xf>
    <xf numFmtId="4" fontId="34" fillId="32" borderId="364"/>
    <xf numFmtId="4" fontId="32" fillId="31" borderId="356">
      <alignment horizontal="right" vertical="center"/>
    </xf>
    <xf numFmtId="4" fontId="32" fillId="33" borderId="364">
      <alignment horizontal="right" vertical="center"/>
    </xf>
    <xf numFmtId="0" fontId="32" fillId="31" borderId="356">
      <alignment horizontal="right" vertical="center"/>
    </xf>
    <xf numFmtId="0" fontId="32" fillId="33" borderId="356">
      <alignment horizontal="right" vertical="center"/>
    </xf>
    <xf numFmtId="0" fontId="32" fillId="31" borderId="364">
      <alignment horizontal="right" vertical="center"/>
    </xf>
    <xf numFmtId="4" fontId="34" fillId="0" borderId="364">
      <alignment horizontal="right" vertical="center"/>
    </xf>
    <xf numFmtId="0" fontId="26" fillId="29" borderId="0" applyNumberFormat="0" applyBorder="0" applyAlignment="0" applyProtection="0"/>
    <xf numFmtId="0" fontId="49" fillId="42" borderId="369" applyNumberFormat="0" applyAlignment="0" applyProtection="0"/>
    <xf numFmtId="0" fontId="62" fillId="55" borderId="360" applyNumberFormat="0" applyAlignment="0" applyProtection="0"/>
    <xf numFmtId="0" fontId="49" fillId="42" borderId="377" applyNumberFormat="0" applyAlignment="0" applyProtection="0"/>
    <xf numFmtId="49" fontId="34" fillId="0" borderId="356" applyNumberFormat="0" applyFont="0" applyFill="0" applyBorder="0" applyProtection="0">
      <alignment horizontal="left" vertical="center" indent="2"/>
    </xf>
    <xf numFmtId="49" fontId="33" fillId="0" borderId="364" applyNumberFormat="0" applyFill="0" applyBorder="0" applyProtection="0">
      <alignment horizontal="left" vertical="center"/>
    </xf>
    <xf numFmtId="0" fontId="40" fillId="58" borderId="355" applyNumberFormat="0" applyFont="0" applyAlignment="0" applyProtection="0"/>
    <xf numFmtId="173" fontId="34" fillId="59" borderId="356" applyNumberFormat="0" applyFont="0" applyBorder="0" applyAlignment="0" applyProtection="0">
      <alignment horizontal="right" vertical="center"/>
    </xf>
    <xf numFmtId="0" fontId="58" fillId="42" borderId="361" applyNumberFormat="0" applyAlignment="0" applyProtection="0"/>
    <xf numFmtId="0" fontId="32" fillId="33" borderId="356">
      <alignment horizontal="right" vertical="center"/>
    </xf>
    <xf numFmtId="0" fontId="34" fillId="32" borderId="356"/>
    <xf numFmtId="0" fontId="62" fillId="55" borderId="360" applyNumberFormat="0" applyAlignment="0" applyProtection="0"/>
    <xf numFmtId="0" fontId="46" fillId="55" borderId="361" applyNumberFormat="0" applyAlignment="0" applyProtection="0"/>
    <xf numFmtId="0" fontId="45" fillId="55" borderId="361" applyNumberFormat="0" applyAlignment="0" applyProtection="0"/>
    <xf numFmtId="0" fontId="49" fillId="42" borderId="361" applyNumberFormat="0" applyAlignment="0" applyProtection="0"/>
    <xf numFmtId="0" fontId="49" fillId="42" borderId="361" applyNumberFormat="0" applyAlignment="0" applyProtection="0"/>
    <xf numFmtId="0" fontId="34" fillId="0" borderId="359">
      <alignment horizontal="left" vertical="center" wrapText="1" indent="2"/>
    </xf>
    <xf numFmtId="4" fontId="32" fillId="33" borderId="357">
      <alignment horizontal="right" vertical="center"/>
    </xf>
    <xf numFmtId="4" fontId="34" fillId="0" borderId="356">
      <alignment horizontal="right" vertical="center"/>
    </xf>
    <xf numFmtId="49" fontId="33" fillId="0" borderId="356" applyNumberFormat="0" applyFill="0" applyBorder="0" applyProtection="0">
      <alignment horizontal="left" vertical="center"/>
    </xf>
    <xf numFmtId="4" fontId="34" fillId="0" borderId="356">
      <alignment horizontal="right" vertical="center"/>
    </xf>
    <xf numFmtId="0" fontId="62" fillId="55" borderId="360" applyNumberFormat="0" applyAlignment="0" applyProtection="0"/>
    <xf numFmtId="0" fontId="45" fillId="55" borderId="369" applyNumberFormat="0" applyAlignment="0" applyProtection="0"/>
    <xf numFmtId="0" fontId="34" fillId="32" borderId="364"/>
    <xf numFmtId="0" fontId="34" fillId="32" borderId="364"/>
    <xf numFmtId="0" fontId="34" fillId="31" borderId="391">
      <alignment horizontal="left" vertical="center"/>
    </xf>
    <xf numFmtId="0" fontId="62" fillId="55" borderId="379" applyNumberFormat="0" applyAlignment="0" applyProtection="0"/>
    <xf numFmtId="0" fontId="58" fillId="42" borderId="387" applyNumberFormat="0" applyAlignment="0" applyProtection="0"/>
    <xf numFmtId="0" fontId="26" fillId="22" borderId="0" applyNumberFormat="0" applyBorder="0" applyAlignment="0" applyProtection="0"/>
    <xf numFmtId="0" fontId="34" fillId="0" borderId="359">
      <alignment horizontal="left" vertical="center" wrapText="1" indent="2"/>
    </xf>
    <xf numFmtId="0" fontId="12" fillId="21" borderId="0" applyNumberFormat="0" applyBorder="0" applyAlignment="0" applyProtection="0"/>
    <xf numFmtId="0" fontId="5" fillId="58" borderId="363" applyNumberFormat="0" applyFont="0" applyAlignment="0" applyProtection="0"/>
    <xf numFmtId="4" fontId="32" fillId="33" borderId="366">
      <alignment horizontal="right" vertical="center"/>
    </xf>
    <xf numFmtId="0" fontId="34" fillId="0" borderId="364">
      <alignment horizontal="right" vertical="center"/>
    </xf>
    <xf numFmtId="0" fontId="34" fillId="33" borderId="375">
      <alignment horizontal="left" vertical="center" wrapText="1" indent="2"/>
    </xf>
    <xf numFmtId="0" fontId="65" fillId="0" borderId="381" applyNumberFormat="0" applyFill="0" applyAlignment="0" applyProtection="0"/>
    <xf numFmtId="0" fontId="40" fillId="58" borderId="371" applyNumberFormat="0" applyFont="0" applyAlignment="0" applyProtection="0"/>
    <xf numFmtId="0" fontId="34" fillId="0" borderId="364">
      <alignment horizontal="right" vertical="center"/>
    </xf>
    <xf numFmtId="4" fontId="32" fillId="33" borderId="383">
      <alignment horizontal="right" vertical="center"/>
    </xf>
    <xf numFmtId="0" fontId="26" fillId="20" borderId="0" applyNumberFormat="0" applyBorder="0" applyAlignment="0" applyProtection="0"/>
    <xf numFmtId="0" fontId="40" fillId="58" borderId="355" applyNumberFormat="0" applyFont="0" applyAlignment="0" applyProtection="0"/>
    <xf numFmtId="0" fontId="50" fillId="0" borderId="370" applyNumberFormat="0" applyFill="0" applyAlignment="0" applyProtection="0"/>
    <xf numFmtId="0" fontId="32" fillId="31" borderId="356">
      <alignment horizontal="right" vertical="center"/>
    </xf>
    <xf numFmtId="0" fontId="12" fillId="18" borderId="0" applyNumberFormat="0" applyBorder="0" applyAlignment="0" applyProtection="0"/>
    <xf numFmtId="0" fontId="26" fillId="29" borderId="0" applyNumberFormat="0" applyBorder="0" applyAlignment="0" applyProtection="0"/>
    <xf numFmtId="0" fontId="34" fillId="0" borderId="356" applyNumberFormat="0" applyFill="0" applyAlignment="0" applyProtection="0"/>
    <xf numFmtId="49" fontId="33" fillId="0" borderId="356" applyNumberFormat="0" applyFill="0" applyBorder="0" applyProtection="0">
      <alignment horizontal="left" vertical="center"/>
    </xf>
    <xf numFmtId="0" fontId="34" fillId="0" borderId="356">
      <alignment horizontal="right" vertical="center"/>
    </xf>
    <xf numFmtId="173" fontId="34" fillId="59" borderId="364" applyNumberFormat="0" applyFont="0" applyBorder="0" applyAlignment="0" applyProtection="0">
      <alignment horizontal="right" vertical="center"/>
    </xf>
    <xf numFmtId="0" fontId="34" fillId="0" borderId="367">
      <alignment horizontal="left" vertical="center" wrapText="1" indent="2"/>
    </xf>
    <xf numFmtId="0" fontId="49" fillId="42" borderId="369" applyNumberFormat="0" applyAlignment="0" applyProtection="0"/>
    <xf numFmtId="4" fontId="32" fillId="33" borderId="372">
      <alignment horizontal="right" vertical="center"/>
    </xf>
    <xf numFmtId="4" fontId="32" fillId="31" borderId="356">
      <alignment horizontal="right" vertical="center"/>
    </xf>
    <xf numFmtId="0" fontId="45" fillId="55" borderId="369" applyNumberFormat="0" applyAlignment="0" applyProtection="0"/>
    <xf numFmtId="0" fontId="46" fillId="55" borderId="361" applyNumberFormat="0" applyAlignment="0" applyProtection="0"/>
    <xf numFmtId="0" fontId="32" fillId="33" borderId="358">
      <alignment horizontal="right" vertical="center"/>
    </xf>
    <xf numFmtId="4" fontId="32" fillId="31" borderId="356">
      <alignment horizontal="right" vertical="center"/>
    </xf>
    <xf numFmtId="0" fontId="32" fillId="33" borderId="356">
      <alignment horizontal="right" vertical="center"/>
    </xf>
    <xf numFmtId="0" fontId="46" fillId="55" borderId="361" applyNumberFormat="0" applyAlignment="0" applyProtection="0"/>
    <xf numFmtId="0" fontId="43" fillId="55" borderId="368" applyNumberFormat="0" applyAlignment="0" applyProtection="0"/>
    <xf numFmtId="49" fontId="34" fillId="0" borderId="364" applyNumberFormat="0" applyFont="0" applyFill="0" applyBorder="0" applyProtection="0">
      <alignment horizontal="left" vertical="center" indent="2"/>
    </xf>
    <xf numFmtId="0" fontId="28" fillId="12" borderId="11" applyNumberFormat="0" applyAlignment="0" applyProtection="0"/>
    <xf numFmtId="4" fontId="34" fillId="0" borderId="356" applyFill="0" applyBorder="0" applyProtection="0">
      <alignment horizontal="right" vertical="center"/>
    </xf>
    <xf numFmtId="0" fontId="40" fillId="58" borderId="355" applyNumberFormat="0" applyFont="0" applyAlignment="0" applyProtection="0"/>
    <xf numFmtId="0" fontId="58" fillId="42" borderId="369" applyNumberFormat="0" applyAlignment="0" applyProtection="0"/>
    <xf numFmtId="0" fontId="32" fillId="33" borderId="372">
      <alignment horizontal="right" vertical="center"/>
    </xf>
    <xf numFmtId="0" fontId="65" fillId="0" borderId="370" applyNumberFormat="0" applyFill="0" applyAlignment="0" applyProtection="0"/>
    <xf numFmtId="0" fontId="58" fillId="42" borderId="369" applyNumberFormat="0" applyAlignment="0" applyProtection="0"/>
    <xf numFmtId="0" fontId="58" fillId="42" borderId="369" applyNumberFormat="0" applyAlignment="0" applyProtection="0"/>
    <xf numFmtId="0" fontId="26" fillId="29" borderId="0" applyNumberFormat="0" applyBorder="0" applyAlignment="0" applyProtection="0"/>
    <xf numFmtId="0" fontId="26" fillId="13" borderId="0" applyNumberFormat="0" applyBorder="0" applyAlignment="0" applyProtection="0"/>
    <xf numFmtId="0" fontId="32" fillId="31" borderId="356">
      <alignment horizontal="right" vertical="center"/>
    </xf>
    <xf numFmtId="0" fontId="50" fillId="0" borderId="362" applyNumberFormat="0" applyFill="0" applyAlignment="0" applyProtection="0"/>
    <xf numFmtId="0" fontId="34" fillId="0" borderId="356" applyNumberFormat="0" applyFill="0" applyAlignment="0" applyProtection="0"/>
    <xf numFmtId="0" fontId="50" fillId="0" borderId="362" applyNumberFormat="0" applyFill="0" applyAlignment="0" applyProtection="0"/>
    <xf numFmtId="4" fontId="34" fillId="0" borderId="356" applyFill="0" applyBorder="0" applyProtection="0">
      <alignment horizontal="right" vertical="center"/>
    </xf>
    <xf numFmtId="49" fontId="34" fillId="0" borderId="357" applyNumberFormat="0" applyFont="0" applyFill="0" applyBorder="0" applyProtection="0">
      <alignment horizontal="left" vertical="center" indent="5"/>
    </xf>
    <xf numFmtId="0" fontId="34" fillId="0" borderId="356" applyNumberFormat="0" applyFill="0" applyAlignment="0" applyProtection="0"/>
    <xf numFmtId="4" fontId="32" fillId="33" borderId="365">
      <alignment horizontal="right" vertical="center"/>
    </xf>
    <xf numFmtId="0" fontId="34" fillId="0" borderId="356" applyNumberFormat="0" applyFill="0" applyAlignment="0" applyProtection="0"/>
    <xf numFmtId="0" fontId="34" fillId="0" borderId="364" applyNumberFormat="0" applyFill="0" applyAlignment="0" applyProtection="0"/>
    <xf numFmtId="0" fontId="58" fillId="42" borderId="377" applyNumberFormat="0" applyAlignment="0" applyProtection="0"/>
    <xf numFmtId="4" fontId="32" fillId="33" borderId="356">
      <alignment horizontal="right" vertical="center"/>
    </xf>
    <xf numFmtId="0" fontId="65" fillId="0" borderId="370" applyNumberFormat="0" applyFill="0" applyAlignment="0" applyProtection="0"/>
    <xf numFmtId="49" fontId="33" fillId="0" borderId="390" applyNumberFormat="0" applyFill="0" applyBorder="0" applyProtection="0">
      <alignment horizontal="left" vertical="center"/>
    </xf>
    <xf numFmtId="0" fontId="12" fillId="21" borderId="0" applyNumberFormat="0" applyBorder="0" applyAlignment="0" applyProtection="0"/>
    <xf numFmtId="0" fontId="46" fillId="55" borderId="387" applyNumberFormat="0" applyAlignment="0" applyProtection="0"/>
    <xf numFmtId="0" fontId="49" fillId="42" borderId="361" applyNumberFormat="0" applyAlignment="0" applyProtection="0"/>
    <xf numFmtId="0" fontId="46" fillId="55" borderId="361" applyNumberFormat="0" applyAlignment="0" applyProtection="0"/>
    <xf numFmtId="4" fontId="34" fillId="0" borderId="356">
      <alignment horizontal="right" vertical="center"/>
    </xf>
    <xf numFmtId="0" fontId="34" fillId="33" borderId="359">
      <alignment horizontal="left" vertical="center" wrapText="1" indent="2"/>
    </xf>
    <xf numFmtId="0" fontId="34" fillId="0" borderId="359">
      <alignment horizontal="left" vertical="center" wrapText="1" indent="2"/>
    </xf>
    <xf numFmtId="0" fontId="62" fillId="55" borderId="360" applyNumberFormat="0" applyAlignment="0" applyProtection="0"/>
    <xf numFmtId="0" fontId="58" fillId="42" borderId="361" applyNumberFormat="0" applyAlignment="0" applyProtection="0"/>
    <xf numFmtId="0" fontId="45" fillId="55" borderId="361" applyNumberFormat="0" applyAlignment="0" applyProtection="0"/>
    <xf numFmtId="0" fontId="43" fillId="55" borderId="360" applyNumberFormat="0" applyAlignment="0" applyProtection="0"/>
    <xf numFmtId="0" fontId="32" fillId="33" borderId="358">
      <alignment horizontal="right" vertical="center"/>
    </xf>
    <xf numFmtId="0" fontId="36" fillId="31" borderId="356">
      <alignment horizontal="right" vertical="center"/>
    </xf>
    <xf numFmtId="4" fontId="32" fillId="31" borderId="356">
      <alignment horizontal="right" vertical="center"/>
    </xf>
    <xf numFmtId="4" fontId="32" fillId="33" borderId="356">
      <alignment horizontal="right" vertical="center"/>
    </xf>
    <xf numFmtId="49" fontId="34" fillId="0" borderId="357" applyNumberFormat="0" applyFont="0" applyFill="0" applyBorder="0" applyProtection="0">
      <alignment horizontal="left" vertical="center" indent="5"/>
    </xf>
    <xf numFmtId="4" fontId="34" fillId="0" borderId="356" applyFill="0" applyBorder="0" applyProtection="0">
      <alignment horizontal="right" vertical="center"/>
    </xf>
    <xf numFmtId="4" fontId="32" fillId="31" borderId="356">
      <alignment horizontal="right" vertical="center"/>
    </xf>
    <xf numFmtId="0" fontId="58" fillId="42" borderId="361" applyNumberFormat="0" applyAlignment="0" applyProtection="0"/>
    <xf numFmtId="0" fontId="49" fillId="42" borderId="361" applyNumberFormat="0" applyAlignment="0" applyProtection="0"/>
    <xf numFmtId="0" fontId="45" fillId="55" borderId="361" applyNumberFormat="0" applyAlignment="0" applyProtection="0"/>
    <xf numFmtId="0" fontId="34" fillId="33" borderId="359">
      <alignment horizontal="left" vertical="center" wrapText="1" indent="2"/>
    </xf>
    <xf numFmtId="0" fontId="34" fillId="0" borderId="359">
      <alignment horizontal="left" vertical="center" wrapText="1" indent="2"/>
    </xf>
    <xf numFmtId="0" fontId="34" fillId="33" borderId="359">
      <alignment horizontal="left" vertical="center" wrapText="1" indent="2"/>
    </xf>
    <xf numFmtId="4" fontId="32" fillId="33" borderId="392">
      <alignment horizontal="right" vertical="center"/>
    </xf>
    <xf numFmtId="0" fontId="26" fillId="16" borderId="0" applyNumberFormat="0" applyBorder="0" applyAlignment="0" applyProtection="0"/>
    <xf numFmtId="0" fontId="32" fillId="33" borderId="366">
      <alignment horizontal="right" vertical="center"/>
    </xf>
    <xf numFmtId="4" fontId="36" fillId="31" borderId="372">
      <alignment horizontal="right" vertical="center"/>
    </xf>
    <xf numFmtId="4" fontId="32" fillId="33" borderId="373">
      <alignment horizontal="right" vertical="center"/>
    </xf>
    <xf numFmtId="0" fontId="65" fillId="0" borderId="370" applyNumberFormat="0" applyFill="0" applyAlignment="0" applyProtection="0"/>
    <xf numFmtId="0" fontId="34" fillId="0" borderId="399">
      <alignment horizontal="left" vertical="center" wrapText="1" indent="2"/>
    </xf>
    <xf numFmtId="0" fontId="34" fillId="33" borderId="367">
      <alignment horizontal="left" vertical="center" wrapText="1" indent="2"/>
    </xf>
    <xf numFmtId="0" fontId="12" fillId="18" borderId="0" applyNumberFormat="0" applyBorder="0" applyAlignment="0" applyProtection="0"/>
    <xf numFmtId="0" fontId="50" fillId="0" borderId="370" applyNumberFormat="0" applyFill="0" applyAlignment="0" applyProtection="0"/>
    <xf numFmtId="0" fontId="46" fillId="55" borderId="377" applyNumberFormat="0" applyAlignment="0" applyProtection="0"/>
    <xf numFmtId="0" fontId="34" fillId="32" borderId="364"/>
    <xf numFmtId="49" fontId="34" fillId="0" borderId="364" applyNumberFormat="0" applyFont="0" applyFill="0" applyBorder="0" applyProtection="0">
      <alignment horizontal="left" vertical="center" indent="2"/>
    </xf>
    <xf numFmtId="0" fontId="62" fillId="55" borderId="368" applyNumberFormat="0" applyAlignment="0" applyProtection="0"/>
    <xf numFmtId="0" fontId="58" fillId="42" borderId="369" applyNumberFormat="0" applyAlignment="0" applyProtection="0"/>
    <xf numFmtId="0" fontId="34" fillId="0" borderId="364" applyNumberFormat="0" applyFill="0" applyAlignment="0" applyProtection="0"/>
    <xf numFmtId="0" fontId="12" fillId="18" borderId="0" applyNumberFormat="0" applyBorder="0" applyAlignment="0" applyProtection="0"/>
    <xf numFmtId="0" fontId="46" fillId="55" borderId="380" applyNumberFormat="0" applyAlignment="0" applyProtection="0"/>
    <xf numFmtId="0" fontId="43" fillId="55" borderId="368" applyNumberFormat="0" applyAlignment="0" applyProtection="0"/>
    <xf numFmtId="4" fontId="32" fillId="31" borderId="383">
      <alignment horizontal="right" vertical="center"/>
    </xf>
    <xf numFmtId="4" fontId="32" fillId="33" borderId="392">
      <alignment horizontal="right" vertical="center"/>
    </xf>
    <xf numFmtId="173" fontId="34" fillId="59" borderId="383" applyNumberFormat="0" applyFont="0" applyBorder="0" applyAlignment="0" applyProtection="0">
      <alignment horizontal="right" vertical="center"/>
    </xf>
    <xf numFmtId="0" fontId="26" fillId="26" borderId="0" applyNumberFormat="0" applyBorder="0" applyAlignment="0" applyProtection="0"/>
    <xf numFmtId="4" fontId="32" fillId="33" borderId="374">
      <alignment horizontal="right" vertical="center"/>
    </xf>
    <xf numFmtId="0" fontId="45" fillId="55" borderId="369" applyNumberFormat="0" applyAlignment="0" applyProtection="0"/>
    <xf numFmtId="0" fontId="50" fillId="0" borderId="370" applyNumberFormat="0" applyFill="0" applyAlignment="0" applyProtection="0"/>
    <xf numFmtId="0" fontId="36" fillId="31" borderId="364">
      <alignment horizontal="right" vertical="center"/>
    </xf>
    <xf numFmtId="0" fontId="58" fillId="42" borderId="369" applyNumberFormat="0" applyAlignment="0" applyProtection="0"/>
    <xf numFmtId="0" fontId="26" fillId="13" borderId="0" applyNumberFormat="0" applyBorder="0" applyAlignment="0" applyProtection="0"/>
    <xf numFmtId="0" fontId="26" fillId="17" borderId="0" applyNumberFormat="0" applyBorder="0" applyAlignment="0" applyProtection="0"/>
    <xf numFmtId="4" fontId="32" fillId="33" borderId="366">
      <alignment horizontal="right" vertical="center"/>
    </xf>
    <xf numFmtId="0" fontId="34" fillId="0" borderId="364" applyNumberFormat="0" applyFill="0" applyAlignment="0" applyProtection="0"/>
    <xf numFmtId="0" fontId="58" fillId="42" borderId="369" applyNumberFormat="0" applyAlignment="0" applyProtection="0"/>
    <xf numFmtId="49" fontId="34" fillId="0" borderId="364" applyNumberFormat="0" applyFont="0" applyFill="0" applyBorder="0" applyProtection="0">
      <alignment horizontal="left" vertical="center" indent="2"/>
    </xf>
    <xf numFmtId="0" fontId="32" fillId="33" borderId="383">
      <alignment horizontal="right" vertical="center"/>
    </xf>
    <xf numFmtId="0" fontId="49" fillId="42" borderId="380" applyNumberFormat="0" applyAlignment="0" applyProtection="0"/>
    <xf numFmtId="4" fontId="34" fillId="0" borderId="396" applyFill="0" applyBorder="0" applyProtection="0">
      <alignment horizontal="right" vertical="center"/>
    </xf>
    <xf numFmtId="0" fontId="26" fillId="25" borderId="0" applyNumberFormat="0" applyBorder="0" applyAlignment="0" applyProtection="0"/>
    <xf numFmtId="0" fontId="36" fillId="31" borderId="364">
      <alignment horizontal="right" vertical="center"/>
    </xf>
    <xf numFmtId="0" fontId="49" fillId="42" borderId="369" applyNumberFormat="0" applyAlignment="0" applyProtection="0"/>
    <xf numFmtId="0" fontId="34" fillId="32" borderId="364"/>
    <xf numFmtId="0" fontId="32" fillId="33" borderId="384">
      <alignment horizontal="right" vertical="center"/>
    </xf>
    <xf numFmtId="4" fontId="34" fillId="32" borderId="364"/>
    <xf numFmtId="4" fontId="34" fillId="0" borderId="364">
      <alignment horizontal="right" vertical="center"/>
    </xf>
    <xf numFmtId="0" fontId="32" fillId="33" borderId="391">
      <alignment horizontal="right" vertical="center"/>
    </xf>
    <xf numFmtId="0" fontId="12" fillId="15" borderId="0" applyNumberFormat="0" applyBorder="0" applyAlignment="0" applyProtection="0"/>
    <xf numFmtId="0" fontId="58" fillId="42" borderId="369" applyNumberFormat="0" applyAlignment="0" applyProtection="0"/>
    <xf numFmtId="0" fontId="34" fillId="33" borderId="367">
      <alignment horizontal="left" vertical="center" wrapText="1" indent="2"/>
    </xf>
    <xf numFmtId="4" fontId="36" fillId="31" borderId="364">
      <alignment horizontal="right" vertical="center"/>
    </xf>
    <xf numFmtId="0" fontId="34" fillId="32" borderId="372"/>
    <xf numFmtId="0" fontId="46" fillId="55" borderId="387" applyNumberFormat="0" applyAlignment="0" applyProtection="0"/>
    <xf numFmtId="0" fontId="26" fillId="16" borderId="0" applyNumberFormat="0" applyBorder="0" applyAlignment="0" applyProtection="0"/>
    <xf numFmtId="0" fontId="62" fillId="55" borderId="368" applyNumberFormat="0" applyAlignment="0" applyProtection="0"/>
    <xf numFmtId="0" fontId="40" fillId="58" borderId="389" applyNumberFormat="0" applyFont="0" applyAlignment="0" applyProtection="0"/>
    <xf numFmtId="0" fontId="65" fillId="0" borderId="370" applyNumberFormat="0" applyFill="0" applyAlignment="0" applyProtection="0"/>
    <xf numFmtId="4" fontId="34" fillId="0" borderId="383">
      <alignment horizontal="right" vertical="center"/>
    </xf>
    <xf numFmtId="4" fontId="34" fillId="0" borderId="364">
      <alignment horizontal="right" vertical="center"/>
    </xf>
    <xf numFmtId="4" fontId="36" fillId="31" borderId="364">
      <alignment horizontal="right" vertical="center"/>
    </xf>
    <xf numFmtId="0" fontId="12" fillId="15" borderId="0" applyNumberFormat="0" applyBorder="0" applyAlignment="0" applyProtection="0"/>
    <xf numFmtId="0" fontId="65" fillId="0" borderId="378" applyNumberFormat="0" applyFill="0" applyAlignment="0" applyProtection="0"/>
    <xf numFmtId="0" fontId="5" fillId="58" borderId="363" applyNumberFormat="0" applyFont="0" applyAlignment="0" applyProtection="0"/>
    <xf numFmtId="0" fontId="58" fillId="42" borderId="369" applyNumberFormat="0" applyAlignment="0" applyProtection="0"/>
    <xf numFmtId="4" fontId="32" fillId="33" borderId="365">
      <alignment horizontal="right" vertical="center"/>
    </xf>
    <xf numFmtId="4" fontId="34" fillId="32" borderId="364"/>
    <xf numFmtId="0" fontId="36" fillId="31" borderId="383">
      <alignment horizontal="right" vertical="center"/>
    </xf>
    <xf numFmtId="49" fontId="34" fillId="0" borderId="365" applyNumberFormat="0" applyFont="0" applyFill="0" applyBorder="0" applyProtection="0">
      <alignment horizontal="left" vertical="center" indent="5"/>
    </xf>
    <xf numFmtId="0" fontId="26" fillId="16" borderId="0" applyNumberFormat="0" applyBorder="0" applyAlignment="0" applyProtection="0"/>
    <xf numFmtId="0" fontId="34" fillId="0" borderId="367">
      <alignment horizontal="left" vertical="center" wrapText="1" indent="2"/>
    </xf>
    <xf numFmtId="0" fontId="34" fillId="33" borderId="375">
      <alignment horizontal="left" vertical="center" wrapText="1" indent="2"/>
    </xf>
    <xf numFmtId="0" fontId="50" fillId="0" borderId="378" applyNumberFormat="0" applyFill="0" applyAlignment="0" applyProtection="0"/>
    <xf numFmtId="4" fontId="34" fillId="32" borderId="364"/>
    <xf numFmtId="0" fontId="32" fillId="33" borderId="390">
      <alignment horizontal="right" vertical="center"/>
    </xf>
    <xf numFmtId="0" fontId="26" fillId="29" borderId="0" applyNumberFormat="0" applyBorder="0" applyAlignment="0" applyProtection="0"/>
    <xf numFmtId="0" fontId="34" fillId="0" borderId="364">
      <alignment horizontal="right" vertical="center"/>
    </xf>
    <xf numFmtId="0" fontId="5" fillId="58" borderId="403" applyNumberFormat="0" applyFont="0" applyAlignment="0" applyProtection="0"/>
    <xf numFmtId="0" fontId="40" fillId="58" borderId="363" applyNumberFormat="0" applyFont="0" applyAlignment="0" applyProtection="0"/>
    <xf numFmtId="4" fontId="32" fillId="33" borderId="374">
      <alignment horizontal="right" vertical="center"/>
    </xf>
    <xf numFmtId="0" fontId="34" fillId="33" borderId="367">
      <alignment horizontal="left" vertical="center" wrapText="1" indent="2"/>
    </xf>
    <xf numFmtId="0" fontId="32" fillId="33" borderId="385">
      <alignment horizontal="right" vertical="center"/>
    </xf>
    <xf numFmtId="0" fontId="34" fillId="0" borderId="372" applyNumberFormat="0" applyFill="0" applyAlignment="0" applyProtection="0"/>
    <xf numFmtId="0" fontId="58" fillId="42" borderId="387" applyNumberFormat="0" applyAlignment="0" applyProtection="0"/>
    <xf numFmtId="0" fontId="58" fillId="42" borderId="377" applyNumberFormat="0" applyAlignment="0" applyProtection="0"/>
    <xf numFmtId="0" fontId="46" fillId="55" borderId="369" applyNumberFormat="0" applyAlignment="0" applyProtection="0"/>
    <xf numFmtId="0" fontId="12" fillId="27" borderId="0" applyNumberFormat="0" applyBorder="0" applyAlignment="0" applyProtection="0"/>
    <xf numFmtId="4" fontId="34" fillId="0" borderId="390">
      <alignment horizontal="right" vertical="center"/>
    </xf>
    <xf numFmtId="49" fontId="33" fillId="0" borderId="364" applyNumberFormat="0" applyFill="0" applyBorder="0" applyProtection="0">
      <alignment horizontal="left" vertical="center"/>
    </xf>
    <xf numFmtId="49" fontId="33" fillId="0" borderId="364" applyNumberFormat="0" applyFill="0" applyBorder="0" applyProtection="0">
      <alignment horizontal="left" vertical="center"/>
    </xf>
    <xf numFmtId="0" fontId="65" fillId="0" borderId="378" applyNumberFormat="0" applyFill="0" applyAlignment="0" applyProtection="0"/>
    <xf numFmtId="0" fontId="32" fillId="33" borderId="366">
      <alignment horizontal="right" vertical="center"/>
    </xf>
    <xf numFmtId="0" fontId="32" fillId="33" borderId="364">
      <alignment horizontal="right" vertical="center"/>
    </xf>
    <xf numFmtId="0" fontId="45" fillId="55" borderId="369" applyNumberFormat="0" applyAlignment="0" applyProtection="0"/>
    <xf numFmtId="0" fontId="34" fillId="31" borderId="384">
      <alignment horizontal="left" vertical="center"/>
    </xf>
    <xf numFmtId="0" fontId="46" fillId="55" borderId="369" applyNumberFormat="0" applyAlignment="0" applyProtection="0"/>
    <xf numFmtId="49" fontId="33" fillId="0" borderId="372" applyNumberFormat="0" applyFill="0" applyBorder="0" applyProtection="0">
      <alignment horizontal="left" vertical="center"/>
    </xf>
    <xf numFmtId="0" fontId="34" fillId="32" borderId="364"/>
    <xf numFmtId="49" fontId="34" fillId="0" borderId="372" applyNumberFormat="0" applyFont="0" applyFill="0" applyBorder="0" applyProtection="0">
      <alignment horizontal="left" vertical="center" indent="2"/>
    </xf>
    <xf numFmtId="0" fontId="32" fillId="31" borderId="364">
      <alignment horizontal="right" vertical="center"/>
    </xf>
    <xf numFmtId="0" fontId="32" fillId="33" borderId="392">
      <alignment horizontal="right" vertical="center"/>
    </xf>
    <xf numFmtId="0" fontId="36" fillId="31" borderId="372">
      <alignment horizontal="right" vertical="center"/>
    </xf>
    <xf numFmtId="0" fontId="5" fillId="58" borderId="363" applyNumberFormat="0" applyFont="0" applyAlignment="0" applyProtection="0"/>
    <xf numFmtId="0" fontId="43" fillId="55" borderId="379" applyNumberFormat="0" applyAlignment="0" applyProtection="0"/>
    <xf numFmtId="4" fontId="34" fillId="0" borderId="364" applyFill="0" applyBorder="0" applyProtection="0">
      <alignment horizontal="right" vertical="center"/>
    </xf>
    <xf numFmtId="0" fontId="46" fillId="55" borderId="380" applyNumberFormat="0" applyAlignment="0" applyProtection="0"/>
    <xf numFmtId="0" fontId="40" fillId="58" borderId="382" applyNumberFormat="0" applyFont="0" applyAlignment="0" applyProtection="0"/>
    <xf numFmtId="4" fontId="32" fillId="33" borderId="364">
      <alignment horizontal="right" vertical="center"/>
    </xf>
    <xf numFmtId="0" fontId="58" fillId="42" borderId="377" applyNumberFormat="0" applyAlignment="0" applyProtection="0"/>
    <xf numFmtId="0" fontId="50" fillId="0" borderId="370" applyNumberFormat="0" applyFill="0" applyAlignment="0" applyProtection="0"/>
    <xf numFmtId="49" fontId="34" fillId="0" borderId="364" applyNumberFormat="0" applyFont="0" applyFill="0" applyBorder="0" applyProtection="0">
      <alignment horizontal="left" vertical="center" indent="2"/>
    </xf>
    <xf numFmtId="0" fontId="34" fillId="33" borderId="386">
      <alignment horizontal="left" vertical="center" wrapText="1" indent="2"/>
    </xf>
    <xf numFmtId="0" fontId="12" fillId="21" borderId="0" applyNumberFormat="0" applyBorder="0" applyAlignment="0" applyProtection="0"/>
    <xf numFmtId="0" fontId="34" fillId="31" borderId="365">
      <alignment horizontal="left" vertical="center"/>
    </xf>
    <xf numFmtId="0" fontId="34" fillId="31" borderId="373">
      <alignment horizontal="left" vertical="center"/>
    </xf>
    <xf numFmtId="4" fontId="34" fillId="0" borderId="372">
      <alignment horizontal="right" vertical="center"/>
    </xf>
    <xf numFmtId="0" fontId="34" fillId="33" borderId="393">
      <alignment horizontal="left" vertical="center" wrapText="1" indent="2"/>
    </xf>
    <xf numFmtId="0" fontId="34" fillId="0" borderId="390">
      <alignment horizontal="right" vertical="center"/>
    </xf>
    <xf numFmtId="0" fontId="34" fillId="0" borderId="396">
      <alignment horizontal="right" vertical="center"/>
    </xf>
    <xf numFmtId="0" fontId="26" fillId="14" borderId="0" applyNumberFormat="0" applyBorder="0" applyAlignment="0" applyProtection="0"/>
    <xf numFmtId="0" fontId="49" fillId="42" borderId="387" applyNumberFormat="0" applyAlignment="0" applyProtection="0"/>
    <xf numFmtId="4" fontId="32" fillId="33" borderId="390">
      <alignment horizontal="right" vertical="center"/>
    </xf>
    <xf numFmtId="0" fontId="32" fillId="33" borderId="364">
      <alignment horizontal="right" vertical="center"/>
    </xf>
    <xf numFmtId="0" fontId="65" fillId="0" borderId="410" applyNumberFormat="0" applyFill="0" applyAlignment="0" applyProtection="0"/>
    <xf numFmtId="0" fontId="40" fillId="58" borderId="363" applyNumberFormat="0" applyFont="0" applyAlignment="0" applyProtection="0"/>
    <xf numFmtId="0" fontId="26" fillId="26" borderId="0" applyNumberFormat="0" applyBorder="0" applyAlignment="0" applyProtection="0"/>
    <xf numFmtId="0" fontId="46" fillId="55" borderId="369" applyNumberFormat="0" applyAlignment="0" applyProtection="0"/>
    <xf numFmtId="0" fontId="58" fillId="42" borderId="369" applyNumberFormat="0" applyAlignment="0" applyProtection="0"/>
    <xf numFmtId="4" fontId="34" fillId="0" borderId="404" applyFill="0" applyBorder="0" applyProtection="0">
      <alignment horizontal="right" vertical="center"/>
    </xf>
    <xf numFmtId="4" fontId="32" fillId="33" borderId="373">
      <alignment horizontal="right" vertical="center"/>
    </xf>
    <xf numFmtId="0" fontId="62" fillId="55" borderId="400" applyNumberFormat="0" applyAlignment="0" applyProtection="0"/>
    <xf numFmtId="0" fontId="58" fillId="42" borderId="369" applyNumberFormat="0" applyAlignment="0" applyProtection="0"/>
    <xf numFmtId="0" fontId="45" fillId="55" borderId="380" applyNumberFormat="0" applyAlignment="0" applyProtection="0"/>
    <xf numFmtId="0" fontId="58" fillId="42" borderId="369" applyNumberFormat="0" applyAlignment="0" applyProtection="0"/>
    <xf numFmtId="0" fontId="49" fillId="42" borderId="369" applyNumberFormat="0" applyAlignment="0" applyProtection="0"/>
    <xf numFmtId="0" fontId="12" fillId="15" borderId="0" applyNumberFormat="0" applyBorder="0" applyAlignment="0" applyProtection="0"/>
    <xf numFmtId="0" fontId="49" fillId="42" borderId="377" applyNumberFormat="0" applyAlignment="0" applyProtection="0"/>
    <xf numFmtId="0" fontId="43" fillId="55" borderId="368" applyNumberFormat="0" applyAlignment="0" applyProtection="0"/>
    <xf numFmtId="0" fontId="58" fillId="42" borderId="369" applyNumberFormat="0" applyAlignment="0" applyProtection="0"/>
    <xf numFmtId="4" fontId="32" fillId="31" borderId="364">
      <alignment horizontal="right" vertical="center"/>
    </xf>
    <xf numFmtId="0" fontId="36" fillId="31" borderId="364">
      <alignment horizontal="right" vertical="center"/>
    </xf>
    <xf numFmtId="0" fontId="30" fillId="0" borderId="0" applyNumberFormat="0" applyFill="0" applyBorder="0" applyAlignment="0" applyProtection="0"/>
    <xf numFmtId="0" fontId="45" fillId="55" borderId="369" applyNumberFormat="0" applyAlignment="0" applyProtection="0"/>
    <xf numFmtId="0" fontId="12" fillId="30" borderId="0" applyNumberFormat="0" applyBorder="0" applyAlignment="0" applyProtection="0"/>
    <xf numFmtId="0" fontId="5" fillId="58" borderId="371" applyNumberFormat="0" applyFont="0" applyAlignment="0" applyProtection="0"/>
    <xf numFmtId="0" fontId="5" fillId="58" borderId="363" applyNumberFormat="0" applyFont="0" applyAlignment="0" applyProtection="0"/>
    <xf numFmtId="0" fontId="34" fillId="0" borderId="383">
      <alignment horizontal="right" vertical="center"/>
    </xf>
    <xf numFmtId="0" fontId="65" fillId="0" borderId="378" applyNumberFormat="0" applyFill="0" applyAlignment="0" applyProtection="0"/>
    <xf numFmtId="0" fontId="5" fillId="58" borderId="371" applyNumberFormat="0" applyFont="0" applyAlignment="0" applyProtection="0"/>
    <xf numFmtId="0" fontId="32" fillId="33" borderId="383">
      <alignment horizontal="right" vertical="center"/>
    </xf>
    <xf numFmtId="0" fontId="12" fillId="15" borderId="0" applyNumberFormat="0" applyBorder="0" applyAlignment="0" applyProtection="0"/>
    <xf numFmtId="4" fontId="32" fillId="33" borderId="364">
      <alignment horizontal="right" vertical="center"/>
    </xf>
    <xf numFmtId="4" fontId="32" fillId="33" borderId="364">
      <alignment horizontal="right" vertical="center"/>
    </xf>
    <xf numFmtId="0" fontId="12" fillId="18" borderId="0" applyNumberFormat="0" applyBorder="0" applyAlignment="0" applyProtection="0"/>
    <xf numFmtId="4" fontId="32" fillId="33" borderId="366">
      <alignment horizontal="right" vertical="center"/>
    </xf>
    <xf numFmtId="0" fontId="58" fillId="42" borderId="369" applyNumberFormat="0" applyAlignment="0" applyProtection="0"/>
    <xf numFmtId="0" fontId="45" fillId="55" borderId="380" applyNumberFormat="0" applyAlignment="0" applyProtection="0"/>
    <xf numFmtId="49" fontId="34" fillId="0" borderId="396" applyNumberFormat="0" applyFont="0" applyFill="0" applyBorder="0" applyProtection="0">
      <alignment horizontal="left" vertical="center" indent="2"/>
    </xf>
    <xf numFmtId="173" fontId="34" fillId="59" borderId="364" applyNumberFormat="0" applyFont="0" applyBorder="0" applyAlignment="0" applyProtection="0">
      <alignment horizontal="right" vertical="center"/>
    </xf>
    <xf numFmtId="0" fontId="32" fillId="33" borderId="364">
      <alignment horizontal="right" vertical="center"/>
    </xf>
    <xf numFmtId="4" fontId="32" fillId="33" borderId="364">
      <alignment horizontal="right" vertical="center"/>
    </xf>
    <xf numFmtId="0" fontId="29" fillId="12" borderId="10" applyNumberFormat="0" applyAlignment="0" applyProtection="0"/>
    <xf numFmtId="0" fontId="32" fillId="33" borderId="374">
      <alignment horizontal="right" vertical="center"/>
    </xf>
    <xf numFmtId="0" fontId="50" fillId="0" borderId="370" applyNumberFormat="0" applyFill="0" applyAlignment="0" applyProtection="0"/>
    <xf numFmtId="4" fontId="34" fillId="32" borderId="372"/>
    <xf numFmtId="0" fontId="34" fillId="0" borderId="372">
      <alignment horizontal="right" vertical="center"/>
    </xf>
    <xf numFmtId="0" fontId="12" fillId="15" borderId="0" applyNumberFormat="0" applyBorder="0" applyAlignment="0" applyProtection="0"/>
    <xf numFmtId="4" fontId="32" fillId="33" borderId="385">
      <alignment horizontal="right" vertical="center"/>
    </xf>
    <xf numFmtId="4" fontId="32" fillId="33" borderId="365">
      <alignment horizontal="right" vertical="center"/>
    </xf>
    <xf numFmtId="0" fontId="32" fillId="33" borderId="365">
      <alignment horizontal="right" vertical="center"/>
    </xf>
    <xf numFmtId="173" fontId="34" fillId="59" borderId="372" applyNumberFormat="0" applyFont="0" applyBorder="0" applyAlignment="0" applyProtection="0">
      <alignment horizontal="right" vertical="center"/>
    </xf>
    <xf numFmtId="4" fontId="32" fillId="33" borderId="398">
      <alignment horizontal="right" vertical="center"/>
    </xf>
    <xf numFmtId="0" fontId="32" fillId="33" borderId="392">
      <alignment horizontal="right" vertical="center"/>
    </xf>
    <xf numFmtId="4" fontId="32" fillId="33" borderId="364">
      <alignment horizontal="right" vertical="center"/>
    </xf>
    <xf numFmtId="4" fontId="32" fillId="33" borderId="364">
      <alignment horizontal="right" vertical="center"/>
    </xf>
    <xf numFmtId="0" fontId="32" fillId="33" borderId="372">
      <alignment horizontal="right" vertical="center"/>
    </xf>
    <xf numFmtId="0" fontId="34" fillId="31" borderId="373">
      <alignment horizontal="left" vertical="center"/>
    </xf>
    <xf numFmtId="0" fontId="50" fillId="0" borderId="378" applyNumberFormat="0" applyFill="0" applyAlignment="0" applyProtection="0"/>
    <xf numFmtId="0" fontId="32" fillId="33" borderId="372">
      <alignment horizontal="right" vertical="center"/>
    </xf>
    <xf numFmtId="0" fontId="65" fillId="0" borderId="370" applyNumberFormat="0" applyFill="0" applyAlignment="0" applyProtection="0"/>
    <xf numFmtId="49" fontId="34" fillId="0" borderId="365" applyNumberFormat="0" applyFont="0" applyFill="0" applyBorder="0" applyProtection="0">
      <alignment horizontal="left" vertical="center" indent="5"/>
    </xf>
    <xf numFmtId="0" fontId="26" fillId="25" borderId="0" applyNumberFormat="0" applyBorder="0" applyAlignment="0" applyProtection="0"/>
    <xf numFmtId="4" fontId="32" fillId="33" borderId="364">
      <alignment horizontal="right" vertical="center"/>
    </xf>
    <xf numFmtId="4" fontId="32" fillId="33" borderId="404">
      <alignment horizontal="right" vertical="center"/>
    </xf>
    <xf numFmtId="0" fontId="29" fillId="12" borderId="10" applyNumberFormat="0" applyAlignment="0" applyProtection="0"/>
    <xf numFmtId="0" fontId="34" fillId="0" borderId="372" applyNumberFormat="0" applyFill="0" applyAlignment="0" applyProtection="0"/>
    <xf numFmtId="0" fontId="32" fillId="33" borderId="392">
      <alignment horizontal="right" vertical="center"/>
    </xf>
    <xf numFmtId="0" fontId="45" fillId="55" borderId="377" applyNumberFormat="0" applyAlignment="0" applyProtection="0"/>
    <xf numFmtId="4" fontId="32" fillId="33" borderId="364">
      <alignment horizontal="right" vertical="center"/>
    </xf>
    <xf numFmtId="0" fontId="46" fillId="55" borderId="377" applyNumberFormat="0" applyAlignment="0" applyProtection="0"/>
    <xf numFmtId="0" fontId="32" fillId="31" borderId="383">
      <alignment horizontal="right" vertical="center"/>
    </xf>
    <xf numFmtId="0" fontId="29" fillId="12" borderId="10" applyNumberFormat="0" applyAlignment="0" applyProtection="0"/>
    <xf numFmtId="0" fontId="26" fillId="29" borderId="0" applyNumberFormat="0" applyBorder="0" applyAlignment="0" applyProtection="0"/>
    <xf numFmtId="0" fontId="46" fillId="55" borderId="369" applyNumberFormat="0" applyAlignment="0" applyProtection="0"/>
    <xf numFmtId="0" fontId="62" fillId="55" borderId="368" applyNumberFormat="0" applyAlignment="0" applyProtection="0"/>
    <xf numFmtId="0" fontId="32" fillId="33" borderId="366">
      <alignment horizontal="right" vertical="center"/>
    </xf>
    <xf numFmtId="0" fontId="36" fillId="31" borderId="383">
      <alignment horizontal="right" vertical="center"/>
    </xf>
    <xf numFmtId="0" fontId="32" fillId="33" borderId="383">
      <alignment horizontal="right" vertical="center"/>
    </xf>
    <xf numFmtId="0" fontId="34" fillId="0" borderId="393">
      <alignment horizontal="left" vertical="center" wrapText="1" indent="2"/>
    </xf>
    <xf numFmtId="0" fontId="34" fillId="32" borderId="364"/>
    <xf numFmtId="0" fontId="26" fillId="22" borderId="0" applyNumberFormat="0" applyBorder="0" applyAlignment="0" applyProtection="0"/>
    <xf numFmtId="0" fontId="34" fillId="33" borderId="367">
      <alignment horizontal="left" vertical="center" wrapText="1" indent="2"/>
    </xf>
    <xf numFmtId="0" fontId="12" fillId="24" borderId="0" applyNumberFormat="0" applyBorder="0" applyAlignment="0" applyProtection="0"/>
    <xf numFmtId="0" fontId="32" fillId="33" borderId="364">
      <alignment horizontal="right" vertical="center"/>
    </xf>
    <xf numFmtId="0" fontId="40" fillId="58" borderId="363" applyNumberFormat="0" applyFont="0" applyAlignment="0" applyProtection="0"/>
    <xf numFmtId="0" fontId="32" fillId="33" borderId="365">
      <alignment horizontal="right" vertical="center"/>
    </xf>
    <xf numFmtId="0" fontId="32" fillId="33" borderId="384">
      <alignment horizontal="right" vertical="center"/>
    </xf>
    <xf numFmtId="0" fontId="32" fillId="33" borderId="390">
      <alignment horizontal="right" vertical="center"/>
    </xf>
    <xf numFmtId="0" fontId="46" fillId="55" borderId="369" applyNumberFormat="0" applyAlignment="0" applyProtection="0"/>
    <xf numFmtId="0" fontId="49" fillId="42" borderId="369" applyNumberFormat="0" applyAlignment="0" applyProtection="0"/>
    <xf numFmtId="0" fontId="62" fillId="55" borderId="368" applyNumberFormat="0" applyAlignment="0" applyProtection="0"/>
    <xf numFmtId="4" fontId="36" fillId="31" borderId="372">
      <alignment horizontal="right" vertical="center"/>
    </xf>
    <xf numFmtId="0" fontId="1" fillId="0" borderId="0" applyNumberFormat="0" applyFill="0" applyBorder="0" applyAlignment="0" applyProtection="0"/>
    <xf numFmtId="0" fontId="2" fillId="0" borderId="12" applyNumberFormat="0" applyFill="0" applyAlignment="0" applyProtection="0"/>
    <xf numFmtId="4" fontId="34" fillId="32" borderId="364"/>
    <xf numFmtId="0" fontId="34" fillId="0" borderId="364">
      <alignment horizontal="right" vertical="center"/>
    </xf>
    <xf numFmtId="49" fontId="34" fillId="0" borderId="364" applyNumberFormat="0" applyFont="0" applyFill="0" applyBorder="0" applyProtection="0">
      <alignment horizontal="left" vertical="center" indent="2"/>
    </xf>
    <xf numFmtId="0" fontId="34" fillId="32" borderId="396"/>
    <xf numFmtId="0" fontId="26" fillId="25" borderId="0" applyNumberFormat="0" applyBorder="0" applyAlignment="0" applyProtection="0"/>
    <xf numFmtId="0" fontId="46" fillId="55" borderId="377" applyNumberFormat="0" applyAlignment="0" applyProtection="0"/>
    <xf numFmtId="4" fontId="32" fillId="33" borderId="364">
      <alignment horizontal="right" vertical="center"/>
    </xf>
    <xf numFmtId="0" fontId="43" fillId="55" borderId="376" applyNumberFormat="0" applyAlignment="0" applyProtection="0"/>
    <xf numFmtId="4" fontId="34" fillId="0" borderId="404" applyFill="0" applyBorder="0" applyProtection="0">
      <alignment horizontal="right" vertical="center"/>
    </xf>
    <xf numFmtId="0" fontId="40" fillId="58" borderId="382" applyNumberFormat="0" applyFont="0" applyAlignment="0" applyProtection="0"/>
    <xf numFmtId="0" fontId="26" fillId="23" borderId="0" applyNumberFormat="0" applyBorder="0" applyAlignment="0" applyProtection="0"/>
    <xf numFmtId="0" fontId="34" fillId="0" borderId="396">
      <alignment horizontal="right" vertical="center"/>
    </xf>
    <xf numFmtId="49" fontId="33" fillId="0" borderId="364" applyNumberFormat="0" applyFill="0" applyBorder="0" applyProtection="0">
      <alignment horizontal="left" vertical="center"/>
    </xf>
    <xf numFmtId="49" fontId="34" fillId="0" borderId="365" applyNumberFormat="0" applyFont="0" applyFill="0" applyBorder="0" applyProtection="0">
      <alignment horizontal="left" vertical="center" indent="5"/>
    </xf>
    <xf numFmtId="0" fontId="34" fillId="31" borderId="384">
      <alignment horizontal="left" vertical="center"/>
    </xf>
    <xf numFmtId="0" fontId="32" fillId="33" borderId="365">
      <alignment horizontal="right" vertical="center"/>
    </xf>
    <xf numFmtId="0" fontId="12" fillId="27" borderId="0" applyNumberFormat="0" applyBorder="0" applyAlignment="0" applyProtection="0"/>
    <xf numFmtId="0" fontId="62" fillId="55" borderId="368" applyNumberFormat="0" applyAlignment="0" applyProtection="0"/>
    <xf numFmtId="4" fontId="36" fillId="31" borderId="364">
      <alignment horizontal="right" vertical="center"/>
    </xf>
    <xf numFmtId="0" fontId="5" fillId="58" borderId="363" applyNumberFormat="0" applyFont="0" applyAlignment="0" applyProtection="0"/>
    <xf numFmtId="4" fontId="32" fillId="33" borderId="365">
      <alignment horizontal="right" vertical="center"/>
    </xf>
    <xf numFmtId="0" fontId="32" fillId="31" borderId="404">
      <alignment horizontal="right" vertical="center"/>
    </xf>
    <xf numFmtId="0" fontId="26" fillId="17" borderId="0" applyNumberFormat="0" applyBorder="0" applyAlignment="0" applyProtection="0"/>
    <xf numFmtId="0" fontId="32" fillId="31" borderId="364">
      <alignment horizontal="right" vertical="center"/>
    </xf>
    <xf numFmtId="49" fontId="34" fillId="0" borderId="383" applyNumberFormat="0" applyFont="0" applyFill="0" applyBorder="0" applyProtection="0">
      <alignment horizontal="left" vertical="center" indent="2"/>
    </xf>
    <xf numFmtId="0" fontId="26" fillId="20" borderId="0" applyNumberFormat="0" applyBorder="0" applyAlignment="0" applyProtection="0"/>
    <xf numFmtId="0" fontId="49" fillId="42" borderId="369" applyNumberFormat="0" applyAlignment="0" applyProtection="0"/>
    <xf numFmtId="0" fontId="26" fillId="13" borderId="0" applyNumberFormat="0" applyBorder="0" applyAlignment="0" applyProtection="0"/>
    <xf numFmtId="0" fontId="58" fillId="42" borderId="377" applyNumberFormat="0" applyAlignment="0" applyProtection="0"/>
    <xf numFmtId="0" fontId="46" fillId="55" borderId="369" applyNumberFormat="0" applyAlignment="0" applyProtection="0"/>
    <xf numFmtId="0" fontId="65" fillId="0" borderId="370" applyNumberFormat="0" applyFill="0" applyAlignment="0" applyProtection="0"/>
    <xf numFmtId="0" fontId="26" fillId="17" borderId="0" applyNumberFormat="0" applyBorder="0" applyAlignment="0" applyProtection="0"/>
    <xf numFmtId="0" fontId="46" fillId="55" borderId="387" applyNumberFormat="0" applyAlignment="0" applyProtection="0"/>
    <xf numFmtId="0" fontId="32" fillId="33" borderId="372">
      <alignment horizontal="right" vertical="center"/>
    </xf>
    <xf numFmtId="0" fontId="46" fillId="55" borderId="369" applyNumberFormat="0" applyAlignment="0" applyProtection="0"/>
    <xf numFmtId="0" fontId="34" fillId="0" borderId="383">
      <alignment horizontal="right" vertical="center"/>
    </xf>
    <xf numFmtId="0" fontId="34" fillId="33" borderId="367">
      <alignment horizontal="left" vertical="center" wrapText="1" indent="2"/>
    </xf>
    <xf numFmtId="0" fontId="34" fillId="0" borderId="367">
      <alignment horizontal="left" vertical="center" wrapText="1" indent="2"/>
    </xf>
    <xf numFmtId="0" fontId="36" fillId="31" borderId="372">
      <alignment horizontal="right" vertical="center"/>
    </xf>
    <xf numFmtId="0" fontId="46" fillId="55" borderId="369" applyNumberFormat="0" applyAlignment="0" applyProtection="0"/>
    <xf numFmtId="0" fontId="46" fillId="55" borderId="380" applyNumberFormat="0" applyAlignment="0" applyProtection="0"/>
    <xf numFmtId="0" fontId="26" fillId="25" borderId="0" applyNumberFormat="0" applyBorder="0" applyAlignment="0" applyProtection="0"/>
    <xf numFmtId="0" fontId="26" fillId="19" borderId="0" applyNumberFormat="0" applyBorder="0" applyAlignment="0" applyProtection="0"/>
    <xf numFmtId="0" fontId="45" fillId="55" borderId="369" applyNumberFormat="0" applyAlignment="0" applyProtection="0"/>
    <xf numFmtId="0" fontId="28" fillId="12" borderId="11" applyNumberFormat="0" applyAlignment="0" applyProtection="0"/>
    <xf numFmtId="4" fontId="32" fillId="33" borderId="372">
      <alignment horizontal="right" vertical="center"/>
    </xf>
    <xf numFmtId="0" fontId="32" fillId="33" borderId="373">
      <alignment horizontal="right" vertical="center"/>
    </xf>
    <xf numFmtId="4" fontId="32" fillId="31" borderId="364">
      <alignment horizontal="right" vertical="center"/>
    </xf>
    <xf numFmtId="0" fontId="34" fillId="0" borderId="372" applyNumberFormat="0" applyFill="0" applyAlignment="0" applyProtection="0"/>
    <xf numFmtId="4" fontId="32" fillId="33" borderId="364">
      <alignment horizontal="right" vertical="center"/>
    </xf>
    <xf numFmtId="0" fontId="34" fillId="33" borderId="399">
      <alignment horizontal="left" vertical="center" wrapText="1" indent="2"/>
    </xf>
    <xf numFmtId="0" fontId="1" fillId="0" borderId="0" applyNumberFormat="0" applyFill="0" applyBorder="0" applyAlignment="0" applyProtection="0"/>
    <xf numFmtId="0" fontId="40" fillId="58" borderId="382" applyNumberFormat="0" applyFont="0" applyAlignment="0" applyProtection="0"/>
    <xf numFmtId="0" fontId="2" fillId="0" borderId="12" applyNumberFormat="0" applyFill="0" applyAlignment="0" applyProtection="0"/>
    <xf numFmtId="0" fontId="58" fillId="42" borderId="377" applyNumberFormat="0" applyAlignment="0" applyProtection="0"/>
    <xf numFmtId="0" fontId="43" fillId="55" borderId="368" applyNumberFormat="0" applyAlignment="0" applyProtection="0"/>
    <xf numFmtId="0" fontId="29" fillId="12" borderId="10" applyNumberFormat="0" applyAlignment="0" applyProtection="0"/>
    <xf numFmtId="49" fontId="34" fillId="0" borderId="383" applyNumberFormat="0" applyFont="0" applyFill="0" applyBorder="0" applyProtection="0">
      <alignment horizontal="left" vertical="center" indent="2"/>
    </xf>
    <xf numFmtId="0" fontId="65" fillId="0" borderId="370" applyNumberFormat="0" applyFill="0" applyAlignment="0" applyProtection="0"/>
    <xf numFmtId="4" fontId="36" fillId="31" borderId="372">
      <alignment horizontal="right" vertical="center"/>
    </xf>
    <xf numFmtId="0" fontId="65" fillId="0" borderId="381" applyNumberFormat="0" applyFill="0" applyAlignment="0" applyProtection="0"/>
    <xf numFmtId="4" fontId="34" fillId="32" borderId="372"/>
    <xf numFmtId="0" fontId="26" fillId="14" borderId="0" applyNumberFormat="0" applyBorder="0" applyAlignment="0" applyProtection="0"/>
    <xf numFmtId="4" fontId="32" fillId="33" borderId="384">
      <alignment horizontal="right" vertical="center"/>
    </xf>
    <xf numFmtId="49" fontId="33" fillId="0" borderId="364" applyNumberFormat="0" applyFill="0" applyBorder="0" applyProtection="0">
      <alignment horizontal="left" vertical="center"/>
    </xf>
    <xf numFmtId="0" fontId="34" fillId="0" borderId="367">
      <alignment horizontal="left" vertical="center" wrapText="1" indent="2"/>
    </xf>
    <xf numFmtId="0" fontId="32" fillId="33" borderId="372">
      <alignment horizontal="right" vertical="center"/>
    </xf>
    <xf numFmtId="0" fontId="5" fillId="58" borderId="371" applyNumberFormat="0" applyFont="0" applyAlignment="0" applyProtection="0"/>
    <xf numFmtId="0" fontId="26" fillId="25" borderId="0" applyNumberFormat="0" applyBorder="0" applyAlignment="0" applyProtection="0"/>
    <xf numFmtId="0" fontId="32" fillId="33" borderId="365">
      <alignment horizontal="right" vertical="center"/>
    </xf>
    <xf numFmtId="4" fontId="32" fillId="33" borderId="374">
      <alignment horizontal="right" vertical="center"/>
    </xf>
    <xf numFmtId="0" fontId="26" fillId="16" borderId="0" applyNumberFormat="0" applyBorder="0" applyAlignment="0" applyProtection="0"/>
    <xf numFmtId="0" fontId="34" fillId="0" borderId="364">
      <alignment horizontal="right" vertical="center"/>
    </xf>
    <xf numFmtId="0" fontId="43" fillId="55" borderId="376" applyNumberFormat="0" applyAlignment="0" applyProtection="0"/>
    <xf numFmtId="0" fontId="40" fillId="58" borderId="363" applyNumberFormat="0" applyFont="0" applyAlignment="0" applyProtection="0"/>
    <xf numFmtId="0" fontId="12" fillId="30" borderId="0" applyNumberFormat="0" applyBorder="0" applyAlignment="0" applyProtection="0"/>
    <xf numFmtId="0" fontId="34" fillId="0" borderId="372">
      <alignment horizontal="right" vertical="center"/>
    </xf>
    <xf numFmtId="4" fontId="32" fillId="33" borderId="374">
      <alignment horizontal="right" vertical="center"/>
    </xf>
    <xf numFmtId="173" fontId="34" fillId="59" borderId="364" applyNumberFormat="0" applyFont="0" applyBorder="0" applyAlignment="0" applyProtection="0">
      <alignment horizontal="right" vertical="center"/>
    </xf>
    <xf numFmtId="0" fontId="62" fillId="55" borderId="368" applyNumberFormat="0" applyAlignment="0" applyProtection="0"/>
    <xf numFmtId="0" fontId="34" fillId="0" borderId="367">
      <alignment horizontal="left" vertical="center" wrapText="1" indent="2"/>
    </xf>
    <xf numFmtId="0" fontId="32" fillId="33" borderId="374">
      <alignment horizontal="right" vertical="center"/>
    </xf>
    <xf numFmtId="4" fontId="32" fillId="33" borderId="372">
      <alignment horizontal="right" vertical="center"/>
    </xf>
    <xf numFmtId="0" fontId="46" fillId="55" borderId="401" applyNumberFormat="0" applyAlignment="0" applyProtection="0"/>
    <xf numFmtId="0" fontId="2" fillId="0" borderId="12" applyNumberFormat="0" applyFill="0" applyAlignment="0" applyProtection="0"/>
    <xf numFmtId="0" fontId="32" fillId="31" borderId="364">
      <alignment horizontal="right" vertical="center"/>
    </xf>
    <xf numFmtId="0" fontId="34" fillId="33" borderId="375">
      <alignment horizontal="left" vertical="center" wrapText="1" indent="2"/>
    </xf>
    <xf numFmtId="0" fontId="65" fillId="0" borderId="402" applyNumberFormat="0" applyFill="0" applyAlignment="0" applyProtection="0"/>
    <xf numFmtId="0" fontId="40" fillId="58" borderId="363" applyNumberFormat="0" applyFont="0" applyAlignment="0" applyProtection="0"/>
    <xf numFmtId="49" fontId="33" fillId="0" borderId="364" applyNumberFormat="0" applyFill="0" applyBorder="0" applyProtection="0">
      <alignment horizontal="left" vertical="center"/>
    </xf>
    <xf numFmtId="0" fontId="32" fillId="33" borderId="366">
      <alignment horizontal="right" vertical="center"/>
    </xf>
    <xf numFmtId="0" fontId="45" fillId="55" borderId="369" applyNumberFormat="0" applyAlignment="0" applyProtection="0"/>
    <xf numFmtId="4" fontId="34" fillId="0" borderId="364" applyFill="0" applyBorder="0" applyProtection="0">
      <alignment horizontal="right" vertical="center"/>
    </xf>
    <xf numFmtId="0" fontId="50" fillId="0" borderId="378" applyNumberFormat="0" applyFill="0" applyAlignment="0" applyProtection="0"/>
    <xf numFmtId="4" fontId="32" fillId="33" borderId="364">
      <alignment horizontal="right" vertical="center"/>
    </xf>
    <xf numFmtId="0" fontId="36" fillId="31" borderId="372">
      <alignment horizontal="right" vertical="center"/>
    </xf>
    <xf numFmtId="0" fontId="36" fillId="31" borderId="364">
      <alignment horizontal="right" vertical="center"/>
    </xf>
    <xf numFmtId="0" fontId="12" fillId="30" borderId="0" applyNumberFormat="0" applyBorder="0" applyAlignment="0" applyProtection="0"/>
    <xf numFmtId="0" fontId="32" fillId="33" borderId="385">
      <alignment horizontal="right" vertical="center"/>
    </xf>
    <xf numFmtId="0" fontId="40" fillId="58" borderId="382" applyNumberFormat="0" applyFont="0" applyAlignment="0" applyProtection="0"/>
    <xf numFmtId="0" fontId="34" fillId="33" borderId="386">
      <alignment horizontal="left" vertical="center" wrapText="1" indent="2"/>
    </xf>
    <xf numFmtId="4" fontId="32" fillId="33" borderId="365">
      <alignment horizontal="right" vertical="center"/>
    </xf>
    <xf numFmtId="49" fontId="34" fillId="0" borderId="383" applyNumberFormat="0" applyFont="0" applyFill="0" applyBorder="0" applyProtection="0">
      <alignment horizontal="left" vertical="center" indent="2"/>
    </xf>
    <xf numFmtId="49" fontId="34" fillId="0" borderId="364" applyNumberFormat="0" applyFont="0" applyFill="0" applyBorder="0" applyProtection="0">
      <alignment horizontal="left" vertical="center" indent="2"/>
    </xf>
    <xf numFmtId="0" fontId="34" fillId="0" borderId="367">
      <alignment horizontal="left" vertical="center" wrapText="1" indent="2"/>
    </xf>
    <xf numFmtId="0" fontId="34" fillId="0" borderId="393">
      <alignment horizontal="left" vertical="center" wrapText="1" indent="2"/>
    </xf>
    <xf numFmtId="0" fontId="62" fillId="55" borderId="368" applyNumberFormat="0" applyAlignment="0" applyProtection="0"/>
    <xf numFmtId="0" fontId="5" fillId="58" borderId="382" applyNumberFormat="0" applyFont="0" applyAlignment="0" applyProtection="0"/>
    <xf numFmtId="0" fontId="34" fillId="0" borderId="372" applyNumberFormat="0" applyFill="0" applyAlignment="0" applyProtection="0"/>
    <xf numFmtId="173" fontId="34" fillId="59" borderId="364" applyNumberFormat="0" applyFont="0" applyBorder="0" applyAlignment="0" applyProtection="0">
      <alignment horizontal="right" vertical="center"/>
    </xf>
    <xf numFmtId="49" fontId="34" fillId="0" borderId="372" applyNumberFormat="0" applyFont="0" applyFill="0" applyBorder="0" applyProtection="0">
      <alignment horizontal="left" vertical="center" indent="2"/>
    </xf>
    <xf numFmtId="0" fontId="26" fillId="20" borderId="0" applyNumberFormat="0" applyBorder="0" applyAlignment="0" applyProtection="0"/>
    <xf numFmtId="4" fontId="34" fillId="32" borderId="364"/>
    <xf numFmtId="0" fontId="62" fillId="55" borderId="394" applyNumberFormat="0" applyAlignment="0" applyProtection="0"/>
    <xf numFmtId="0" fontId="26" fillId="23" borderId="0" applyNumberFormat="0" applyBorder="0" applyAlignment="0" applyProtection="0"/>
    <xf numFmtId="0" fontId="34" fillId="0" borderId="364" applyNumberFormat="0" applyFill="0" applyAlignment="0" applyProtection="0"/>
    <xf numFmtId="0" fontId="43" fillId="55" borderId="368" applyNumberFormat="0" applyAlignment="0" applyProtection="0"/>
    <xf numFmtId="0" fontId="43" fillId="55" borderId="376" applyNumberFormat="0" applyAlignment="0" applyProtection="0"/>
    <xf numFmtId="0" fontId="26" fillId="22" borderId="0" applyNumberFormat="0" applyBorder="0" applyAlignment="0" applyProtection="0"/>
    <xf numFmtId="0" fontId="26" fillId="16" borderId="0" applyNumberFormat="0" applyBorder="0" applyAlignment="0" applyProtection="0"/>
    <xf numFmtId="0" fontId="32" fillId="33" borderId="365">
      <alignment horizontal="right" vertical="center"/>
    </xf>
    <xf numFmtId="0" fontId="34" fillId="32" borderId="372"/>
    <xf numFmtId="4" fontId="36" fillId="31" borderId="364">
      <alignment horizontal="right" vertical="center"/>
    </xf>
    <xf numFmtId="0" fontId="32" fillId="31" borderId="364">
      <alignment horizontal="right" vertical="center"/>
    </xf>
    <xf numFmtId="0" fontId="26" fillId="25" borderId="0" applyNumberFormat="0" applyBorder="0" applyAlignment="0" applyProtection="0"/>
    <xf numFmtId="0" fontId="65" fillId="0" borderId="378" applyNumberFormat="0" applyFill="0" applyAlignment="0" applyProtection="0"/>
    <xf numFmtId="4" fontId="32" fillId="33" borderId="390">
      <alignment horizontal="right" vertical="center"/>
    </xf>
    <xf numFmtId="173" fontId="34" fillId="59" borderId="390" applyNumberFormat="0" applyFont="0" applyBorder="0" applyAlignment="0" applyProtection="0">
      <alignment horizontal="right" vertical="center"/>
    </xf>
    <xf numFmtId="0" fontId="49" fillId="42" borderId="380" applyNumberFormat="0" applyAlignment="0" applyProtection="0"/>
    <xf numFmtId="0" fontId="46" fillId="55" borderId="387" applyNumberFormat="0" applyAlignment="0" applyProtection="0"/>
    <xf numFmtId="0" fontId="50" fillId="0" borderId="381" applyNumberFormat="0" applyFill="0" applyAlignment="0" applyProtection="0"/>
    <xf numFmtId="0" fontId="34" fillId="33" borderId="367">
      <alignment horizontal="left" vertical="center" wrapText="1" indent="2"/>
    </xf>
    <xf numFmtId="0" fontId="45" fillId="55" borderId="380" applyNumberFormat="0" applyAlignment="0" applyProtection="0"/>
    <xf numFmtId="0" fontId="50" fillId="0" borderId="378" applyNumberFormat="0" applyFill="0" applyAlignment="0" applyProtection="0"/>
    <xf numFmtId="0" fontId="46" fillId="55" borderId="387" applyNumberFormat="0" applyAlignment="0" applyProtection="0"/>
    <xf numFmtId="0" fontId="45" fillId="55" borderId="377" applyNumberFormat="0" applyAlignment="0" applyProtection="0"/>
    <xf numFmtId="0" fontId="26" fillId="16" borderId="0" applyNumberFormat="0" applyBorder="0" applyAlignment="0" applyProtection="0"/>
    <xf numFmtId="0" fontId="32" fillId="33" borderId="383">
      <alignment horizontal="right" vertical="center"/>
    </xf>
    <xf numFmtId="49" fontId="33" fillId="0" borderId="372" applyNumberFormat="0" applyFill="0" applyBorder="0" applyProtection="0">
      <alignment horizontal="left" vertical="center"/>
    </xf>
    <xf numFmtId="0" fontId="34" fillId="0" borderId="367">
      <alignment horizontal="left" vertical="center" wrapText="1" indent="2"/>
    </xf>
    <xf numFmtId="0" fontId="34" fillId="0" borderId="367">
      <alignment horizontal="left" vertical="center" wrapText="1" indent="2"/>
    </xf>
    <xf numFmtId="0" fontId="65" fillId="0" borderId="370" applyNumberFormat="0" applyFill="0" applyAlignment="0" applyProtection="0"/>
    <xf numFmtId="0" fontId="34" fillId="0" borderId="375">
      <alignment horizontal="left" vertical="center" wrapText="1" indent="2"/>
    </xf>
    <xf numFmtId="4" fontId="32" fillId="33" borderId="396">
      <alignment horizontal="right" vertical="center"/>
    </xf>
    <xf numFmtId="0" fontId="32" fillId="31" borderId="364">
      <alignment horizontal="right" vertical="center"/>
    </xf>
    <xf numFmtId="0" fontId="36" fillId="31" borderId="372">
      <alignment horizontal="right" vertical="center"/>
    </xf>
    <xf numFmtId="0" fontId="58" fillId="42" borderId="369" applyNumberFormat="0" applyAlignment="0" applyProtection="0"/>
    <xf numFmtId="4" fontId="36" fillId="31" borderId="364">
      <alignment horizontal="right" vertical="center"/>
    </xf>
    <xf numFmtId="0" fontId="32" fillId="33" borderId="384">
      <alignment horizontal="right" vertical="center"/>
    </xf>
    <xf numFmtId="0" fontId="34" fillId="31" borderId="391">
      <alignment horizontal="left" vertical="center"/>
    </xf>
    <xf numFmtId="0" fontId="26" fillId="22" borderId="0" applyNumberFormat="0" applyBorder="0" applyAlignment="0" applyProtection="0"/>
    <xf numFmtId="0" fontId="46" fillId="55" borderId="380" applyNumberFormat="0" applyAlignment="0" applyProtection="0"/>
    <xf numFmtId="173" fontId="34" fillId="59" borderId="364" applyNumberFormat="0" applyFont="0" applyBorder="0" applyAlignment="0" applyProtection="0">
      <alignment horizontal="right" vertical="center"/>
    </xf>
    <xf numFmtId="0" fontId="40" fillId="58" borderId="363" applyNumberFormat="0" applyFont="0" applyAlignment="0" applyProtection="0"/>
    <xf numFmtId="0" fontId="26" fillId="17" borderId="0" applyNumberFormat="0" applyBorder="0" applyAlignment="0" applyProtection="0"/>
    <xf numFmtId="0" fontId="40" fillId="58" borderId="363" applyNumberFormat="0" applyFont="0" applyAlignment="0" applyProtection="0"/>
    <xf numFmtId="0" fontId="26" fillId="17" borderId="0" applyNumberFormat="0" applyBorder="0" applyAlignment="0" applyProtection="0"/>
    <xf numFmtId="0" fontId="65" fillId="0" borderId="378" applyNumberFormat="0" applyFill="0" applyAlignment="0" applyProtection="0"/>
    <xf numFmtId="4" fontId="32" fillId="33" borderId="374">
      <alignment horizontal="right" vertical="center"/>
    </xf>
    <xf numFmtId="0" fontId="32" fillId="33" borderId="364">
      <alignment horizontal="right" vertical="center"/>
    </xf>
    <xf numFmtId="4" fontId="34" fillId="32" borderId="364"/>
    <xf numFmtId="49" fontId="34" fillId="0" borderId="364" applyNumberFormat="0" applyFont="0" applyFill="0" applyBorder="0" applyProtection="0">
      <alignment horizontal="left" vertical="center" indent="2"/>
    </xf>
    <xf numFmtId="0" fontId="50" fillId="0" borderId="381" applyNumberFormat="0" applyFill="0" applyAlignment="0" applyProtection="0"/>
    <xf numFmtId="0" fontId="32" fillId="31" borderId="390">
      <alignment horizontal="right" vertical="center"/>
    </xf>
    <xf numFmtId="0" fontId="65" fillId="0" borderId="378" applyNumberFormat="0" applyFill="0" applyAlignment="0" applyProtection="0"/>
    <xf numFmtId="0" fontId="12" fillId="24" borderId="0" applyNumberFormat="0" applyBorder="0" applyAlignment="0" applyProtection="0"/>
    <xf numFmtId="0" fontId="26" fillId="14" borderId="0" applyNumberFormat="0" applyBorder="0" applyAlignment="0" applyProtection="0"/>
    <xf numFmtId="0" fontId="26" fillId="28" borderId="0" applyNumberFormat="0" applyBorder="0" applyAlignment="0" applyProtection="0"/>
    <xf numFmtId="0" fontId="62" fillId="55" borderId="379" applyNumberFormat="0" applyAlignment="0" applyProtection="0"/>
    <xf numFmtId="0" fontId="12" fillId="24" borderId="0" applyNumberFormat="0" applyBorder="0" applyAlignment="0" applyProtection="0"/>
    <xf numFmtId="0" fontId="46" fillId="55" borderId="369" applyNumberFormat="0" applyAlignment="0" applyProtection="0"/>
    <xf numFmtId="0" fontId="34" fillId="32" borderId="364"/>
    <xf numFmtId="4" fontId="36" fillId="31" borderId="364">
      <alignment horizontal="right" vertical="center"/>
    </xf>
    <xf numFmtId="0" fontId="65" fillId="0" borderId="370" applyNumberFormat="0" applyFill="0" applyAlignment="0" applyProtection="0"/>
    <xf numFmtId="0" fontId="12" fillId="24" borderId="0" applyNumberFormat="0" applyBorder="0" applyAlignment="0" applyProtection="0"/>
    <xf numFmtId="0" fontId="43" fillId="55" borderId="376" applyNumberFormat="0" applyAlignment="0" applyProtection="0"/>
    <xf numFmtId="0" fontId="62" fillId="55" borderId="379" applyNumberFormat="0" applyAlignment="0" applyProtection="0"/>
    <xf numFmtId="0" fontId="36" fillId="31" borderId="364">
      <alignment horizontal="right" vertical="center"/>
    </xf>
    <xf numFmtId="0" fontId="26" fillId="29" borderId="0" applyNumberFormat="0" applyBorder="0" applyAlignment="0" applyProtection="0"/>
    <xf numFmtId="0" fontId="62" fillId="55" borderId="394" applyNumberFormat="0" applyAlignment="0" applyProtection="0"/>
    <xf numFmtId="0" fontId="62" fillId="55" borderId="368" applyNumberFormat="0" applyAlignment="0" applyProtection="0"/>
    <xf numFmtId="0" fontId="34" fillId="33" borderId="375">
      <alignment horizontal="left" vertical="center" wrapText="1" indent="2"/>
    </xf>
    <xf numFmtId="0" fontId="12" fillId="30" borderId="0" applyNumberFormat="0" applyBorder="0" applyAlignment="0" applyProtection="0"/>
    <xf numFmtId="0" fontId="26" fillId="20" borderId="0" applyNumberFormat="0" applyBorder="0" applyAlignment="0" applyProtection="0"/>
    <xf numFmtId="0" fontId="32" fillId="33" borderId="372">
      <alignment horizontal="right" vertical="center"/>
    </xf>
    <xf numFmtId="4" fontId="32" fillId="31" borderId="364">
      <alignment horizontal="right" vertical="center"/>
    </xf>
    <xf numFmtId="4" fontId="34" fillId="32" borderId="383"/>
    <xf numFmtId="4" fontId="34" fillId="0" borderId="372">
      <alignment horizontal="right" vertical="center"/>
    </xf>
    <xf numFmtId="0" fontId="45" fillId="55" borderId="377" applyNumberFormat="0" applyAlignment="0" applyProtection="0"/>
    <xf numFmtId="0" fontId="65" fillId="0" borderId="378" applyNumberFormat="0" applyFill="0" applyAlignment="0" applyProtection="0"/>
    <xf numFmtId="0" fontId="32" fillId="31" borderId="372">
      <alignment horizontal="right" vertical="center"/>
    </xf>
    <xf numFmtId="0" fontId="26" fillId="28" borderId="0" applyNumberFormat="0" applyBorder="0" applyAlignment="0" applyProtection="0"/>
    <xf numFmtId="0" fontId="32" fillId="33" borderId="364">
      <alignment horizontal="right" vertical="center"/>
    </xf>
    <xf numFmtId="0" fontId="45" fillId="55" borderId="377" applyNumberFormat="0" applyAlignment="0" applyProtection="0"/>
    <xf numFmtId="0" fontId="26" fillId="23" borderId="0" applyNumberFormat="0" applyBorder="0" applyAlignment="0" applyProtection="0"/>
    <xf numFmtId="0" fontId="50" fillId="0" borderId="370" applyNumberFormat="0" applyFill="0" applyAlignment="0" applyProtection="0"/>
    <xf numFmtId="0" fontId="26" fillId="19" borderId="0" applyNumberFormat="0" applyBorder="0" applyAlignment="0" applyProtection="0"/>
    <xf numFmtId="4" fontId="32" fillId="31" borderId="364">
      <alignment horizontal="right" vertical="center"/>
    </xf>
    <xf numFmtId="0" fontId="34" fillId="33" borderId="367">
      <alignment horizontal="left" vertical="center" wrapText="1" indent="2"/>
    </xf>
    <xf numFmtId="0" fontId="46" fillId="55" borderId="369" applyNumberFormat="0" applyAlignment="0" applyProtection="0"/>
    <xf numFmtId="0" fontId="45" fillId="55" borderId="369" applyNumberFormat="0" applyAlignment="0" applyProtection="0"/>
    <xf numFmtId="0" fontId="34" fillId="32" borderId="372"/>
    <xf numFmtId="0" fontId="32" fillId="33" borderId="365">
      <alignment horizontal="right" vertical="center"/>
    </xf>
    <xf numFmtId="0" fontId="40" fillId="58" borderId="382" applyNumberFormat="0" applyFont="0" applyAlignment="0" applyProtection="0"/>
    <xf numFmtId="0" fontId="2" fillId="0" borderId="12" applyNumberFormat="0" applyFill="0" applyAlignment="0" applyProtection="0"/>
    <xf numFmtId="4" fontId="34" fillId="32" borderId="383"/>
    <xf numFmtId="0" fontId="12" fillId="15" borderId="0" applyNumberFormat="0" applyBorder="0" applyAlignment="0" applyProtection="0"/>
    <xf numFmtId="0" fontId="32" fillId="33" borderId="364">
      <alignment horizontal="right" vertical="center"/>
    </xf>
    <xf numFmtId="0" fontId="49" fillId="42" borderId="369" applyNumberFormat="0" applyAlignment="0" applyProtection="0"/>
    <xf numFmtId="0" fontId="36" fillId="31" borderId="372">
      <alignment horizontal="right" vertical="center"/>
    </xf>
    <xf numFmtId="0" fontId="34" fillId="33" borderId="399">
      <alignment horizontal="left" vertical="center" wrapText="1" indent="2"/>
    </xf>
    <xf numFmtId="0" fontId="28" fillId="12" borderId="11" applyNumberFormat="0" applyAlignment="0" applyProtection="0"/>
    <xf numFmtId="0" fontId="5" fillId="58" borderId="371" applyNumberFormat="0" applyFont="0" applyAlignment="0" applyProtection="0"/>
    <xf numFmtId="0" fontId="26" fillId="28" borderId="0" applyNumberFormat="0" applyBorder="0" applyAlignment="0" applyProtection="0"/>
    <xf numFmtId="0" fontId="34" fillId="33" borderId="367">
      <alignment horizontal="left" vertical="center" wrapText="1" indent="2"/>
    </xf>
    <xf numFmtId="0" fontId="26" fillId="26" borderId="0" applyNumberFormat="0" applyBorder="0" applyAlignment="0" applyProtection="0"/>
    <xf numFmtId="0" fontId="58" fillId="42" borderId="377" applyNumberFormat="0" applyAlignment="0" applyProtection="0"/>
    <xf numFmtId="0" fontId="49" fillId="42" borderId="377" applyNumberFormat="0" applyAlignment="0" applyProtection="0"/>
    <xf numFmtId="4" fontId="32" fillId="33" borderId="372">
      <alignment horizontal="right" vertical="center"/>
    </xf>
    <xf numFmtId="4" fontId="34" fillId="0" borderId="364">
      <alignment horizontal="right" vertical="center"/>
    </xf>
    <xf numFmtId="0" fontId="46" fillId="55" borderId="380" applyNumberFormat="0" applyAlignment="0" applyProtection="0"/>
    <xf numFmtId="0" fontId="34" fillId="0" borderId="364">
      <alignment horizontal="right" vertical="center"/>
    </xf>
    <xf numFmtId="4" fontId="32" fillId="33" borderId="396">
      <alignment horizontal="right" vertical="center"/>
    </xf>
    <xf numFmtId="0" fontId="26" fillId="14" borderId="0" applyNumberFormat="0" applyBorder="0" applyAlignment="0" applyProtection="0"/>
    <xf numFmtId="0" fontId="34" fillId="32" borderId="372"/>
    <xf numFmtId="4" fontId="34" fillId="0" borderId="372">
      <alignment horizontal="right" vertical="center"/>
    </xf>
    <xf numFmtId="49" fontId="34" fillId="0" borderId="365" applyNumberFormat="0" applyFont="0" applyFill="0" applyBorder="0" applyProtection="0">
      <alignment horizontal="left" vertical="center" indent="5"/>
    </xf>
    <xf numFmtId="0" fontId="34" fillId="32" borderId="383"/>
    <xf numFmtId="0" fontId="34" fillId="33" borderId="375">
      <alignment horizontal="left" vertical="center" wrapText="1" indent="2"/>
    </xf>
    <xf numFmtId="0" fontId="34" fillId="0" borderId="396" applyNumberFormat="0" applyFill="0" applyAlignment="0" applyProtection="0"/>
    <xf numFmtId="49" fontId="33" fillId="0" borderId="396" applyNumberFormat="0" applyFill="0" applyBorder="0" applyProtection="0">
      <alignment horizontal="left" vertical="center"/>
    </xf>
    <xf numFmtId="0" fontId="34" fillId="31" borderId="365">
      <alignment horizontal="left" vertical="center"/>
    </xf>
    <xf numFmtId="0" fontId="34" fillId="0" borderId="367">
      <alignment horizontal="left" vertical="center" wrapText="1" indent="2"/>
    </xf>
    <xf numFmtId="0" fontId="50" fillId="0" borderId="378" applyNumberFormat="0" applyFill="0" applyAlignment="0" applyProtection="0"/>
    <xf numFmtId="4" fontId="32" fillId="33" borderId="372">
      <alignment horizontal="right" vertical="center"/>
    </xf>
    <xf numFmtId="0" fontId="30" fillId="0" borderId="0" applyNumberFormat="0" applyFill="0" applyBorder="0" applyAlignment="0" applyProtection="0"/>
    <xf numFmtId="4" fontId="34" fillId="0" borderId="390">
      <alignment horizontal="right" vertical="center"/>
    </xf>
    <xf numFmtId="0" fontId="43" fillId="55" borderId="379" applyNumberFormat="0" applyAlignment="0" applyProtection="0"/>
    <xf numFmtId="173" fontId="34" fillId="59" borderId="372" applyNumberFormat="0" applyFont="0" applyBorder="0" applyAlignment="0" applyProtection="0">
      <alignment horizontal="right" vertical="center"/>
    </xf>
    <xf numFmtId="0" fontId="46" fillId="55" borderId="377" applyNumberFormat="0" applyAlignment="0" applyProtection="0"/>
    <xf numFmtId="4" fontId="32" fillId="33" borderId="373">
      <alignment horizontal="right" vertical="center"/>
    </xf>
    <xf numFmtId="0" fontId="34" fillId="33" borderId="386">
      <alignment horizontal="left" vertical="center" wrapText="1" indent="2"/>
    </xf>
    <xf numFmtId="0" fontId="49" fillId="42" borderId="377" applyNumberFormat="0" applyAlignment="0" applyProtection="0"/>
    <xf numFmtId="0" fontId="32" fillId="31" borderId="364">
      <alignment horizontal="right" vertical="center"/>
    </xf>
    <xf numFmtId="0" fontId="50" fillId="0" borderId="370" applyNumberFormat="0" applyFill="0" applyAlignment="0" applyProtection="0"/>
    <xf numFmtId="0" fontId="34" fillId="0" borderId="364" applyNumberFormat="0" applyFill="0" applyAlignment="0" applyProtection="0"/>
    <xf numFmtId="0" fontId="50" fillId="0" borderId="370" applyNumberFormat="0" applyFill="0" applyAlignment="0" applyProtection="0"/>
    <xf numFmtId="4" fontId="34" fillId="0" borderId="364" applyFill="0" applyBorder="0" applyProtection="0">
      <alignment horizontal="right" vertical="center"/>
    </xf>
    <xf numFmtId="49" fontId="34" fillId="0" borderId="365" applyNumberFormat="0" applyFont="0" applyFill="0" applyBorder="0" applyProtection="0">
      <alignment horizontal="left" vertical="center" indent="5"/>
    </xf>
    <xf numFmtId="0" fontId="34" fillId="0" borderId="364" applyNumberFormat="0" applyFill="0" applyAlignment="0" applyProtection="0"/>
    <xf numFmtId="4" fontId="34" fillId="0" borderId="383">
      <alignment horizontal="right" vertical="center"/>
    </xf>
    <xf numFmtId="0" fontId="34" fillId="0" borderId="364" applyNumberFormat="0" applyFill="0" applyAlignment="0" applyProtection="0"/>
    <xf numFmtId="0" fontId="34" fillId="0" borderId="375">
      <alignment horizontal="left" vertical="center" wrapText="1" indent="2"/>
    </xf>
    <xf numFmtId="0" fontId="34" fillId="0" borderId="393">
      <alignment horizontal="left" vertical="center" wrapText="1" indent="2"/>
    </xf>
    <xf numFmtId="4" fontId="32" fillId="33" borderId="364">
      <alignment horizontal="right" vertical="center"/>
    </xf>
    <xf numFmtId="49" fontId="34" fillId="0" borderId="372" applyNumberFormat="0" applyFont="0" applyFill="0" applyBorder="0" applyProtection="0">
      <alignment horizontal="left" vertical="center" indent="2"/>
    </xf>
    <xf numFmtId="0" fontId="34" fillId="32" borderId="372"/>
    <xf numFmtId="0" fontId="12" fillId="21" borderId="0" applyNumberFormat="0" applyBorder="0" applyAlignment="0" applyProtection="0"/>
    <xf numFmtId="4" fontId="32" fillId="31" borderId="396">
      <alignment horizontal="right" vertical="center"/>
    </xf>
    <xf numFmtId="0" fontId="49" fillId="42" borderId="369" applyNumberFormat="0" applyAlignment="0" applyProtection="0"/>
    <xf numFmtId="0" fontId="46" fillId="55" borderId="369" applyNumberFormat="0" applyAlignment="0" applyProtection="0"/>
    <xf numFmtId="4" fontId="34" fillId="0" borderId="364">
      <alignment horizontal="right" vertical="center"/>
    </xf>
    <xf numFmtId="0" fontId="34" fillId="33" borderId="367">
      <alignment horizontal="left" vertical="center" wrapText="1" indent="2"/>
    </xf>
    <xf numFmtId="0" fontId="34" fillId="0" borderId="367">
      <alignment horizontal="left" vertical="center" wrapText="1" indent="2"/>
    </xf>
    <xf numFmtId="0" fontId="62" fillId="55" borderId="368" applyNumberFormat="0" applyAlignment="0" applyProtection="0"/>
    <xf numFmtId="0" fontId="58" fillId="42" borderId="369" applyNumberFormat="0" applyAlignment="0" applyProtection="0"/>
    <xf numFmtId="0" fontId="45" fillId="55" borderId="369" applyNumberFormat="0" applyAlignment="0" applyProtection="0"/>
    <xf numFmtId="0" fontId="43" fillId="55" borderId="368" applyNumberFormat="0" applyAlignment="0" applyProtection="0"/>
    <xf numFmtId="0" fontId="32" fillId="33" borderId="366">
      <alignment horizontal="right" vertical="center"/>
    </xf>
    <xf numFmtId="0" fontId="36" fillId="31" borderId="364">
      <alignment horizontal="right" vertical="center"/>
    </xf>
    <xf numFmtId="4" fontId="32" fillId="31" borderId="364">
      <alignment horizontal="right" vertical="center"/>
    </xf>
    <xf numFmtId="4" fontId="32" fillId="33" borderId="364">
      <alignment horizontal="right" vertical="center"/>
    </xf>
    <xf numFmtId="49" fontId="34" fillId="0" borderId="365" applyNumberFormat="0" applyFont="0" applyFill="0" applyBorder="0" applyProtection="0">
      <alignment horizontal="left" vertical="center" indent="5"/>
    </xf>
    <xf numFmtId="4" fontId="34" fillId="0" borderId="364" applyFill="0" applyBorder="0" applyProtection="0">
      <alignment horizontal="right" vertical="center"/>
    </xf>
    <xf numFmtId="4" fontId="32" fillId="31" borderId="364">
      <alignment horizontal="right" vertical="center"/>
    </xf>
    <xf numFmtId="0" fontId="58" fillId="42" borderId="369" applyNumberFormat="0" applyAlignment="0" applyProtection="0"/>
    <xf numFmtId="0" fontId="49" fillId="42" borderId="369" applyNumberFormat="0" applyAlignment="0" applyProtection="0"/>
    <xf numFmtId="0" fontId="45" fillId="55" borderId="369" applyNumberFormat="0" applyAlignment="0" applyProtection="0"/>
    <xf numFmtId="0" fontId="34" fillId="33" borderId="367">
      <alignment horizontal="left" vertical="center" wrapText="1" indent="2"/>
    </xf>
    <xf numFmtId="0" fontId="34" fillId="0" borderId="367">
      <alignment horizontal="left" vertical="center" wrapText="1" indent="2"/>
    </xf>
    <xf numFmtId="0" fontId="34" fillId="33" borderId="367">
      <alignment horizontal="left" vertical="center" wrapText="1" indent="2"/>
    </xf>
    <xf numFmtId="0" fontId="34" fillId="31" borderId="373">
      <alignment horizontal="left" vertical="center"/>
    </xf>
    <xf numFmtId="0" fontId="49" fillId="42" borderId="387" applyNumberFormat="0" applyAlignment="0" applyProtection="0"/>
    <xf numFmtId="0" fontId="26" fillId="19" borderId="0" applyNumberFormat="0" applyBorder="0" applyAlignment="0" applyProtection="0"/>
    <xf numFmtId="0" fontId="32" fillId="33" borderId="385">
      <alignment horizontal="right" vertical="center"/>
    </xf>
    <xf numFmtId="0" fontId="1" fillId="0" borderId="0" applyNumberFormat="0" applyFill="0" applyBorder="0" applyAlignment="0" applyProtection="0"/>
    <xf numFmtId="4" fontId="32" fillId="33" borderId="383">
      <alignment horizontal="right" vertical="center"/>
    </xf>
    <xf numFmtId="4" fontId="34" fillId="32" borderId="383"/>
    <xf numFmtId="4" fontId="32" fillId="33" borderId="383">
      <alignment horizontal="right" vertical="center"/>
    </xf>
    <xf numFmtId="4" fontId="32" fillId="33" borderId="415">
      <alignment horizontal="right" vertical="center"/>
    </xf>
    <xf numFmtId="4" fontId="34" fillId="0" borderId="390" applyFill="0" applyBorder="0" applyProtection="0">
      <alignment horizontal="right" vertical="center"/>
    </xf>
    <xf numFmtId="0" fontId="45" fillId="55" borderId="380" applyNumberFormat="0" applyAlignment="0" applyProtection="0"/>
    <xf numFmtId="0" fontId="26" fillId="19" borderId="0" applyNumberFormat="0" applyBorder="0" applyAlignment="0" applyProtection="0"/>
    <xf numFmtId="0" fontId="65" fillId="0" borderId="381" applyNumberFormat="0" applyFill="0" applyAlignment="0" applyProtection="0"/>
    <xf numFmtId="0" fontId="46" fillId="55" borderId="380" applyNumberFormat="0" applyAlignment="0" applyProtection="0"/>
    <xf numFmtId="0" fontId="26" fillId="13" borderId="0" applyNumberFormat="0" applyBorder="0" applyAlignment="0" applyProtection="0"/>
    <xf numFmtId="49" fontId="34" fillId="0" borderId="396" applyNumberFormat="0" applyFont="0" applyFill="0" applyBorder="0" applyProtection="0">
      <alignment horizontal="left" vertical="center" indent="2"/>
    </xf>
    <xf numFmtId="4" fontId="34" fillId="32" borderId="390"/>
    <xf numFmtId="0" fontId="34" fillId="33" borderId="386">
      <alignment horizontal="left" vertical="center" wrapText="1" indent="2"/>
    </xf>
    <xf numFmtId="173" fontId="34" fillId="59" borderId="383" applyNumberFormat="0" applyFont="0" applyBorder="0" applyAlignment="0" applyProtection="0">
      <alignment horizontal="right" vertical="center"/>
    </xf>
    <xf numFmtId="0" fontId="34" fillId="0" borderId="386">
      <alignment horizontal="left" vertical="center" wrapText="1" indent="2"/>
    </xf>
    <xf numFmtId="0" fontId="26" fillId="19" borderId="0" applyNumberFormat="0" applyBorder="0" applyAlignment="0" applyProtection="0"/>
    <xf numFmtId="0" fontId="30" fillId="0" borderId="0" applyNumberFormat="0" applyFill="0" applyBorder="0" applyAlignment="0" applyProtection="0"/>
    <xf numFmtId="0" fontId="46" fillId="55" borderId="380" applyNumberFormat="0" applyAlignment="0" applyProtection="0"/>
    <xf numFmtId="0" fontId="43" fillId="55" borderId="379" applyNumberFormat="0" applyAlignment="0" applyProtection="0"/>
    <xf numFmtId="0" fontId="43" fillId="55" borderId="379" applyNumberFormat="0" applyAlignment="0" applyProtection="0"/>
    <xf numFmtId="0" fontId="49" fillId="42" borderId="380" applyNumberFormat="0" applyAlignment="0" applyProtection="0"/>
    <xf numFmtId="0" fontId="36" fillId="31" borderId="390">
      <alignment horizontal="right" vertical="center"/>
    </xf>
    <xf numFmtId="0" fontId="50" fillId="0" borderId="381" applyNumberFormat="0" applyFill="0" applyAlignment="0" applyProtection="0"/>
    <xf numFmtId="0" fontId="34" fillId="31" borderId="384">
      <alignment horizontal="left" vertical="center"/>
    </xf>
    <xf numFmtId="0" fontId="40" fillId="58" borderId="403" applyNumberFormat="0" applyFont="0" applyAlignment="0" applyProtection="0"/>
    <xf numFmtId="0" fontId="40" fillId="58" borderId="371" applyNumberFormat="0" applyFont="0" applyAlignment="0" applyProtection="0"/>
    <xf numFmtId="4" fontId="36" fillId="31" borderId="404">
      <alignment horizontal="right" vertical="center"/>
    </xf>
    <xf numFmtId="4" fontId="32" fillId="33" borderId="383">
      <alignment horizontal="right" vertical="center"/>
    </xf>
    <xf numFmtId="0" fontId="5" fillId="58" borderId="371" applyNumberFormat="0" applyFont="0" applyAlignment="0" applyProtection="0"/>
    <xf numFmtId="0" fontId="32" fillId="33" borderId="396">
      <alignment horizontal="right" vertical="center"/>
    </xf>
    <xf numFmtId="0" fontId="29" fillId="12" borderId="10" applyNumberFormat="0" applyAlignment="0" applyProtection="0"/>
    <xf numFmtId="0" fontId="65" fillId="0" borderId="402" applyNumberFormat="0" applyFill="0" applyAlignment="0" applyProtection="0"/>
    <xf numFmtId="0" fontId="34" fillId="31" borderId="391">
      <alignment horizontal="left" vertical="center"/>
    </xf>
    <xf numFmtId="0" fontId="32" fillId="33" borderId="392">
      <alignment horizontal="right" vertical="center"/>
    </xf>
    <xf numFmtId="0" fontId="32" fillId="31" borderId="383">
      <alignment horizontal="right" vertical="center"/>
    </xf>
    <xf numFmtId="0" fontId="49" fillId="42" borderId="380" applyNumberFormat="0" applyAlignment="0" applyProtection="0"/>
    <xf numFmtId="0" fontId="65" fillId="0" borderId="381" applyNumberFormat="0" applyFill="0" applyAlignment="0" applyProtection="0"/>
    <xf numFmtId="0" fontId="26" fillId="26" borderId="0" applyNumberFormat="0" applyBorder="0" applyAlignment="0" applyProtection="0"/>
    <xf numFmtId="0" fontId="58" fillId="42" borderId="377" applyNumberFormat="0" applyAlignment="0" applyProtection="0"/>
    <xf numFmtId="0" fontId="34" fillId="0" borderId="383">
      <alignment horizontal="right" vertical="center"/>
    </xf>
    <xf numFmtId="0" fontId="34" fillId="33" borderId="375">
      <alignment horizontal="left" vertical="center" wrapText="1" indent="2"/>
    </xf>
    <xf numFmtId="4" fontId="36" fillId="31" borderId="372">
      <alignment horizontal="right" vertical="center"/>
    </xf>
    <xf numFmtId="0" fontId="65" fillId="0" borderId="402" applyNumberFormat="0" applyFill="0" applyAlignment="0" applyProtection="0"/>
    <xf numFmtId="0" fontId="49" fillId="42" borderId="387" applyNumberFormat="0" applyAlignment="0" applyProtection="0"/>
    <xf numFmtId="0" fontId="1" fillId="0" borderId="0" applyNumberFormat="0" applyFill="0" applyBorder="0" applyAlignment="0" applyProtection="0"/>
    <xf numFmtId="4" fontId="34" fillId="32" borderId="396"/>
    <xf numFmtId="0" fontId="26" fillId="20" borderId="0" applyNumberFormat="0" applyBorder="0" applyAlignment="0" applyProtection="0"/>
    <xf numFmtId="4" fontId="34" fillId="32" borderId="390"/>
    <xf numFmtId="0" fontId="43" fillId="55" borderId="379" applyNumberFormat="0" applyAlignment="0" applyProtection="0"/>
    <xf numFmtId="0" fontId="2" fillId="0" borderId="12" applyNumberFormat="0" applyFill="0" applyAlignment="0" applyProtection="0"/>
    <xf numFmtId="0" fontId="62" fillId="55" borderId="379" applyNumberFormat="0" applyAlignment="0" applyProtection="0"/>
    <xf numFmtId="0" fontId="65" fillId="0" borderId="388" applyNumberFormat="0" applyFill="0" applyAlignment="0" applyProtection="0"/>
    <xf numFmtId="4" fontId="36" fillId="31" borderId="372">
      <alignment horizontal="right" vertical="center"/>
    </xf>
    <xf numFmtId="4" fontId="32" fillId="31" borderId="372">
      <alignment horizontal="right" vertical="center"/>
    </xf>
    <xf numFmtId="0" fontId="34" fillId="0" borderId="375">
      <alignment horizontal="left" vertical="center" wrapText="1" indent="2"/>
    </xf>
    <xf numFmtId="0" fontId="62" fillId="55" borderId="376" applyNumberFormat="0" applyAlignment="0" applyProtection="0"/>
    <xf numFmtId="0" fontId="34" fillId="0" borderId="372">
      <alignment horizontal="right" vertical="center"/>
    </xf>
    <xf numFmtId="0" fontId="65" fillId="0" borderId="378" applyNumberFormat="0" applyFill="0" applyAlignment="0" applyProtection="0"/>
    <xf numFmtId="49" fontId="33" fillId="0" borderId="372" applyNumberFormat="0" applyFill="0" applyBorder="0" applyProtection="0">
      <alignment horizontal="left" vertical="center"/>
    </xf>
    <xf numFmtId="4" fontId="34" fillId="32" borderId="372"/>
    <xf numFmtId="0" fontId="58" fillId="42" borderId="377" applyNumberFormat="0" applyAlignment="0" applyProtection="0"/>
    <xf numFmtId="4" fontId="32" fillId="31" borderId="383">
      <alignment horizontal="right" vertical="center"/>
    </xf>
    <xf numFmtId="0" fontId="32" fillId="33" borderId="383">
      <alignment horizontal="right" vertical="center"/>
    </xf>
    <xf numFmtId="173" fontId="34" fillId="59" borderId="372" applyNumberFormat="0" applyFont="0" applyBorder="0" applyAlignment="0" applyProtection="0">
      <alignment horizontal="right" vertical="center"/>
    </xf>
    <xf numFmtId="4" fontId="36" fillId="31" borderId="383">
      <alignment horizontal="right" vertical="center"/>
    </xf>
    <xf numFmtId="0" fontId="46" fillId="55" borderId="377" applyNumberFormat="0" applyAlignment="0" applyProtection="0"/>
    <xf numFmtId="0" fontId="32" fillId="33" borderId="390">
      <alignment horizontal="right" vertical="center"/>
    </xf>
    <xf numFmtId="0" fontId="34" fillId="0" borderId="383" applyNumberFormat="0" applyFill="0" applyAlignment="0" applyProtection="0"/>
    <xf numFmtId="4" fontId="32" fillId="33" borderId="396">
      <alignment horizontal="right" vertical="center"/>
    </xf>
    <xf numFmtId="0" fontId="58" fillId="42" borderId="377" applyNumberFormat="0" applyAlignment="0" applyProtection="0"/>
    <xf numFmtId="0" fontId="43" fillId="55" borderId="376" applyNumberFormat="0" applyAlignment="0" applyProtection="0"/>
    <xf numFmtId="4" fontId="32" fillId="33" borderId="385">
      <alignment horizontal="right" vertical="center"/>
    </xf>
    <xf numFmtId="49" fontId="33" fillId="0" borderId="372" applyNumberFormat="0" applyFill="0" applyBorder="0" applyProtection="0">
      <alignment horizontal="left" vertical="center"/>
    </xf>
    <xf numFmtId="0" fontId="65" fillId="0" borderId="378" applyNumberFormat="0" applyFill="0" applyAlignment="0" applyProtection="0"/>
    <xf numFmtId="0" fontId="34" fillId="0" borderId="372">
      <alignment horizontal="right" vertical="center"/>
    </xf>
    <xf numFmtId="0" fontId="32" fillId="33" borderId="373">
      <alignment horizontal="right" vertical="center"/>
    </xf>
    <xf numFmtId="0" fontId="65" fillId="0" borderId="378" applyNumberFormat="0" applyFill="0" applyAlignment="0" applyProtection="0"/>
    <xf numFmtId="0" fontId="26" fillId="13" borderId="0" applyNumberFormat="0" applyBorder="0" applyAlignment="0" applyProtection="0"/>
    <xf numFmtId="0" fontId="36" fillId="31" borderId="415">
      <alignment horizontal="right" vertical="center"/>
    </xf>
    <xf numFmtId="4" fontId="32" fillId="31" borderId="404">
      <alignment horizontal="right" vertical="center"/>
    </xf>
    <xf numFmtId="0" fontId="34" fillId="0" borderId="393">
      <alignment horizontal="left" vertical="center" wrapText="1" indent="2"/>
    </xf>
    <xf numFmtId="0" fontId="58" fillId="42" borderId="387" applyNumberFormat="0" applyAlignment="0" applyProtection="0"/>
    <xf numFmtId="0" fontId="65" fillId="0" borderId="381" applyNumberFormat="0" applyFill="0" applyAlignment="0" applyProtection="0"/>
    <xf numFmtId="0" fontId="32" fillId="33" borderId="390">
      <alignment horizontal="right" vertical="center"/>
    </xf>
    <xf numFmtId="0" fontId="40" fillId="58" borderId="382" applyNumberFormat="0" applyFont="0" applyAlignment="0" applyProtection="0"/>
    <xf numFmtId="4" fontId="34" fillId="0" borderId="372" applyFill="0" applyBorder="0" applyProtection="0">
      <alignment horizontal="right" vertical="center"/>
    </xf>
    <xf numFmtId="0" fontId="28" fillId="12" borderId="11" applyNumberFormat="0" applyAlignment="0" applyProtection="0"/>
    <xf numFmtId="49" fontId="33" fillId="0" borderId="390" applyNumberFormat="0" applyFill="0" applyBorder="0" applyProtection="0">
      <alignment horizontal="left" vertical="center"/>
    </xf>
    <xf numFmtId="0" fontId="34" fillId="0" borderId="396">
      <alignment horizontal="right" vertical="center"/>
    </xf>
    <xf numFmtId="0" fontId="34" fillId="0" borderId="383">
      <alignment horizontal="right" vertical="center"/>
    </xf>
    <xf numFmtId="4" fontId="36" fillId="31" borderId="404">
      <alignment horizontal="right" vertical="center"/>
    </xf>
    <xf numFmtId="0" fontId="34" fillId="0" borderId="375">
      <alignment horizontal="left" vertical="center" wrapText="1" indent="2"/>
    </xf>
    <xf numFmtId="0" fontId="12" fillId="18" borderId="0" applyNumberFormat="0" applyBorder="0" applyAlignment="0" applyProtection="0"/>
    <xf numFmtId="0" fontId="65" fillId="0" borderId="378" applyNumberFormat="0" applyFill="0" applyAlignment="0" applyProtection="0"/>
    <xf numFmtId="0" fontId="43" fillId="55" borderId="376" applyNumberFormat="0" applyAlignment="0" applyProtection="0"/>
    <xf numFmtId="0" fontId="32" fillId="33" borderId="372">
      <alignment horizontal="right" vertical="center"/>
    </xf>
    <xf numFmtId="0" fontId="45" fillId="55" borderId="377" applyNumberFormat="0" applyAlignment="0" applyProtection="0"/>
    <xf numFmtId="0" fontId="34" fillId="0" borderId="396">
      <alignment horizontal="right" vertical="center"/>
    </xf>
    <xf numFmtId="4" fontId="36" fillId="31" borderId="396">
      <alignment horizontal="right" vertical="center"/>
    </xf>
    <xf numFmtId="0" fontId="34" fillId="31" borderId="373">
      <alignment horizontal="left" vertical="center"/>
    </xf>
    <xf numFmtId="0" fontId="32" fillId="31" borderId="383">
      <alignment horizontal="right" vertical="center"/>
    </xf>
    <xf numFmtId="4" fontId="34" fillId="32" borderId="383"/>
    <xf numFmtId="0" fontId="65" fillId="0" borderId="381" applyNumberFormat="0" applyFill="0" applyAlignment="0" applyProtection="0"/>
    <xf numFmtId="0" fontId="32" fillId="31" borderId="372">
      <alignment horizontal="right" vertical="center"/>
    </xf>
    <xf numFmtId="4" fontId="34" fillId="0" borderId="383">
      <alignment horizontal="right" vertical="center"/>
    </xf>
    <xf numFmtId="0" fontId="5" fillId="58" borderId="382" applyNumberFormat="0" applyFont="0" applyAlignment="0" applyProtection="0"/>
    <xf numFmtId="0" fontId="50" fillId="0" borderId="378" applyNumberFormat="0" applyFill="0" applyAlignment="0" applyProtection="0"/>
    <xf numFmtId="49" fontId="33" fillId="0" borderId="396" applyNumberFormat="0" applyFill="0" applyBorder="0" applyProtection="0">
      <alignment horizontal="left" vertical="center"/>
    </xf>
    <xf numFmtId="0" fontId="34" fillId="0" borderId="372">
      <alignment horizontal="right" vertical="center"/>
    </xf>
    <xf numFmtId="0" fontId="5" fillId="58" borderId="371" applyNumberFormat="0" applyFont="0" applyAlignment="0" applyProtection="0"/>
    <xf numFmtId="0" fontId="58" fillId="42" borderId="387" applyNumberFormat="0" applyAlignment="0" applyProtection="0"/>
    <xf numFmtId="0" fontId="65" fillId="0" borderId="388" applyNumberFormat="0" applyFill="0" applyAlignment="0" applyProtection="0"/>
    <xf numFmtId="0" fontId="50" fillId="0" borderId="402" applyNumberFormat="0" applyFill="0" applyAlignment="0" applyProtection="0"/>
    <xf numFmtId="0" fontId="12" fillId="30" borderId="0" applyNumberFormat="0" applyBorder="0" applyAlignment="0" applyProtection="0"/>
    <xf numFmtId="0" fontId="58" fillId="42" borderId="377" applyNumberFormat="0" applyAlignment="0" applyProtection="0"/>
    <xf numFmtId="0" fontId="50" fillId="0" borderId="388" applyNumberFormat="0" applyFill="0" applyAlignment="0" applyProtection="0"/>
    <xf numFmtId="49" fontId="34" fillId="0" borderId="373" applyNumberFormat="0" applyFont="0" applyFill="0" applyBorder="0" applyProtection="0">
      <alignment horizontal="left" vertical="center" indent="5"/>
    </xf>
    <xf numFmtId="4" fontId="32" fillId="33" borderId="383">
      <alignment horizontal="right" vertical="center"/>
    </xf>
    <xf numFmtId="0" fontId="34" fillId="0" borderId="372" applyNumberFormat="0" applyFill="0" applyAlignment="0" applyProtection="0"/>
    <xf numFmtId="0" fontId="50" fillId="0" borderId="378" applyNumberFormat="0" applyFill="0" applyAlignment="0" applyProtection="0"/>
    <xf numFmtId="0" fontId="62" fillId="55" borderId="376" applyNumberFormat="0" applyAlignment="0" applyProtection="0"/>
    <xf numFmtId="4" fontId="32" fillId="33" borderId="372">
      <alignment horizontal="right" vertical="center"/>
    </xf>
    <xf numFmtId="4" fontId="34" fillId="32" borderId="372"/>
    <xf numFmtId="0" fontId="65" fillId="0" borderId="378" applyNumberFormat="0" applyFill="0" applyAlignment="0" applyProtection="0"/>
    <xf numFmtId="0" fontId="43" fillId="55" borderId="394" applyNumberFormat="0" applyAlignment="0" applyProtection="0"/>
    <xf numFmtId="0" fontId="43" fillId="55" borderId="376" applyNumberFormat="0" applyAlignment="0" applyProtection="0"/>
    <xf numFmtId="0" fontId="45" fillId="55" borderId="377" applyNumberFormat="0" applyAlignment="0" applyProtection="0"/>
    <xf numFmtId="0" fontId="46" fillId="55" borderId="377" applyNumberFormat="0" applyAlignment="0" applyProtection="0"/>
    <xf numFmtId="0" fontId="62" fillId="55" borderId="376" applyNumberFormat="0" applyAlignment="0" applyProtection="0"/>
    <xf numFmtId="0" fontId="32" fillId="33" borderId="374">
      <alignment horizontal="right" vertical="center"/>
    </xf>
    <xf numFmtId="0" fontId="34" fillId="0" borderId="372" applyNumberFormat="0" applyFill="0" applyAlignment="0" applyProtection="0"/>
    <xf numFmtId="49" fontId="34" fillId="0" borderId="373" applyNumberFormat="0" applyFont="0" applyFill="0" applyBorder="0" applyProtection="0">
      <alignment horizontal="left" vertical="center" indent="5"/>
    </xf>
    <xf numFmtId="0" fontId="65" fillId="0" borderId="378" applyNumberFormat="0" applyFill="0" applyAlignment="0" applyProtection="0"/>
    <xf numFmtId="0" fontId="34" fillId="0" borderId="372" applyNumberFormat="0" applyFill="0" applyAlignment="0" applyProtection="0"/>
    <xf numFmtId="0" fontId="5" fillId="58" borderId="382" applyNumberFormat="0" applyFont="0" applyAlignment="0" applyProtection="0"/>
    <xf numFmtId="0" fontId="26" fillId="17" borderId="0" applyNumberFormat="0" applyBorder="0" applyAlignment="0" applyProtection="0"/>
    <xf numFmtId="49" fontId="33" fillId="0" borderId="390" applyNumberFormat="0" applyFill="0" applyBorder="0" applyProtection="0">
      <alignment horizontal="left" vertical="center"/>
    </xf>
    <xf numFmtId="0" fontId="34" fillId="0" borderId="393">
      <alignment horizontal="left" vertical="center" wrapText="1" indent="2"/>
    </xf>
    <xf numFmtId="0" fontId="26" fillId="23" borderId="0" applyNumberFormat="0" applyBorder="0" applyAlignment="0" applyProtection="0"/>
    <xf numFmtId="0" fontId="32" fillId="33" borderId="384">
      <alignment horizontal="right" vertical="center"/>
    </xf>
    <xf numFmtId="0" fontId="34" fillId="0" borderId="383" applyNumberFormat="0" applyFill="0" applyAlignment="0" applyProtection="0"/>
    <xf numFmtId="0" fontId="40" fillId="58" borderId="371" applyNumberFormat="0" applyFont="0" applyAlignment="0" applyProtection="0"/>
    <xf numFmtId="0" fontId="45" fillId="55" borderId="409" applyNumberFormat="0" applyAlignment="0" applyProtection="0"/>
    <xf numFmtId="0" fontId="30" fillId="0" borderId="0" applyNumberFormat="0" applyFill="0" applyBorder="0" applyAlignment="0" applyProtection="0"/>
    <xf numFmtId="0" fontId="58" fillId="42" borderId="380" applyNumberFormat="0" applyAlignment="0" applyProtection="0"/>
    <xf numFmtId="0" fontId="32" fillId="31" borderId="383">
      <alignment horizontal="right" vertical="center"/>
    </xf>
    <xf numFmtId="4" fontId="32" fillId="33" borderId="384">
      <alignment horizontal="right" vertical="center"/>
    </xf>
    <xf numFmtId="173" fontId="34" fillId="59" borderId="383" applyNumberFormat="0" applyFont="0" applyBorder="0" applyAlignment="0" applyProtection="0">
      <alignment horizontal="right" vertical="center"/>
    </xf>
    <xf numFmtId="0" fontId="34" fillId="33" borderId="407">
      <alignment horizontal="left" vertical="center" wrapText="1" indent="2"/>
    </xf>
    <xf numFmtId="0" fontId="32" fillId="33" borderId="383">
      <alignment horizontal="right" vertical="center"/>
    </xf>
    <xf numFmtId="4" fontId="32" fillId="33" borderId="385">
      <alignment horizontal="right" vertical="center"/>
    </xf>
    <xf numFmtId="0" fontId="32" fillId="33" borderId="390">
      <alignment horizontal="right" vertical="center"/>
    </xf>
    <xf numFmtId="0" fontId="34" fillId="0" borderId="375">
      <alignment horizontal="left" vertical="center" wrapText="1" indent="2"/>
    </xf>
    <xf numFmtId="0" fontId="58" fillId="42" borderId="380" applyNumberFormat="0" applyAlignment="0" applyProtection="0"/>
    <xf numFmtId="4" fontId="32" fillId="31" borderId="372">
      <alignment horizontal="right" vertical="center"/>
    </xf>
    <xf numFmtId="4" fontId="32" fillId="33" borderId="383">
      <alignment horizontal="right" vertical="center"/>
    </xf>
    <xf numFmtId="0" fontId="49" fillId="42" borderId="380" applyNumberFormat="0" applyAlignment="0" applyProtection="0"/>
    <xf numFmtId="0" fontId="62" fillId="55" borderId="376" applyNumberFormat="0" applyAlignment="0" applyProtection="0"/>
    <xf numFmtId="49" fontId="34" fillId="0" borderId="373" applyNumberFormat="0" applyFont="0" applyFill="0" applyBorder="0" applyProtection="0">
      <alignment horizontal="left" vertical="center" indent="5"/>
    </xf>
    <xf numFmtId="4" fontId="34" fillId="0" borderId="372">
      <alignment horizontal="right" vertical="center"/>
    </xf>
    <xf numFmtId="0" fontId="5" fillId="58" borderId="382" applyNumberFormat="0" applyFont="0" applyAlignment="0" applyProtection="0"/>
    <xf numFmtId="0" fontId="5" fillId="58" borderId="389" applyNumberFormat="0" applyFont="0" applyAlignment="0" applyProtection="0"/>
    <xf numFmtId="0" fontId="46" fillId="55" borderId="387" applyNumberFormat="0" applyAlignment="0" applyProtection="0"/>
    <xf numFmtId="0" fontId="26" fillId="28" borderId="0" applyNumberFormat="0" applyBorder="0" applyAlignment="0" applyProtection="0"/>
    <xf numFmtId="0" fontId="50" fillId="0" borderId="378" applyNumberFormat="0" applyFill="0" applyAlignment="0" applyProtection="0"/>
    <xf numFmtId="0" fontId="50" fillId="0" borderId="388" applyNumberFormat="0" applyFill="0" applyAlignment="0" applyProtection="0"/>
    <xf numFmtId="4" fontId="32" fillId="33" borderId="374">
      <alignment horizontal="right" vertical="center"/>
    </xf>
    <xf numFmtId="4" fontId="32" fillId="33" borderId="372">
      <alignment horizontal="right" vertical="center"/>
    </xf>
    <xf numFmtId="4" fontId="32" fillId="33" borderId="372">
      <alignment horizontal="right" vertical="center"/>
    </xf>
    <xf numFmtId="0" fontId="65" fillId="0" borderId="378" applyNumberFormat="0" applyFill="0" applyAlignment="0" applyProtection="0"/>
    <xf numFmtId="0" fontId="46" fillId="55" borderId="377" applyNumberFormat="0" applyAlignment="0" applyProtection="0"/>
    <xf numFmtId="4" fontId="32" fillId="33" borderId="383">
      <alignment horizontal="right" vertical="center"/>
    </xf>
    <xf numFmtId="4" fontId="32" fillId="33" borderId="390">
      <alignment horizontal="right" vertical="center"/>
    </xf>
    <xf numFmtId="0" fontId="29" fillId="12" borderId="10" applyNumberFormat="0" applyAlignment="0" applyProtection="0"/>
    <xf numFmtId="49" fontId="33" fillId="0" borderId="372" applyNumberFormat="0" applyFill="0" applyBorder="0" applyProtection="0">
      <alignment horizontal="left" vertical="center"/>
    </xf>
    <xf numFmtId="0" fontId="5" fillId="58" borderId="371" applyNumberFormat="0" applyFont="0" applyAlignment="0" applyProtection="0"/>
    <xf numFmtId="0" fontId="26" fillId="26" borderId="0" applyNumberFormat="0" applyBorder="0" applyAlignment="0" applyProtection="0"/>
    <xf numFmtId="4" fontId="32" fillId="33" borderId="372">
      <alignment horizontal="right" vertical="center"/>
    </xf>
    <xf numFmtId="0" fontId="26" fillId="25" borderId="0" applyNumberFormat="0" applyBorder="0" applyAlignment="0" applyProtection="0"/>
    <xf numFmtId="49" fontId="34" fillId="0" borderId="384" applyNumberFormat="0" applyFont="0" applyFill="0" applyBorder="0" applyProtection="0">
      <alignment horizontal="left" vertical="center" indent="5"/>
    </xf>
    <xf numFmtId="0" fontId="40" fillId="58" borderId="382" applyNumberFormat="0" applyFont="0" applyAlignment="0" applyProtection="0"/>
    <xf numFmtId="4" fontId="32" fillId="33" borderId="385">
      <alignment horizontal="right" vertical="center"/>
    </xf>
    <xf numFmtId="4" fontId="36" fillId="31" borderId="383">
      <alignment horizontal="right" vertical="center"/>
    </xf>
    <xf numFmtId="49" fontId="34" fillId="0" borderId="372" applyNumberFormat="0" applyFont="0" applyFill="0" applyBorder="0" applyProtection="0">
      <alignment horizontal="left" vertical="center" indent="2"/>
    </xf>
    <xf numFmtId="0" fontId="65" fillId="0" borderId="378" applyNumberFormat="0" applyFill="0" applyAlignment="0" applyProtection="0"/>
    <xf numFmtId="4" fontId="34" fillId="0" borderId="372" applyFill="0" applyBorder="0" applyProtection="0">
      <alignment horizontal="right" vertical="center"/>
    </xf>
    <xf numFmtId="0" fontId="58" fillId="42" borderId="377" applyNumberFormat="0" applyAlignment="0" applyProtection="0"/>
    <xf numFmtId="49" fontId="33" fillId="0" borderId="372" applyNumberFormat="0" applyFill="0" applyBorder="0" applyProtection="0">
      <alignment horizontal="left" vertical="center"/>
    </xf>
    <xf numFmtId="49" fontId="34" fillId="0" borderId="372" applyNumberFormat="0" applyFont="0" applyFill="0" applyBorder="0" applyProtection="0">
      <alignment horizontal="left" vertical="center" indent="2"/>
    </xf>
    <xf numFmtId="4" fontId="34" fillId="0" borderId="372" applyFill="0" applyBorder="0" applyProtection="0">
      <alignment horizontal="right" vertical="center"/>
    </xf>
    <xf numFmtId="4" fontId="32" fillId="33" borderId="390">
      <alignment horizontal="right" vertical="center"/>
    </xf>
    <xf numFmtId="173" fontId="34" fillId="59" borderId="372" applyNumberFormat="0" applyFont="0" applyBorder="0" applyAlignment="0" applyProtection="0">
      <alignment horizontal="right" vertical="center"/>
    </xf>
    <xf numFmtId="0" fontId="46" fillId="55" borderId="380" applyNumberFormat="0" applyAlignment="0" applyProtection="0"/>
    <xf numFmtId="0" fontId="34" fillId="31" borderId="397">
      <alignment horizontal="left" vertical="center"/>
    </xf>
    <xf numFmtId="4" fontId="32" fillId="33" borderId="405">
      <alignment horizontal="right" vertical="center"/>
    </xf>
    <xf numFmtId="0" fontId="36" fillId="31" borderId="372">
      <alignment horizontal="right" vertical="center"/>
    </xf>
    <xf numFmtId="4" fontId="36" fillId="31" borderId="383">
      <alignment horizontal="right" vertical="center"/>
    </xf>
    <xf numFmtId="0" fontId="34" fillId="0" borderId="386">
      <alignment horizontal="left" vertical="center" wrapText="1" indent="2"/>
    </xf>
    <xf numFmtId="0" fontId="65" fillId="0" borderId="388" applyNumberFormat="0" applyFill="0" applyAlignment="0" applyProtection="0"/>
    <xf numFmtId="4" fontId="32" fillId="33" borderId="385">
      <alignment horizontal="right" vertical="center"/>
    </xf>
    <xf numFmtId="0" fontId="49" fillId="42" borderId="377" applyNumberFormat="0" applyAlignment="0" applyProtection="0"/>
    <xf numFmtId="4" fontId="32" fillId="33" borderId="372">
      <alignment horizontal="right" vertical="center"/>
    </xf>
    <xf numFmtId="0" fontId="34" fillId="31" borderId="373">
      <alignment horizontal="left" vertical="center"/>
    </xf>
    <xf numFmtId="0" fontId="36" fillId="31" borderId="396">
      <alignment horizontal="right" vertical="center"/>
    </xf>
    <xf numFmtId="0" fontId="34" fillId="32" borderId="383"/>
    <xf numFmtId="0" fontId="1" fillId="0" borderId="0" applyNumberFormat="0" applyFill="0" applyBorder="0" applyAlignment="0" applyProtection="0"/>
    <xf numFmtId="0" fontId="26" fillId="23" borderId="0" applyNumberFormat="0" applyBorder="0" applyAlignment="0" applyProtection="0"/>
    <xf numFmtId="0" fontId="36" fillId="31" borderId="383">
      <alignment horizontal="right" vertical="center"/>
    </xf>
    <xf numFmtId="0" fontId="32" fillId="33" borderId="385">
      <alignment horizontal="right" vertical="center"/>
    </xf>
    <xf numFmtId="173" fontId="34" fillId="59" borderId="396" applyNumberFormat="0" applyFont="0" applyBorder="0" applyAlignment="0" applyProtection="0">
      <alignment horizontal="right" vertical="center"/>
    </xf>
    <xf numFmtId="0" fontId="32" fillId="33" borderId="383">
      <alignment horizontal="right" vertical="center"/>
    </xf>
    <xf numFmtId="0" fontId="58" fillId="42" borderId="380" applyNumberFormat="0" applyAlignment="0" applyProtection="0"/>
    <xf numFmtId="0" fontId="65" fillId="0" borderId="381" applyNumberFormat="0" applyFill="0" applyAlignment="0" applyProtection="0"/>
    <xf numFmtId="0" fontId="12" fillId="27" borderId="0" applyNumberFormat="0" applyBorder="0" applyAlignment="0" applyProtection="0"/>
    <xf numFmtId="0" fontId="65" fillId="0" borderId="381" applyNumberFormat="0" applyFill="0" applyAlignment="0" applyProtection="0"/>
    <xf numFmtId="0" fontId="32" fillId="33" borderId="372">
      <alignment horizontal="right" vertical="center"/>
    </xf>
    <xf numFmtId="0" fontId="34" fillId="33" borderId="375">
      <alignment horizontal="left" vertical="center" wrapText="1" indent="2"/>
    </xf>
    <xf numFmtId="173" fontId="34" fillId="59" borderId="372" applyNumberFormat="0" applyFont="0" applyBorder="0" applyAlignment="0" applyProtection="0">
      <alignment horizontal="right" vertical="center"/>
    </xf>
    <xf numFmtId="0" fontId="40" fillId="58" borderId="371" applyNumberFormat="0" applyFont="0" applyAlignment="0" applyProtection="0"/>
    <xf numFmtId="49" fontId="34" fillId="0" borderId="372" applyNumberFormat="0" applyFont="0" applyFill="0" applyBorder="0" applyProtection="0">
      <alignment horizontal="left" vertical="center" indent="2"/>
    </xf>
    <xf numFmtId="0" fontId="58" fillId="42" borderId="380" applyNumberFormat="0" applyAlignment="0" applyProtection="0"/>
    <xf numFmtId="0" fontId="12" fillId="21" borderId="0" applyNumberFormat="0" applyBorder="0" applyAlignment="0" applyProtection="0"/>
    <xf numFmtId="0" fontId="32" fillId="33" borderId="391">
      <alignment horizontal="right" vertical="center"/>
    </xf>
    <xf numFmtId="0" fontId="26" fillId="13" borderId="0" applyNumberFormat="0" applyBorder="0" applyAlignment="0" applyProtection="0"/>
    <xf numFmtId="49" fontId="33" fillId="0" borderId="372" applyNumberFormat="0" applyFill="0" applyBorder="0" applyProtection="0">
      <alignment horizontal="left" vertical="center"/>
    </xf>
    <xf numFmtId="0" fontId="34" fillId="0" borderId="390">
      <alignment horizontal="right" vertical="center"/>
    </xf>
    <xf numFmtId="173" fontId="34" fillId="59" borderId="372" applyNumberFormat="0" applyFont="0" applyBorder="0" applyAlignment="0" applyProtection="0">
      <alignment horizontal="right" vertical="center"/>
    </xf>
    <xf numFmtId="0" fontId="62" fillId="55" borderId="376" applyNumberFormat="0" applyAlignment="0" applyProtection="0"/>
    <xf numFmtId="0" fontId="34" fillId="0" borderId="372">
      <alignment horizontal="right" vertical="center"/>
    </xf>
    <xf numFmtId="0" fontId="46" fillId="55" borderId="380" applyNumberFormat="0" applyAlignment="0" applyProtection="0"/>
    <xf numFmtId="0" fontId="34" fillId="32" borderId="372"/>
    <xf numFmtId="4" fontId="32" fillId="33" borderId="372">
      <alignment horizontal="right" vertical="center"/>
    </xf>
    <xf numFmtId="0" fontId="34" fillId="32" borderId="372"/>
    <xf numFmtId="0" fontId="58" fillId="42" borderId="377" applyNumberFormat="0" applyAlignment="0" applyProtection="0"/>
    <xf numFmtId="0" fontId="34" fillId="33" borderId="386">
      <alignment horizontal="left" vertical="center" wrapText="1" indent="2"/>
    </xf>
    <xf numFmtId="0" fontId="36" fillId="31" borderId="372">
      <alignment horizontal="right" vertical="center"/>
    </xf>
    <xf numFmtId="0" fontId="34" fillId="0" borderId="375">
      <alignment horizontal="left" vertical="center" wrapText="1" indent="2"/>
    </xf>
    <xf numFmtId="0" fontId="32" fillId="31" borderId="372">
      <alignment horizontal="right" vertical="center"/>
    </xf>
    <xf numFmtId="0" fontId="49" fillId="42" borderId="377" applyNumberFormat="0" applyAlignment="0" applyProtection="0"/>
    <xf numFmtId="0" fontId="34" fillId="33" borderId="375">
      <alignment horizontal="left" vertical="center" wrapText="1" indent="2"/>
    </xf>
    <xf numFmtId="0" fontId="50" fillId="0" borderId="381" applyNumberFormat="0" applyFill="0" applyAlignment="0" applyProtection="0"/>
    <xf numFmtId="4" fontId="34" fillId="0" borderId="383">
      <alignment horizontal="right" vertical="center"/>
    </xf>
    <xf numFmtId="4" fontId="32" fillId="33" borderId="383">
      <alignment horizontal="right" vertical="center"/>
    </xf>
    <xf numFmtId="0" fontId="58" fillId="42" borderId="380" applyNumberFormat="0" applyAlignment="0" applyProtection="0"/>
    <xf numFmtId="0" fontId="26" fillId="23" borderId="0" applyNumberFormat="0" applyBorder="0" applyAlignment="0" applyProtection="0"/>
    <xf numFmtId="0" fontId="58" fillId="42" borderId="401" applyNumberFormat="0" applyAlignment="0" applyProtection="0"/>
    <xf numFmtId="4" fontId="32" fillId="33" borderId="390">
      <alignment horizontal="right" vertical="center"/>
    </xf>
    <xf numFmtId="49" fontId="34" fillId="0" borderId="383" applyNumberFormat="0" applyFont="0" applyFill="0" applyBorder="0" applyProtection="0">
      <alignment horizontal="left" vertical="center" indent="2"/>
    </xf>
    <xf numFmtId="0" fontId="65" fillId="0" borderId="388" applyNumberFormat="0" applyFill="0" applyAlignment="0" applyProtection="0"/>
    <xf numFmtId="0" fontId="45" fillId="55" borderId="377" applyNumberFormat="0" applyAlignment="0" applyProtection="0"/>
    <xf numFmtId="0" fontId="36" fillId="31" borderId="372">
      <alignment horizontal="right" vertical="center"/>
    </xf>
    <xf numFmtId="0" fontId="50" fillId="0" borderId="381" applyNumberFormat="0" applyFill="0" applyAlignment="0" applyProtection="0"/>
    <xf numFmtId="4" fontId="32" fillId="33" borderId="392">
      <alignment horizontal="right" vertical="center"/>
    </xf>
    <xf numFmtId="0" fontId="65" fillId="0" borderId="402" applyNumberFormat="0" applyFill="0" applyAlignment="0" applyProtection="0"/>
    <xf numFmtId="0" fontId="1" fillId="0" borderId="0" applyNumberFormat="0" applyFill="0" applyBorder="0" applyAlignment="0" applyProtection="0"/>
    <xf numFmtId="0" fontId="26" fillId="19" borderId="0" applyNumberFormat="0" applyBorder="0" applyAlignment="0" applyProtection="0"/>
    <xf numFmtId="0" fontId="58" fillId="42" borderId="412" applyNumberFormat="0" applyAlignment="0" applyProtection="0"/>
    <xf numFmtId="0" fontId="43" fillId="55" borderId="379" applyNumberFormat="0" applyAlignment="0" applyProtection="0"/>
    <xf numFmtId="0" fontId="30" fillId="0" borderId="0" applyNumberFormat="0" applyFill="0" applyBorder="0" applyAlignment="0" applyProtection="0"/>
    <xf numFmtId="4" fontId="32" fillId="33" borderId="384">
      <alignment horizontal="right" vertical="center"/>
    </xf>
    <xf numFmtId="0" fontId="50" fillId="0" borderId="381" applyNumberFormat="0" applyFill="0" applyAlignment="0" applyProtection="0"/>
    <xf numFmtId="0" fontId="32" fillId="33" borderId="372">
      <alignment horizontal="right" vertical="center"/>
    </xf>
    <xf numFmtId="4" fontId="34" fillId="0" borderId="372" applyFill="0" applyBorder="0" applyProtection="0">
      <alignment horizontal="right" vertical="center"/>
    </xf>
    <xf numFmtId="0" fontId="34" fillId="33" borderId="375">
      <alignment horizontal="left" vertical="center" wrapText="1" indent="2"/>
    </xf>
    <xf numFmtId="0" fontId="40" fillId="58" borderId="371" applyNumberFormat="0" applyFont="0" applyAlignment="0" applyProtection="0"/>
    <xf numFmtId="0" fontId="49" fillId="42" borderId="377" applyNumberFormat="0" applyAlignment="0" applyProtection="0"/>
    <xf numFmtId="4" fontId="34" fillId="32" borderId="372"/>
    <xf numFmtId="4" fontId="34" fillId="0" borderId="372" applyFill="0" applyBorder="0" applyProtection="0">
      <alignment horizontal="right" vertical="center"/>
    </xf>
    <xf numFmtId="0" fontId="65" fillId="0" borderId="378" applyNumberFormat="0" applyFill="0" applyAlignment="0" applyProtection="0"/>
    <xf numFmtId="0" fontId="34" fillId="31" borderId="373">
      <alignment horizontal="left" vertical="center"/>
    </xf>
    <xf numFmtId="0" fontId="34" fillId="0" borderId="375">
      <alignment horizontal="left" vertical="center" wrapText="1" indent="2"/>
    </xf>
    <xf numFmtId="0" fontId="32" fillId="33" borderId="383">
      <alignment horizontal="right" vertical="center"/>
    </xf>
    <xf numFmtId="0" fontId="58" fillId="42" borderId="377" applyNumberFormat="0" applyAlignment="0" applyProtection="0"/>
    <xf numFmtId="0" fontId="34" fillId="0" borderId="399">
      <alignment horizontal="left" vertical="center" wrapText="1" indent="2"/>
    </xf>
    <xf numFmtId="0" fontId="34" fillId="33" borderId="375">
      <alignment horizontal="left" vertical="center" wrapText="1" indent="2"/>
    </xf>
    <xf numFmtId="0" fontId="45" fillId="55" borderId="387" applyNumberFormat="0" applyAlignment="0" applyProtection="0"/>
    <xf numFmtId="0" fontId="26" fillId="17" borderId="0" applyNumberFormat="0" applyBorder="0" applyAlignment="0" applyProtection="0"/>
    <xf numFmtId="4" fontId="32" fillId="33" borderId="384">
      <alignment horizontal="right" vertical="center"/>
    </xf>
    <xf numFmtId="0" fontId="58" fillId="42" borderId="380" applyNumberFormat="0" applyAlignment="0" applyProtection="0"/>
    <xf numFmtId="0" fontId="40" fillId="58" borderId="371" applyNumberFormat="0" applyFont="0" applyAlignment="0" applyProtection="0"/>
    <xf numFmtId="0" fontId="58" fillId="42" borderId="377" applyNumberFormat="0" applyAlignment="0" applyProtection="0"/>
    <xf numFmtId="0" fontId="46" fillId="55" borderId="380" applyNumberFormat="0" applyAlignment="0" applyProtection="0"/>
    <xf numFmtId="4" fontId="34" fillId="32" borderId="372"/>
    <xf numFmtId="0" fontId="46" fillId="55" borderId="377" applyNumberFormat="0" applyAlignment="0" applyProtection="0"/>
    <xf numFmtId="0" fontId="58" fillId="42" borderId="377" applyNumberFormat="0" applyAlignment="0" applyProtection="0"/>
    <xf numFmtId="4" fontId="32" fillId="33" borderId="372">
      <alignment horizontal="right" vertical="center"/>
    </xf>
    <xf numFmtId="0" fontId="50" fillId="0" borderId="378" applyNumberFormat="0" applyFill="0" applyAlignment="0" applyProtection="0"/>
    <xf numFmtId="0" fontId="29" fillId="12" borderId="10" applyNumberFormat="0" applyAlignment="0" applyProtection="0"/>
    <xf numFmtId="0" fontId="12" fillId="18" borderId="0" applyNumberFormat="0" applyBorder="0" applyAlignment="0" applyProtection="0"/>
    <xf numFmtId="173" fontId="34" fillId="59" borderId="383" applyNumberFormat="0" applyFont="0" applyBorder="0" applyAlignment="0" applyProtection="0">
      <alignment horizontal="right" vertical="center"/>
    </xf>
    <xf numFmtId="49" fontId="34" fillId="0" borderId="390" applyNumberFormat="0" applyFont="0" applyFill="0" applyBorder="0" applyProtection="0">
      <alignment horizontal="left" vertical="center" indent="2"/>
    </xf>
    <xf numFmtId="0" fontId="26" fillId="26" borderId="0" applyNumberFormat="0" applyBorder="0" applyAlignment="0" applyProtection="0"/>
    <xf numFmtId="0" fontId="46" fillId="55" borderId="380" applyNumberFormat="0" applyAlignment="0" applyProtection="0"/>
    <xf numFmtId="4" fontId="34" fillId="0" borderId="372" applyFill="0" applyBorder="0" applyProtection="0">
      <alignment horizontal="right" vertical="center"/>
    </xf>
    <xf numFmtId="4" fontId="36" fillId="31" borderId="383">
      <alignment horizontal="right" vertical="center"/>
    </xf>
    <xf numFmtId="0" fontId="49" fillId="42" borderId="377" applyNumberFormat="0" applyAlignment="0" applyProtection="0"/>
    <xf numFmtId="4" fontId="36" fillId="31" borderId="383">
      <alignment horizontal="right" vertical="center"/>
    </xf>
    <xf numFmtId="0" fontId="46" fillId="55" borderId="380" applyNumberFormat="0" applyAlignment="0" applyProtection="0"/>
    <xf numFmtId="4" fontId="32" fillId="33" borderId="383">
      <alignment horizontal="right" vertical="center"/>
    </xf>
    <xf numFmtId="0" fontId="34" fillId="32" borderId="390"/>
    <xf numFmtId="0" fontId="62" fillId="55" borderId="379" applyNumberFormat="0" applyAlignment="0" applyProtection="0"/>
    <xf numFmtId="0" fontId="26" fillId="22" borderId="0" applyNumberFormat="0" applyBorder="0" applyAlignment="0" applyProtection="0"/>
    <xf numFmtId="0" fontId="34" fillId="33" borderId="375">
      <alignment horizontal="left" vertical="center" wrapText="1" indent="2"/>
    </xf>
    <xf numFmtId="0" fontId="36" fillId="31" borderId="383">
      <alignment horizontal="right" vertical="center"/>
    </xf>
    <xf numFmtId="0" fontId="62" fillId="55" borderId="376" applyNumberFormat="0" applyAlignment="0" applyProtection="0"/>
    <xf numFmtId="0" fontId="58" fillId="42" borderId="377" applyNumberFormat="0" applyAlignment="0" applyProtection="0"/>
    <xf numFmtId="4" fontId="32" fillId="33" borderId="372">
      <alignment horizontal="right" vertical="center"/>
    </xf>
    <xf numFmtId="0" fontId="34" fillId="32" borderId="372"/>
    <xf numFmtId="0" fontId="34" fillId="32" borderId="396"/>
    <xf numFmtId="0" fontId="62" fillId="55" borderId="379" applyNumberFormat="0" applyAlignment="0" applyProtection="0"/>
    <xf numFmtId="0" fontId="34" fillId="0" borderId="375">
      <alignment horizontal="left" vertical="center" wrapText="1" indent="2"/>
    </xf>
    <xf numFmtId="4" fontId="34" fillId="0" borderId="383" applyFill="0" applyBorder="0" applyProtection="0">
      <alignment horizontal="right" vertical="center"/>
    </xf>
    <xf numFmtId="0" fontId="34" fillId="0" borderId="404">
      <alignment horizontal="right" vertical="center"/>
    </xf>
    <xf numFmtId="0" fontId="12" fillId="24" borderId="0" applyNumberFormat="0" applyBorder="0" applyAlignment="0" applyProtection="0"/>
    <xf numFmtId="0" fontId="50" fillId="0" borderId="388" applyNumberFormat="0" applyFill="0" applyAlignment="0" applyProtection="0"/>
    <xf numFmtId="49" fontId="33" fillId="0" borderId="383" applyNumberFormat="0" applyFill="0" applyBorder="0" applyProtection="0">
      <alignment horizontal="left" vertical="center"/>
    </xf>
    <xf numFmtId="0" fontId="45" fillId="55" borderId="377" applyNumberFormat="0" applyAlignment="0" applyProtection="0"/>
    <xf numFmtId="0" fontId="1" fillId="0" borderId="0" applyNumberFormat="0" applyFill="0" applyBorder="0" applyAlignment="0" applyProtection="0"/>
    <xf numFmtId="0" fontId="26" fillId="22" borderId="0" applyNumberFormat="0" applyBorder="0" applyAlignment="0" applyProtection="0"/>
    <xf numFmtId="4" fontId="32" fillId="31" borderId="372">
      <alignment horizontal="right" vertical="center"/>
    </xf>
    <xf numFmtId="0" fontId="12" fillId="27" borderId="0" applyNumberFormat="0" applyBorder="0" applyAlignment="0" applyProtection="0"/>
    <xf numFmtId="0" fontId="32" fillId="31" borderId="372">
      <alignment horizontal="right" vertical="center"/>
    </xf>
    <xf numFmtId="0" fontId="32" fillId="33" borderId="372">
      <alignment horizontal="right" vertical="center"/>
    </xf>
    <xf numFmtId="0" fontId="34" fillId="0" borderId="390">
      <alignment horizontal="right" vertical="center"/>
    </xf>
    <xf numFmtId="0" fontId="43" fillId="55" borderId="379" applyNumberFormat="0" applyAlignment="0" applyProtection="0"/>
    <xf numFmtId="4" fontId="32" fillId="31" borderId="390">
      <alignment horizontal="right" vertical="center"/>
    </xf>
    <xf numFmtId="0" fontId="26" fillId="29" borderId="0" applyNumberFormat="0" applyBorder="0" applyAlignment="0" applyProtection="0"/>
    <xf numFmtId="0" fontId="34" fillId="33" borderId="393">
      <alignment horizontal="left" vertical="center" wrapText="1" indent="2"/>
    </xf>
    <xf numFmtId="0" fontId="62" fillId="55" borderId="376" applyNumberFormat="0" applyAlignment="0" applyProtection="0"/>
    <xf numFmtId="49" fontId="33" fillId="0" borderId="383" applyNumberFormat="0" applyFill="0" applyBorder="0" applyProtection="0">
      <alignment horizontal="left" vertical="center"/>
    </xf>
    <xf numFmtId="49" fontId="34" fillId="0" borderId="372" applyNumberFormat="0" applyFont="0" applyFill="0" applyBorder="0" applyProtection="0">
      <alignment horizontal="left" vertical="center" indent="2"/>
    </xf>
    <xf numFmtId="0" fontId="36" fillId="31" borderId="383">
      <alignment horizontal="right" vertical="center"/>
    </xf>
    <xf numFmtId="0" fontId="40" fillId="58" borderId="371" applyNumberFormat="0" applyFont="0" applyAlignment="0" applyProtection="0"/>
    <xf numFmtId="173" fontId="34" fillId="59" borderId="372" applyNumberFormat="0" applyFont="0" applyBorder="0" applyAlignment="0" applyProtection="0">
      <alignment horizontal="right" vertical="center"/>
    </xf>
    <xf numFmtId="0" fontId="58" fillId="42" borderId="377" applyNumberFormat="0" applyAlignment="0" applyProtection="0"/>
    <xf numFmtId="0" fontId="32" fillId="33" borderId="372">
      <alignment horizontal="right" vertical="center"/>
    </xf>
    <xf numFmtId="0" fontId="34" fillId="32" borderId="372"/>
    <xf numFmtId="0" fontId="62" fillId="55" borderId="376" applyNumberFormat="0" applyAlignment="0" applyProtection="0"/>
    <xf numFmtId="0" fontId="46" fillId="55" borderId="377" applyNumberFormat="0" applyAlignment="0" applyProtection="0"/>
    <xf numFmtId="0" fontId="45" fillId="55" borderId="377" applyNumberFormat="0" applyAlignment="0" applyProtection="0"/>
    <xf numFmtId="0" fontId="49" fillId="42" borderId="377" applyNumberFormat="0" applyAlignment="0" applyProtection="0"/>
    <xf numFmtId="0" fontId="49" fillId="42" borderId="377" applyNumberFormat="0" applyAlignment="0" applyProtection="0"/>
    <xf numFmtId="0" fontId="34" fillId="0" borderId="375">
      <alignment horizontal="left" vertical="center" wrapText="1" indent="2"/>
    </xf>
    <xf numFmtId="4" fontId="32" fillId="33" borderId="373">
      <alignment horizontal="right" vertical="center"/>
    </xf>
    <xf numFmtId="4" fontId="34" fillId="0" borderId="372">
      <alignment horizontal="right" vertical="center"/>
    </xf>
    <xf numFmtId="49" fontId="33" fillId="0" borderId="372" applyNumberFormat="0" applyFill="0" applyBorder="0" applyProtection="0">
      <alignment horizontal="left" vertical="center"/>
    </xf>
    <xf numFmtId="4" fontId="34" fillId="0" borderId="372">
      <alignment horizontal="right" vertical="center"/>
    </xf>
    <xf numFmtId="0" fontId="62" fillId="55" borderId="376" applyNumberFormat="0" applyAlignment="0" applyProtection="0"/>
    <xf numFmtId="0" fontId="58" fillId="42" borderId="380" applyNumberFormat="0" applyAlignment="0" applyProtection="0"/>
    <xf numFmtId="0" fontId="45" fillId="55" borderId="380" applyNumberFormat="0" applyAlignment="0" applyProtection="0"/>
    <xf numFmtId="0" fontId="32" fillId="33" borderId="405">
      <alignment horizontal="right" vertical="center"/>
    </xf>
    <xf numFmtId="0" fontId="36" fillId="31" borderId="383">
      <alignment horizontal="right" vertical="center"/>
    </xf>
    <xf numFmtId="49" fontId="33" fillId="0" borderId="383" applyNumberFormat="0" applyFill="0" applyBorder="0" applyProtection="0">
      <alignment horizontal="left" vertical="center"/>
    </xf>
    <xf numFmtId="0" fontId="65" fillId="0" borderId="381" applyNumberFormat="0" applyFill="0" applyAlignment="0" applyProtection="0"/>
    <xf numFmtId="0" fontId="12" fillId="15" borderId="0" applyNumberFormat="0" applyBorder="0" applyAlignment="0" applyProtection="0"/>
    <xf numFmtId="0" fontId="34" fillId="0" borderId="375">
      <alignment horizontal="left" vertical="center" wrapText="1" indent="2"/>
    </xf>
    <xf numFmtId="0" fontId="12" fillId="21" borderId="0" applyNumberFormat="0" applyBorder="0" applyAlignment="0" applyProtection="0"/>
    <xf numFmtId="0" fontId="50" fillId="0" borderId="381" applyNumberFormat="0" applyFill="0" applyAlignment="0" applyProtection="0"/>
    <xf numFmtId="0" fontId="46" fillId="55" borderId="387" applyNumberFormat="0" applyAlignment="0" applyProtection="0"/>
    <xf numFmtId="49" fontId="34" fillId="0" borderId="390" applyNumberFormat="0" applyFont="0" applyFill="0" applyBorder="0" applyProtection="0">
      <alignment horizontal="left" vertical="center" indent="2"/>
    </xf>
    <xf numFmtId="49" fontId="34" fillId="0" borderId="396" applyNumberFormat="0" applyFont="0" applyFill="0" applyBorder="0" applyProtection="0">
      <alignment horizontal="left" vertical="center" indent="2"/>
    </xf>
    <xf numFmtId="0" fontId="58" fillId="42" borderId="380" applyNumberFormat="0" applyAlignment="0" applyProtection="0"/>
    <xf numFmtId="0" fontId="26" fillId="28" borderId="0" applyNumberFormat="0" applyBorder="0" applyAlignment="0" applyProtection="0"/>
    <xf numFmtId="0" fontId="32" fillId="33" borderId="398">
      <alignment horizontal="right" vertical="center"/>
    </xf>
    <xf numFmtId="0" fontId="34" fillId="0" borderId="383">
      <alignment horizontal="right" vertical="center"/>
    </xf>
    <xf numFmtId="0" fontId="40" fillId="58" borderId="371" applyNumberFormat="0" applyFont="0" applyAlignment="0" applyProtection="0"/>
    <xf numFmtId="0" fontId="49" fillId="42" borderId="387" applyNumberFormat="0" applyAlignment="0" applyProtection="0"/>
    <xf numFmtId="0" fontId="32" fillId="31" borderId="372">
      <alignment horizontal="right" vertical="center"/>
    </xf>
    <xf numFmtId="0" fontId="12" fillId="18" borderId="0" applyNumberFormat="0" applyBorder="0" applyAlignment="0" applyProtection="0"/>
    <xf numFmtId="0" fontId="65" fillId="0" borderId="381" applyNumberFormat="0" applyFill="0" applyAlignment="0" applyProtection="0"/>
    <xf numFmtId="0" fontId="34" fillId="0" borderId="372" applyNumberFormat="0" applyFill="0" applyAlignment="0" applyProtection="0"/>
    <xf numFmtId="49" fontId="33" fillId="0" borderId="372" applyNumberFormat="0" applyFill="0" applyBorder="0" applyProtection="0">
      <alignment horizontal="left" vertical="center"/>
    </xf>
    <xf numFmtId="0" fontId="34" fillId="0" borderId="372">
      <alignment horizontal="right" vertical="center"/>
    </xf>
    <xf numFmtId="0" fontId="58" fillId="42" borderId="380" applyNumberFormat="0" applyAlignment="0" applyProtection="0"/>
    <xf numFmtId="0" fontId="65" fillId="0" borderId="388" applyNumberFormat="0" applyFill="0" applyAlignment="0" applyProtection="0"/>
    <xf numFmtId="0" fontId="32" fillId="31" borderId="390">
      <alignment horizontal="right" vertical="center"/>
    </xf>
    <xf numFmtId="0" fontId="50" fillId="0" borderId="410" applyNumberFormat="0" applyFill="0" applyAlignment="0" applyProtection="0"/>
    <xf numFmtId="4" fontId="32" fillId="31" borderId="372">
      <alignment horizontal="right" vertical="center"/>
    </xf>
    <xf numFmtId="4" fontId="36" fillId="31" borderId="383">
      <alignment horizontal="right" vertical="center"/>
    </xf>
    <xf numFmtId="0" fontId="46" fillId="55" borderId="377" applyNumberFormat="0" applyAlignment="0" applyProtection="0"/>
    <xf numFmtId="0" fontId="32" fillId="33" borderId="374">
      <alignment horizontal="right" vertical="center"/>
    </xf>
    <xf numFmtId="4" fontId="32" fillId="31" borderId="372">
      <alignment horizontal="right" vertical="center"/>
    </xf>
    <xf numFmtId="0" fontId="32" fillId="33" borderId="372">
      <alignment horizontal="right" vertical="center"/>
    </xf>
    <xf numFmtId="0" fontId="46" fillId="55" borderId="377" applyNumberFormat="0" applyAlignment="0" applyProtection="0"/>
    <xf numFmtId="4" fontId="36" fillId="31" borderId="383">
      <alignment horizontal="right" vertical="center"/>
    </xf>
    <xf numFmtId="4" fontId="34" fillId="32" borderId="383"/>
    <xf numFmtId="0" fontId="28" fillId="12" borderId="11" applyNumberFormat="0" applyAlignment="0" applyProtection="0"/>
    <xf numFmtId="4" fontId="34" fillId="0" borderId="372" applyFill="0" applyBorder="0" applyProtection="0">
      <alignment horizontal="right" vertical="center"/>
    </xf>
    <xf numFmtId="0" fontId="40" fillId="58" borderId="371" applyNumberFormat="0" applyFont="0" applyAlignment="0" applyProtection="0"/>
    <xf numFmtId="4" fontId="32" fillId="33" borderId="390">
      <alignment horizontal="right" vertical="center"/>
    </xf>
    <xf numFmtId="173" fontId="34" fillId="59" borderId="383" applyNumberFormat="0" applyFont="0" applyBorder="0" applyAlignment="0" applyProtection="0">
      <alignment horizontal="right" vertical="center"/>
    </xf>
    <xf numFmtId="0" fontId="32" fillId="33" borderId="390">
      <alignment horizontal="right" vertical="center"/>
    </xf>
    <xf numFmtId="0" fontId="46" fillId="55" borderId="380" applyNumberFormat="0" applyAlignment="0" applyProtection="0"/>
    <xf numFmtId="4" fontId="32" fillId="33" borderId="384">
      <alignment horizontal="right" vertical="center"/>
    </xf>
    <xf numFmtId="4" fontId="34" fillId="32" borderId="390"/>
    <xf numFmtId="0" fontId="49" fillId="42" borderId="380" applyNumberFormat="0" applyAlignment="0" applyProtection="0"/>
    <xf numFmtId="0" fontId="32" fillId="31" borderId="372">
      <alignment horizontal="right" vertical="center"/>
    </xf>
    <xf numFmtId="0" fontId="50" fillId="0" borderId="378" applyNumberFormat="0" applyFill="0" applyAlignment="0" applyProtection="0"/>
    <xf numFmtId="0" fontId="34" fillId="0" borderId="372" applyNumberFormat="0" applyFill="0" applyAlignment="0" applyProtection="0"/>
    <xf numFmtId="0" fontId="50" fillId="0" borderId="378" applyNumberFormat="0" applyFill="0" applyAlignment="0" applyProtection="0"/>
    <xf numFmtId="4" fontId="34" fillId="0" borderId="372" applyFill="0" applyBorder="0" applyProtection="0">
      <alignment horizontal="right" vertical="center"/>
    </xf>
    <xf numFmtId="49" fontId="34" fillId="0" borderId="373" applyNumberFormat="0" applyFont="0" applyFill="0" applyBorder="0" applyProtection="0">
      <alignment horizontal="left" vertical="center" indent="5"/>
    </xf>
    <xf numFmtId="0" fontId="34" fillId="0" borderId="372" applyNumberFormat="0" applyFill="0" applyAlignment="0" applyProtection="0"/>
    <xf numFmtId="4" fontId="34" fillId="0" borderId="390" applyFill="0" applyBorder="0" applyProtection="0">
      <alignment horizontal="right" vertical="center"/>
    </xf>
    <xf numFmtId="0" fontId="34" fillId="0" borderId="372" applyNumberFormat="0" applyFill="0" applyAlignment="0" applyProtection="0"/>
    <xf numFmtId="0" fontId="34" fillId="0" borderId="386">
      <alignment horizontal="left" vertical="center" wrapText="1" indent="2"/>
    </xf>
    <xf numFmtId="0" fontId="65" fillId="0" borderId="388" applyNumberFormat="0" applyFill="0" applyAlignment="0" applyProtection="0"/>
    <xf numFmtId="4" fontId="32" fillId="33" borderId="372">
      <alignment horizontal="right" vertical="center"/>
    </xf>
    <xf numFmtId="49" fontId="34" fillId="0" borderId="383" applyNumberFormat="0" applyFont="0" applyFill="0" applyBorder="0" applyProtection="0">
      <alignment horizontal="left" vertical="center" indent="2"/>
    </xf>
    <xf numFmtId="0" fontId="34" fillId="32" borderId="383"/>
    <xf numFmtId="0" fontId="12" fillId="21" borderId="0" applyNumberFormat="0" applyBorder="0" applyAlignment="0" applyProtection="0"/>
    <xf numFmtId="0" fontId="40" fillId="58" borderId="403" applyNumberFormat="0" applyFont="0" applyAlignment="0" applyProtection="0"/>
    <xf numFmtId="0" fontId="49" fillId="42" borderId="377" applyNumberFormat="0" applyAlignment="0" applyProtection="0"/>
    <xf numFmtId="0" fontId="46" fillId="55" borderId="377" applyNumberFormat="0" applyAlignment="0" applyProtection="0"/>
    <xf numFmtId="4" fontId="34" fillId="0" borderId="372">
      <alignment horizontal="right" vertical="center"/>
    </xf>
    <xf numFmtId="0" fontId="34" fillId="33" borderId="375">
      <alignment horizontal="left" vertical="center" wrapText="1" indent="2"/>
    </xf>
    <xf numFmtId="0" fontId="34" fillId="0" borderId="375">
      <alignment horizontal="left" vertical="center" wrapText="1" indent="2"/>
    </xf>
    <xf numFmtId="0" fontId="62" fillId="55" borderId="376" applyNumberFormat="0" applyAlignment="0" applyProtection="0"/>
    <xf numFmtId="0" fontId="58" fillId="42" borderId="377" applyNumberFormat="0" applyAlignment="0" applyProtection="0"/>
    <xf numFmtId="0" fontId="45" fillId="55" borderId="377" applyNumberFormat="0" applyAlignment="0" applyProtection="0"/>
    <xf numFmtId="0" fontId="43" fillId="55" borderId="376" applyNumberFormat="0" applyAlignment="0" applyProtection="0"/>
    <xf numFmtId="0" fontId="32" fillId="33" borderId="374">
      <alignment horizontal="right" vertical="center"/>
    </xf>
    <xf numFmtId="0" fontId="36" fillId="31" borderId="372">
      <alignment horizontal="right" vertical="center"/>
    </xf>
    <xf numFmtId="4" fontId="32" fillId="31" borderId="372">
      <alignment horizontal="right" vertical="center"/>
    </xf>
    <xf numFmtId="4" fontId="32" fillId="33" borderId="372">
      <alignment horizontal="right" vertical="center"/>
    </xf>
    <xf numFmtId="49" fontId="34" fillId="0" borderId="373" applyNumberFormat="0" applyFont="0" applyFill="0" applyBorder="0" applyProtection="0">
      <alignment horizontal="left" vertical="center" indent="5"/>
    </xf>
    <xf numFmtId="4" fontId="34" fillId="0" borderId="372" applyFill="0" applyBorder="0" applyProtection="0">
      <alignment horizontal="right" vertical="center"/>
    </xf>
    <xf numFmtId="4" fontId="32" fillId="31" borderId="372">
      <alignment horizontal="right" vertical="center"/>
    </xf>
    <xf numFmtId="0" fontId="58" fillId="42" borderId="377" applyNumberFormat="0" applyAlignment="0" applyProtection="0"/>
    <xf numFmtId="0" fontId="49" fillId="42" borderId="377" applyNumberFormat="0" applyAlignment="0" applyProtection="0"/>
    <xf numFmtId="0" fontId="45" fillId="55" borderId="377" applyNumberFormat="0" applyAlignment="0" applyProtection="0"/>
    <xf numFmtId="0" fontId="34" fillId="33" borderId="375">
      <alignment horizontal="left" vertical="center" wrapText="1" indent="2"/>
    </xf>
    <xf numFmtId="0" fontId="34" fillId="0" borderId="375">
      <alignment horizontal="left" vertical="center" wrapText="1" indent="2"/>
    </xf>
    <xf numFmtId="0" fontId="34" fillId="33" borderId="375">
      <alignment horizontal="left" vertical="center" wrapText="1" indent="2"/>
    </xf>
    <xf numFmtId="0" fontId="34" fillId="31" borderId="384">
      <alignment horizontal="left" vertical="center"/>
    </xf>
    <xf numFmtId="0" fontId="62" fillId="55" borderId="379" applyNumberFormat="0" applyAlignment="0" applyProtection="0"/>
    <xf numFmtId="0" fontId="26" fillId="14" borderId="0" applyNumberFormat="0" applyBorder="0" applyAlignment="0" applyProtection="0"/>
    <xf numFmtId="4" fontId="32" fillId="33" borderId="397">
      <alignment horizontal="right" vertical="center"/>
    </xf>
    <xf numFmtId="0" fontId="40" fillId="58" borderId="389" applyNumberFormat="0" applyFont="0" applyAlignment="0" applyProtection="0"/>
    <xf numFmtId="4" fontId="36" fillId="31" borderId="390">
      <alignment horizontal="right" vertical="center"/>
    </xf>
    <xf numFmtId="0" fontId="32" fillId="33" borderId="392">
      <alignment horizontal="right" vertical="center"/>
    </xf>
    <xf numFmtId="4" fontId="34" fillId="32" borderId="390"/>
    <xf numFmtId="0" fontId="12" fillId="15" borderId="0" applyNumberFormat="0" applyBorder="0" applyAlignment="0" applyProtection="0"/>
    <xf numFmtId="0" fontId="40" fillId="58" borderId="389" applyNumberFormat="0" applyFont="0" applyAlignment="0" applyProtection="0"/>
    <xf numFmtId="0" fontId="65" fillId="0" borderId="388" applyNumberFormat="0" applyFill="0" applyAlignment="0" applyProtection="0"/>
    <xf numFmtId="0" fontId="40" fillId="58" borderId="395" applyNumberFormat="0" applyFont="0" applyAlignment="0" applyProtection="0"/>
    <xf numFmtId="0" fontId="26" fillId="13" borderId="0" applyNumberFormat="0" applyBorder="0" applyAlignment="0" applyProtection="0"/>
    <xf numFmtId="0" fontId="32" fillId="33" borderId="390">
      <alignment horizontal="right" vertical="center"/>
    </xf>
    <xf numFmtId="0" fontId="40" fillId="58" borderId="389" applyNumberFormat="0" applyFont="0" applyAlignment="0" applyProtection="0"/>
    <xf numFmtId="0" fontId="12" fillId="27" borderId="0" applyNumberFormat="0" applyBorder="0" applyAlignment="0" applyProtection="0"/>
    <xf numFmtId="0" fontId="65" fillId="0" borderId="388" applyNumberFormat="0" applyFill="0" applyAlignment="0" applyProtection="0"/>
    <xf numFmtId="0" fontId="65" fillId="0" borderId="402" applyNumberFormat="0" applyFill="0" applyAlignment="0" applyProtection="0"/>
    <xf numFmtId="4" fontId="34" fillId="32" borderId="390"/>
    <xf numFmtId="4" fontId="32" fillId="33" borderId="396">
      <alignment horizontal="right" vertical="center"/>
    </xf>
    <xf numFmtId="0" fontId="43" fillId="55" borderId="394" applyNumberFormat="0" applyAlignment="0" applyProtection="0"/>
    <xf numFmtId="0" fontId="28" fillId="12" borderId="11" applyNumberFormat="0" applyAlignment="0" applyProtection="0"/>
    <xf numFmtId="0" fontId="46" fillId="55" borderId="387" applyNumberFormat="0" applyAlignment="0" applyProtection="0"/>
    <xf numFmtId="0" fontId="62" fillId="55" borderId="394" applyNumberFormat="0" applyAlignment="0" applyProtection="0"/>
    <xf numFmtId="4" fontId="32" fillId="31" borderId="390">
      <alignment horizontal="right" vertical="center"/>
    </xf>
    <xf numFmtId="0" fontId="34" fillId="0" borderId="390">
      <alignment horizontal="right" vertical="center"/>
    </xf>
    <xf numFmtId="0" fontId="34" fillId="32" borderId="396"/>
    <xf numFmtId="0" fontId="32" fillId="33" borderId="396">
      <alignment horizontal="right" vertical="center"/>
    </xf>
    <xf numFmtId="0" fontId="40" fillId="58" borderId="389" applyNumberFormat="0" applyFont="0" applyAlignment="0" applyProtection="0"/>
    <xf numFmtId="0" fontId="65" fillId="0" borderId="381" applyNumberFormat="0" applyFill="0" applyAlignment="0" applyProtection="0"/>
    <xf numFmtId="0" fontId="40" fillId="58" borderId="382" applyNumberFormat="0" applyFont="0" applyAlignment="0" applyProtection="0"/>
    <xf numFmtId="0" fontId="40" fillId="58" borderId="389" applyNumberFormat="0" applyFont="0" applyAlignment="0" applyProtection="0"/>
    <xf numFmtId="4" fontId="34" fillId="0" borderId="390" applyFill="0" applyBorder="0" applyProtection="0">
      <alignment horizontal="right" vertical="center"/>
    </xf>
    <xf numFmtId="0" fontId="5" fillId="58" borderId="382" applyNumberFormat="0" applyFont="0" applyAlignment="0" applyProtection="0"/>
    <xf numFmtId="0" fontId="58" fillId="42" borderId="387" applyNumberFormat="0" applyAlignment="0" applyProtection="0"/>
    <xf numFmtId="0" fontId="45" fillId="55" borderId="387" applyNumberFormat="0" applyAlignment="0" applyProtection="0"/>
    <xf numFmtId="4" fontId="32" fillId="33" borderId="390">
      <alignment horizontal="right" vertical="center"/>
    </xf>
    <xf numFmtId="0" fontId="58" fillId="42" borderId="387" applyNumberFormat="0" applyAlignment="0" applyProtection="0"/>
    <xf numFmtId="0" fontId="32" fillId="33" borderId="390">
      <alignment horizontal="right" vertical="center"/>
    </xf>
    <xf numFmtId="0" fontId="36" fillId="31" borderId="396">
      <alignment horizontal="right" vertical="center"/>
    </xf>
    <xf numFmtId="0" fontId="12" fillId="30" borderId="0" applyNumberFormat="0" applyBorder="0" applyAlignment="0" applyProtection="0"/>
    <xf numFmtId="0" fontId="28" fillId="12" borderId="11" applyNumberFormat="0" applyAlignment="0" applyProtection="0"/>
    <xf numFmtId="0" fontId="12" fillId="21" borderId="0" applyNumberFormat="0" applyBorder="0" applyAlignment="0" applyProtection="0"/>
    <xf numFmtId="0" fontId="58" fillId="42" borderId="380" applyNumberFormat="0" applyAlignment="0" applyProtection="0"/>
    <xf numFmtId="0" fontId="34" fillId="31" borderId="391">
      <alignment horizontal="left" vertical="center"/>
    </xf>
    <xf numFmtId="0" fontId="34" fillId="33" borderId="386">
      <alignment horizontal="left" vertical="center" wrapText="1" indent="2"/>
    </xf>
    <xf numFmtId="4" fontId="36" fillId="31" borderId="383">
      <alignment horizontal="right" vertical="center"/>
    </xf>
    <xf numFmtId="0" fontId="58" fillId="42" borderId="387" applyNumberFormat="0" applyAlignment="0" applyProtection="0"/>
    <xf numFmtId="0" fontId="30" fillId="0" borderId="0" applyNumberFormat="0" applyFill="0" applyBorder="0" applyAlignment="0" applyProtection="0"/>
    <xf numFmtId="0" fontId="50" fillId="0" borderId="388" applyNumberFormat="0" applyFill="0" applyAlignment="0" applyProtection="0"/>
    <xf numFmtId="0" fontId="26" fillId="20" borderId="0" applyNumberFormat="0" applyBorder="0" applyAlignment="0" applyProtection="0"/>
    <xf numFmtId="0" fontId="65" fillId="0" borderId="388" applyNumberFormat="0" applyFill="0" applyAlignment="0" applyProtection="0"/>
    <xf numFmtId="0" fontId="2" fillId="0" borderId="12" applyNumberFormat="0" applyFill="0" applyAlignment="0" applyProtection="0"/>
    <xf numFmtId="0" fontId="46" fillId="55" borderId="401" applyNumberFormat="0" applyAlignment="0" applyProtection="0"/>
    <xf numFmtId="0" fontId="62" fillId="55" borderId="400" applyNumberFormat="0" applyAlignment="0" applyProtection="0"/>
    <xf numFmtId="4" fontId="36" fillId="31" borderId="383">
      <alignment horizontal="right" vertical="center"/>
    </xf>
    <xf numFmtId="4" fontId="32" fillId="31" borderId="383">
      <alignment horizontal="right" vertical="center"/>
    </xf>
    <xf numFmtId="0" fontId="34" fillId="0" borderId="386">
      <alignment horizontal="left" vertical="center" wrapText="1" indent="2"/>
    </xf>
    <xf numFmtId="0" fontId="62" fillId="55" borderId="379" applyNumberFormat="0" applyAlignment="0" applyProtection="0"/>
    <xf numFmtId="0" fontId="34" fillId="0" borderId="383">
      <alignment horizontal="right" vertical="center"/>
    </xf>
    <xf numFmtId="0" fontId="65" fillId="0" borderId="381" applyNumberFormat="0" applyFill="0" applyAlignment="0" applyProtection="0"/>
    <xf numFmtId="49" fontId="33" fillId="0" borderId="383" applyNumberFormat="0" applyFill="0" applyBorder="0" applyProtection="0">
      <alignment horizontal="left" vertical="center"/>
    </xf>
    <xf numFmtId="4" fontId="34" fillId="32" borderId="383"/>
    <xf numFmtId="0" fontId="58" fillId="42" borderId="380" applyNumberFormat="0" applyAlignment="0" applyProtection="0"/>
    <xf numFmtId="0" fontId="34" fillId="31" borderId="397">
      <alignment horizontal="left" vertical="center"/>
    </xf>
    <xf numFmtId="49" fontId="34" fillId="0" borderId="390" applyNumberFormat="0" applyFont="0" applyFill="0" applyBorder="0" applyProtection="0">
      <alignment horizontal="left" vertical="center" indent="2"/>
    </xf>
    <xf numFmtId="173" fontId="34" fillId="59" borderId="383" applyNumberFormat="0" applyFont="0" applyBorder="0" applyAlignment="0" applyProtection="0">
      <alignment horizontal="right" vertical="center"/>
    </xf>
    <xf numFmtId="0" fontId="46" fillId="55" borderId="380" applyNumberFormat="0" applyAlignment="0" applyProtection="0"/>
    <xf numFmtId="0" fontId="58" fillId="42" borderId="387" applyNumberFormat="0" applyAlignment="0" applyProtection="0"/>
    <xf numFmtId="4" fontId="34" fillId="0" borderId="396">
      <alignment horizontal="right" vertical="center"/>
    </xf>
    <xf numFmtId="0" fontId="46" fillId="55" borderId="387" applyNumberFormat="0" applyAlignment="0" applyProtection="0"/>
    <xf numFmtId="0" fontId="58" fillId="42" borderId="401" applyNumberFormat="0" applyAlignment="0" applyProtection="0"/>
    <xf numFmtId="0" fontId="58" fillId="42" borderId="380" applyNumberFormat="0" applyAlignment="0" applyProtection="0"/>
    <xf numFmtId="0" fontId="43" fillId="55" borderId="379" applyNumberFormat="0" applyAlignment="0" applyProtection="0"/>
    <xf numFmtId="0" fontId="32" fillId="33" borderId="390">
      <alignment horizontal="right" vertical="center"/>
    </xf>
    <xf numFmtId="49" fontId="33" fillId="0" borderId="383" applyNumberFormat="0" applyFill="0" applyBorder="0" applyProtection="0">
      <alignment horizontal="left" vertical="center"/>
    </xf>
    <xf numFmtId="0" fontId="65" fillId="0" borderId="381" applyNumberFormat="0" applyFill="0" applyAlignment="0" applyProtection="0"/>
    <xf numFmtId="0" fontId="34" fillId="0" borderId="383">
      <alignment horizontal="right" vertical="center"/>
    </xf>
    <xf numFmtId="0" fontId="32" fillId="33" borderId="384">
      <alignment horizontal="right" vertical="center"/>
    </xf>
    <xf numFmtId="0" fontId="65" fillId="0" borderId="381" applyNumberFormat="0" applyFill="0" applyAlignment="0" applyProtection="0"/>
    <xf numFmtId="173" fontId="34" fillId="59" borderId="390" applyNumberFormat="0" applyFont="0" applyBorder="0" applyAlignment="0" applyProtection="0">
      <alignment horizontal="right" vertical="center"/>
    </xf>
    <xf numFmtId="0" fontId="26" fillId="13" borderId="0" applyNumberFormat="0" applyBorder="0" applyAlignment="0" applyProtection="0"/>
    <xf numFmtId="0" fontId="46" fillId="55" borderId="409" applyNumberFormat="0" applyAlignment="0" applyProtection="0"/>
    <xf numFmtId="0" fontId="34" fillId="0" borderId="390" applyNumberFormat="0" applyFill="0" applyAlignment="0" applyProtection="0"/>
    <xf numFmtId="4" fontId="36" fillId="31" borderId="396">
      <alignment horizontal="right" vertical="center"/>
    </xf>
    <xf numFmtId="0" fontId="58" fillId="42" borderId="409" applyNumberFormat="0" applyAlignment="0" applyProtection="0"/>
    <xf numFmtId="4" fontId="34" fillId="0" borderId="383" applyFill="0" applyBorder="0" applyProtection="0">
      <alignment horizontal="right" vertical="center"/>
    </xf>
    <xf numFmtId="4" fontId="32" fillId="33" borderId="406">
      <alignment horizontal="right" vertical="center"/>
    </xf>
    <xf numFmtId="0" fontId="32" fillId="33" borderId="390">
      <alignment horizontal="right" vertical="center"/>
    </xf>
    <xf numFmtId="0" fontId="34" fillId="0" borderId="372">
      <alignment horizontal="right" vertical="center"/>
    </xf>
    <xf numFmtId="0" fontId="32" fillId="33" borderId="404">
      <alignment horizontal="right" vertical="center"/>
    </xf>
    <xf numFmtId="0" fontId="5" fillId="58" borderId="395" applyNumberFormat="0" applyFont="0" applyAlignment="0" applyProtection="0"/>
    <xf numFmtId="0" fontId="34" fillId="0" borderId="386">
      <alignment horizontal="left" vertical="center" wrapText="1" indent="2"/>
    </xf>
    <xf numFmtId="0" fontId="65" fillId="0" borderId="381" applyNumberFormat="0" applyFill="0" applyAlignment="0" applyProtection="0"/>
    <xf numFmtId="0" fontId="43" fillId="55" borderId="379" applyNumberFormat="0" applyAlignment="0" applyProtection="0"/>
    <xf numFmtId="0" fontId="32" fillId="33" borderId="383">
      <alignment horizontal="right" vertical="center"/>
    </xf>
    <xf numFmtId="0" fontId="45" fillId="55" borderId="380" applyNumberFormat="0" applyAlignment="0" applyProtection="0"/>
    <xf numFmtId="0" fontId="40" fillId="58" borderId="395" applyNumberFormat="0" applyFont="0" applyAlignment="0" applyProtection="0"/>
    <xf numFmtId="0" fontId="34" fillId="0" borderId="407">
      <alignment horizontal="left" vertical="center" wrapText="1" indent="2"/>
    </xf>
    <xf numFmtId="0" fontId="34" fillId="31" borderId="384">
      <alignment horizontal="left" vertical="center"/>
    </xf>
    <xf numFmtId="0" fontId="34" fillId="32" borderId="390"/>
    <xf numFmtId="0" fontId="30" fillId="0" borderId="0" applyNumberFormat="0" applyFill="0" applyBorder="0" applyAlignment="0" applyProtection="0"/>
    <xf numFmtId="0" fontId="32" fillId="33" borderId="396">
      <alignment horizontal="right" vertical="center"/>
    </xf>
    <xf numFmtId="4" fontId="32" fillId="31" borderId="390">
      <alignment horizontal="right" vertical="center"/>
    </xf>
    <xf numFmtId="0" fontId="32" fillId="33" borderId="397">
      <alignment horizontal="right" vertical="center"/>
    </xf>
    <xf numFmtId="0" fontId="32" fillId="31" borderId="383">
      <alignment horizontal="right" vertical="center"/>
    </xf>
    <xf numFmtId="4" fontId="32" fillId="33" borderId="390">
      <alignment horizontal="right" vertical="center"/>
    </xf>
    <xf numFmtId="0" fontId="34" fillId="0" borderId="396" applyNumberFormat="0" applyFill="0" applyAlignment="0" applyProtection="0"/>
    <xf numFmtId="0" fontId="50" fillId="0" borderId="381" applyNumberFormat="0" applyFill="0" applyAlignment="0" applyProtection="0"/>
    <xf numFmtId="0" fontId="65" fillId="0" borderId="402" applyNumberFormat="0" applyFill="0" applyAlignment="0" applyProtection="0"/>
    <xf numFmtId="0" fontId="34" fillId="0" borderId="383">
      <alignment horizontal="right" vertical="center"/>
    </xf>
    <xf numFmtId="0" fontId="5" fillId="58" borderId="382" applyNumberFormat="0" applyFont="0" applyAlignment="0" applyProtection="0"/>
    <xf numFmtId="0" fontId="34" fillId="32" borderId="396"/>
    <xf numFmtId="0" fontId="32" fillId="33" borderId="390">
      <alignment horizontal="right" vertical="center"/>
    </xf>
    <xf numFmtId="49" fontId="34" fillId="0" borderId="405" applyNumberFormat="0" applyFont="0" applyFill="0" applyBorder="0" applyProtection="0">
      <alignment horizontal="left" vertical="center" indent="5"/>
    </xf>
    <xf numFmtId="0" fontId="12" fillId="30" borderId="0" applyNumberFormat="0" applyBorder="0" applyAlignment="0" applyProtection="0"/>
    <xf numFmtId="0" fontId="32" fillId="33" borderId="390">
      <alignment horizontal="right" vertical="center"/>
    </xf>
    <xf numFmtId="0" fontId="58" fillId="42" borderId="380" applyNumberFormat="0" applyAlignment="0" applyProtection="0"/>
    <xf numFmtId="4" fontId="32" fillId="33" borderId="390">
      <alignment horizontal="right" vertical="center"/>
    </xf>
    <xf numFmtId="49" fontId="34" fillId="0" borderId="384" applyNumberFormat="0" applyFont="0" applyFill="0" applyBorder="0" applyProtection="0">
      <alignment horizontal="left" vertical="center" indent="5"/>
    </xf>
    <xf numFmtId="4" fontId="32" fillId="33" borderId="391">
      <alignment horizontal="right" vertical="center"/>
    </xf>
    <xf numFmtId="0" fontId="34" fillId="0" borderId="383" applyNumberFormat="0" applyFill="0" applyAlignment="0" applyProtection="0"/>
    <xf numFmtId="0" fontId="50" fillId="0" borderId="381" applyNumberFormat="0" applyFill="0" applyAlignment="0" applyProtection="0"/>
    <xf numFmtId="0" fontId="62" fillId="55" borderId="379" applyNumberFormat="0" applyAlignment="0" applyProtection="0"/>
    <xf numFmtId="4" fontId="32" fillId="33" borderId="383">
      <alignment horizontal="right" vertical="center"/>
    </xf>
    <xf numFmtId="4" fontId="34" fillId="32" borderId="383"/>
    <xf numFmtId="0" fontId="65" fillId="0" borderId="381" applyNumberFormat="0" applyFill="0" applyAlignment="0" applyProtection="0"/>
    <xf numFmtId="0" fontId="34" fillId="33" borderId="393">
      <alignment horizontal="left" vertical="center" wrapText="1" indent="2"/>
    </xf>
    <xf numFmtId="0" fontId="43" fillId="55" borderId="379" applyNumberFormat="0" applyAlignment="0" applyProtection="0"/>
    <xf numFmtId="0" fontId="45" fillId="55" borderId="380" applyNumberFormat="0" applyAlignment="0" applyProtection="0"/>
    <xf numFmtId="0" fontId="46" fillId="55" borderId="380" applyNumberFormat="0" applyAlignment="0" applyProtection="0"/>
    <xf numFmtId="0" fontId="62" fillId="55" borderId="379" applyNumberFormat="0" applyAlignment="0" applyProtection="0"/>
    <xf numFmtId="0" fontId="32" fillId="33" borderId="385">
      <alignment horizontal="right" vertical="center"/>
    </xf>
    <xf numFmtId="0" fontId="34" fillId="0" borderId="383" applyNumberFormat="0" applyFill="0" applyAlignment="0" applyProtection="0"/>
    <xf numFmtId="49" fontId="34" fillId="0" borderId="384" applyNumberFormat="0" applyFont="0" applyFill="0" applyBorder="0" applyProtection="0">
      <alignment horizontal="left" vertical="center" indent="5"/>
    </xf>
    <xf numFmtId="0" fontId="65" fillId="0" borderId="381" applyNumberFormat="0" applyFill="0" applyAlignment="0" applyProtection="0"/>
    <xf numFmtId="0" fontId="34" fillId="0" borderId="383" applyNumberFormat="0" applyFill="0" applyAlignment="0" applyProtection="0"/>
    <xf numFmtId="0" fontId="32" fillId="33" borderId="396">
      <alignment horizontal="right" vertical="center"/>
    </xf>
    <xf numFmtId="0" fontId="32" fillId="33" borderId="390">
      <alignment horizontal="right" vertical="center"/>
    </xf>
    <xf numFmtId="0" fontId="46" fillId="55" borderId="387" applyNumberFormat="0" applyAlignment="0" applyProtection="0"/>
    <xf numFmtId="4" fontId="32" fillId="33" borderId="391">
      <alignment horizontal="right" vertical="center"/>
    </xf>
    <xf numFmtId="0" fontId="12" fillId="18" borderId="0" applyNumberFormat="0" applyBorder="0" applyAlignment="0" applyProtection="0"/>
    <xf numFmtId="4" fontId="32" fillId="31" borderId="390">
      <alignment horizontal="right" vertical="center"/>
    </xf>
    <xf numFmtId="0" fontId="50" fillId="0" borderId="410" applyNumberFormat="0" applyFill="0" applyAlignment="0" applyProtection="0"/>
    <xf numFmtId="0" fontId="40" fillId="58" borderId="382" applyNumberFormat="0" applyFont="0" applyAlignment="0" applyProtection="0"/>
    <xf numFmtId="0" fontId="34" fillId="0" borderId="407">
      <alignment horizontal="left" vertical="center" wrapText="1" indent="2"/>
    </xf>
    <xf numFmtId="0" fontId="26" fillId="17" borderId="0" applyNumberFormat="0" applyBorder="0" applyAlignment="0" applyProtection="0"/>
    <xf numFmtId="4" fontId="34" fillId="32" borderId="396"/>
    <xf numFmtId="4" fontId="32" fillId="33" borderId="391">
      <alignment horizontal="right" vertical="center"/>
    </xf>
    <xf numFmtId="4" fontId="32" fillId="33" borderId="391">
      <alignment horizontal="right" vertical="center"/>
    </xf>
    <xf numFmtId="0" fontId="32" fillId="33" borderId="392">
      <alignment horizontal="right" vertical="center"/>
    </xf>
    <xf numFmtId="0" fontId="62" fillId="55" borderId="394" applyNumberFormat="0" applyAlignment="0" applyProtection="0"/>
    <xf numFmtId="0" fontId="50" fillId="0" borderId="388" applyNumberFormat="0" applyFill="0" applyAlignment="0" applyProtection="0"/>
    <xf numFmtId="0" fontId="26" fillId="29" borderId="0" applyNumberFormat="0" applyBorder="0" applyAlignment="0" applyProtection="0"/>
    <xf numFmtId="0" fontId="34" fillId="0" borderId="386">
      <alignment horizontal="left" vertical="center" wrapText="1" indent="2"/>
    </xf>
    <xf numFmtId="4" fontId="34" fillId="0" borderId="390">
      <alignment horizontal="right" vertical="center"/>
    </xf>
    <xf numFmtId="4" fontId="32" fillId="31" borderId="383">
      <alignment horizontal="right" vertical="center"/>
    </xf>
    <xf numFmtId="4" fontId="34" fillId="0" borderId="390" applyFill="0" applyBorder="0" applyProtection="0">
      <alignment horizontal="right" vertical="center"/>
    </xf>
    <xf numFmtId="0" fontId="43" fillId="55" borderId="394" applyNumberFormat="0" applyAlignment="0" applyProtection="0"/>
    <xf numFmtId="0" fontId="62" fillId="55" borderId="379" applyNumberFormat="0" applyAlignment="0" applyProtection="0"/>
    <xf numFmtId="49" fontId="34" fillId="0" borderId="384" applyNumberFormat="0" applyFont="0" applyFill="0" applyBorder="0" applyProtection="0">
      <alignment horizontal="left" vertical="center" indent="5"/>
    </xf>
    <xf numFmtId="4" fontId="34" fillId="0" borderId="383">
      <alignment horizontal="right" vertical="center"/>
    </xf>
    <xf numFmtId="0" fontId="40" fillId="58" borderId="395" applyNumberFormat="0" applyFont="0" applyAlignment="0" applyProtection="0"/>
    <xf numFmtId="0" fontId="12" fillId="24" borderId="0" applyNumberFormat="0" applyBorder="0" applyAlignment="0" applyProtection="0"/>
    <xf numFmtId="0" fontId="12" fillId="21" borderId="0" applyNumberFormat="0" applyBorder="0" applyAlignment="0" applyProtection="0"/>
    <xf numFmtId="0" fontId="26" fillId="28" borderId="0" applyNumberFormat="0" applyBorder="0" applyAlignment="0" applyProtection="0"/>
    <xf numFmtId="0" fontId="50" fillId="0" borderId="381" applyNumberFormat="0" applyFill="0" applyAlignment="0" applyProtection="0"/>
    <xf numFmtId="0" fontId="34" fillId="32" borderId="390"/>
    <xf numFmtId="4" fontId="32" fillId="33" borderId="385">
      <alignment horizontal="right" vertical="center"/>
    </xf>
    <xf numFmtId="4" fontId="32" fillId="33" borderId="383">
      <alignment horizontal="right" vertical="center"/>
    </xf>
    <xf numFmtId="4" fontId="32" fillId="33" borderId="383">
      <alignment horizontal="right" vertical="center"/>
    </xf>
    <xf numFmtId="0" fontId="65" fillId="0" borderId="381" applyNumberFormat="0" applyFill="0" applyAlignment="0" applyProtection="0"/>
    <xf numFmtId="0" fontId="46" fillId="55" borderId="380" applyNumberFormat="0" applyAlignment="0" applyProtection="0"/>
    <xf numFmtId="0" fontId="49" fillId="42" borderId="380" applyNumberFormat="0" applyAlignment="0" applyProtection="0"/>
    <xf numFmtId="0" fontId="34" fillId="33" borderId="393">
      <alignment horizontal="left" vertical="center" wrapText="1" indent="2"/>
    </xf>
    <xf numFmtId="0" fontId="29" fillId="12" borderId="10" applyNumberFormat="0" applyAlignment="0" applyProtection="0"/>
    <xf numFmtId="49" fontId="33" fillId="0" borderId="383" applyNumberFormat="0" applyFill="0" applyBorder="0" applyProtection="0">
      <alignment horizontal="left" vertical="center"/>
    </xf>
    <xf numFmtId="0" fontId="5" fillId="58" borderId="382" applyNumberFormat="0" applyFont="0" applyAlignment="0" applyProtection="0"/>
    <xf numFmtId="49" fontId="34" fillId="0" borderId="390" applyNumberFormat="0" applyFont="0" applyFill="0" applyBorder="0" applyProtection="0">
      <alignment horizontal="left" vertical="center" indent="2"/>
    </xf>
    <xf numFmtId="4" fontId="32" fillId="33" borderId="383">
      <alignment horizontal="right" vertical="center"/>
    </xf>
    <xf numFmtId="0" fontId="26" fillId="20" borderId="0" applyNumberFormat="0" applyBorder="0" applyAlignment="0" applyProtection="0"/>
    <xf numFmtId="0" fontId="40" fillId="58" borderId="395" applyNumberFormat="0" applyFont="0" applyAlignment="0" applyProtection="0"/>
    <xf numFmtId="0" fontId="49" fillId="42" borderId="387" applyNumberFormat="0" applyAlignment="0" applyProtection="0"/>
    <xf numFmtId="49" fontId="34" fillId="0" borderId="383" applyNumberFormat="0" applyFont="0" applyFill="0" applyBorder="0" applyProtection="0">
      <alignment horizontal="left" vertical="center" indent="2"/>
    </xf>
    <xf numFmtId="0" fontId="65" fillId="0" borderId="381" applyNumberFormat="0" applyFill="0" applyAlignment="0" applyProtection="0"/>
    <xf numFmtId="4" fontId="34" fillId="0" borderId="383" applyFill="0" applyBorder="0" applyProtection="0">
      <alignment horizontal="right" vertical="center"/>
    </xf>
    <xf numFmtId="0" fontId="58" fillId="42" borderId="380" applyNumberFormat="0" applyAlignment="0" applyProtection="0"/>
    <xf numFmtId="49" fontId="33" fillId="0" borderId="383" applyNumberFormat="0" applyFill="0" applyBorder="0" applyProtection="0">
      <alignment horizontal="left" vertical="center"/>
    </xf>
    <xf numFmtId="49" fontId="34" fillId="0" borderId="383" applyNumberFormat="0" applyFont="0" applyFill="0" applyBorder="0" applyProtection="0">
      <alignment horizontal="left" vertical="center" indent="2"/>
    </xf>
    <xf numFmtId="4" fontId="34" fillId="0" borderId="383" applyFill="0" applyBorder="0" applyProtection="0">
      <alignment horizontal="right" vertical="center"/>
    </xf>
    <xf numFmtId="0" fontId="50" fillId="0" borderId="402" applyNumberFormat="0" applyFill="0" applyAlignment="0" applyProtection="0"/>
    <xf numFmtId="173" fontId="34" fillId="59" borderId="383" applyNumberFormat="0" applyFont="0" applyBorder="0" applyAlignment="0" applyProtection="0">
      <alignment horizontal="right" vertical="center"/>
    </xf>
    <xf numFmtId="0" fontId="50" fillId="0" borderId="402" applyNumberFormat="0" applyFill="0" applyAlignment="0" applyProtection="0"/>
    <xf numFmtId="0" fontId="65" fillId="0" borderId="388" applyNumberFormat="0" applyFill="0" applyAlignment="0" applyProtection="0"/>
    <xf numFmtId="0" fontId="34" fillId="33" borderId="393">
      <alignment horizontal="left" vertical="center" wrapText="1" indent="2"/>
    </xf>
    <xf numFmtId="0" fontId="36" fillId="31" borderId="383">
      <alignment horizontal="right" vertical="center"/>
    </xf>
    <xf numFmtId="0" fontId="12" fillId="24" borderId="0" applyNumberFormat="0" applyBorder="0" applyAlignment="0" applyProtection="0"/>
    <xf numFmtId="0" fontId="46" fillId="55" borderId="401" applyNumberFormat="0" applyAlignment="0" applyProtection="0"/>
    <xf numFmtId="0" fontId="50" fillId="0" borderId="402" applyNumberFormat="0" applyFill="0" applyAlignment="0" applyProtection="0"/>
    <xf numFmtId="0" fontId="34" fillId="31" borderId="391">
      <alignment horizontal="left" vertical="center"/>
    </xf>
    <xf numFmtId="0" fontId="49" fillId="42" borderId="380" applyNumberFormat="0" applyAlignment="0" applyProtection="0"/>
    <xf numFmtId="4" fontId="32" fillId="33" borderId="383">
      <alignment horizontal="right" vertical="center"/>
    </xf>
    <xf numFmtId="0" fontId="34" fillId="31" borderId="384">
      <alignment horizontal="left" vertical="center"/>
    </xf>
    <xf numFmtId="0" fontId="26" fillId="13" borderId="0" applyNumberFormat="0" applyBorder="0" applyAlignment="0" applyProtection="0"/>
    <xf numFmtId="0" fontId="65" fillId="0" borderId="388" applyNumberFormat="0" applyFill="0" applyAlignment="0" applyProtection="0"/>
    <xf numFmtId="0" fontId="34" fillId="32" borderId="404"/>
    <xf numFmtId="0" fontId="34" fillId="32" borderId="372"/>
    <xf numFmtId="0" fontId="32" fillId="33" borderId="372">
      <alignment horizontal="right" vertical="center"/>
    </xf>
    <xf numFmtId="0" fontId="40" fillId="58" borderId="389" applyNumberFormat="0" applyFont="0" applyAlignment="0" applyProtection="0"/>
    <xf numFmtId="4" fontId="34" fillId="0" borderId="396">
      <alignment horizontal="right" vertical="center"/>
    </xf>
    <xf numFmtId="0" fontId="62" fillId="55" borderId="394" applyNumberFormat="0" applyAlignment="0" applyProtection="0"/>
    <xf numFmtId="0" fontId="36" fillId="31" borderId="390">
      <alignment horizontal="right" vertical="center"/>
    </xf>
    <xf numFmtId="0" fontId="12" fillId="27" borderId="0" applyNumberFormat="0" applyBorder="0" applyAlignment="0" applyProtection="0"/>
    <xf numFmtId="0" fontId="32" fillId="33" borderId="383">
      <alignment horizontal="right" vertical="center"/>
    </xf>
    <xf numFmtId="0" fontId="34" fillId="33" borderId="386">
      <alignment horizontal="left" vertical="center" wrapText="1" indent="2"/>
    </xf>
    <xf numFmtId="173" fontId="34" fillId="59" borderId="383" applyNumberFormat="0" applyFont="0" applyBorder="0" applyAlignment="0" applyProtection="0">
      <alignment horizontal="right" vertical="center"/>
    </xf>
    <xf numFmtId="0" fontId="40" fillId="58" borderId="382" applyNumberFormat="0" applyFont="0" applyAlignment="0" applyProtection="0"/>
    <xf numFmtId="49" fontId="34" fillId="0" borderId="383" applyNumberFormat="0" applyFont="0" applyFill="0" applyBorder="0" applyProtection="0">
      <alignment horizontal="left" vertical="center" indent="2"/>
    </xf>
    <xf numFmtId="0" fontId="49" fillId="42" borderId="387" applyNumberFormat="0" applyAlignment="0" applyProtection="0"/>
    <xf numFmtId="0" fontId="45" fillId="55" borderId="387" applyNumberFormat="0" applyAlignment="0" applyProtection="0"/>
    <xf numFmtId="4" fontId="32" fillId="33" borderId="396">
      <alignment horizontal="right" vertical="center"/>
    </xf>
    <xf numFmtId="0" fontId="26" fillId="26" borderId="0" applyNumberFormat="0" applyBorder="0" applyAlignment="0" applyProtection="0"/>
    <xf numFmtId="49" fontId="33" fillId="0" borderId="383" applyNumberFormat="0" applyFill="0" applyBorder="0" applyProtection="0">
      <alignment horizontal="left" vertical="center"/>
    </xf>
    <xf numFmtId="173" fontId="34" fillId="59" borderId="383" applyNumberFormat="0" applyFont="0" applyBorder="0" applyAlignment="0" applyProtection="0">
      <alignment horizontal="right" vertical="center"/>
    </xf>
    <xf numFmtId="0" fontId="62" fillId="55" borderId="379" applyNumberFormat="0" applyAlignment="0" applyProtection="0"/>
    <xf numFmtId="0" fontId="34" fillId="0" borderId="383">
      <alignment horizontal="right" vertical="center"/>
    </xf>
    <xf numFmtId="0" fontId="1" fillId="0" borderId="0" applyNumberFormat="0" applyFill="0" applyBorder="0" applyAlignment="0" applyProtection="0"/>
    <xf numFmtId="0" fontId="34" fillId="32" borderId="383"/>
    <xf numFmtId="4" fontId="32" fillId="33" borderId="383">
      <alignment horizontal="right" vertical="center"/>
    </xf>
    <xf numFmtId="0" fontId="34" fillId="32" borderId="383"/>
    <xf numFmtId="0" fontId="58" fillId="42" borderId="380" applyNumberFormat="0" applyAlignment="0" applyProtection="0"/>
    <xf numFmtId="4" fontId="34" fillId="0" borderId="390">
      <alignment horizontal="right" vertical="center"/>
    </xf>
    <xf numFmtId="0" fontId="36" fillId="31" borderId="383">
      <alignment horizontal="right" vertical="center"/>
    </xf>
    <xf numFmtId="0" fontId="34" fillId="0" borderId="386">
      <alignment horizontal="left" vertical="center" wrapText="1" indent="2"/>
    </xf>
    <xf numFmtId="0" fontId="32" fillId="31" borderId="383">
      <alignment horizontal="right" vertical="center"/>
    </xf>
    <xf numFmtId="0" fontId="49" fillId="42" borderId="380" applyNumberFormat="0" applyAlignment="0" applyProtection="0"/>
    <xf numFmtId="0" fontId="34" fillId="33" borderId="386">
      <alignment horizontal="left" vertical="center" wrapText="1" indent="2"/>
    </xf>
    <xf numFmtId="0" fontId="36" fillId="31" borderId="390">
      <alignment horizontal="right" vertical="center"/>
    </xf>
    <xf numFmtId="0" fontId="26" fillId="16" borderId="0" applyNumberFormat="0" applyBorder="0" applyAlignment="0" applyProtection="0"/>
    <xf numFmtId="0" fontId="34" fillId="0" borderId="390" applyNumberFormat="0" applyFill="0" applyAlignment="0" applyProtection="0"/>
    <xf numFmtId="0" fontId="26" fillId="14" borderId="0" applyNumberFormat="0" applyBorder="0" applyAlignment="0" applyProtection="0"/>
    <xf numFmtId="0" fontId="30" fillId="0" borderId="0" applyNumberFormat="0" applyFill="0" applyBorder="0" applyAlignment="0" applyProtection="0"/>
    <xf numFmtId="0" fontId="26" fillId="23" borderId="0" applyNumberFormat="0" applyBorder="0" applyAlignment="0" applyProtection="0"/>
    <xf numFmtId="0" fontId="34" fillId="0" borderId="399">
      <alignment horizontal="left" vertical="center" wrapText="1" indent="2"/>
    </xf>
    <xf numFmtId="0" fontId="46" fillId="55" borderId="401" applyNumberFormat="0" applyAlignment="0" applyProtection="0"/>
    <xf numFmtId="0" fontId="49" fillId="42" borderId="387" applyNumberFormat="0" applyAlignment="0" applyProtection="0"/>
    <xf numFmtId="0" fontId="43" fillId="55" borderId="394" applyNumberFormat="0" applyAlignment="0" applyProtection="0"/>
    <xf numFmtId="0" fontId="45" fillId="55" borderId="380" applyNumberFormat="0" applyAlignment="0" applyProtection="0"/>
    <xf numFmtId="0" fontId="36" fillId="31" borderId="383">
      <alignment horizontal="right" vertical="center"/>
    </xf>
    <xf numFmtId="173" fontId="34" fillId="59" borderId="390" applyNumberFormat="0" applyFont="0" applyBorder="0" applyAlignment="0" applyProtection="0">
      <alignment horizontal="right" vertical="center"/>
    </xf>
    <xf numFmtId="4" fontId="32" fillId="33" borderId="392">
      <alignment horizontal="right" vertical="center"/>
    </xf>
    <xf numFmtId="4" fontId="32" fillId="33" borderId="397">
      <alignment horizontal="right" vertical="center"/>
    </xf>
    <xf numFmtId="0" fontId="26" fillId="19" borderId="0" applyNumberFormat="0" applyBorder="0" applyAlignment="0" applyProtection="0"/>
    <xf numFmtId="0" fontId="58" fillId="42" borderId="387" applyNumberFormat="0" applyAlignment="0" applyProtection="0"/>
    <xf numFmtId="0" fontId="32" fillId="33" borderId="404">
      <alignment horizontal="right" vertical="center"/>
    </xf>
    <xf numFmtId="0" fontId="30" fillId="0" borderId="0" applyNumberFormat="0" applyFill="0" applyBorder="0" applyAlignment="0" applyProtection="0"/>
    <xf numFmtId="0" fontId="45" fillId="55" borderId="401" applyNumberFormat="0" applyAlignment="0" applyProtection="0"/>
    <xf numFmtId="0" fontId="46" fillId="55" borderId="409" applyNumberFormat="0" applyAlignment="0" applyProtection="0"/>
    <xf numFmtId="0" fontId="32" fillId="33" borderId="383">
      <alignment horizontal="right" vertical="center"/>
    </xf>
    <xf numFmtId="4" fontId="34" fillId="0" borderId="383" applyFill="0" applyBorder="0" applyProtection="0">
      <alignment horizontal="right" vertical="center"/>
    </xf>
    <xf numFmtId="0" fontId="34" fillId="33" borderId="386">
      <alignment horizontal="left" vertical="center" wrapText="1" indent="2"/>
    </xf>
    <xf numFmtId="0" fontId="40" fillId="58" borderId="382" applyNumberFormat="0" applyFont="0" applyAlignment="0" applyProtection="0"/>
    <xf numFmtId="0" fontId="49" fillId="42" borderId="380" applyNumberFormat="0" applyAlignment="0" applyProtection="0"/>
    <xf numFmtId="4" fontId="34" fillId="32" borderId="383"/>
    <xf numFmtId="4" fontId="34" fillId="0" borderId="383" applyFill="0" applyBorder="0" applyProtection="0">
      <alignment horizontal="right" vertical="center"/>
    </xf>
    <xf numFmtId="0" fontId="65" fillId="0" borderId="381" applyNumberFormat="0" applyFill="0" applyAlignment="0" applyProtection="0"/>
    <xf numFmtId="0" fontId="34" fillId="31" borderId="384">
      <alignment horizontal="left" vertical="center"/>
    </xf>
    <xf numFmtId="0" fontId="34" fillId="0" borderId="386">
      <alignment horizontal="left" vertical="center" wrapText="1" indent="2"/>
    </xf>
    <xf numFmtId="0" fontId="34" fillId="0" borderId="396" applyNumberFormat="0" applyFill="0" applyAlignment="0" applyProtection="0"/>
    <xf numFmtId="0" fontId="58" fillId="42" borderId="380" applyNumberFormat="0" applyAlignment="0" applyProtection="0"/>
    <xf numFmtId="0" fontId="49" fillId="42" borderId="387" applyNumberFormat="0" applyAlignment="0" applyProtection="0"/>
    <xf numFmtId="0" fontId="34" fillId="33" borderId="386">
      <alignment horizontal="left" vertical="center" wrapText="1" indent="2"/>
    </xf>
    <xf numFmtId="0" fontId="30" fillId="0" borderId="0" applyNumberFormat="0" applyFill="0" applyBorder="0" applyAlignment="0" applyProtection="0"/>
    <xf numFmtId="0" fontId="2" fillId="0" borderId="12" applyNumberFormat="0" applyFill="0" applyAlignment="0" applyProtection="0"/>
    <xf numFmtId="4" fontId="36" fillId="31" borderId="396">
      <alignment horizontal="right" vertical="center"/>
    </xf>
    <xf numFmtId="4" fontId="32" fillId="33" borderId="392">
      <alignment horizontal="right" vertical="center"/>
    </xf>
    <xf numFmtId="0" fontId="40" fillId="58" borderId="382" applyNumberFormat="0" applyFont="0" applyAlignment="0" applyProtection="0"/>
    <xf numFmtId="0" fontId="58" fillId="42" borderId="380" applyNumberFormat="0" applyAlignment="0" applyProtection="0"/>
    <xf numFmtId="0" fontId="32" fillId="33" borderId="404">
      <alignment horizontal="right" vertical="center"/>
    </xf>
    <xf numFmtId="4" fontId="34" fillId="32" borderId="383"/>
    <xf numFmtId="0" fontId="46" fillId="55" borderId="380" applyNumberFormat="0" applyAlignment="0" applyProtection="0"/>
    <xf numFmtId="0" fontId="58" fillId="42" borderId="380" applyNumberFormat="0" applyAlignment="0" applyProtection="0"/>
    <xf numFmtId="4" fontId="32" fillId="33" borderId="383">
      <alignment horizontal="right" vertical="center"/>
    </xf>
    <xf numFmtId="0" fontId="50" fillId="0" borderId="381" applyNumberFormat="0" applyFill="0" applyAlignment="0" applyProtection="0"/>
    <xf numFmtId="0" fontId="26" fillId="22" borderId="0" applyNumberFormat="0" applyBorder="0" applyAlignment="0" applyProtection="0"/>
    <xf numFmtId="0" fontId="65" fillId="0" borderId="402" applyNumberFormat="0" applyFill="0" applyAlignment="0" applyProtection="0"/>
    <xf numFmtId="0" fontId="65" fillId="0" borderId="388" applyNumberFormat="0" applyFill="0" applyAlignment="0" applyProtection="0"/>
    <xf numFmtId="0" fontId="58" fillId="42" borderId="409" applyNumberFormat="0" applyAlignment="0" applyProtection="0"/>
    <xf numFmtId="0" fontId="26" fillId="22" borderId="0" applyNumberFormat="0" applyBorder="0" applyAlignment="0" applyProtection="0"/>
    <xf numFmtId="0" fontId="46" fillId="55" borderId="380" applyNumberFormat="0" applyAlignment="0" applyProtection="0"/>
    <xf numFmtId="0" fontId="32" fillId="33" borderId="390">
      <alignment horizontal="right" vertical="center"/>
    </xf>
    <xf numFmtId="0" fontId="49" fillId="42" borderId="380" applyNumberFormat="0" applyAlignment="0" applyProtection="0"/>
    <xf numFmtId="4" fontId="34" fillId="32" borderId="390"/>
    <xf numFmtId="49" fontId="33" fillId="0" borderId="390" applyNumberFormat="0" applyFill="0" applyBorder="0" applyProtection="0">
      <alignment horizontal="left" vertical="center"/>
    </xf>
    <xf numFmtId="4" fontId="34" fillId="0" borderId="396" applyFill="0" applyBorder="0" applyProtection="0">
      <alignment horizontal="right" vertical="center"/>
    </xf>
    <xf numFmtId="4" fontId="32" fillId="33" borderId="405">
      <alignment horizontal="right" vertical="center"/>
    </xf>
    <xf numFmtId="0" fontId="26" fillId="13" borderId="0" applyNumberFormat="0" applyBorder="0" applyAlignment="0" applyProtection="0"/>
    <xf numFmtId="0" fontId="5" fillId="58" borderId="389" applyNumberFormat="0" applyFont="0" applyAlignment="0" applyProtection="0"/>
    <xf numFmtId="0" fontId="34" fillId="33" borderId="386">
      <alignment horizontal="left" vertical="center" wrapText="1" indent="2"/>
    </xf>
    <xf numFmtId="0" fontId="65" fillId="0" borderId="388" applyNumberFormat="0" applyFill="0" applyAlignment="0" applyProtection="0"/>
    <xf numFmtId="0" fontId="62" fillId="55" borderId="379" applyNumberFormat="0" applyAlignment="0" applyProtection="0"/>
    <xf numFmtId="0" fontId="58" fillId="42" borderId="380" applyNumberFormat="0" applyAlignment="0" applyProtection="0"/>
    <xf numFmtId="4" fontId="32" fillId="33" borderId="383">
      <alignment horizontal="right" vertical="center"/>
    </xf>
    <xf numFmtId="0" fontId="34" fillId="32" borderId="383"/>
    <xf numFmtId="0" fontId="49" fillId="42" borderId="401" applyNumberFormat="0" applyAlignment="0" applyProtection="0"/>
    <xf numFmtId="0" fontId="40" fillId="58" borderId="389" applyNumberFormat="0" applyFont="0" applyAlignment="0" applyProtection="0"/>
    <xf numFmtId="0" fontId="34" fillId="0" borderId="386">
      <alignment horizontal="left" vertical="center" wrapText="1" indent="2"/>
    </xf>
    <xf numFmtId="4" fontId="32" fillId="33" borderId="398">
      <alignment horizontal="right" vertical="center"/>
    </xf>
    <xf numFmtId="0" fontId="32" fillId="33" borderId="390">
      <alignment horizontal="right" vertical="center"/>
    </xf>
    <xf numFmtId="0" fontId="12" fillId="24" borderId="0" applyNumberFormat="0" applyBorder="0" applyAlignment="0" applyProtection="0"/>
    <xf numFmtId="4" fontId="32" fillId="33" borderId="396">
      <alignment horizontal="right" vertical="center"/>
    </xf>
    <xf numFmtId="0" fontId="45" fillId="55" borderId="380" applyNumberFormat="0" applyAlignment="0" applyProtection="0"/>
    <xf numFmtId="0" fontId="32" fillId="31" borderId="390">
      <alignment horizontal="right" vertical="center"/>
    </xf>
    <xf numFmtId="0" fontId="50" fillId="0" borderId="388" applyNumberFormat="0" applyFill="0" applyAlignment="0" applyProtection="0"/>
    <xf numFmtId="4" fontId="32" fillId="31" borderId="383">
      <alignment horizontal="right" vertical="center"/>
    </xf>
    <xf numFmtId="0" fontId="34" fillId="32" borderId="390"/>
    <xf numFmtId="0" fontId="32" fillId="31" borderId="383">
      <alignment horizontal="right" vertical="center"/>
    </xf>
    <xf numFmtId="0" fontId="32" fillId="33" borderId="383">
      <alignment horizontal="right" vertical="center"/>
    </xf>
    <xf numFmtId="0" fontId="34" fillId="33" borderId="399">
      <alignment horizontal="left" vertical="center" wrapText="1" indent="2"/>
    </xf>
    <xf numFmtId="4" fontId="32" fillId="33" borderId="390">
      <alignment horizontal="right" vertical="center"/>
    </xf>
    <xf numFmtId="0" fontId="26" fillId="29" borderId="0" applyNumberFormat="0" applyBorder="0" applyAlignment="0" applyProtection="0"/>
    <xf numFmtId="0" fontId="62" fillId="55" borderId="408" applyNumberFormat="0" applyAlignment="0" applyProtection="0"/>
    <xf numFmtId="0" fontId="62" fillId="55" borderId="379" applyNumberFormat="0" applyAlignment="0" applyProtection="0"/>
    <xf numFmtId="0" fontId="32" fillId="31" borderId="372">
      <alignment horizontal="right" vertical="center"/>
    </xf>
    <xf numFmtId="49" fontId="34" fillId="0" borderId="383" applyNumberFormat="0" applyFont="0" applyFill="0" applyBorder="0" applyProtection="0">
      <alignment horizontal="left" vertical="center" indent="2"/>
    </xf>
    <xf numFmtId="0" fontId="34" fillId="33" borderId="393">
      <alignment horizontal="left" vertical="center" wrapText="1" indent="2"/>
    </xf>
    <xf numFmtId="0" fontId="40" fillId="58" borderId="382" applyNumberFormat="0" applyFont="0" applyAlignment="0" applyProtection="0"/>
    <xf numFmtId="173" fontId="34" fillId="59" borderId="383" applyNumberFormat="0" applyFont="0" applyBorder="0" applyAlignment="0" applyProtection="0">
      <alignment horizontal="right" vertical="center"/>
    </xf>
    <xf numFmtId="0" fontId="58" fillId="42" borderId="380" applyNumberFormat="0" applyAlignment="0" applyProtection="0"/>
    <xf numFmtId="0" fontId="32" fillId="33" borderId="383">
      <alignment horizontal="right" vertical="center"/>
    </xf>
    <xf numFmtId="0" fontId="34" fillId="32" borderId="383"/>
    <xf numFmtId="0" fontId="62" fillId="55" borderId="379" applyNumberFormat="0" applyAlignment="0" applyProtection="0"/>
    <xf numFmtId="0" fontId="46" fillId="55" borderId="380" applyNumberFormat="0" applyAlignment="0" applyProtection="0"/>
    <xf numFmtId="0" fontId="45" fillId="55" borderId="380" applyNumberFormat="0" applyAlignment="0" applyProtection="0"/>
    <xf numFmtId="0" fontId="49" fillId="42" borderId="380" applyNumberFormat="0" applyAlignment="0" applyProtection="0"/>
    <xf numFmtId="0" fontId="49" fillId="42" borderId="380" applyNumberFormat="0" applyAlignment="0" applyProtection="0"/>
    <xf numFmtId="0" fontId="34" fillId="0" borderId="386">
      <alignment horizontal="left" vertical="center" wrapText="1" indent="2"/>
    </xf>
    <xf numFmtId="4" fontId="32" fillId="33" borderId="384">
      <alignment horizontal="right" vertical="center"/>
    </xf>
    <xf numFmtId="4" fontId="34" fillId="0" borderId="383">
      <alignment horizontal="right" vertical="center"/>
    </xf>
    <xf numFmtId="49" fontId="33" fillId="0" borderId="383" applyNumberFormat="0" applyFill="0" applyBorder="0" applyProtection="0">
      <alignment horizontal="left" vertical="center"/>
    </xf>
    <xf numFmtId="4" fontId="34" fillId="0" borderId="383">
      <alignment horizontal="right" vertical="center"/>
    </xf>
    <xf numFmtId="0" fontId="62" fillId="55" borderId="379" applyNumberFormat="0" applyAlignment="0" applyProtection="0"/>
    <xf numFmtId="0" fontId="28" fillId="12" borderId="11" applyNumberFormat="0" applyAlignment="0" applyProtection="0"/>
    <xf numFmtId="0" fontId="34" fillId="0" borderId="390" applyNumberFormat="0" applyFill="0" applyAlignment="0" applyProtection="0"/>
    <xf numFmtId="0" fontId="49" fillId="42" borderId="387" applyNumberFormat="0" applyAlignment="0" applyProtection="0"/>
    <xf numFmtId="0" fontId="32" fillId="33" borderId="398">
      <alignment horizontal="right" vertical="center"/>
    </xf>
    <xf numFmtId="0" fontId="26" fillId="28" borderId="0" applyNumberFormat="0" applyBorder="0" applyAlignment="0" applyProtection="0"/>
    <xf numFmtId="0" fontId="32" fillId="33" borderId="391">
      <alignment horizontal="right" vertical="center"/>
    </xf>
    <xf numFmtId="0" fontId="34" fillId="0" borderId="386">
      <alignment horizontal="left" vertical="center" wrapText="1" indent="2"/>
    </xf>
    <xf numFmtId="0" fontId="12" fillId="21" borderId="0" applyNumberFormat="0" applyBorder="0" applyAlignment="0" applyProtection="0"/>
    <xf numFmtId="0" fontId="29" fillId="12" borderId="10" applyNumberFormat="0" applyAlignment="0" applyProtection="0"/>
    <xf numFmtId="173" fontId="34" fillId="59" borderId="390" applyNumberFormat="0" applyFont="0" applyBorder="0" applyAlignment="0" applyProtection="0">
      <alignment horizontal="right" vertical="center"/>
    </xf>
    <xf numFmtId="0" fontId="45" fillId="55" borderId="409" applyNumberFormat="0" applyAlignment="0" applyProtection="0"/>
    <xf numFmtId="0" fontId="36" fillId="31" borderId="390">
      <alignment horizontal="right" vertical="center"/>
    </xf>
    <xf numFmtId="0" fontId="49" fillId="42" borderId="387" applyNumberFormat="0" applyAlignment="0" applyProtection="0"/>
    <xf numFmtId="0" fontId="29" fillId="12" borderId="10" applyNumberFormat="0" applyAlignment="0" applyProtection="0"/>
    <xf numFmtId="4" fontId="32" fillId="33" borderId="390">
      <alignment horizontal="right" vertical="center"/>
    </xf>
    <xf numFmtId="0" fontId="32" fillId="33" borderId="415">
      <alignment horizontal="right" vertical="center"/>
    </xf>
    <xf numFmtId="0" fontId="45" fillId="55" borderId="409" applyNumberFormat="0" applyAlignment="0" applyProtection="0"/>
    <xf numFmtId="0" fontId="40" fillId="58" borderId="382" applyNumberFormat="0" applyFont="0" applyAlignment="0" applyProtection="0"/>
    <xf numFmtId="0" fontId="34" fillId="32" borderId="396"/>
    <xf numFmtId="0" fontId="32" fillId="31" borderId="383">
      <alignment horizontal="right" vertical="center"/>
    </xf>
    <xf numFmtId="0" fontId="12" fillId="18" borderId="0" applyNumberFormat="0" applyBorder="0" applyAlignment="0" applyProtection="0"/>
    <xf numFmtId="0" fontId="40" fillId="58" borderId="389" applyNumberFormat="0" applyFont="0" applyAlignment="0" applyProtection="0"/>
    <xf numFmtId="0" fontId="34" fillId="0" borderId="383" applyNumberFormat="0" applyFill="0" applyAlignment="0" applyProtection="0"/>
    <xf numFmtId="49" fontId="33" fillId="0" borderId="383" applyNumberFormat="0" applyFill="0" applyBorder="0" applyProtection="0">
      <alignment horizontal="left" vertical="center"/>
    </xf>
    <xf numFmtId="0" fontId="34" fillId="0" borderId="383">
      <alignment horizontal="right" vertical="center"/>
    </xf>
    <xf numFmtId="0" fontId="40" fillId="58" borderId="389" applyNumberFormat="0" applyFont="0" applyAlignment="0" applyProtection="0"/>
    <xf numFmtId="4" fontId="34" fillId="0" borderId="390" applyFill="0" applyBorder="0" applyProtection="0">
      <alignment horizontal="right" vertical="center"/>
    </xf>
    <xf numFmtId="0" fontId="50" fillId="0" borderId="410" applyNumberFormat="0" applyFill="0" applyAlignment="0" applyProtection="0"/>
    <xf numFmtId="0" fontId="58" fillId="42" borderId="387" applyNumberFormat="0" applyAlignment="0" applyProtection="0"/>
    <xf numFmtId="4" fontId="32" fillId="31" borderId="383">
      <alignment horizontal="right" vertical="center"/>
    </xf>
    <xf numFmtId="0" fontId="46" fillId="55" borderId="387" applyNumberFormat="0" applyAlignment="0" applyProtection="0"/>
    <xf numFmtId="0" fontId="46" fillId="55" borderId="380" applyNumberFormat="0" applyAlignment="0" applyProtection="0"/>
    <xf numFmtId="0" fontId="32" fillId="33" borderId="385">
      <alignment horizontal="right" vertical="center"/>
    </xf>
    <xf numFmtId="4" fontId="32" fillId="31" borderId="383">
      <alignment horizontal="right" vertical="center"/>
    </xf>
    <xf numFmtId="0" fontId="32" fillId="33" borderId="383">
      <alignment horizontal="right" vertical="center"/>
    </xf>
    <xf numFmtId="0" fontId="46" fillId="55" borderId="380" applyNumberFormat="0" applyAlignment="0" applyProtection="0"/>
    <xf numFmtId="4" fontId="34" fillId="0" borderId="390">
      <alignment horizontal="right" vertical="center"/>
    </xf>
    <xf numFmtId="4" fontId="36" fillId="31" borderId="390">
      <alignment horizontal="right" vertical="center"/>
    </xf>
    <xf numFmtId="0" fontId="28" fillId="12" borderId="11" applyNumberFormat="0" applyAlignment="0" applyProtection="0"/>
    <xf numFmtId="4" fontId="34" fillId="0" borderId="383" applyFill="0" applyBorder="0" applyProtection="0">
      <alignment horizontal="right" vertical="center"/>
    </xf>
    <xf numFmtId="0" fontId="40" fillId="58" borderId="382" applyNumberFormat="0" applyFont="0" applyAlignment="0" applyProtection="0"/>
    <xf numFmtId="0" fontId="58" fillId="42" borderId="387" applyNumberFormat="0" applyAlignment="0" applyProtection="0"/>
    <xf numFmtId="0" fontId="26" fillId="25" borderId="0" applyNumberFormat="0" applyBorder="0" applyAlignment="0" applyProtection="0"/>
    <xf numFmtId="0" fontId="34" fillId="33" borderId="399">
      <alignment horizontal="left" vertical="center" wrapText="1" indent="2"/>
    </xf>
    <xf numFmtId="4" fontId="32" fillId="33" borderId="404">
      <alignment horizontal="right" vertical="center"/>
    </xf>
    <xf numFmtId="0" fontId="32" fillId="33" borderId="372">
      <alignment horizontal="right" vertical="center"/>
    </xf>
    <xf numFmtId="0" fontId="26" fillId="29" borderId="0" applyNumberFormat="0" applyBorder="0" applyAlignment="0" applyProtection="0"/>
    <xf numFmtId="0" fontId="32" fillId="31" borderId="383">
      <alignment horizontal="right" vertical="center"/>
    </xf>
    <xf numFmtId="0" fontId="50" fillId="0" borderId="381" applyNumberFormat="0" applyFill="0" applyAlignment="0" applyProtection="0"/>
    <xf numFmtId="0" fontId="34" fillId="0" borderId="383" applyNumberFormat="0" applyFill="0" applyAlignment="0" applyProtection="0"/>
    <xf numFmtId="0" fontId="50" fillId="0" borderId="381" applyNumberFormat="0" applyFill="0" applyAlignment="0" applyProtection="0"/>
    <xf numFmtId="4" fontId="34" fillId="0" borderId="383" applyFill="0" applyBorder="0" applyProtection="0">
      <alignment horizontal="right" vertical="center"/>
    </xf>
    <xf numFmtId="49" fontId="34" fillId="0" borderId="384" applyNumberFormat="0" applyFont="0" applyFill="0" applyBorder="0" applyProtection="0">
      <alignment horizontal="left" vertical="center" indent="5"/>
    </xf>
    <xf numFmtId="0" fontId="34" fillId="0" borderId="383" applyNumberFormat="0" applyFill="0" applyAlignment="0" applyProtection="0"/>
    <xf numFmtId="0" fontId="46" fillId="55" borderId="387" applyNumberFormat="0" applyAlignment="0" applyProtection="0"/>
    <xf numFmtId="0" fontId="34" fillId="0" borderId="383" applyNumberFormat="0" applyFill="0" applyAlignment="0" applyProtection="0"/>
    <xf numFmtId="0" fontId="34" fillId="32" borderId="390"/>
    <xf numFmtId="0" fontId="40" fillId="58" borderId="395" applyNumberFormat="0" applyFont="0" applyAlignment="0" applyProtection="0"/>
    <xf numFmtId="4" fontId="32" fillId="33" borderId="383">
      <alignment horizontal="right" vertical="center"/>
    </xf>
    <xf numFmtId="0" fontId="62" fillId="55" borderId="400" applyNumberFormat="0" applyAlignment="0" applyProtection="0"/>
    <xf numFmtId="4" fontId="34" fillId="32" borderId="390"/>
    <xf numFmtId="4" fontId="34" fillId="32" borderId="396"/>
    <xf numFmtId="0" fontId="58" fillId="42" borderId="409" applyNumberFormat="0" applyAlignment="0" applyProtection="0"/>
    <xf numFmtId="0" fontId="49" fillId="42" borderId="380" applyNumberFormat="0" applyAlignment="0" applyProtection="0"/>
    <xf numFmtId="0" fontId="46" fillId="55" borderId="380" applyNumberFormat="0" applyAlignment="0" applyProtection="0"/>
    <xf numFmtId="4" fontId="34" fillId="0" borderId="383">
      <alignment horizontal="right" vertical="center"/>
    </xf>
    <xf numFmtId="0" fontId="34" fillId="33" borderId="386">
      <alignment horizontal="left" vertical="center" wrapText="1" indent="2"/>
    </xf>
    <xf numFmtId="0" fontId="34" fillId="0" borderId="386">
      <alignment horizontal="left" vertical="center" wrapText="1" indent="2"/>
    </xf>
    <xf numFmtId="0" fontId="62" fillId="55" borderId="379" applyNumberFormat="0" applyAlignment="0" applyProtection="0"/>
    <xf numFmtId="0" fontId="58" fillId="42" borderId="380" applyNumberFormat="0" applyAlignment="0" applyProtection="0"/>
    <xf numFmtId="0" fontId="45" fillId="55" borderId="380" applyNumberFormat="0" applyAlignment="0" applyProtection="0"/>
    <xf numFmtId="0" fontId="43" fillId="55" borderId="379" applyNumberFormat="0" applyAlignment="0" applyProtection="0"/>
    <xf numFmtId="0" fontId="32" fillId="33" borderId="385">
      <alignment horizontal="right" vertical="center"/>
    </xf>
    <xf numFmtId="0" fontId="36" fillId="31" borderId="383">
      <alignment horizontal="right" vertical="center"/>
    </xf>
    <xf numFmtId="4" fontId="32" fillId="31" borderId="383">
      <alignment horizontal="right" vertical="center"/>
    </xf>
    <xf numFmtId="4" fontId="32" fillId="33" borderId="383">
      <alignment horizontal="right" vertical="center"/>
    </xf>
    <xf numFmtId="49" fontId="34" fillId="0" borderId="384" applyNumberFormat="0" applyFont="0" applyFill="0" applyBorder="0" applyProtection="0">
      <alignment horizontal="left" vertical="center" indent="5"/>
    </xf>
    <xf numFmtId="4" fontId="34" fillId="0" borderId="383" applyFill="0" applyBorder="0" applyProtection="0">
      <alignment horizontal="right" vertical="center"/>
    </xf>
    <xf numFmtId="4" fontId="32" fillId="31" borderId="383">
      <alignment horizontal="right" vertical="center"/>
    </xf>
    <xf numFmtId="0" fontId="58" fillId="42" borderId="380" applyNumberFormat="0" applyAlignment="0" applyProtection="0"/>
    <xf numFmtId="0" fontId="49" fillId="42" borderId="380" applyNumberFormat="0" applyAlignment="0" applyProtection="0"/>
    <xf numFmtId="0" fontId="45" fillId="55" borderId="380" applyNumberFormat="0" applyAlignment="0" applyProtection="0"/>
    <xf numFmtId="0" fontId="34" fillId="33" borderId="386">
      <alignment horizontal="left" vertical="center" wrapText="1" indent="2"/>
    </xf>
    <xf numFmtId="0" fontId="34" fillId="0" borderId="386">
      <alignment horizontal="left" vertical="center" wrapText="1" indent="2"/>
    </xf>
    <xf numFmtId="0" fontId="34" fillId="33" borderId="386">
      <alignment horizontal="left" vertical="center" wrapText="1" indent="2"/>
    </xf>
    <xf numFmtId="0" fontId="34" fillId="0" borderId="393">
      <alignment horizontal="left" vertical="center" wrapText="1" indent="2"/>
    </xf>
    <xf numFmtId="0" fontId="32" fillId="33" borderId="398">
      <alignment horizontal="right" vertical="center"/>
    </xf>
    <xf numFmtId="0" fontId="36" fillId="31" borderId="404">
      <alignment horizontal="right" vertical="center"/>
    </xf>
    <xf numFmtId="0" fontId="34" fillId="31" borderId="397">
      <alignment horizontal="left" vertical="center"/>
    </xf>
    <xf numFmtId="4" fontId="32" fillId="33" borderId="392">
      <alignment horizontal="right" vertical="center"/>
    </xf>
    <xf numFmtId="0" fontId="34" fillId="33" borderId="407">
      <alignment horizontal="left" vertical="center" wrapText="1" indent="2"/>
    </xf>
    <xf numFmtId="0" fontId="5" fillId="58" borderId="389" applyNumberFormat="0" applyFont="0" applyAlignment="0" applyProtection="0"/>
    <xf numFmtId="0" fontId="1" fillId="0" borderId="0" applyNumberFormat="0" applyFill="0" applyBorder="0" applyAlignment="0" applyProtection="0"/>
    <xf numFmtId="0" fontId="62" fillId="55" borderId="400" applyNumberFormat="0" applyAlignment="0" applyProtection="0"/>
    <xf numFmtId="0" fontId="26" fillId="22" borderId="0" applyNumberFormat="0" applyBorder="0" applyAlignment="0" applyProtection="0"/>
    <xf numFmtId="0" fontId="50" fillId="0" borderId="402" applyNumberFormat="0" applyFill="0" applyAlignment="0" applyProtection="0"/>
    <xf numFmtId="0" fontId="29" fillId="12" borderId="10" applyNumberFormat="0" applyAlignment="0" applyProtection="0"/>
    <xf numFmtId="0" fontId="34" fillId="33" borderId="393">
      <alignment horizontal="left" vertical="center" wrapText="1" indent="2"/>
    </xf>
    <xf numFmtId="4" fontId="32" fillId="33" borderId="392">
      <alignment horizontal="right" vertical="center"/>
    </xf>
    <xf numFmtId="0" fontId="62" fillId="55" borderId="394" applyNumberFormat="0" applyAlignment="0" applyProtection="0"/>
    <xf numFmtId="4" fontId="36" fillId="31" borderId="390">
      <alignment horizontal="right" vertical="center"/>
    </xf>
    <xf numFmtId="4" fontId="32" fillId="33" borderId="390">
      <alignment horizontal="right" vertical="center"/>
    </xf>
    <xf numFmtId="0" fontId="46" fillId="55" borderId="387" applyNumberFormat="0" applyAlignment="0" applyProtection="0"/>
    <xf numFmtId="0" fontId="65" fillId="0" borderId="388" applyNumberFormat="0" applyFill="0" applyAlignment="0" applyProtection="0"/>
    <xf numFmtId="4" fontId="32" fillId="33" borderId="390">
      <alignment horizontal="right" vertical="center"/>
    </xf>
    <xf numFmtId="4" fontId="36" fillId="31" borderId="390">
      <alignment horizontal="right" vertical="center"/>
    </xf>
    <xf numFmtId="0" fontId="62" fillId="55" borderId="411" applyNumberFormat="0" applyAlignment="0" applyProtection="0"/>
    <xf numFmtId="0" fontId="50" fillId="0" borderId="388" applyNumberFormat="0" applyFill="0" applyAlignment="0" applyProtection="0"/>
    <xf numFmtId="0" fontId="49" fillId="42" borderId="387" applyNumberFormat="0" applyAlignment="0" applyProtection="0"/>
    <xf numFmtId="0" fontId="62" fillId="55" borderId="394" applyNumberFormat="0" applyAlignment="0" applyProtection="0"/>
    <xf numFmtId="0" fontId="43" fillId="55" borderId="394" applyNumberFormat="0" applyAlignment="0" applyProtection="0"/>
    <xf numFmtId="49" fontId="34" fillId="0" borderId="404" applyNumberFormat="0" applyFont="0" applyFill="0" applyBorder="0" applyProtection="0">
      <alignment horizontal="left" vertical="center" indent="2"/>
    </xf>
    <xf numFmtId="0" fontId="36" fillId="31" borderId="404">
      <alignment horizontal="right" vertical="center"/>
    </xf>
    <xf numFmtId="0" fontId="1" fillId="0" borderId="0" applyNumberFormat="0" applyFill="0" applyBorder="0" applyAlignment="0" applyProtection="0"/>
    <xf numFmtId="0" fontId="26" fillId="13" borderId="0" applyNumberFormat="0" applyBorder="0" applyAlignment="0" applyProtection="0"/>
    <xf numFmtId="0" fontId="46" fillId="55" borderId="387" applyNumberFormat="0" applyAlignment="0" applyProtection="0"/>
    <xf numFmtId="0" fontId="58" fillId="42" borderId="401" applyNumberFormat="0" applyAlignment="0" applyProtection="0"/>
    <xf numFmtId="0" fontId="58" fillId="42" borderId="409" applyNumberFormat="0" applyAlignment="0" applyProtection="0"/>
    <xf numFmtId="0" fontId="50" fillId="0" borderId="388" applyNumberFormat="0" applyFill="0" applyAlignment="0" applyProtection="0"/>
    <xf numFmtId="0" fontId="62" fillId="55" borderId="394" applyNumberFormat="0" applyAlignment="0" applyProtection="0"/>
    <xf numFmtId="4" fontId="34" fillId="0" borderId="390" applyFill="0" applyBorder="0" applyProtection="0">
      <alignment horizontal="right" vertical="center"/>
    </xf>
    <xf numFmtId="0" fontId="45" fillId="55" borderId="387" applyNumberFormat="0" applyAlignment="0" applyProtection="0"/>
    <xf numFmtId="0" fontId="62" fillId="55" borderId="394" applyNumberFormat="0" applyAlignment="0" applyProtection="0"/>
    <xf numFmtId="0" fontId="34" fillId="33" borderId="393">
      <alignment horizontal="left" vertical="center" wrapText="1" indent="2"/>
    </xf>
    <xf numFmtId="0" fontId="58" fillId="42" borderId="387" applyNumberFormat="0" applyAlignment="0" applyProtection="0"/>
    <xf numFmtId="0" fontId="5" fillId="58" borderId="389" applyNumberFormat="0" applyFont="0" applyAlignment="0" applyProtection="0"/>
    <xf numFmtId="4" fontId="36" fillId="31" borderId="390">
      <alignment horizontal="right" vertical="center"/>
    </xf>
    <xf numFmtId="0" fontId="32" fillId="33" borderId="390">
      <alignment horizontal="right" vertical="center"/>
    </xf>
    <xf numFmtId="0" fontId="49" fillId="42" borderId="387" applyNumberFormat="0" applyAlignment="0" applyProtection="0"/>
    <xf numFmtId="173" fontId="34" fillId="59" borderId="390" applyNumberFormat="0" applyFont="0" applyBorder="0" applyAlignment="0" applyProtection="0">
      <alignment horizontal="right" vertical="center"/>
    </xf>
    <xf numFmtId="49" fontId="34" fillId="0" borderId="390" applyNumberFormat="0" applyFont="0" applyFill="0" applyBorder="0" applyProtection="0">
      <alignment horizontal="left" vertical="center" indent="2"/>
    </xf>
    <xf numFmtId="173" fontId="34" fillId="59" borderId="396" applyNumberFormat="0" applyFont="0" applyBorder="0" applyAlignment="0" applyProtection="0">
      <alignment horizontal="right" vertical="center"/>
    </xf>
    <xf numFmtId="0" fontId="65" fillId="0" borderId="410" applyNumberFormat="0" applyFill="0" applyAlignment="0" applyProtection="0"/>
    <xf numFmtId="0" fontId="32" fillId="33" borderId="398">
      <alignment horizontal="right" vertical="center"/>
    </xf>
    <xf numFmtId="0" fontId="34" fillId="32" borderId="390"/>
    <xf numFmtId="0" fontId="34" fillId="0" borderId="390">
      <alignment horizontal="right" vertical="center"/>
    </xf>
    <xf numFmtId="49" fontId="34" fillId="0" borderId="396" applyNumberFormat="0" applyFont="0" applyFill="0" applyBorder="0" applyProtection="0">
      <alignment horizontal="left" vertical="center" indent="2"/>
    </xf>
    <xf numFmtId="49" fontId="33" fillId="0" borderId="404" applyNumberFormat="0" applyFill="0" applyBorder="0" applyProtection="0">
      <alignment horizontal="left" vertical="center"/>
    </xf>
    <xf numFmtId="0" fontId="62" fillId="55" borderId="400" applyNumberFormat="0" applyAlignment="0" applyProtection="0"/>
    <xf numFmtId="0" fontId="46" fillId="55" borderId="401" applyNumberFormat="0" applyAlignment="0" applyProtection="0"/>
    <xf numFmtId="0" fontId="26" fillId="26" borderId="0" applyNumberFormat="0" applyBorder="0" applyAlignment="0" applyProtection="0"/>
    <xf numFmtId="0" fontId="26" fillId="17" borderId="0" applyNumberFormat="0" applyBorder="0" applyAlignment="0" applyProtection="0"/>
    <xf numFmtId="4" fontId="34" fillId="32" borderId="404"/>
    <xf numFmtId="4" fontId="32" fillId="33" borderId="396">
      <alignment horizontal="right" vertical="center"/>
    </xf>
    <xf numFmtId="0" fontId="32" fillId="33" borderId="404">
      <alignment horizontal="right" vertical="center"/>
    </xf>
    <xf numFmtId="0" fontId="12" fillId="15" borderId="0" applyNumberFormat="0" applyBorder="0" applyAlignment="0" applyProtection="0"/>
    <xf numFmtId="173" fontId="34" fillId="59" borderId="396" applyNumberFormat="0" applyFont="0" applyBorder="0" applyAlignment="0" applyProtection="0">
      <alignment horizontal="right" vertical="center"/>
    </xf>
    <xf numFmtId="4" fontId="32" fillId="33" borderId="390">
      <alignment horizontal="right" vertical="center"/>
    </xf>
    <xf numFmtId="4" fontId="34" fillId="0" borderId="396" applyFill="0" applyBorder="0" applyProtection="0">
      <alignment horizontal="right" vertical="center"/>
    </xf>
    <xf numFmtId="0" fontId="40" fillId="58" borderId="414" applyNumberFormat="0" applyFont="0" applyAlignment="0" applyProtection="0"/>
    <xf numFmtId="0" fontId="43" fillId="55" borderId="400" applyNumberFormat="0" applyAlignment="0" applyProtection="0"/>
    <xf numFmtId="49" fontId="34" fillId="0" borderId="396" applyNumberFormat="0" applyFont="0" applyFill="0" applyBorder="0" applyProtection="0">
      <alignment horizontal="left" vertical="center" indent="2"/>
    </xf>
    <xf numFmtId="0" fontId="65" fillId="0" borderId="410" applyNumberFormat="0" applyFill="0" applyAlignment="0" applyProtection="0"/>
    <xf numFmtId="0" fontId="12" fillId="30" borderId="0" applyNumberFormat="0" applyBorder="0" applyAlignment="0" applyProtection="0"/>
    <xf numFmtId="0" fontId="43" fillId="55" borderId="408" applyNumberFormat="0" applyAlignment="0" applyProtection="0"/>
    <xf numFmtId="0" fontId="50" fillId="0" borderId="388" applyNumberFormat="0" applyFill="0" applyAlignment="0" applyProtection="0"/>
    <xf numFmtId="0" fontId="34" fillId="0" borderId="393">
      <alignment horizontal="left" vertical="center" wrapText="1" indent="2"/>
    </xf>
    <xf numFmtId="49" fontId="34" fillId="0" borderId="397" applyNumberFormat="0" applyFont="0" applyFill="0" applyBorder="0" applyProtection="0">
      <alignment horizontal="left" vertical="center" indent="5"/>
    </xf>
    <xf numFmtId="0" fontId="26" fillId="20" borderId="0" applyNumberFormat="0" applyBorder="0" applyAlignment="0" applyProtection="0"/>
    <xf numFmtId="0" fontId="65" fillId="0" borderId="388" applyNumberFormat="0" applyFill="0" applyAlignment="0" applyProtection="0"/>
    <xf numFmtId="0" fontId="2" fillId="0" borderId="12" applyNumberFormat="0" applyFill="0" applyAlignment="0" applyProtection="0"/>
    <xf numFmtId="0" fontId="46" fillId="55" borderId="401" applyNumberFormat="0" applyAlignment="0" applyProtection="0"/>
    <xf numFmtId="0" fontId="34" fillId="0" borderId="407">
      <alignment horizontal="left" vertical="center" wrapText="1" indent="2"/>
    </xf>
    <xf numFmtId="0" fontId="62" fillId="55" borderId="394" applyNumberFormat="0" applyAlignment="0" applyProtection="0"/>
    <xf numFmtId="173" fontId="34" fillId="59" borderId="390" applyNumberFormat="0" applyFont="0" applyBorder="0" applyAlignment="0" applyProtection="0">
      <alignment horizontal="right" vertical="center"/>
    </xf>
    <xf numFmtId="0" fontId="58" fillId="42" borderId="401" applyNumberFormat="0" applyAlignment="0" applyProtection="0"/>
    <xf numFmtId="0" fontId="12" fillId="27" borderId="0" applyNumberFormat="0" applyBorder="0" applyAlignment="0" applyProtection="0"/>
    <xf numFmtId="0" fontId="58" fillId="42" borderId="401" applyNumberFormat="0" applyAlignment="0" applyProtection="0"/>
    <xf numFmtId="0" fontId="65" fillId="0" borderId="402" applyNumberFormat="0" applyFill="0" applyAlignment="0" applyProtection="0"/>
    <xf numFmtId="0" fontId="12" fillId="30" borderId="0" applyNumberFormat="0" applyBorder="0" applyAlignment="0" applyProtection="0"/>
    <xf numFmtId="0" fontId="58" fillId="42" borderId="401" applyNumberFormat="0" applyAlignment="0" applyProtection="0"/>
    <xf numFmtId="0" fontId="26" fillId="20" borderId="0" applyNumberFormat="0" applyBorder="0" applyAlignment="0" applyProtection="0"/>
    <xf numFmtId="49" fontId="34" fillId="0" borderId="390" applyNumberFormat="0" applyFont="0" applyFill="0" applyBorder="0" applyProtection="0">
      <alignment horizontal="left" vertical="center" indent="2"/>
    </xf>
    <xf numFmtId="4" fontId="34" fillId="0" borderId="390" applyFill="0" applyBorder="0" applyProtection="0">
      <alignment horizontal="right" vertical="center"/>
    </xf>
    <xf numFmtId="4" fontId="32" fillId="31" borderId="390">
      <alignment horizontal="right" vertical="center"/>
    </xf>
    <xf numFmtId="0" fontId="32" fillId="33" borderId="398">
      <alignment horizontal="right" vertical="center"/>
    </xf>
    <xf numFmtId="0" fontId="26" fillId="17" borderId="0" applyNumberFormat="0" applyBorder="0" applyAlignment="0" applyProtection="0"/>
    <xf numFmtId="0" fontId="26" fillId="25" borderId="0" applyNumberFormat="0" applyBorder="0" applyAlignment="0" applyProtection="0"/>
    <xf numFmtId="0" fontId="40" fillId="58" borderId="395" applyNumberFormat="0" applyFont="0" applyAlignment="0" applyProtection="0"/>
    <xf numFmtId="4" fontId="34" fillId="32" borderId="390"/>
    <xf numFmtId="0" fontId="45" fillId="55" borderId="401" applyNumberFormat="0" applyAlignment="0" applyProtection="0"/>
    <xf numFmtId="0" fontId="12" fillId="18" borderId="0" applyNumberFormat="0" applyBorder="0" applyAlignment="0" applyProtection="0"/>
    <xf numFmtId="0" fontId="32" fillId="33" borderId="392">
      <alignment horizontal="right" vertical="center"/>
    </xf>
    <xf numFmtId="0" fontId="49" fillId="42" borderId="409" applyNumberFormat="0" applyAlignment="0" applyProtection="0"/>
    <xf numFmtId="0" fontId="40" fillId="58" borderId="389" applyNumberFormat="0" applyFont="0" applyAlignment="0" applyProtection="0"/>
    <xf numFmtId="0" fontId="26" fillId="14" borderId="0" applyNumberFormat="0" applyBorder="0" applyAlignment="0" applyProtection="0"/>
    <xf numFmtId="0" fontId="34" fillId="0" borderId="390">
      <alignment horizontal="right" vertical="center"/>
    </xf>
    <xf numFmtId="4" fontId="34" fillId="32" borderId="390"/>
    <xf numFmtId="0" fontId="40" fillId="58" borderId="389" applyNumberFormat="0" applyFont="0" applyAlignment="0" applyProtection="0"/>
    <xf numFmtId="4" fontId="32" fillId="33" borderId="390">
      <alignment horizontal="right" vertical="center"/>
    </xf>
    <xf numFmtId="0" fontId="46" fillId="55" borderId="401" applyNumberFormat="0" applyAlignment="0" applyProtection="0"/>
    <xf numFmtId="0" fontId="28" fillId="12" borderId="11" applyNumberFormat="0" applyAlignment="0" applyProtection="0"/>
    <xf numFmtId="0" fontId="62" fillId="55" borderId="394" applyNumberFormat="0" applyAlignment="0" applyProtection="0"/>
    <xf numFmtId="49" fontId="34" fillId="0" borderId="391" applyNumberFormat="0" applyFont="0" applyFill="0" applyBorder="0" applyProtection="0">
      <alignment horizontal="left" vertical="center" indent="5"/>
    </xf>
    <xf numFmtId="0" fontId="12" fillId="18" borderId="0" applyNumberFormat="0" applyBorder="0" applyAlignment="0" applyProtection="0"/>
    <xf numFmtId="49" fontId="34" fillId="0" borderId="391" applyNumberFormat="0" applyFont="0" applyFill="0" applyBorder="0" applyProtection="0">
      <alignment horizontal="left" vertical="center" indent="5"/>
    </xf>
    <xf numFmtId="0" fontId="65" fillId="0" borderId="402" applyNumberFormat="0" applyFill="0" applyAlignment="0" applyProtection="0"/>
    <xf numFmtId="0" fontId="12" fillId="27" borderId="0" applyNumberFormat="0" applyBorder="0" applyAlignment="0" applyProtection="0"/>
    <xf numFmtId="0" fontId="32" fillId="31" borderId="390">
      <alignment horizontal="right" vertical="center"/>
    </xf>
    <xf numFmtId="0" fontId="32" fillId="31" borderId="396">
      <alignment horizontal="right" vertical="center"/>
    </xf>
    <xf numFmtId="0" fontId="58" fillId="42" borderId="387" applyNumberFormat="0" applyAlignment="0" applyProtection="0"/>
    <xf numFmtId="0" fontId="46" fillId="55" borderId="387" applyNumberFormat="0" applyAlignment="0" applyProtection="0"/>
    <xf numFmtId="0" fontId="34" fillId="33" borderId="393">
      <alignment horizontal="left" vertical="center" wrapText="1" indent="2"/>
    </xf>
    <xf numFmtId="0" fontId="26" fillId="23" borderId="0" applyNumberFormat="0" applyBorder="0" applyAlignment="0" applyProtection="0"/>
    <xf numFmtId="0" fontId="50" fillId="0" borderId="388" applyNumberFormat="0" applyFill="0" applyAlignment="0" applyProtection="0"/>
    <xf numFmtId="0" fontId="46" fillId="55" borderId="409" applyNumberFormat="0" applyAlignment="0" applyProtection="0"/>
    <xf numFmtId="0" fontId="34" fillId="0" borderId="396" applyNumberFormat="0" applyFill="0" applyAlignment="0" applyProtection="0"/>
    <xf numFmtId="0" fontId="34" fillId="0" borderId="396" applyNumberFormat="0" applyFill="0" applyAlignment="0" applyProtection="0"/>
    <xf numFmtId="0" fontId="45" fillId="55" borderId="387" applyNumberFormat="0" applyAlignment="0" applyProtection="0"/>
    <xf numFmtId="0" fontId="12" fillId="18" borderId="0" applyNumberFormat="0" applyBorder="0" applyAlignment="0" applyProtection="0"/>
    <xf numFmtId="0" fontId="36" fillId="31" borderId="390">
      <alignment horizontal="right" vertical="center"/>
    </xf>
    <xf numFmtId="0" fontId="34" fillId="0" borderId="396">
      <alignment horizontal="right" vertical="center"/>
    </xf>
    <xf numFmtId="0" fontId="12" fillId="21" borderId="0" applyNumberFormat="0" applyBorder="0" applyAlignment="0" applyProtection="0"/>
    <xf numFmtId="0" fontId="46" fillId="55" borderId="409" applyNumberFormat="0" applyAlignment="0" applyProtection="0"/>
    <xf numFmtId="0" fontId="32" fillId="33" borderId="391">
      <alignment horizontal="right" vertical="center"/>
    </xf>
    <xf numFmtId="0" fontId="34" fillId="0" borderId="404">
      <alignment horizontal="right" vertical="center"/>
    </xf>
    <xf numFmtId="4" fontId="34" fillId="0" borderId="396" applyFill="0" applyBorder="0" applyProtection="0">
      <alignment horizontal="right" vertical="center"/>
    </xf>
    <xf numFmtId="0" fontId="32" fillId="33" borderId="391">
      <alignment horizontal="right" vertical="center"/>
    </xf>
    <xf numFmtId="0" fontId="46" fillId="55" borderId="401" applyNumberFormat="0" applyAlignment="0" applyProtection="0"/>
    <xf numFmtId="0" fontId="32" fillId="31" borderId="390">
      <alignment horizontal="right" vertical="center"/>
    </xf>
    <xf numFmtId="0" fontId="12" fillId="30" borderId="0" applyNumberFormat="0" applyBorder="0" applyAlignment="0" applyProtection="0"/>
    <xf numFmtId="0" fontId="34" fillId="32" borderId="390"/>
    <xf numFmtId="0" fontId="40" fillId="58" borderId="395" applyNumberFormat="0" applyFont="0" applyAlignment="0" applyProtection="0"/>
    <xf numFmtId="4" fontId="36" fillId="31" borderId="390">
      <alignment horizontal="right" vertical="center"/>
    </xf>
    <xf numFmtId="0" fontId="34" fillId="31" borderId="391">
      <alignment horizontal="left" vertical="center"/>
    </xf>
    <xf numFmtId="0" fontId="65" fillId="0" borderId="388" applyNumberFormat="0" applyFill="0" applyAlignment="0" applyProtection="0"/>
    <xf numFmtId="49" fontId="34" fillId="0" borderId="415" applyNumberFormat="0" applyFont="0" applyFill="0" applyBorder="0" applyProtection="0">
      <alignment horizontal="left" vertical="center" indent="2"/>
    </xf>
    <xf numFmtId="0" fontId="12" fillId="18" borderId="0" applyNumberFormat="0" applyBorder="0" applyAlignment="0" applyProtection="0"/>
    <xf numFmtId="49" fontId="33" fillId="0" borderId="390" applyNumberFormat="0" applyFill="0" applyBorder="0" applyProtection="0">
      <alignment horizontal="left" vertical="center"/>
    </xf>
    <xf numFmtId="0" fontId="34" fillId="0" borderId="393">
      <alignment horizontal="left" vertical="center" wrapText="1" indent="2"/>
    </xf>
    <xf numFmtId="0" fontId="26" fillId="20" borderId="0" applyNumberFormat="0" applyBorder="0" applyAlignment="0" applyProtection="0"/>
    <xf numFmtId="0" fontId="62" fillId="55" borderId="408" applyNumberFormat="0" applyAlignment="0" applyProtection="0"/>
    <xf numFmtId="0" fontId="65" fillId="0" borderId="388" applyNumberFormat="0" applyFill="0" applyAlignment="0" applyProtection="0"/>
    <xf numFmtId="0" fontId="36" fillId="31" borderId="390">
      <alignment horizontal="right" vertical="center"/>
    </xf>
    <xf numFmtId="0" fontId="34" fillId="0" borderId="393">
      <alignment horizontal="left" vertical="center" wrapText="1" indent="2"/>
    </xf>
    <xf numFmtId="0" fontId="26" fillId="28" borderId="0" applyNumberFormat="0" applyBorder="0" applyAlignment="0" applyProtection="0"/>
    <xf numFmtId="49" fontId="34" fillId="0" borderId="391" applyNumberFormat="0" applyFont="0" applyFill="0" applyBorder="0" applyProtection="0">
      <alignment horizontal="left" vertical="center" indent="5"/>
    </xf>
    <xf numFmtId="4" fontId="32" fillId="33" borderId="396">
      <alignment horizontal="right" vertical="center"/>
    </xf>
    <xf numFmtId="0" fontId="50" fillId="0" borderId="388" applyNumberFormat="0" applyFill="0" applyAlignment="0" applyProtection="0"/>
    <xf numFmtId="0" fontId="50" fillId="0" borderId="410" applyNumberFormat="0" applyFill="0" applyAlignment="0" applyProtection="0"/>
    <xf numFmtId="4" fontId="32" fillId="33" borderId="404">
      <alignment horizontal="right" vertical="center"/>
    </xf>
    <xf numFmtId="0" fontId="45" fillId="55" borderId="401" applyNumberFormat="0" applyAlignment="0" applyProtection="0"/>
    <xf numFmtId="0" fontId="65" fillId="0" borderId="388" applyNumberFormat="0" applyFill="0" applyAlignment="0" applyProtection="0"/>
    <xf numFmtId="0" fontId="32" fillId="33" borderId="390">
      <alignment horizontal="right" vertical="center"/>
    </xf>
    <xf numFmtId="0" fontId="50" fillId="0" borderId="410" applyNumberFormat="0" applyFill="0" applyAlignment="0" applyProtection="0"/>
    <xf numFmtId="173" fontId="34" fillId="59" borderId="390" applyNumberFormat="0" applyFont="0" applyBorder="0" applyAlignment="0" applyProtection="0">
      <alignment horizontal="right" vertical="center"/>
    </xf>
    <xf numFmtId="0" fontId="40" fillId="58" borderId="389" applyNumberFormat="0" applyFont="0" applyAlignment="0" applyProtection="0"/>
    <xf numFmtId="0" fontId="34" fillId="0" borderId="396" applyNumberFormat="0" applyFill="0" applyAlignment="0" applyProtection="0"/>
    <xf numFmtId="0" fontId="32" fillId="33" borderId="406">
      <alignment horizontal="right" vertical="center"/>
    </xf>
    <xf numFmtId="0" fontId="58" fillId="42" borderId="387" applyNumberFormat="0" applyAlignment="0" applyProtection="0"/>
    <xf numFmtId="4" fontId="32" fillId="33" borderId="404">
      <alignment horizontal="right" vertical="center"/>
    </xf>
    <xf numFmtId="0" fontId="46" fillId="55" borderId="387" applyNumberFormat="0" applyAlignment="0" applyProtection="0"/>
    <xf numFmtId="0" fontId="34" fillId="0" borderId="393">
      <alignment horizontal="left" vertical="center" wrapText="1" indent="2"/>
    </xf>
    <xf numFmtId="0" fontId="58" fillId="42" borderId="387" applyNumberFormat="0" applyAlignment="0" applyProtection="0"/>
    <xf numFmtId="0" fontId="43" fillId="55" borderId="394" applyNumberFormat="0" applyAlignment="0" applyProtection="0"/>
    <xf numFmtId="0" fontId="46" fillId="55" borderId="387" applyNumberFormat="0" applyAlignment="0" applyProtection="0"/>
    <xf numFmtId="0" fontId="34" fillId="33" borderId="393">
      <alignment horizontal="left" vertical="center" wrapText="1" indent="2"/>
    </xf>
    <xf numFmtId="0" fontId="12" fillId="24" borderId="0" applyNumberFormat="0" applyBorder="0" applyAlignment="0" applyProtection="0"/>
    <xf numFmtId="0" fontId="34" fillId="33" borderId="393">
      <alignment horizontal="left" vertical="center" wrapText="1" indent="2"/>
    </xf>
    <xf numFmtId="0" fontId="34" fillId="32" borderId="390"/>
    <xf numFmtId="0" fontId="26" fillId="19" borderId="0" applyNumberFormat="0" applyBorder="0" applyAlignment="0" applyProtection="0"/>
    <xf numFmtId="0" fontId="34" fillId="0" borderId="393">
      <alignment horizontal="left" vertical="center" wrapText="1" indent="2"/>
    </xf>
    <xf numFmtId="4" fontId="32" fillId="31" borderId="390">
      <alignment horizontal="right" vertical="center"/>
    </xf>
    <xf numFmtId="0" fontId="26" fillId="14" borderId="0" applyNumberFormat="0" applyBorder="0" applyAlignment="0" applyProtection="0"/>
    <xf numFmtId="0" fontId="26" fillId="14" borderId="0" applyNumberFormat="0" applyBorder="0" applyAlignment="0" applyProtection="0"/>
    <xf numFmtId="0" fontId="5" fillId="58" borderId="395" applyNumberFormat="0" applyFont="0" applyAlignment="0" applyProtection="0"/>
    <xf numFmtId="0" fontId="26" fillId="28" borderId="0" applyNumberFormat="0" applyBorder="0" applyAlignment="0" applyProtection="0"/>
    <xf numFmtId="0" fontId="45" fillId="55" borderId="409" applyNumberFormat="0" applyAlignment="0" applyProtection="0"/>
    <xf numFmtId="0" fontId="26" fillId="19" borderId="0" applyNumberFormat="0" applyBorder="0" applyAlignment="0" applyProtection="0"/>
    <xf numFmtId="0" fontId="5" fillId="58" borderId="389" applyNumberFormat="0" applyFont="0" applyAlignment="0" applyProtection="0"/>
    <xf numFmtId="4" fontId="32" fillId="33" borderId="390">
      <alignment horizontal="right" vertical="center"/>
    </xf>
    <xf numFmtId="49" fontId="34" fillId="0" borderId="390" applyNumberFormat="0" applyFont="0" applyFill="0" applyBorder="0" applyProtection="0">
      <alignment horizontal="left" vertical="center" indent="2"/>
    </xf>
    <xf numFmtId="0" fontId="12" fillId="21" borderId="0" applyNumberFormat="0" applyBorder="0" applyAlignment="0" applyProtection="0"/>
    <xf numFmtId="0" fontId="65" fillId="0" borderId="388" applyNumberFormat="0" applyFill="0" applyAlignment="0" applyProtection="0"/>
    <xf numFmtId="0" fontId="26" fillId="17" borderId="0" applyNumberFormat="0" applyBorder="0" applyAlignment="0" applyProtection="0"/>
    <xf numFmtId="0" fontId="29" fillId="12" borderId="10" applyNumberFormat="0" applyAlignment="0" applyProtection="0"/>
    <xf numFmtId="4" fontId="32" fillId="33" borderId="406">
      <alignment horizontal="right" vertical="center"/>
    </xf>
    <xf numFmtId="0" fontId="29" fillId="12" borderId="10" applyNumberFormat="0" applyAlignment="0" applyProtection="0"/>
    <xf numFmtId="0" fontId="26" fillId="22" borderId="0" applyNumberFormat="0" applyBorder="0" applyAlignment="0" applyProtection="0"/>
    <xf numFmtId="0" fontId="58" fillId="42" borderId="387" applyNumberFormat="0" applyAlignment="0" applyProtection="0"/>
    <xf numFmtId="0" fontId="32" fillId="33" borderId="397">
      <alignment horizontal="right" vertical="center"/>
    </xf>
    <xf numFmtId="0" fontId="49" fillId="42" borderId="409" applyNumberFormat="0" applyAlignment="0" applyProtection="0"/>
    <xf numFmtId="0" fontId="40" fillId="58" borderId="403" applyNumberFormat="0" applyFont="0" applyAlignment="0" applyProtection="0"/>
    <xf numFmtId="4" fontId="32" fillId="33" borderId="404">
      <alignment horizontal="right" vertical="center"/>
    </xf>
    <xf numFmtId="0" fontId="40" fillId="58" borderId="403" applyNumberFormat="0" applyFont="0" applyAlignment="0" applyProtection="0"/>
    <xf numFmtId="0" fontId="65" fillId="0" borderId="388" applyNumberFormat="0" applyFill="0" applyAlignment="0" applyProtection="0"/>
    <xf numFmtId="4" fontId="34" fillId="0" borderId="396">
      <alignment horizontal="right" vertical="center"/>
    </xf>
    <xf numFmtId="4" fontId="34" fillId="0" borderId="396">
      <alignment horizontal="right" vertical="center"/>
    </xf>
    <xf numFmtId="4" fontId="32" fillId="31" borderId="396">
      <alignment horizontal="right" vertical="center"/>
    </xf>
    <xf numFmtId="0" fontId="29" fillId="12" borderId="10" applyNumberFormat="0" applyAlignment="0" applyProtection="0"/>
    <xf numFmtId="4" fontId="34" fillId="0" borderId="390">
      <alignment horizontal="right" vertical="center"/>
    </xf>
    <xf numFmtId="0" fontId="65" fillId="0" borderId="402" applyNumberFormat="0" applyFill="0" applyAlignment="0" applyProtection="0"/>
    <xf numFmtId="0" fontId="26" fillId="23" borderId="0" applyNumberFormat="0" applyBorder="0" applyAlignment="0" applyProtection="0"/>
    <xf numFmtId="0" fontId="32" fillId="33" borderId="396">
      <alignment horizontal="right" vertical="center"/>
    </xf>
    <xf numFmtId="0" fontId="46" fillId="55" borderId="401" applyNumberFormat="0" applyAlignment="0" applyProtection="0"/>
    <xf numFmtId="0" fontId="62" fillId="55" borderId="394" applyNumberFormat="0" applyAlignment="0" applyProtection="0"/>
    <xf numFmtId="173" fontId="34" fillId="59" borderId="404" applyNumberFormat="0" applyFont="0" applyBorder="0" applyAlignment="0" applyProtection="0">
      <alignment horizontal="right" vertical="center"/>
    </xf>
    <xf numFmtId="0" fontId="49" fillId="42" borderId="401" applyNumberFormat="0" applyAlignment="0" applyProtection="0"/>
    <xf numFmtId="0" fontId="12" fillId="18" borderId="0" applyNumberFormat="0" applyBorder="0" applyAlignment="0" applyProtection="0"/>
    <xf numFmtId="0" fontId="26" fillId="17" borderId="0" applyNumberFormat="0" applyBorder="0" applyAlignment="0" applyProtection="0"/>
    <xf numFmtId="4" fontId="32" fillId="31" borderId="390">
      <alignment horizontal="right" vertical="center"/>
    </xf>
    <xf numFmtId="0" fontId="34" fillId="33" borderId="399">
      <alignment horizontal="left" vertical="center" wrapText="1" indent="2"/>
    </xf>
    <xf numFmtId="0" fontId="34" fillId="33" borderId="399">
      <alignment horizontal="left" vertical="center" wrapText="1" indent="2"/>
    </xf>
    <xf numFmtId="0" fontId="36" fillId="31" borderId="404">
      <alignment horizontal="right" vertical="center"/>
    </xf>
    <xf numFmtId="173" fontId="34" fillId="59" borderId="396" applyNumberFormat="0" applyFont="0" applyBorder="0" applyAlignment="0" applyProtection="0">
      <alignment horizontal="right" vertical="center"/>
    </xf>
    <xf numFmtId="0" fontId="65" fillId="0" borderId="388" applyNumberFormat="0" applyFill="0" applyAlignment="0" applyProtection="0"/>
    <xf numFmtId="4" fontId="34" fillId="0" borderId="404">
      <alignment horizontal="right" vertical="center"/>
    </xf>
    <xf numFmtId="0" fontId="5" fillId="58" borderId="389" applyNumberFormat="0" applyFont="0" applyAlignment="0" applyProtection="0"/>
    <xf numFmtId="0" fontId="46" fillId="55" borderId="401" applyNumberFormat="0" applyAlignment="0" applyProtection="0"/>
    <xf numFmtId="0" fontId="50" fillId="0" borderId="402" applyNumberFormat="0" applyFill="0" applyAlignment="0" applyProtection="0"/>
    <xf numFmtId="0" fontId="32" fillId="31" borderId="390">
      <alignment horizontal="right" vertical="center"/>
    </xf>
    <xf numFmtId="0" fontId="12" fillId="27" borderId="0" applyNumberFormat="0" applyBorder="0" applyAlignment="0" applyProtection="0"/>
    <xf numFmtId="0" fontId="26" fillId="13" borderId="0" applyNumberFormat="0" applyBorder="0" applyAlignment="0" applyProtection="0"/>
    <xf numFmtId="0" fontId="43" fillId="55" borderId="394" applyNumberFormat="0" applyAlignment="0" applyProtection="0"/>
    <xf numFmtId="0" fontId="43" fillId="55" borderId="408" applyNumberFormat="0" applyAlignment="0" applyProtection="0"/>
    <xf numFmtId="0" fontId="34" fillId="0" borderId="399">
      <alignment horizontal="left" vertical="center" wrapText="1" indent="2"/>
    </xf>
    <xf numFmtId="0" fontId="34" fillId="0" borderId="407">
      <alignment horizontal="left" vertical="center" wrapText="1" indent="2"/>
    </xf>
    <xf numFmtId="0" fontId="58" fillId="42" borderId="387" applyNumberFormat="0" applyAlignment="0" applyProtection="0"/>
    <xf numFmtId="49" fontId="33" fillId="0" borderId="396" applyNumberFormat="0" applyFill="0" applyBorder="0" applyProtection="0">
      <alignment horizontal="left" vertical="center"/>
    </xf>
    <xf numFmtId="4" fontId="34" fillId="0" borderId="390">
      <alignment horizontal="right" vertical="center"/>
    </xf>
    <xf numFmtId="0" fontId="26" fillId="17" borderId="0" applyNumberFormat="0" applyBorder="0" applyAlignment="0" applyProtection="0"/>
    <xf numFmtId="0" fontId="65" fillId="0" borderId="388" applyNumberFormat="0" applyFill="0" applyAlignment="0" applyProtection="0"/>
    <xf numFmtId="0" fontId="12" fillId="24" borderId="0" applyNumberFormat="0" applyBorder="0" applyAlignment="0" applyProtection="0"/>
    <xf numFmtId="173" fontId="34" fillId="59" borderId="396" applyNumberFormat="0" applyFont="0" applyBorder="0" applyAlignment="0" applyProtection="0">
      <alignment horizontal="right" vertical="center"/>
    </xf>
    <xf numFmtId="173" fontId="34" fillId="59" borderId="404" applyNumberFormat="0" applyFont="0" applyBorder="0" applyAlignment="0" applyProtection="0">
      <alignment horizontal="right" vertical="center"/>
    </xf>
    <xf numFmtId="0" fontId="58" fillId="42" borderId="387" applyNumberFormat="0" applyAlignment="0" applyProtection="0"/>
    <xf numFmtId="0" fontId="58" fillId="42" borderId="401" applyNumberFormat="0" applyAlignment="0" applyProtection="0"/>
    <xf numFmtId="0" fontId="49" fillId="42" borderId="387" applyNumberFormat="0" applyAlignment="0" applyProtection="0"/>
    <xf numFmtId="0" fontId="5" fillId="58" borderId="395" applyNumberFormat="0" applyFont="0" applyAlignment="0" applyProtection="0"/>
    <xf numFmtId="0" fontId="46" fillId="55" borderId="409" applyNumberFormat="0" applyAlignment="0" applyProtection="0"/>
    <xf numFmtId="0" fontId="5" fillId="58" borderId="403" applyNumberFormat="0" applyFont="0" applyAlignment="0" applyProtection="0"/>
    <xf numFmtId="0" fontId="58" fillId="42" borderId="387" applyNumberFormat="0" applyAlignment="0" applyProtection="0"/>
    <xf numFmtId="4" fontId="32" fillId="31" borderId="390">
      <alignment horizontal="right" vertical="center"/>
    </xf>
    <xf numFmtId="4" fontId="32" fillId="31" borderId="396">
      <alignment horizontal="right" vertical="center"/>
    </xf>
    <xf numFmtId="0" fontId="62" fillId="55" borderId="411" applyNumberFormat="0" applyAlignment="0" applyProtection="0"/>
    <xf numFmtId="0" fontId="12" fillId="30" borderId="0" applyNumberFormat="0" applyBorder="0" applyAlignment="0" applyProtection="0"/>
    <xf numFmtId="0" fontId="32" fillId="33" borderId="396">
      <alignment horizontal="right" vertical="center"/>
    </xf>
    <xf numFmtId="0" fontId="26" fillId="26" borderId="0" applyNumberFormat="0" applyBorder="0" applyAlignment="0" applyProtection="0"/>
    <xf numFmtId="0" fontId="58" fillId="42" borderId="409" applyNumberFormat="0" applyAlignment="0" applyProtection="0"/>
    <xf numFmtId="0" fontId="46" fillId="55" borderId="387" applyNumberFormat="0" applyAlignment="0" applyProtection="0"/>
    <xf numFmtId="0" fontId="26" fillId="23" borderId="0" applyNumberFormat="0" applyBorder="0" applyAlignment="0" applyProtection="0"/>
    <xf numFmtId="173" fontId="34" fillId="59" borderId="396" applyNumberFormat="0" applyFont="0" applyBorder="0" applyAlignment="0" applyProtection="0">
      <alignment horizontal="right" vertical="center"/>
    </xf>
    <xf numFmtId="0" fontId="43" fillId="55" borderId="400" applyNumberFormat="0" applyAlignment="0" applyProtection="0"/>
    <xf numFmtId="0" fontId="40" fillId="58" borderId="403" applyNumberFormat="0" applyFont="0" applyAlignment="0" applyProtection="0"/>
    <xf numFmtId="0" fontId="43" fillId="55" borderId="394" applyNumberFormat="0" applyAlignment="0" applyProtection="0"/>
    <xf numFmtId="0" fontId="58" fillId="42" borderId="387" applyNumberFormat="0" applyAlignment="0" applyProtection="0"/>
    <xf numFmtId="0" fontId="36" fillId="31" borderId="390">
      <alignment horizontal="right" vertical="center"/>
    </xf>
    <xf numFmtId="49" fontId="34" fillId="0" borderId="397" applyNumberFormat="0" applyFont="0" applyFill="0" applyBorder="0" applyProtection="0">
      <alignment horizontal="left" vertical="center" indent="5"/>
    </xf>
    <xf numFmtId="0" fontId="28" fillId="12" borderId="11" applyNumberFormat="0" applyAlignment="0" applyProtection="0"/>
    <xf numFmtId="0" fontId="26" fillId="19" borderId="0" applyNumberFormat="0" applyBorder="0" applyAlignment="0" applyProtection="0"/>
    <xf numFmtId="0" fontId="5" fillId="58" borderId="389" applyNumberFormat="0" applyFont="0" applyAlignment="0" applyProtection="0"/>
    <xf numFmtId="0" fontId="62" fillId="55" borderId="400" applyNumberFormat="0" applyAlignment="0" applyProtection="0"/>
    <xf numFmtId="0" fontId="30" fillId="0" borderId="0" applyNumberFormat="0" applyFill="0" applyBorder="0" applyAlignment="0" applyProtection="0"/>
    <xf numFmtId="0" fontId="45" fillId="55" borderId="387" applyNumberFormat="0" applyAlignment="0" applyProtection="0"/>
    <xf numFmtId="0" fontId="49" fillId="42" borderId="401" applyNumberFormat="0" applyAlignment="0" applyProtection="0"/>
    <xf numFmtId="0" fontId="50" fillId="0" borderId="388" applyNumberFormat="0" applyFill="0" applyAlignment="0" applyProtection="0"/>
    <xf numFmtId="4" fontId="36" fillId="31" borderId="404">
      <alignment horizontal="right" vertical="center"/>
    </xf>
    <xf numFmtId="0" fontId="34" fillId="0" borderId="399">
      <alignment horizontal="left" vertical="center" wrapText="1" indent="2"/>
    </xf>
    <xf numFmtId="0" fontId="26" fillId="25" borderId="0" applyNumberFormat="0" applyBorder="0" applyAlignment="0" applyProtection="0"/>
    <xf numFmtId="0" fontId="34" fillId="33" borderId="393">
      <alignment horizontal="left" vertical="center" wrapText="1" indent="2"/>
    </xf>
    <xf numFmtId="0" fontId="32" fillId="33" borderId="405">
      <alignment horizontal="right" vertical="center"/>
    </xf>
    <xf numFmtId="0" fontId="5" fillId="58" borderId="403" applyNumberFormat="0" applyFont="0" applyAlignment="0" applyProtection="0"/>
    <xf numFmtId="0" fontId="49" fillId="42" borderId="401" applyNumberFormat="0" applyAlignment="0" applyProtection="0"/>
    <xf numFmtId="0" fontId="28" fillId="12" borderId="11" applyNumberFormat="0" applyAlignment="0" applyProtection="0"/>
    <xf numFmtId="0" fontId="43" fillId="55" borderId="394" applyNumberFormat="0" applyAlignment="0" applyProtection="0"/>
    <xf numFmtId="0" fontId="58" fillId="42" borderId="401" applyNumberFormat="0" applyAlignment="0" applyProtection="0"/>
    <xf numFmtId="0" fontId="34" fillId="32" borderId="390"/>
    <xf numFmtId="49" fontId="33" fillId="0" borderId="396" applyNumberFormat="0" applyFill="0" applyBorder="0" applyProtection="0">
      <alignment horizontal="left" vertical="center"/>
    </xf>
    <xf numFmtId="0" fontId="26" fillId="25" borderId="0" applyNumberFormat="0" applyBorder="0" applyAlignment="0" applyProtection="0"/>
    <xf numFmtId="49" fontId="33" fillId="0" borderId="390" applyNumberFormat="0" applyFill="0" applyBorder="0" applyProtection="0">
      <alignment horizontal="left" vertical="center"/>
    </xf>
    <xf numFmtId="0" fontId="34" fillId="0" borderId="399">
      <alignment horizontal="left" vertical="center" wrapText="1" indent="2"/>
    </xf>
    <xf numFmtId="0" fontId="2" fillId="0" borderId="12" applyNumberFormat="0" applyFill="0" applyAlignment="0" applyProtection="0"/>
    <xf numFmtId="173" fontId="34" fillId="59" borderId="390" applyNumberFormat="0" applyFont="0" applyBorder="0" applyAlignment="0" applyProtection="0">
      <alignment horizontal="right" vertical="center"/>
    </xf>
    <xf numFmtId="0" fontId="46" fillId="55" borderId="409" applyNumberFormat="0" applyAlignment="0" applyProtection="0"/>
    <xf numFmtId="0" fontId="62" fillId="55" borderId="394" applyNumberFormat="0" applyAlignment="0" applyProtection="0"/>
    <xf numFmtId="0" fontId="62" fillId="55" borderId="408" applyNumberFormat="0" applyAlignment="0" applyProtection="0"/>
    <xf numFmtId="173" fontId="34" fillId="59" borderId="390" applyNumberFormat="0" applyFont="0" applyBorder="0" applyAlignment="0" applyProtection="0">
      <alignment horizontal="right" vertical="center"/>
    </xf>
    <xf numFmtId="4" fontId="34" fillId="32" borderId="396"/>
    <xf numFmtId="4" fontId="34" fillId="0" borderId="390">
      <alignment horizontal="right" vertical="center"/>
    </xf>
    <xf numFmtId="0" fontId="46" fillId="55" borderId="387" applyNumberFormat="0" applyAlignment="0" applyProtection="0"/>
    <xf numFmtId="0" fontId="34" fillId="0" borderId="390" applyNumberFormat="0" applyFill="0" applyAlignment="0" applyProtection="0"/>
    <xf numFmtId="0" fontId="12" fillId="15" borderId="0" applyNumberFormat="0" applyBorder="0" applyAlignment="0" applyProtection="0"/>
    <xf numFmtId="0" fontId="34" fillId="0" borderId="390">
      <alignment horizontal="right" vertical="center"/>
    </xf>
    <xf numFmtId="0" fontId="65" fillId="0" borderId="413" applyNumberFormat="0" applyFill="0" applyAlignment="0" applyProtection="0"/>
    <xf numFmtId="0" fontId="32" fillId="33" borderId="396">
      <alignment horizontal="right" vertical="center"/>
    </xf>
    <xf numFmtId="173" fontId="34" fillId="59" borderId="396" applyNumberFormat="0" applyFont="0" applyBorder="0" applyAlignment="0" applyProtection="0">
      <alignment horizontal="right" vertical="center"/>
    </xf>
    <xf numFmtId="4" fontId="32" fillId="33" borderId="392">
      <alignment horizontal="right" vertical="center"/>
    </xf>
    <xf numFmtId="4" fontId="34" fillId="0" borderId="390" applyFill="0" applyBorder="0" applyProtection="0">
      <alignment horizontal="right" vertical="center"/>
    </xf>
    <xf numFmtId="0" fontId="34" fillId="32" borderId="390"/>
    <xf numFmtId="0" fontId="65" fillId="0" borderId="388" applyNumberFormat="0" applyFill="0" applyAlignment="0" applyProtection="0"/>
    <xf numFmtId="4" fontId="32" fillId="33" borderId="406">
      <alignment horizontal="right" vertical="center"/>
    </xf>
    <xf numFmtId="0" fontId="12" fillId="30" borderId="0" applyNumberFormat="0" applyBorder="0" applyAlignment="0" applyProtection="0"/>
    <xf numFmtId="0" fontId="45" fillId="55" borderId="387" applyNumberFormat="0" applyAlignment="0" applyProtection="0"/>
    <xf numFmtId="0" fontId="32" fillId="31" borderId="390">
      <alignment horizontal="right" vertical="center"/>
    </xf>
    <xf numFmtId="0" fontId="46" fillId="55" borderId="387" applyNumberFormat="0" applyAlignment="0" applyProtection="0"/>
    <xf numFmtId="4" fontId="32" fillId="33" borderId="406">
      <alignment horizontal="right" vertical="center"/>
    </xf>
    <xf numFmtId="0" fontId="58" fillId="42" borderId="409" applyNumberFormat="0" applyAlignment="0" applyProtection="0"/>
    <xf numFmtId="49" fontId="33" fillId="0" borderId="396" applyNumberFormat="0" applyFill="0" applyBorder="0" applyProtection="0">
      <alignment horizontal="left" vertical="center"/>
    </xf>
    <xf numFmtId="0" fontId="12" fillId="24" borderId="0" applyNumberFormat="0" applyBorder="0" applyAlignment="0" applyProtection="0"/>
    <xf numFmtId="0" fontId="32" fillId="33" borderId="391">
      <alignment horizontal="right" vertical="center"/>
    </xf>
    <xf numFmtId="0" fontId="36" fillId="31" borderId="396">
      <alignment horizontal="right" vertical="center"/>
    </xf>
    <xf numFmtId="0" fontId="45" fillId="55" borderId="387" applyNumberFormat="0" applyAlignment="0" applyProtection="0"/>
    <xf numFmtId="0" fontId="26" fillId="25" borderId="0" applyNumberFormat="0" applyBorder="0" applyAlignment="0" applyProtection="0"/>
    <xf numFmtId="0" fontId="12" fillId="15" borderId="0" applyNumberFormat="0" applyBorder="0" applyAlignment="0" applyProtection="0"/>
    <xf numFmtId="0" fontId="45" fillId="55" borderId="387" applyNumberFormat="0" applyAlignment="0" applyProtection="0"/>
    <xf numFmtId="4" fontId="32" fillId="33" borderId="390">
      <alignment horizontal="right" vertical="center"/>
    </xf>
    <xf numFmtId="4" fontId="36" fillId="31" borderId="390">
      <alignment horizontal="right" vertical="center"/>
    </xf>
    <xf numFmtId="0" fontId="58" fillId="42" borderId="387" applyNumberFormat="0" applyAlignment="0" applyProtection="0"/>
    <xf numFmtId="0" fontId="26" fillId="23" borderId="0" applyNumberFormat="0" applyBorder="0" applyAlignment="0" applyProtection="0"/>
    <xf numFmtId="0" fontId="36" fillId="31" borderId="390">
      <alignment horizontal="right" vertical="center"/>
    </xf>
    <xf numFmtId="0" fontId="26" fillId="29" borderId="0" applyNumberFormat="0" applyBorder="0" applyAlignment="0" applyProtection="0"/>
    <xf numFmtId="0" fontId="26" fillId="22" borderId="0" applyNumberFormat="0" applyBorder="0" applyAlignment="0" applyProtection="0"/>
    <xf numFmtId="4" fontId="32" fillId="31" borderId="396">
      <alignment horizontal="right" vertical="center"/>
    </xf>
    <xf numFmtId="49" fontId="34" fillId="0" borderId="390" applyNumberFormat="0" applyFont="0" applyFill="0" applyBorder="0" applyProtection="0">
      <alignment horizontal="left" vertical="center" indent="2"/>
    </xf>
    <xf numFmtId="173" fontId="34" fillId="59" borderId="390" applyNumberFormat="0" applyFont="0" applyBorder="0" applyAlignment="0" applyProtection="0">
      <alignment horizontal="right" vertical="center"/>
    </xf>
    <xf numFmtId="0" fontId="32" fillId="31" borderId="396">
      <alignment horizontal="right" vertical="center"/>
    </xf>
    <xf numFmtId="0" fontId="32" fillId="33" borderId="406">
      <alignment horizontal="right" vertical="center"/>
    </xf>
    <xf numFmtId="0" fontId="2" fillId="0" borderId="12" applyNumberFormat="0" applyFill="0" applyAlignment="0" applyProtection="0"/>
    <xf numFmtId="0" fontId="36" fillId="31" borderId="390">
      <alignment horizontal="right" vertical="center"/>
    </xf>
    <xf numFmtId="4" fontId="32" fillId="31" borderId="396">
      <alignment horizontal="right" vertical="center"/>
    </xf>
    <xf numFmtId="0" fontId="32" fillId="33" borderId="398">
      <alignment horizontal="right" vertical="center"/>
    </xf>
    <xf numFmtId="49" fontId="34" fillId="0" borderId="390" applyNumberFormat="0" applyFont="0" applyFill="0" applyBorder="0" applyProtection="0">
      <alignment horizontal="left" vertical="center" indent="2"/>
    </xf>
    <xf numFmtId="49" fontId="34" fillId="0" borderId="390" applyNumberFormat="0" applyFont="0" applyFill="0" applyBorder="0" applyProtection="0">
      <alignment horizontal="left" vertical="center" indent="2"/>
    </xf>
    <xf numFmtId="0" fontId="26" fillId="17" borderId="0" applyNumberFormat="0" applyBorder="0" applyAlignment="0" applyProtection="0"/>
    <xf numFmtId="4" fontId="32" fillId="33" borderId="396">
      <alignment horizontal="right" vertical="center"/>
    </xf>
    <xf numFmtId="0" fontId="34" fillId="0" borderId="404" applyNumberFormat="0" applyFill="0" applyAlignment="0" applyProtection="0"/>
    <xf numFmtId="0" fontId="34" fillId="0" borderId="390" applyNumberFormat="0" applyFill="0" applyAlignment="0" applyProtection="0"/>
    <xf numFmtId="0" fontId="45" fillId="55" borderId="401" applyNumberFormat="0" applyAlignment="0" applyProtection="0"/>
    <xf numFmtId="49" fontId="34" fillId="0" borderId="391" applyNumberFormat="0" applyFont="0" applyFill="0" applyBorder="0" applyProtection="0">
      <alignment horizontal="left" vertical="center" indent="5"/>
    </xf>
    <xf numFmtId="0" fontId="46" fillId="55" borderId="387" applyNumberFormat="0" applyAlignment="0" applyProtection="0"/>
    <xf numFmtId="0" fontId="26" fillId="16" borderId="0" applyNumberFormat="0" applyBorder="0" applyAlignment="0" applyProtection="0"/>
    <xf numFmtId="0" fontId="32" fillId="31" borderId="415">
      <alignment horizontal="right" vertical="center"/>
    </xf>
    <xf numFmtId="4" fontId="32" fillId="33" borderId="391">
      <alignment horizontal="right" vertical="center"/>
    </xf>
    <xf numFmtId="0" fontId="26" fillId="16" borderId="0" applyNumberFormat="0" applyBorder="0" applyAlignment="0" applyProtection="0"/>
    <xf numFmtId="49" fontId="33" fillId="0" borderId="390" applyNumberFormat="0" applyFill="0" applyBorder="0" applyProtection="0">
      <alignment horizontal="left" vertical="center"/>
    </xf>
    <xf numFmtId="4" fontId="32" fillId="33" borderId="391">
      <alignment horizontal="right" vertical="center"/>
    </xf>
    <xf numFmtId="0" fontId="26" fillId="26" borderId="0" applyNumberFormat="0" applyBorder="0" applyAlignment="0" applyProtection="0"/>
    <xf numFmtId="0" fontId="12" fillId="21" borderId="0" applyNumberFormat="0" applyBorder="0" applyAlignment="0" applyProtection="0"/>
    <xf numFmtId="0" fontId="26" fillId="22" borderId="0" applyNumberFormat="0" applyBorder="0" applyAlignment="0" applyProtection="0"/>
    <xf numFmtId="0" fontId="32" fillId="31" borderId="396">
      <alignment horizontal="right" vertical="center"/>
    </xf>
    <xf numFmtId="0" fontId="32" fillId="33" borderId="390">
      <alignment horizontal="right" vertical="center"/>
    </xf>
    <xf numFmtId="0" fontId="32" fillId="33" borderId="404">
      <alignment horizontal="right" vertical="center"/>
    </xf>
    <xf numFmtId="0" fontId="58" fillId="42" borderId="387" applyNumberFormat="0" applyAlignment="0" applyProtection="0"/>
    <xf numFmtId="0" fontId="45" fillId="55" borderId="387" applyNumberFormat="0" applyAlignment="0" applyProtection="0"/>
    <xf numFmtId="0" fontId="5" fillId="58" borderId="389" applyNumberFormat="0" applyFont="0" applyAlignment="0" applyProtection="0"/>
    <xf numFmtId="0" fontId="40" fillId="58" borderId="389" applyNumberFormat="0" applyFont="0" applyAlignment="0" applyProtection="0"/>
    <xf numFmtId="0" fontId="65" fillId="0" borderId="410" applyNumberFormat="0" applyFill="0" applyAlignment="0" applyProtection="0"/>
    <xf numFmtId="0" fontId="32" fillId="33" borderId="390">
      <alignment horizontal="right" vertical="center"/>
    </xf>
    <xf numFmtId="4" fontId="32" fillId="33" borderId="390">
      <alignment horizontal="right" vertical="center"/>
    </xf>
    <xf numFmtId="0" fontId="12" fillId="18" borderId="0" applyNumberFormat="0" applyBorder="0" applyAlignment="0" applyProtection="0"/>
    <xf numFmtId="0" fontId="34" fillId="0" borderId="399">
      <alignment horizontal="left" vertical="center" wrapText="1" indent="2"/>
    </xf>
    <xf numFmtId="4" fontId="32" fillId="33" borderId="396">
      <alignment horizontal="right" vertical="center"/>
    </xf>
    <xf numFmtId="4" fontId="32" fillId="33" borderId="398">
      <alignment horizontal="right" vertical="center"/>
    </xf>
    <xf numFmtId="0" fontId="32" fillId="33" borderId="406">
      <alignment horizontal="right" vertical="center"/>
    </xf>
    <xf numFmtId="0" fontId="26" fillId="22" borderId="0" applyNumberFormat="0" applyBorder="0" applyAlignment="0" applyProtection="0"/>
    <xf numFmtId="0" fontId="1" fillId="0" borderId="0" applyNumberFormat="0" applyFill="0" applyBorder="0" applyAlignment="0" applyProtection="0"/>
    <xf numFmtId="0" fontId="32" fillId="31" borderId="390">
      <alignment horizontal="right" vertical="center"/>
    </xf>
    <xf numFmtId="0" fontId="26" fillId="20" borderId="0" applyNumberFormat="0" applyBorder="0" applyAlignment="0" applyProtection="0"/>
    <xf numFmtId="0" fontId="34" fillId="0" borderId="390">
      <alignment horizontal="right" vertical="center"/>
    </xf>
    <xf numFmtId="4" fontId="32" fillId="33" borderId="392">
      <alignment horizontal="right" vertical="center"/>
    </xf>
    <xf numFmtId="49" fontId="33" fillId="0" borderId="390" applyNumberFormat="0" applyFill="0" applyBorder="0" applyProtection="0">
      <alignment horizontal="left" vertical="center"/>
    </xf>
    <xf numFmtId="0" fontId="34" fillId="0" borderId="393">
      <alignment horizontal="left" vertical="center" wrapText="1" indent="2"/>
    </xf>
    <xf numFmtId="49" fontId="33" fillId="0" borderId="390" applyNumberFormat="0" applyFill="0" applyBorder="0" applyProtection="0">
      <alignment horizontal="left" vertical="center"/>
    </xf>
    <xf numFmtId="4" fontId="32" fillId="33" borderId="398">
      <alignment horizontal="right" vertical="center"/>
    </xf>
    <xf numFmtId="0" fontId="28" fillId="12" borderId="11" applyNumberFormat="0" applyAlignment="0" applyProtection="0"/>
    <xf numFmtId="0" fontId="46" fillId="55" borderId="409" applyNumberFormat="0" applyAlignment="0" applyProtection="0"/>
    <xf numFmtId="0" fontId="26" fillId="22" borderId="0" applyNumberFormat="0" applyBorder="0" applyAlignment="0" applyProtection="0"/>
    <xf numFmtId="0" fontId="34" fillId="33" borderId="393">
      <alignment horizontal="left" vertical="center" wrapText="1" indent="2"/>
    </xf>
    <xf numFmtId="0" fontId="34" fillId="32" borderId="404"/>
    <xf numFmtId="0" fontId="65" fillId="0" borderId="402" applyNumberFormat="0" applyFill="0" applyAlignment="0" applyProtection="0"/>
    <xf numFmtId="0" fontId="32" fillId="33" borderId="396">
      <alignment horizontal="right" vertical="center"/>
    </xf>
    <xf numFmtId="0" fontId="26" fillId="17" borderId="0" applyNumberFormat="0" applyBorder="0" applyAlignment="0" applyProtection="0"/>
    <xf numFmtId="4" fontId="34" fillId="0" borderId="390">
      <alignment horizontal="right" vertical="center"/>
    </xf>
    <xf numFmtId="0" fontId="32" fillId="33" borderId="397">
      <alignment horizontal="right" vertical="center"/>
    </xf>
    <xf numFmtId="0" fontId="34" fillId="0" borderId="390">
      <alignment horizontal="right" vertical="center"/>
    </xf>
    <xf numFmtId="4" fontId="32" fillId="33" borderId="398">
      <alignment horizontal="right" vertical="center"/>
    </xf>
    <xf numFmtId="0" fontId="1" fillId="0" borderId="0" applyNumberFormat="0" applyFill="0" applyBorder="0" applyAlignment="0" applyProtection="0"/>
    <xf numFmtId="0" fontId="26" fillId="13" borderId="0" applyNumberFormat="0" applyBorder="0" applyAlignment="0" applyProtection="0"/>
    <xf numFmtId="49" fontId="34" fillId="0" borderId="391" applyNumberFormat="0" applyFont="0" applyFill="0" applyBorder="0" applyProtection="0">
      <alignment horizontal="left" vertical="center" indent="5"/>
    </xf>
    <xf numFmtId="0" fontId="34" fillId="0" borderId="399">
      <alignment horizontal="left" vertical="center" wrapText="1" indent="2"/>
    </xf>
    <xf numFmtId="0" fontId="45" fillId="55" borderId="401" applyNumberFormat="0" applyAlignment="0" applyProtection="0"/>
    <xf numFmtId="4" fontId="32" fillId="33" borderId="404">
      <alignment horizontal="right" vertical="center"/>
    </xf>
    <xf numFmtId="0" fontId="34" fillId="31" borderId="391">
      <alignment horizontal="left" vertical="center"/>
    </xf>
    <xf numFmtId="0" fontId="34" fillId="0" borderId="393">
      <alignment horizontal="left" vertical="center" wrapText="1" indent="2"/>
    </xf>
    <xf numFmtId="0" fontId="58" fillId="42" borderId="401" applyNumberFormat="0" applyAlignment="0" applyProtection="0"/>
    <xf numFmtId="4" fontId="32" fillId="33" borderId="404">
      <alignment horizontal="right" vertical="center"/>
    </xf>
    <xf numFmtId="0" fontId="1" fillId="0" borderId="0" applyNumberFormat="0" applyFill="0" applyBorder="0" applyAlignment="0" applyProtection="0"/>
    <xf numFmtId="0" fontId="43" fillId="55" borderId="400" applyNumberFormat="0" applyAlignment="0" applyProtection="0"/>
    <xf numFmtId="0" fontId="32" fillId="33" borderId="397">
      <alignment horizontal="right" vertical="center"/>
    </xf>
    <xf numFmtId="0" fontId="12" fillId="18" borderId="0" applyNumberFormat="0" applyBorder="0" applyAlignment="0" applyProtection="0"/>
    <xf numFmtId="0" fontId="26" fillId="29" borderId="0" applyNumberFormat="0" applyBorder="0" applyAlignment="0" applyProtection="0"/>
    <xf numFmtId="4" fontId="32" fillId="33" borderId="416">
      <alignment horizontal="right" vertical="center"/>
    </xf>
    <xf numFmtId="0" fontId="58" fillId="42" borderId="401" applyNumberFormat="0" applyAlignment="0" applyProtection="0"/>
    <xf numFmtId="0" fontId="32" fillId="31" borderId="390">
      <alignment horizontal="right" vertical="center"/>
    </xf>
    <xf numFmtId="0" fontId="50" fillId="0" borderId="388" applyNumberFormat="0" applyFill="0" applyAlignment="0" applyProtection="0"/>
    <xf numFmtId="0" fontId="34" fillId="0" borderId="390" applyNumberFormat="0" applyFill="0" applyAlignment="0" applyProtection="0"/>
    <xf numFmtId="0" fontId="50" fillId="0" borderId="388" applyNumberFormat="0" applyFill="0" applyAlignment="0" applyProtection="0"/>
    <xf numFmtId="4" fontId="34" fillId="0" borderId="390" applyFill="0" applyBorder="0" applyProtection="0">
      <alignment horizontal="right" vertical="center"/>
    </xf>
    <xf numFmtId="49" fontId="34" fillId="0" borderId="391" applyNumberFormat="0" applyFont="0" applyFill="0" applyBorder="0" applyProtection="0">
      <alignment horizontal="left" vertical="center" indent="5"/>
    </xf>
    <xf numFmtId="0" fontId="34" fillId="0" borderId="390" applyNumberFormat="0" applyFill="0" applyAlignment="0" applyProtection="0"/>
    <xf numFmtId="0" fontId="26" fillId="28" borderId="0" applyNumberFormat="0" applyBorder="0" applyAlignment="0" applyProtection="0"/>
    <xf numFmtId="0" fontId="34" fillId="0" borderId="390" applyNumberFormat="0" applyFill="0" applyAlignment="0" applyProtection="0"/>
    <xf numFmtId="0" fontId="26" fillId="29" borderId="0" applyNumberFormat="0" applyBorder="0" applyAlignment="0" applyProtection="0"/>
    <xf numFmtId="0" fontId="34" fillId="33" borderId="407">
      <alignment horizontal="left" vertical="center" wrapText="1" indent="2"/>
    </xf>
    <xf numFmtId="4" fontId="32" fillId="33" borderId="390">
      <alignment horizontal="right" vertical="center"/>
    </xf>
    <xf numFmtId="4" fontId="32" fillId="31" borderId="396">
      <alignment horizontal="right" vertical="center"/>
    </xf>
    <xf numFmtId="0" fontId="26" fillId="19" borderId="0" applyNumberFormat="0" applyBorder="0" applyAlignment="0" applyProtection="0"/>
    <xf numFmtId="0" fontId="62" fillId="55" borderId="400" applyNumberFormat="0" applyAlignment="0" applyProtection="0"/>
    <xf numFmtId="0" fontId="49" fillId="42" borderId="387" applyNumberFormat="0" applyAlignment="0" applyProtection="0"/>
    <xf numFmtId="0" fontId="46" fillId="55" borderId="387" applyNumberFormat="0" applyAlignment="0" applyProtection="0"/>
    <xf numFmtId="4" fontId="34" fillId="0" borderId="390">
      <alignment horizontal="right" vertical="center"/>
    </xf>
    <xf numFmtId="0" fontId="34" fillId="33" borderId="393">
      <alignment horizontal="left" vertical="center" wrapText="1" indent="2"/>
    </xf>
    <xf numFmtId="0" fontId="34" fillId="0" borderId="393">
      <alignment horizontal="left" vertical="center" wrapText="1" indent="2"/>
    </xf>
    <xf numFmtId="0" fontId="62" fillId="55" borderId="394" applyNumberFormat="0" applyAlignment="0" applyProtection="0"/>
    <xf numFmtId="0" fontId="58" fillId="42" borderId="387" applyNumberFormat="0" applyAlignment="0" applyProtection="0"/>
    <xf numFmtId="0" fontId="45" fillId="55" borderId="387" applyNumberFormat="0" applyAlignment="0" applyProtection="0"/>
    <xf numFmtId="0" fontId="43" fillId="55" borderId="394" applyNumberFormat="0" applyAlignment="0" applyProtection="0"/>
    <xf numFmtId="0" fontId="32" fillId="33" borderId="392">
      <alignment horizontal="right" vertical="center"/>
    </xf>
    <xf numFmtId="0" fontId="36" fillId="31" borderId="390">
      <alignment horizontal="right" vertical="center"/>
    </xf>
    <xf numFmtId="4" fontId="32" fillId="31" borderId="390">
      <alignment horizontal="right" vertical="center"/>
    </xf>
    <xf numFmtId="4" fontId="32" fillId="33" borderId="390">
      <alignment horizontal="right" vertical="center"/>
    </xf>
    <xf numFmtId="49" fontId="34" fillId="0" borderId="391" applyNumberFormat="0" applyFont="0" applyFill="0" applyBorder="0" applyProtection="0">
      <alignment horizontal="left" vertical="center" indent="5"/>
    </xf>
    <xf numFmtId="4" fontId="34" fillId="0" borderId="390" applyFill="0" applyBorder="0" applyProtection="0">
      <alignment horizontal="right" vertical="center"/>
    </xf>
    <xf numFmtId="4" fontId="32" fillId="31" borderId="390">
      <alignment horizontal="right" vertical="center"/>
    </xf>
    <xf numFmtId="0" fontId="58" fillId="42" borderId="387" applyNumberFormat="0" applyAlignment="0" applyProtection="0"/>
    <xf numFmtId="0" fontId="49" fillId="42" borderId="387" applyNumberFormat="0" applyAlignment="0" applyProtection="0"/>
    <xf numFmtId="0" fontId="45" fillId="55" borderId="387" applyNumberFormat="0" applyAlignment="0" applyProtection="0"/>
    <xf numFmtId="0" fontId="34" fillId="33" borderId="393">
      <alignment horizontal="left" vertical="center" wrapText="1" indent="2"/>
    </xf>
    <xf numFmtId="0" fontId="34" fillId="0" borderId="393">
      <alignment horizontal="left" vertical="center" wrapText="1" indent="2"/>
    </xf>
    <xf numFmtId="0" fontId="34" fillId="33" borderId="393">
      <alignment horizontal="left" vertical="center" wrapText="1" indent="2"/>
    </xf>
    <xf numFmtId="0" fontId="40" fillId="58" borderId="403" applyNumberFormat="0" applyFont="0" applyAlignment="0" applyProtection="0"/>
    <xf numFmtId="0" fontId="49" fillId="42" borderId="401" applyNumberFormat="0" applyAlignment="0" applyProtection="0"/>
    <xf numFmtId="0" fontId="46" fillId="55" borderId="401" applyNumberFormat="0" applyAlignment="0" applyProtection="0"/>
    <xf numFmtId="0" fontId="32" fillId="31" borderId="404">
      <alignment horizontal="right" vertical="center"/>
    </xf>
    <xf numFmtId="0" fontId="45" fillId="55" borderId="409" applyNumberFormat="0" applyAlignment="0" applyProtection="0"/>
    <xf numFmtId="0" fontId="32" fillId="33" borderId="396">
      <alignment horizontal="right" vertical="center"/>
    </xf>
    <xf numFmtId="4" fontId="34" fillId="32" borderId="396"/>
    <xf numFmtId="0" fontId="26" fillId="14" borderId="0" applyNumberFormat="0" applyBorder="0" applyAlignment="0" applyProtection="0"/>
    <xf numFmtId="0" fontId="45" fillId="55" borderId="412" applyNumberFormat="0" applyAlignment="0" applyProtection="0"/>
    <xf numFmtId="0" fontId="46" fillId="55" borderId="401" applyNumberFormat="0" applyAlignment="0" applyProtection="0"/>
    <xf numFmtId="49" fontId="34" fillId="0" borderId="404" applyNumberFormat="0" applyFont="0" applyFill="0" applyBorder="0" applyProtection="0">
      <alignment horizontal="left" vertical="center" indent="2"/>
    </xf>
    <xf numFmtId="0" fontId="46" fillId="55" borderId="401" applyNumberFormat="0" applyAlignment="0" applyProtection="0"/>
    <xf numFmtId="0" fontId="32" fillId="33" borderId="396">
      <alignment horizontal="right" vertical="center"/>
    </xf>
    <xf numFmtId="0" fontId="34" fillId="31" borderId="405">
      <alignment horizontal="left" vertical="center"/>
    </xf>
    <xf numFmtId="0" fontId="34" fillId="33" borderId="399">
      <alignment horizontal="left" vertical="center" wrapText="1" indent="2"/>
    </xf>
    <xf numFmtId="0" fontId="58" fillId="42" borderId="401" applyNumberFormat="0" applyAlignment="0" applyProtection="0"/>
    <xf numFmtId="0" fontId="26" fillId="29" borderId="0" applyNumberFormat="0" applyBorder="0" applyAlignment="0" applyProtection="0"/>
    <xf numFmtId="4" fontId="34" fillId="32" borderId="404"/>
    <xf numFmtId="0" fontId="26" fillId="16" borderId="0" applyNumberFormat="0" applyBorder="0" applyAlignment="0" applyProtection="0"/>
    <xf numFmtId="0" fontId="32" fillId="33" borderId="404">
      <alignment horizontal="right" vertical="center"/>
    </xf>
    <xf numFmtId="0" fontId="58" fillId="42" borderId="401" applyNumberFormat="0" applyAlignment="0" applyProtection="0"/>
    <xf numFmtId="0" fontId="40" fillId="58" borderId="395" applyNumberFormat="0" applyFont="0" applyAlignment="0" applyProtection="0"/>
    <xf numFmtId="0" fontId="26" fillId="20" borderId="0" applyNumberFormat="0" applyBorder="0" applyAlignment="0" applyProtection="0"/>
    <xf numFmtId="0" fontId="12" fillId="18" borderId="0" applyNumberFormat="0" applyBorder="0" applyAlignment="0" applyProtection="0"/>
    <xf numFmtId="0" fontId="34" fillId="0" borderId="396">
      <alignment horizontal="right" vertical="center"/>
    </xf>
    <xf numFmtId="0" fontId="32" fillId="33" borderId="406">
      <alignment horizontal="right" vertical="center"/>
    </xf>
    <xf numFmtId="0" fontId="26" fillId="29" borderId="0" applyNumberFormat="0" applyBorder="0" applyAlignment="0" applyProtection="0"/>
    <xf numFmtId="0" fontId="36" fillId="31" borderId="396">
      <alignment horizontal="right" vertical="center"/>
    </xf>
    <xf numFmtId="0" fontId="43" fillId="55" borderId="400" applyNumberFormat="0" applyAlignment="0" applyProtection="0"/>
    <xf numFmtId="0" fontId="43" fillId="55" borderId="408" applyNumberFormat="0" applyAlignment="0" applyProtection="0"/>
    <xf numFmtId="0" fontId="50" fillId="0" borderId="402" applyNumberFormat="0" applyFill="0" applyAlignment="0" applyProtection="0"/>
    <xf numFmtId="0" fontId="34" fillId="31" borderId="397">
      <alignment horizontal="left" vertical="center"/>
    </xf>
    <xf numFmtId="0" fontId="62" fillId="55" borderId="408" applyNumberFormat="0" applyAlignment="0" applyProtection="0"/>
    <xf numFmtId="0" fontId="58" fillId="42" borderId="401" applyNumberFormat="0" applyAlignment="0" applyProtection="0"/>
    <xf numFmtId="0" fontId="40" fillId="58" borderId="395" applyNumberFormat="0" applyFont="0" applyAlignment="0" applyProtection="0"/>
    <xf numFmtId="0" fontId="26" fillId="26" borderId="0" applyNumberFormat="0" applyBorder="0" applyAlignment="0" applyProtection="0"/>
    <xf numFmtId="0" fontId="26" fillId="17" borderId="0" applyNumberFormat="0" applyBorder="0" applyAlignment="0" applyProtection="0"/>
    <xf numFmtId="0" fontId="50" fillId="0" borderId="402" applyNumberFormat="0" applyFill="0" applyAlignment="0" applyProtection="0"/>
    <xf numFmtId="49" fontId="34" fillId="0" borderId="396" applyNumberFormat="0" applyFont="0" applyFill="0" applyBorder="0" applyProtection="0">
      <alignment horizontal="left" vertical="center" indent="2"/>
    </xf>
    <xf numFmtId="0" fontId="46" fillId="55" borderId="401" applyNumberFormat="0" applyAlignment="0" applyProtection="0"/>
    <xf numFmtId="0" fontId="34" fillId="0" borderId="399">
      <alignment horizontal="left" vertical="center" wrapText="1" indent="2"/>
    </xf>
    <xf numFmtId="0" fontId="46" fillId="55" borderId="409" applyNumberFormat="0" applyAlignment="0" applyProtection="0"/>
    <xf numFmtId="0" fontId="34" fillId="33" borderId="399">
      <alignment horizontal="left" vertical="center" wrapText="1" indent="2"/>
    </xf>
    <xf numFmtId="0" fontId="43" fillId="55" borderId="408" applyNumberFormat="0" applyAlignment="0" applyProtection="0"/>
    <xf numFmtId="4" fontId="34" fillId="0" borderId="396" applyFill="0" applyBorder="0" applyProtection="0">
      <alignment horizontal="right" vertical="center"/>
    </xf>
    <xf numFmtId="0" fontId="32" fillId="33" borderId="404">
      <alignment horizontal="right" vertical="center"/>
    </xf>
    <xf numFmtId="0" fontId="32" fillId="33" borderId="396">
      <alignment horizontal="right" vertical="center"/>
    </xf>
    <xf numFmtId="4" fontId="32" fillId="33" borderId="406">
      <alignment horizontal="right" vertical="center"/>
    </xf>
    <xf numFmtId="0" fontId="65" fillId="0" borderId="410" applyNumberFormat="0" applyFill="0" applyAlignment="0" applyProtection="0"/>
    <xf numFmtId="0" fontId="32" fillId="33" borderId="396">
      <alignment horizontal="right" vertical="center"/>
    </xf>
    <xf numFmtId="4" fontId="36" fillId="31" borderId="396">
      <alignment horizontal="right" vertical="center"/>
    </xf>
    <xf numFmtId="0" fontId="26" fillId="20" borderId="0" applyNumberFormat="0" applyBorder="0" applyAlignment="0" applyProtection="0"/>
    <xf numFmtId="0" fontId="40" fillId="58" borderId="403" applyNumberFormat="0" applyFont="0" applyAlignment="0" applyProtection="0"/>
    <xf numFmtId="0" fontId="2" fillId="0" borderId="12" applyNumberFormat="0" applyFill="0" applyAlignment="0" applyProtection="0"/>
    <xf numFmtId="0" fontId="65" fillId="0" borderId="402" applyNumberFormat="0" applyFill="0" applyAlignment="0" applyProtection="0"/>
    <xf numFmtId="49" fontId="33" fillId="0" borderId="396" applyNumberFormat="0" applyFill="0" applyBorder="0" applyProtection="0">
      <alignment horizontal="left" vertical="center"/>
    </xf>
    <xf numFmtId="0" fontId="26" fillId="23" borderId="0" applyNumberFormat="0" applyBorder="0" applyAlignment="0" applyProtection="0"/>
    <xf numFmtId="0" fontId="26" fillId="19" borderId="0" applyNumberFormat="0" applyBorder="0" applyAlignment="0" applyProtection="0"/>
    <xf numFmtId="0" fontId="12" fillId="27" borderId="0" applyNumberFormat="0" applyBorder="0" applyAlignment="0" applyProtection="0"/>
    <xf numFmtId="4" fontId="36" fillId="31" borderId="404">
      <alignment horizontal="right" vertical="center"/>
    </xf>
    <xf numFmtId="0" fontId="32" fillId="33" borderId="396">
      <alignment horizontal="right" vertical="center"/>
    </xf>
    <xf numFmtId="0" fontId="26" fillId="20" borderId="0" applyNumberFormat="0" applyBorder="0" applyAlignment="0" applyProtection="0"/>
    <xf numFmtId="0" fontId="26" fillId="16" borderId="0" applyNumberFormat="0" applyBorder="0" applyAlignment="0" applyProtection="0"/>
    <xf numFmtId="0" fontId="26" fillId="20" borderId="0" applyNumberFormat="0" applyBorder="0" applyAlignment="0" applyProtection="0"/>
    <xf numFmtId="0" fontId="62" fillId="55" borderId="400" applyNumberFormat="0" applyAlignment="0" applyProtection="0"/>
    <xf numFmtId="4" fontId="34" fillId="32" borderId="396"/>
    <xf numFmtId="0" fontId="58" fillId="42" borderId="409" applyNumberFormat="0" applyAlignment="0" applyProtection="0"/>
    <xf numFmtId="0" fontId="65" fillId="0" borderId="402" applyNumberFormat="0" applyFill="0" applyAlignment="0" applyProtection="0"/>
    <xf numFmtId="0" fontId="26" fillId="25" borderId="0" applyNumberFormat="0" applyBorder="0" applyAlignment="0" applyProtection="0"/>
    <xf numFmtId="4" fontId="32" fillId="33" borderId="396">
      <alignment horizontal="right" vertical="center"/>
    </xf>
    <xf numFmtId="0" fontId="49" fillId="42" borderId="401" applyNumberFormat="0" applyAlignment="0" applyProtection="0"/>
    <xf numFmtId="49" fontId="34" fillId="0" borderId="396" applyNumberFormat="0" applyFont="0" applyFill="0" applyBorder="0" applyProtection="0">
      <alignment horizontal="left" vertical="center" indent="2"/>
    </xf>
    <xf numFmtId="0" fontId="30" fillId="0" borderId="0" applyNumberFormat="0" applyFill="0" applyBorder="0" applyAlignment="0" applyProtection="0"/>
    <xf numFmtId="49" fontId="34" fillId="0" borderId="397" applyNumberFormat="0" applyFont="0" applyFill="0" applyBorder="0" applyProtection="0">
      <alignment horizontal="left" vertical="center" indent="5"/>
    </xf>
    <xf numFmtId="0" fontId="34" fillId="33" borderId="399">
      <alignment horizontal="left" vertical="center" wrapText="1" indent="2"/>
    </xf>
    <xf numFmtId="0" fontId="36" fillId="31" borderId="404">
      <alignment horizontal="right" vertical="center"/>
    </xf>
    <xf numFmtId="4" fontId="34" fillId="0" borderId="415" applyFill="0" applyBorder="0" applyProtection="0">
      <alignment horizontal="right" vertical="center"/>
    </xf>
    <xf numFmtId="4" fontId="32" fillId="33" borderId="406">
      <alignment horizontal="right" vertical="center"/>
    </xf>
    <xf numFmtId="0" fontId="50" fillId="0" borderId="410" applyNumberFormat="0" applyFill="0" applyAlignment="0" applyProtection="0"/>
    <xf numFmtId="4" fontId="34" fillId="0" borderId="396" applyFill="0" applyBorder="0" applyProtection="0">
      <alignment horizontal="right" vertical="center"/>
    </xf>
    <xf numFmtId="4" fontId="36" fillId="31" borderId="396">
      <alignment horizontal="right" vertical="center"/>
    </xf>
    <xf numFmtId="0" fontId="32" fillId="33" borderId="406">
      <alignment horizontal="right" vertical="center"/>
    </xf>
    <xf numFmtId="0" fontId="50" fillId="0" borderId="402" applyNumberFormat="0" applyFill="0" applyAlignment="0" applyProtection="0"/>
    <xf numFmtId="0" fontId="49" fillId="42" borderId="409" applyNumberFormat="0" applyAlignment="0" applyProtection="0"/>
    <xf numFmtId="49" fontId="33" fillId="0" borderId="396" applyNumberFormat="0" applyFill="0" applyBorder="0" applyProtection="0">
      <alignment horizontal="left" vertical="center"/>
    </xf>
    <xf numFmtId="0" fontId="49" fillId="42" borderId="409" applyNumberFormat="0" applyAlignment="0" applyProtection="0"/>
    <xf numFmtId="4" fontId="34" fillId="0" borderId="396" applyFill="0" applyBorder="0" applyProtection="0">
      <alignment horizontal="right" vertical="center"/>
    </xf>
    <xf numFmtId="0" fontId="46" fillId="55" borderId="409" applyNumberFormat="0" applyAlignment="0" applyProtection="0"/>
    <xf numFmtId="4" fontId="32" fillId="31" borderId="404">
      <alignment horizontal="right" vertical="center"/>
    </xf>
    <xf numFmtId="0" fontId="49" fillId="42" borderId="401" applyNumberFormat="0" applyAlignment="0" applyProtection="0"/>
    <xf numFmtId="0" fontId="34" fillId="32" borderId="396"/>
    <xf numFmtId="0" fontId="5" fillId="58" borderId="414" applyNumberFormat="0" applyFont="0" applyAlignment="0" applyProtection="0"/>
    <xf numFmtId="0" fontId="34" fillId="0" borderId="399">
      <alignment horizontal="left" vertical="center" wrapText="1" indent="2"/>
    </xf>
    <xf numFmtId="0" fontId="32" fillId="33" borderId="396">
      <alignment horizontal="right" vertical="center"/>
    </xf>
    <xf numFmtId="0" fontId="34" fillId="32" borderId="396"/>
    <xf numFmtId="4" fontId="34" fillId="32" borderId="396"/>
    <xf numFmtId="0" fontId="65" fillId="0" borderId="402" applyNumberFormat="0" applyFill="0" applyAlignment="0" applyProtection="0"/>
    <xf numFmtId="0" fontId="43" fillId="55" borderId="400" applyNumberFormat="0" applyAlignment="0" applyProtection="0"/>
    <xf numFmtId="0" fontId="58" fillId="42" borderId="401" applyNumberFormat="0" applyAlignment="0" applyProtection="0"/>
    <xf numFmtId="0" fontId="40" fillId="58" borderId="403" applyNumberFormat="0" applyFont="0" applyAlignment="0" applyProtection="0"/>
    <xf numFmtId="0" fontId="12" fillId="27" borderId="0" applyNumberFormat="0" applyBorder="0" applyAlignment="0" applyProtection="0"/>
    <xf numFmtId="4" fontId="32" fillId="33" borderId="398">
      <alignment horizontal="right" vertical="center"/>
    </xf>
    <xf numFmtId="0" fontId="32" fillId="33" borderId="406">
      <alignment horizontal="right" vertical="center"/>
    </xf>
    <xf numFmtId="4" fontId="36" fillId="31" borderId="396">
      <alignment horizontal="right" vertical="center"/>
    </xf>
    <xf numFmtId="0" fontId="32" fillId="33" borderId="397">
      <alignment horizontal="right" vertical="center"/>
    </xf>
    <xf numFmtId="0" fontId="32" fillId="33" borderId="396">
      <alignment horizontal="right" vertical="center"/>
    </xf>
    <xf numFmtId="0" fontId="32" fillId="33" borderId="396">
      <alignment horizontal="right" vertical="center"/>
    </xf>
    <xf numFmtId="0" fontId="12" fillId="30" borderId="0" applyNumberFormat="0" applyBorder="0" applyAlignment="0" applyProtection="0"/>
    <xf numFmtId="0" fontId="34" fillId="32" borderId="404"/>
    <xf numFmtId="0" fontId="34" fillId="0" borderId="404" applyNumberFormat="0" applyFill="0" applyAlignment="0" applyProtection="0"/>
    <xf numFmtId="0" fontId="50" fillId="0" borderId="410" applyNumberFormat="0" applyFill="0" applyAlignment="0" applyProtection="0"/>
    <xf numFmtId="0" fontId="43" fillId="55" borderId="400" applyNumberFormat="0" applyAlignment="0" applyProtection="0"/>
    <xf numFmtId="49" fontId="34" fillId="0" borderId="405" applyNumberFormat="0" applyFont="0" applyFill="0" applyBorder="0" applyProtection="0">
      <alignment horizontal="left" vertical="center" indent="5"/>
    </xf>
    <xf numFmtId="4" fontId="34" fillId="0" borderId="404">
      <alignment horizontal="right" vertical="center"/>
    </xf>
    <xf numFmtId="0" fontId="34" fillId="33" borderId="407">
      <alignment horizontal="left" vertical="center" wrapText="1" indent="2"/>
    </xf>
    <xf numFmtId="0" fontId="62" fillId="55" borderId="400" applyNumberFormat="0" applyAlignment="0" applyProtection="0"/>
    <xf numFmtId="0" fontId="50" fillId="0" borderId="410" applyNumberFormat="0" applyFill="0" applyAlignment="0" applyProtection="0"/>
    <xf numFmtId="0" fontId="26" fillId="28" borderId="0" applyNumberFormat="0" applyBorder="0" applyAlignment="0" applyProtection="0"/>
    <xf numFmtId="0" fontId="50" fillId="0" borderId="402" applyNumberFormat="0" applyFill="0" applyAlignment="0" applyProtection="0"/>
    <xf numFmtId="0" fontId="40" fillId="58" borderId="395" applyNumberFormat="0" applyFont="0" applyAlignment="0" applyProtection="0"/>
    <xf numFmtId="4" fontId="34" fillId="32" borderId="404"/>
    <xf numFmtId="0" fontId="65" fillId="0" borderId="402" applyNumberFormat="0" applyFill="0" applyAlignment="0" applyProtection="0"/>
    <xf numFmtId="4" fontId="32" fillId="31" borderId="396">
      <alignment horizontal="right" vertical="center"/>
    </xf>
    <xf numFmtId="49" fontId="34" fillId="0" borderId="396" applyNumberFormat="0" applyFont="0" applyFill="0" applyBorder="0" applyProtection="0">
      <alignment horizontal="left" vertical="center" indent="2"/>
    </xf>
    <xf numFmtId="0" fontId="65" fillId="0" borderId="410" applyNumberFormat="0" applyFill="0" applyAlignment="0" applyProtection="0"/>
    <xf numFmtId="4" fontId="36" fillId="31" borderId="396">
      <alignment horizontal="right" vertical="center"/>
    </xf>
    <xf numFmtId="0" fontId="34" fillId="33" borderId="407">
      <alignment horizontal="left" vertical="center" wrapText="1" indent="2"/>
    </xf>
    <xf numFmtId="0" fontId="26" fillId="19" borderId="0" applyNumberFormat="0" applyBorder="0" applyAlignment="0" applyProtection="0"/>
    <xf numFmtId="0" fontId="62" fillId="55" borderId="400" applyNumberFormat="0" applyAlignment="0" applyProtection="0"/>
    <xf numFmtId="0" fontId="58" fillId="42" borderId="401" applyNumberFormat="0" applyAlignment="0" applyProtection="0"/>
    <xf numFmtId="0" fontId="34" fillId="0" borderId="396" applyNumberFormat="0" applyFill="0" applyAlignment="0" applyProtection="0"/>
    <xf numFmtId="0" fontId="32" fillId="33" borderId="404">
      <alignment horizontal="right" vertical="center"/>
    </xf>
    <xf numFmtId="0" fontId="65" fillId="0" borderId="402" applyNumberFormat="0" applyFill="0" applyAlignment="0" applyProtection="0"/>
    <xf numFmtId="0" fontId="32" fillId="31" borderId="396">
      <alignment horizontal="right" vertical="center"/>
    </xf>
    <xf numFmtId="0" fontId="34" fillId="33" borderId="418">
      <alignment horizontal="left" vertical="center" wrapText="1" indent="2"/>
    </xf>
    <xf numFmtId="0" fontId="1" fillId="0" borderId="0" applyNumberFormat="0" applyFill="0" applyBorder="0" applyAlignment="0" applyProtection="0"/>
    <xf numFmtId="4" fontId="32" fillId="33" borderId="396">
      <alignment horizontal="right" vertical="center"/>
    </xf>
    <xf numFmtId="0" fontId="40" fillId="58" borderId="403" applyNumberFormat="0" applyFont="0" applyAlignment="0" applyProtection="0"/>
    <xf numFmtId="0" fontId="65" fillId="0" borderId="410" applyNumberFormat="0" applyFill="0" applyAlignment="0" applyProtection="0"/>
    <xf numFmtId="0" fontId="45" fillId="55" borderId="401" applyNumberFormat="0" applyAlignment="0" applyProtection="0"/>
    <xf numFmtId="49" fontId="33" fillId="0" borderId="396" applyNumberFormat="0" applyFill="0" applyBorder="0" applyProtection="0">
      <alignment horizontal="left" vertical="center"/>
    </xf>
    <xf numFmtId="4" fontId="32" fillId="33" borderId="396">
      <alignment horizontal="right" vertical="center"/>
    </xf>
    <xf numFmtId="4" fontId="32" fillId="33" borderId="404">
      <alignment horizontal="right" vertical="center"/>
    </xf>
    <xf numFmtId="0" fontId="62" fillId="55" borderId="400" applyNumberFormat="0" applyAlignment="0" applyProtection="0"/>
    <xf numFmtId="0" fontId="26" fillId="28" borderId="0" applyNumberFormat="0" applyBorder="0" applyAlignment="0" applyProtection="0"/>
    <xf numFmtId="0" fontId="58" fillId="42" borderId="409" applyNumberFormat="0" applyAlignment="0" applyProtection="0"/>
    <xf numFmtId="4" fontId="32" fillId="33" borderId="398">
      <alignment horizontal="right" vertical="center"/>
    </xf>
    <xf numFmtId="4" fontId="32" fillId="33" borderId="396">
      <alignment horizontal="right" vertical="center"/>
    </xf>
    <xf numFmtId="4" fontId="34" fillId="0" borderId="396">
      <alignment horizontal="right" vertical="center"/>
    </xf>
    <xf numFmtId="0" fontId="32" fillId="31" borderId="396">
      <alignment horizontal="right" vertical="center"/>
    </xf>
    <xf numFmtId="0" fontId="32" fillId="33" borderId="404">
      <alignment horizontal="right" vertical="center"/>
    </xf>
    <xf numFmtId="4" fontId="34" fillId="32" borderId="396"/>
    <xf numFmtId="0" fontId="45" fillId="55" borderId="401" applyNumberFormat="0" applyAlignment="0" applyProtection="0"/>
    <xf numFmtId="0" fontId="29" fillId="12" borderId="10" applyNumberFormat="0" applyAlignment="0" applyProtection="0"/>
    <xf numFmtId="0" fontId="26" fillId="29" borderId="0" applyNumberFormat="0" applyBorder="0" applyAlignment="0" applyProtection="0"/>
    <xf numFmtId="0" fontId="12" fillId="15" borderId="0" applyNumberFormat="0" applyBorder="0" applyAlignment="0" applyProtection="0"/>
    <xf numFmtId="0" fontId="5" fillId="58" borderId="395" applyNumberFormat="0" applyFont="0" applyAlignment="0" applyProtection="0"/>
    <xf numFmtId="0" fontId="49" fillId="42" borderId="409" applyNumberFormat="0" applyAlignment="0" applyProtection="0"/>
    <xf numFmtId="0" fontId="12" fillId="15" borderId="0" applyNumberFormat="0" applyBorder="0" applyAlignment="0" applyProtection="0"/>
    <xf numFmtId="0" fontId="62" fillId="55" borderId="411" applyNumberFormat="0" applyAlignment="0" applyProtection="0"/>
    <xf numFmtId="0" fontId="32" fillId="31" borderId="396">
      <alignment horizontal="right" vertical="center"/>
    </xf>
    <xf numFmtId="49" fontId="34" fillId="0" borderId="404" applyNumberFormat="0" applyFont="0" applyFill="0" applyBorder="0" applyProtection="0">
      <alignment horizontal="left" vertical="center" indent="2"/>
    </xf>
    <xf numFmtId="4" fontId="34" fillId="32" borderId="396"/>
    <xf numFmtId="0" fontId="34" fillId="32" borderId="404"/>
    <xf numFmtId="4" fontId="32" fillId="33" borderId="405">
      <alignment horizontal="right" vertical="center"/>
    </xf>
    <xf numFmtId="0" fontId="58" fillId="42" borderId="409" applyNumberFormat="0" applyAlignment="0" applyProtection="0"/>
    <xf numFmtId="0" fontId="65" fillId="0" borderId="410" applyNumberFormat="0" applyFill="0" applyAlignment="0" applyProtection="0"/>
    <xf numFmtId="4" fontId="34" fillId="0" borderId="396">
      <alignment horizontal="right" vertical="center"/>
    </xf>
    <xf numFmtId="0" fontId="26" fillId="23" borderId="0" applyNumberFormat="0" applyBorder="0" applyAlignment="0" applyProtection="0"/>
    <xf numFmtId="0" fontId="49" fillId="42" borderId="401" applyNumberFormat="0" applyAlignment="0" applyProtection="0"/>
    <xf numFmtId="4" fontId="36" fillId="31" borderId="404">
      <alignment horizontal="right" vertical="center"/>
    </xf>
    <xf numFmtId="4" fontId="32" fillId="33" borderId="397">
      <alignment horizontal="right" vertical="center"/>
    </xf>
    <xf numFmtId="0" fontId="12" fillId="27" borderId="0" applyNumberFormat="0" applyBorder="0" applyAlignment="0" applyProtection="0"/>
    <xf numFmtId="0" fontId="62" fillId="55" borderId="400" applyNumberFormat="0" applyAlignment="0" applyProtection="0"/>
    <xf numFmtId="0" fontId="46" fillId="55" borderId="412" applyNumberFormat="0" applyAlignment="0" applyProtection="0"/>
    <xf numFmtId="0" fontId="12" fillId="15" borderId="0" applyNumberFormat="0" applyBorder="0" applyAlignment="0" applyProtection="0"/>
    <xf numFmtId="173" fontId="34" fillId="59" borderId="396" applyNumberFormat="0" applyFont="0" applyBorder="0" applyAlignment="0" applyProtection="0">
      <alignment horizontal="right" vertical="center"/>
    </xf>
    <xf numFmtId="0" fontId="34" fillId="0" borderId="399">
      <alignment horizontal="left" vertical="center" wrapText="1" indent="2"/>
    </xf>
    <xf numFmtId="0" fontId="32" fillId="33" borderId="404">
      <alignment horizontal="right" vertical="center"/>
    </xf>
    <xf numFmtId="0" fontId="32" fillId="33" borderId="398">
      <alignment horizontal="right" vertical="center"/>
    </xf>
    <xf numFmtId="0" fontId="46" fillId="55" borderId="409" applyNumberFormat="0" applyAlignment="0" applyProtection="0"/>
    <xf numFmtId="0" fontId="36" fillId="31" borderId="396">
      <alignment horizontal="right" vertical="center"/>
    </xf>
    <xf numFmtId="0" fontId="32" fillId="33" borderId="406">
      <alignment horizontal="right" vertical="center"/>
    </xf>
    <xf numFmtId="4" fontId="32" fillId="33" borderId="397">
      <alignment horizontal="right" vertical="center"/>
    </xf>
    <xf numFmtId="0" fontId="45" fillId="55" borderId="409" applyNumberFormat="0" applyAlignment="0" applyProtection="0"/>
    <xf numFmtId="4" fontId="36" fillId="31" borderId="396">
      <alignment horizontal="right" vertical="center"/>
    </xf>
    <xf numFmtId="0" fontId="32" fillId="31" borderId="396">
      <alignment horizontal="right" vertical="center"/>
    </xf>
    <xf numFmtId="0" fontId="12" fillId="27" borderId="0" applyNumberFormat="0" applyBorder="0" applyAlignment="0" applyProtection="0"/>
    <xf numFmtId="0" fontId="65" fillId="0" borderId="402" applyNumberFormat="0" applyFill="0" applyAlignment="0" applyProtection="0"/>
    <xf numFmtId="0" fontId="62" fillId="55" borderId="408" applyNumberFormat="0" applyAlignment="0" applyProtection="0"/>
    <xf numFmtId="0" fontId="2" fillId="0" borderId="12" applyNumberFormat="0" applyFill="0" applyAlignment="0" applyProtection="0"/>
    <xf numFmtId="0" fontId="32" fillId="31" borderId="396">
      <alignment horizontal="right" vertical="center"/>
    </xf>
    <xf numFmtId="0" fontId="58" fillId="42" borderId="401" applyNumberFormat="0" applyAlignment="0" applyProtection="0"/>
    <xf numFmtId="4" fontId="36" fillId="31" borderId="396">
      <alignment horizontal="right" vertical="center"/>
    </xf>
    <xf numFmtId="0" fontId="45" fillId="55" borderId="409" applyNumberFormat="0" applyAlignment="0" applyProtection="0"/>
    <xf numFmtId="0" fontId="32" fillId="33" borderId="405">
      <alignment horizontal="right" vertical="center"/>
    </xf>
    <xf numFmtId="0" fontId="34" fillId="0" borderId="407">
      <alignment horizontal="left" vertical="center" wrapText="1" indent="2"/>
    </xf>
    <xf numFmtId="4" fontId="32" fillId="33" borderId="404">
      <alignment horizontal="right" vertical="center"/>
    </xf>
    <xf numFmtId="0" fontId="12" fillId="24" borderId="0" applyNumberFormat="0" applyBorder="0" applyAlignment="0" applyProtection="0"/>
    <xf numFmtId="4" fontId="32" fillId="33" borderId="404">
      <alignment horizontal="right" vertical="center"/>
    </xf>
    <xf numFmtId="4" fontId="34" fillId="0" borderId="396">
      <alignment horizontal="right" vertical="center"/>
    </xf>
    <xf numFmtId="0" fontId="5" fillId="58" borderId="403" applyNumberFormat="0" applyFont="0" applyAlignment="0" applyProtection="0"/>
    <xf numFmtId="0" fontId="34" fillId="32" borderId="396"/>
    <xf numFmtId="0" fontId="58" fillId="42" borderId="409" applyNumberFormat="0" applyAlignment="0" applyProtection="0"/>
    <xf numFmtId="0" fontId="46" fillId="55" borderId="409" applyNumberFormat="0" applyAlignment="0" applyProtection="0"/>
    <xf numFmtId="0" fontId="34" fillId="32" borderId="396"/>
    <xf numFmtId="0" fontId="65" fillId="0" borderId="410" applyNumberFormat="0" applyFill="0" applyAlignment="0" applyProtection="0"/>
    <xf numFmtId="0" fontId="45" fillId="55" borderId="401" applyNumberFormat="0" applyAlignment="0" applyProtection="0"/>
    <xf numFmtId="0" fontId="26" fillId="23" borderId="0" applyNumberFormat="0" applyBorder="0" applyAlignment="0" applyProtection="0"/>
    <xf numFmtId="0" fontId="12" fillId="27" borderId="0" applyNumberFormat="0" applyBorder="0" applyAlignment="0" applyProtection="0"/>
    <xf numFmtId="0" fontId="34" fillId="0" borderId="407">
      <alignment horizontal="left" vertical="center" wrapText="1" indent="2"/>
    </xf>
    <xf numFmtId="0" fontId="34" fillId="32" borderId="404"/>
    <xf numFmtId="4" fontId="32" fillId="33" borderId="398">
      <alignment horizontal="right" vertical="center"/>
    </xf>
    <xf numFmtId="4" fontId="34" fillId="32" borderId="396"/>
    <xf numFmtId="173" fontId="34" fillId="59" borderId="415" applyNumberFormat="0" applyFont="0" applyBorder="0" applyAlignment="0" applyProtection="0">
      <alignment horizontal="right" vertical="center"/>
    </xf>
    <xf numFmtId="49" fontId="33" fillId="0" borderId="404" applyNumberFormat="0" applyFill="0" applyBorder="0" applyProtection="0">
      <alignment horizontal="left" vertical="center"/>
    </xf>
    <xf numFmtId="0" fontId="5" fillId="58" borderId="395" applyNumberFormat="0" applyFont="0" applyAlignment="0" applyProtection="0"/>
    <xf numFmtId="0" fontId="32" fillId="33" borderId="404">
      <alignment horizontal="right" vertical="center"/>
    </xf>
    <xf numFmtId="0" fontId="34" fillId="0" borderId="407">
      <alignment horizontal="left" vertical="center" wrapText="1" indent="2"/>
    </xf>
    <xf numFmtId="0" fontId="26" fillId="19" borderId="0" applyNumberFormat="0" applyBorder="0" applyAlignment="0" applyProtection="0"/>
    <xf numFmtId="0" fontId="1" fillId="0" borderId="0" applyNumberFormat="0" applyFill="0" applyBorder="0" applyAlignment="0" applyProtection="0"/>
    <xf numFmtId="0" fontId="46" fillId="55" borderId="401" applyNumberFormat="0" applyAlignment="0" applyProtection="0"/>
    <xf numFmtId="0" fontId="30" fillId="0" borderId="0" applyNumberFormat="0" applyFill="0" applyBorder="0" applyAlignment="0" applyProtection="0"/>
    <xf numFmtId="4" fontId="32" fillId="33" borderId="397">
      <alignment horizontal="right" vertical="center"/>
    </xf>
    <xf numFmtId="0" fontId="40" fillId="58" borderId="395" applyNumberFormat="0" applyFont="0" applyAlignment="0" applyProtection="0"/>
    <xf numFmtId="0" fontId="32" fillId="31" borderId="396">
      <alignment horizontal="right" vertical="center"/>
    </xf>
    <xf numFmtId="0" fontId="45" fillId="55" borderId="409" applyNumberFormat="0" applyAlignment="0" applyProtection="0"/>
    <xf numFmtId="0" fontId="32" fillId="31" borderId="404">
      <alignment horizontal="right" vertical="center"/>
    </xf>
    <xf numFmtId="0" fontId="34" fillId="33" borderId="407">
      <alignment horizontal="left" vertical="center" wrapText="1" indent="2"/>
    </xf>
    <xf numFmtId="49" fontId="34" fillId="0" borderId="397" applyNumberFormat="0" applyFont="0" applyFill="0" applyBorder="0" applyProtection="0">
      <alignment horizontal="left" vertical="center" indent="5"/>
    </xf>
    <xf numFmtId="4" fontId="32" fillId="33" borderId="397">
      <alignment horizontal="right" vertical="center"/>
    </xf>
    <xf numFmtId="0" fontId="46" fillId="55" borderId="401" applyNumberFormat="0" applyAlignment="0" applyProtection="0"/>
    <xf numFmtId="0" fontId="34" fillId="0" borderId="407">
      <alignment horizontal="left" vertical="center" wrapText="1" indent="2"/>
    </xf>
    <xf numFmtId="0" fontId="49" fillId="42" borderId="401" applyNumberFormat="0" applyAlignment="0" applyProtection="0"/>
    <xf numFmtId="0" fontId="43" fillId="55" borderId="408" applyNumberFormat="0" applyAlignment="0" applyProtection="0"/>
    <xf numFmtId="0" fontId="40" fillId="58" borderId="403" applyNumberFormat="0" applyFont="0" applyAlignment="0" applyProtection="0"/>
    <xf numFmtId="0" fontId="34" fillId="0" borderId="399">
      <alignment horizontal="left" vertical="center" wrapText="1" indent="2"/>
    </xf>
    <xf numFmtId="0" fontId="34" fillId="33" borderId="399">
      <alignment horizontal="left" vertical="center" wrapText="1" indent="2"/>
    </xf>
    <xf numFmtId="0" fontId="40" fillId="58" borderId="395" applyNumberFormat="0" applyFont="0" applyAlignment="0" applyProtection="0"/>
    <xf numFmtId="4" fontId="34" fillId="0" borderId="404">
      <alignment horizontal="right" vertical="center"/>
    </xf>
    <xf numFmtId="0" fontId="32" fillId="33" borderId="396">
      <alignment horizontal="right" vertical="center"/>
    </xf>
    <xf numFmtId="0" fontId="2" fillId="0" borderId="12" applyNumberFormat="0" applyFill="0" applyAlignment="0" applyProtection="0"/>
    <xf numFmtId="0" fontId="26" fillId="20" borderId="0" applyNumberFormat="0" applyBorder="0" applyAlignment="0" applyProtection="0"/>
    <xf numFmtId="0" fontId="26" fillId="28" borderId="0" applyNumberFormat="0" applyBorder="0" applyAlignment="0" applyProtection="0"/>
    <xf numFmtId="0" fontId="46" fillId="55" borderId="401" applyNumberFormat="0" applyAlignment="0" applyProtection="0"/>
    <xf numFmtId="4" fontId="32" fillId="33" borderId="396">
      <alignment horizontal="right" vertical="center"/>
    </xf>
    <xf numFmtId="0" fontId="26" fillId="14" borderId="0" applyNumberFormat="0" applyBorder="0" applyAlignment="0" applyProtection="0"/>
    <xf numFmtId="0" fontId="2" fillId="0" borderId="12" applyNumberFormat="0" applyFill="0" applyAlignment="0" applyProtection="0"/>
    <xf numFmtId="0" fontId="5" fillId="58" borderId="395" applyNumberFormat="0" applyFont="0" applyAlignment="0" applyProtection="0"/>
    <xf numFmtId="0" fontId="40" fillId="58" borderId="403" applyNumberFormat="0" applyFont="0" applyAlignment="0" applyProtection="0"/>
    <xf numFmtId="4" fontId="36" fillId="31" borderId="404">
      <alignment horizontal="right" vertical="center"/>
    </xf>
    <xf numFmtId="0" fontId="32" fillId="33" borderId="396">
      <alignment horizontal="right" vertical="center"/>
    </xf>
    <xf numFmtId="0" fontId="36" fillId="31" borderId="396">
      <alignment horizontal="right" vertical="center"/>
    </xf>
    <xf numFmtId="0" fontId="12" fillId="30" borderId="0" applyNumberFormat="0" applyBorder="0" applyAlignment="0" applyProtection="0"/>
    <xf numFmtId="0" fontId="26" fillId="25" borderId="0" applyNumberFormat="0" applyBorder="0" applyAlignment="0" applyProtection="0"/>
    <xf numFmtId="0" fontId="36" fillId="31" borderId="396">
      <alignment horizontal="right" vertical="center"/>
    </xf>
    <xf numFmtId="4" fontId="32" fillId="33" borderId="396">
      <alignment horizontal="right" vertical="center"/>
    </xf>
    <xf numFmtId="0" fontId="40" fillId="58" borderId="395" applyNumberFormat="0" applyFont="0" applyAlignment="0" applyProtection="0"/>
    <xf numFmtId="0" fontId="26" fillId="22" borderId="0" applyNumberFormat="0" applyBorder="0" applyAlignment="0" applyProtection="0"/>
    <xf numFmtId="0" fontId="34" fillId="33" borderId="407">
      <alignment horizontal="left" vertical="center" wrapText="1" indent="2"/>
    </xf>
    <xf numFmtId="0" fontId="12" fillId="24" borderId="0" applyNumberFormat="0" applyBorder="0" applyAlignment="0" applyProtection="0"/>
    <xf numFmtId="0" fontId="32" fillId="33" borderId="396">
      <alignment horizontal="right" vertical="center"/>
    </xf>
    <xf numFmtId="0" fontId="43" fillId="55" borderId="400" applyNumberFormat="0" applyAlignment="0" applyProtection="0"/>
    <xf numFmtId="0" fontId="40" fillId="58" borderId="395" applyNumberFormat="0" applyFont="0" applyAlignment="0" applyProtection="0"/>
    <xf numFmtId="0" fontId="45" fillId="55" borderId="401" applyNumberFormat="0" applyAlignment="0" applyProtection="0"/>
    <xf numFmtId="0" fontId="34" fillId="33" borderId="399">
      <alignment horizontal="left" vertical="center" wrapText="1" indent="2"/>
    </xf>
    <xf numFmtId="173" fontId="34" fillId="59" borderId="404" applyNumberFormat="0" applyFont="0" applyBorder="0" applyAlignment="0" applyProtection="0">
      <alignment horizontal="right" vertical="center"/>
    </xf>
    <xf numFmtId="49" fontId="34" fillId="0" borderId="396" applyNumberFormat="0" applyFont="0" applyFill="0" applyBorder="0" applyProtection="0">
      <alignment horizontal="left" vertical="center" indent="2"/>
    </xf>
    <xf numFmtId="0" fontId="40" fillId="58" borderId="395" applyNumberFormat="0" applyFont="0" applyAlignment="0" applyProtection="0"/>
    <xf numFmtId="0" fontId="62" fillId="55" borderId="400" applyNumberFormat="0" applyAlignment="0" applyProtection="0"/>
    <xf numFmtId="0" fontId="26" fillId="29" borderId="0" applyNumberFormat="0" applyBorder="0" applyAlignment="0" applyProtection="0"/>
    <xf numFmtId="4" fontId="36" fillId="31" borderId="396">
      <alignment horizontal="right" vertical="center"/>
    </xf>
    <xf numFmtId="173" fontId="34" fillId="59" borderId="404" applyNumberFormat="0" applyFont="0" applyBorder="0" applyAlignment="0" applyProtection="0">
      <alignment horizontal="right" vertical="center"/>
    </xf>
    <xf numFmtId="0" fontId="34" fillId="32" borderId="396"/>
    <xf numFmtId="0" fontId="12" fillId="21" borderId="0" applyNumberFormat="0" applyBorder="0" applyAlignment="0" applyProtection="0"/>
    <xf numFmtId="0" fontId="46" fillId="55" borderId="401" applyNumberFormat="0" applyAlignment="0" applyProtection="0"/>
    <xf numFmtId="0" fontId="58" fillId="42" borderId="401" applyNumberFormat="0" applyAlignment="0" applyProtection="0"/>
    <xf numFmtId="0" fontId="34" fillId="33" borderId="407">
      <alignment horizontal="left" vertical="center" wrapText="1" indent="2"/>
    </xf>
    <xf numFmtId="0" fontId="58" fillId="42" borderId="401" applyNumberFormat="0" applyAlignment="0" applyProtection="0"/>
    <xf numFmtId="0" fontId="5" fillId="58" borderId="395" applyNumberFormat="0" applyFont="0" applyAlignment="0" applyProtection="0"/>
    <xf numFmtId="0" fontId="58" fillId="42" borderId="401" applyNumberFormat="0" applyAlignment="0" applyProtection="0"/>
    <xf numFmtId="0" fontId="65" fillId="0" borderId="402" applyNumberFormat="0" applyFill="0" applyAlignment="0" applyProtection="0"/>
    <xf numFmtId="0" fontId="58" fillId="42" borderId="409" applyNumberFormat="0" applyAlignment="0" applyProtection="0"/>
    <xf numFmtId="4" fontId="32" fillId="33" borderId="404">
      <alignment horizontal="right" vertical="center"/>
    </xf>
    <xf numFmtId="173" fontId="34" fillId="59" borderId="396" applyNumberFormat="0" applyFont="0" applyBorder="0" applyAlignment="0" applyProtection="0">
      <alignment horizontal="right" vertical="center"/>
    </xf>
    <xf numFmtId="0" fontId="26" fillId="22" borderId="0" applyNumberFormat="0" applyBorder="0" applyAlignment="0" applyProtection="0"/>
    <xf numFmtId="0" fontId="34" fillId="31" borderId="397">
      <alignment horizontal="left" vertical="center"/>
    </xf>
    <xf numFmtId="4" fontId="34" fillId="0" borderId="396" applyFill="0" applyBorder="0" applyProtection="0">
      <alignment horizontal="right" vertical="center"/>
    </xf>
    <xf numFmtId="173" fontId="34" fillId="59" borderId="396" applyNumberFormat="0" applyFont="0" applyBorder="0" applyAlignment="0" applyProtection="0">
      <alignment horizontal="right" vertical="center"/>
    </xf>
    <xf numFmtId="0" fontId="43" fillId="55" borderId="400" applyNumberFormat="0" applyAlignment="0" applyProtection="0"/>
    <xf numFmtId="0" fontId="62" fillId="55" borderId="400" applyNumberFormat="0" applyAlignment="0" applyProtection="0"/>
    <xf numFmtId="0" fontId="26" fillId="16" borderId="0" applyNumberFormat="0" applyBorder="0" applyAlignment="0" applyProtection="0"/>
    <xf numFmtId="4" fontId="34" fillId="0" borderId="396">
      <alignment horizontal="right" vertical="center"/>
    </xf>
    <xf numFmtId="0" fontId="45" fillId="55" borderId="409" applyNumberFormat="0" applyAlignment="0" applyProtection="0"/>
    <xf numFmtId="0" fontId="34" fillId="31" borderId="397">
      <alignment horizontal="left" vertical="center"/>
    </xf>
    <xf numFmtId="0" fontId="12" fillId="30" borderId="0" applyNumberFormat="0" applyBorder="0" applyAlignment="0" applyProtection="0"/>
    <xf numFmtId="0" fontId="12" fillId="21" borderId="0" applyNumberFormat="0" applyBorder="0" applyAlignment="0" applyProtection="0"/>
    <xf numFmtId="0" fontId="34" fillId="33" borderId="407">
      <alignment horizontal="left" vertical="center" wrapText="1" indent="2"/>
    </xf>
    <xf numFmtId="0" fontId="26" fillId="13" borderId="0" applyNumberFormat="0" applyBorder="0" applyAlignment="0" applyProtection="0"/>
    <xf numFmtId="4" fontId="32" fillId="33" borderId="396">
      <alignment horizontal="right" vertical="center"/>
    </xf>
    <xf numFmtId="4" fontId="32" fillId="31" borderId="404">
      <alignment horizontal="right" vertical="center"/>
    </xf>
    <xf numFmtId="4" fontId="32" fillId="33" borderId="396">
      <alignment horizontal="right" vertical="center"/>
    </xf>
    <xf numFmtId="0" fontId="34" fillId="33" borderId="418">
      <alignment horizontal="left" vertical="center" wrapText="1" indent="2"/>
    </xf>
    <xf numFmtId="0" fontId="50" fillId="0" borderId="402" applyNumberFormat="0" applyFill="0" applyAlignment="0" applyProtection="0"/>
    <xf numFmtId="0" fontId="65" fillId="0" borderId="402" applyNumberFormat="0" applyFill="0" applyAlignment="0" applyProtection="0"/>
    <xf numFmtId="0" fontId="43" fillId="55" borderId="400" applyNumberFormat="0" applyAlignment="0" applyProtection="0"/>
    <xf numFmtId="0" fontId="49" fillId="42" borderId="401" applyNumberFormat="0" applyAlignment="0" applyProtection="0"/>
    <xf numFmtId="0" fontId="12" fillId="18" borderId="0" applyNumberFormat="0" applyBorder="0" applyAlignment="0" applyProtection="0"/>
    <xf numFmtId="49" fontId="33" fillId="0" borderId="396" applyNumberFormat="0" applyFill="0" applyBorder="0" applyProtection="0">
      <alignment horizontal="left" vertical="center"/>
    </xf>
    <xf numFmtId="4" fontId="32" fillId="33" borderId="397">
      <alignment horizontal="right" vertical="center"/>
    </xf>
    <xf numFmtId="0" fontId="26" fillId="16" borderId="0" applyNumberFormat="0" applyBorder="0" applyAlignment="0" applyProtection="0"/>
    <xf numFmtId="0" fontId="34" fillId="31" borderId="405">
      <alignment horizontal="left" vertical="center"/>
    </xf>
    <xf numFmtId="0" fontId="49" fillId="42" borderId="401" applyNumberFormat="0" applyAlignment="0" applyProtection="0"/>
    <xf numFmtId="0" fontId="50" fillId="0" borderId="410" applyNumberFormat="0" applyFill="0" applyAlignment="0" applyProtection="0"/>
    <xf numFmtId="0" fontId="36" fillId="31" borderId="396">
      <alignment horizontal="right" vertical="center"/>
    </xf>
    <xf numFmtId="0" fontId="5" fillId="58" borderId="395" applyNumberFormat="0" applyFont="0" applyAlignment="0" applyProtection="0"/>
    <xf numFmtId="0" fontId="32" fillId="33" borderId="404">
      <alignment horizontal="right" vertical="center"/>
    </xf>
    <xf numFmtId="0" fontId="65" fillId="0" borderId="410" applyNumberFormat="0" applyFill="0" applyAlignment="0" applyProtection="0"/>
    <xf numFmtId="49" fontId="33" fillId="0" borderId="404" applyNumberFormat="0" applyFill="0" applyBorder="0" applyProtection="0">
      <alignment horizontal="left" vertical="center"/>
    </xf>
    <xf numFmtId="0" fontId="36" fillId="31" borderId="396">
      <alignment horizontal="right" vertical="center"/>
    </xf>
    <xf numFmtId="0" fontId="50" fillId="0" borderId="410" applyNumberFormat="0" applyFill="0" applyAlignment="0" applyProtection="0"/>
    <xf numFmtId="0" fontId="28" fillId="12" borderId="11" applyNumberFormat="0" applyAlignment="0" applyProtection="0"/>
    <xf numFmtId="4" fontId="32" fillId="33" borderId="405">
      <alignment horizontal="right" vertical="center"/>
    </xf>
    <xf numFmtId="0" fontId="65" fillId="0" borderId="402" applyNumberFormat="0" applyFill="0" applyAlignment="0" applyProtection="0"/>
    <xf numFmtId="0" fontId="62" fillId="55" borderId="408" applyNumberFormat="0" applyAlignment="0" applyProtection="0"/>
    <xf numFmtId="0" fontId="12" fillId="15" borderId="0" applyNumberFormat="0" applyBorder="0" applyAlignment="0" applyProtection="0"/>
    <xf numFmtId="0" fontId="34" fillId="0" borderId="396">
      <alignment horizontal="right" vertical="center"/>
    </xf>
    <xf numFmtId="0" fontId="34" fillId="0" borderId="407">
      <alignment horizontal="left" vertical="center" wrapText="1" indent="2"/>
    </xf>
    <xf numFmtId="0" fontId="26" fillId="25" borderId="0" applyNumberFormat="0" applyBorder="0" applyAlignment="0" applyProtection="0"/>
    <xf numFmtId="0" fontId="49" fillId="42" borderId="401" applyNumberFormat="0" applyAlignment="0" applyProtection="0"/>
    <xf numFmtId="0" fontId="46" fillId="55" borderId="412" applyNumberFormat="0" applyAlignment="0" applyProtection="0"/>
    <xf numFmtId="0" fontId="34" fillId="0" borderId="396">
      <alignment horizontal="right" vertical="center"/>
    </xf>
    <xf numFmtId="0" fontId="45" fillId="55" borderId="401" applyNumberFormat="0" applyAlignment="0" applyProtection="0"/>
    <xf numFmtId="0" fontId="46" fillId="55" borderId="409" applyNumberFormat="0" applyAlignment="0" applyProtection="0"/>
    <xf numFmtId="0" fontId="30" fillId="0" borderId="0" applyNumberFormat="0" applyFill="0" applyBorder="0" applyAlignment="0" applyProtection="0"/>
    <xf numFmtId="4" fontId="32" fillId="31" borderId="396">
      <alignment horizontal="right" vertical="center"/>
    </xf>
    <xf numFmtId="0" fontId="32" fillId="33" borderId="397">
      <alignment horizontal="right" vertical="center"/>
    </xf>
    <xf numFmtId="0" fontId="46" fillId="55" borderId="401" applyNumberFormat="0" applyAlignment="0" applyProtection="0"/>
    <xf numFmtId="0" fontId="32" fillId="33" borderId="398">
      <alignment horizontal="right" vertical="center"/>
    </xf>
    <xf numFmtId="0" fontId="32" fillId="33" borderId="404">
      <alignment horizontal="right" vertical="center"/>
    </xf>
    <xf numFmtId="4" fontId="34" fillId="0" borderId="404">
      <alignment horizontal="right" vertical="center"/>
    </xf>
    <xf numFmtId="0" fontId="49" fillId="42" borderId="409" applyNumberFormat="0" applyAlignment="0" applyProtection="0"/>
    <xf numFmtId="0" fontId="29" fillId="12" borderId="10" applyNumberFormat="0" applyAlignment="0" applyProtection="0"/>
    <xf numFmtId="0" fontId="34" fillId="33" borderId="399">
      <alignment horizontal="left" vertical="center" wrapText="1" indent="2"/>
    </xf>
    <xf numFmtId="0" fontId="26" fillId="26" borderId="0" applyNumberFormat="0" applyBorder="0" applyAlignment="0" applyProtection="0"/>
    <xf numFmtId="4" fontId="34" fillId="0" borderId="404" applyFill="0" applyBorder="0" applyProtection="0">
      <alignment horizontal="right" vertical="center"/>
    </xf>
    <xf numFmtId="0" fontId="49" fillId="42" borderId="409" applyNumberFormat="0" applyAlignment="0" applyProtection="0"/>
    <xf numFmtId="0" fontId="26" fillId="14" borderId="0" applyNumberFormat="0" applyBorder="0" applyAlignment="0" applyProtection="0"/>
    <xf numFmtId="4" fontId="34" fillId="0" borderId="396">
      <alignment horizontal="right" vertical="center"/>
    </xf>
    <xf numFmtId="0" fontId="46" fillId="55" borderId="409" applyNumberFormat="0" applyAlignment="0" applyProtection="0"/>
    <xf numFmtId="0" fontId="34" fillId="0" borderId="396">
      <alignment horizontal="right" vertical="center"/>
    </xf>
    <xf numFmtId="0" fontId="34" fillId="31" borderId="405">
      <alignment horizontal="left" vertical="center"/>
    </xf>
    <xf numFmtId="4" fontId="32" fillId="33" borderId="404">
      <alignment horizontal="right" vertical="center"/>
    </xf>
    <xf numFmtId="4" fontId="32" fillId="33" borderId="404">
      <alignment horizontal="right" vertical="center"/>
    </xf>
    <xf numFmtId="49" fontId="34" fillId="0" borderId="397" applyNumberFormat="0" applyFont="0" applyFill="0" applyBorder="0" applyProtection="0">
      <alignment horizontal="left" vertical="center" indent="5"/>
    </xf>
    <xf numFmtId="4" fontId="32" fillId="33" borderId="405">
      <alignment horizontal="right" vertical="center"/>
    </xf>
    <xf numFmtId="0" fontId="26" fillId="13" borderId="0" applyNumberFormat="0" applyBorder="0" applyAlignment="0" applyProtection="0"/>
    <xf numFmtId="0" fontId="34" fillId="31" borderId="397">
      <alignment horizontal="left" vertical="center"/>
    </xf>
    <xf numFmtId="0" fontId="34" fillId="0" borderId="399">
      <alignment horizontal="left" vertical="center" wrapText="1" indent="2"/>
    </xf>
    <xf numFmtId="49" fontId="33" fillId="0" borderId="404" applyNumberFormat="0" applyFill="0" applyBorder="0" applyProtection="0">
      <alignment horizontal="left" vertical="center"/>
    </xf>
    <xf numFmtId="0" fontId="62" fillId="55" borderId="408" applyNumberFormat="0" applyAlignment="0" applyProtection="0"/>
    <xf numFmtId="0" fontId="30" fillId="0" borderId="0" applyNumberFormat="0" applyFill="0" applyBorder="0" applyAlignment="0" applyProtection="0"/>
    <xf numFmtId="0" fontId="46" fillId="55" borderId="409" applyNumberFormat="0" applyAlignment="0" applyProtection="0"/>
    <xf numFmtId="0" fontId="43" fillId="55" borderId="408" applyNumberFormat="0" applyAlignment="0" applyProtection="0"/>
    <xf numFmtId="0" fontId="43" fillId="55" borderId="408" applyNumberFormat="0" applyAlignment="0" applyProtection="0"/>
    <xf numFmtId="0" fontId="62" fillId="55" borderId="408" applyNumberFormat="0" applyAlignment="0" applyProtection="0"/>
    <xf numFmtId="4" fontId="32" fillId="31" borderId="415">
      <alignment horizontal="right" vertical="center"/>
    </xf>
    <xf numFmtId="0" fontId="32" fillId="31" borderId="396">
      <alignment horizontal="right" vertical="center"/>
    </xf>
    <xf numFmtId="0" fontId="50" fillId="0" borderId="402" applyNumberFormat="0" applyFill="0" applyAlignment="0" applyProtection="0"/>
    <xf numFmtId="0" fontId="34" fillId="0" borderId="396" applyNumberFormat="0" applyFill="0" applyAlignment="0" applyProtection="0"/>
    <xf numFmtId="0" fontId="50" fillId="0" borderId="402" applyNumberFormat="0" applyFill="0" applyAlignment="0" applyProtection="0"/>
    <xf numFmtId="4" fontId="34" fillId="0" borderId="396" applyFill="0" applyBorder="0" applyProtection="0">
      <alignment horizontal="right" vertical="center"/>
    </xf>
    <xf numFmtId="49" fontId="34" fillId="0" borderId="397" applyNumberFormat="0" applyFont="0" applyFill="0" applyBorder="0" applyProtection="0">
      <alignment horizontal="left" vertical="center" indent="5"/>
    </xf>
    <xf numFmtId="0" fontId="34" fillId="0" borderId="396" applyNumberFormat="0" applyFill="0" applyAlignment="0" applyProtection="0"/>
    <xf numFmtId="0" fontId="32" fillId="33" borderId="405">
      <alignment horizontal="right" vertical="center"/>
    </xf>
    <xf numFmtId="0" fontId="34" fillId="0" borderId="396" applyNumberFormat="0" applyFill="0" applyAlignment="0" applyProtection="0"/>
    <xf numFmtId="0" fontId="58" fillId="42" borderId="409" applyNumberFormat="0" applyAlignment="0" applyProtection="0"/>
    <xf numFmtId="4" fontId="32" fillId="33" borderId="396">
      <alignment horizontal="right" vertical="center"/>
    </xf>
    <xf numFmtId="0" fontId="26" fillId="23" borderId="0" applyNumberFormat="0" applyBorder="0" applyAlignment="0" applyProtection="0"/>
    <xf numFmtId="0" fontId="12" fillId="21" borderId="0" applyNumberFormat="0" applyBorder="0" applyAlignment="0" applyProtection="0"/>
    <xf numFmtId="0" fontId="49" fillId="42" borderId="401" applyNumberFormat="0" applyAlignment="0" applyProtection="0"/>
    <xf numFmtId="0" fontId="46" fillId="55" borderId="401" applyNumberFormat="0" applyAlignment="0" applyProtection="0"/>
    <xf numFmtId="4" fontId="34" fillId="0" borderId="396">
      <alignment horizontal="right" vertical="center"/>
    </xf>
    <xf numFmtId="0" fontId="34" fillId="33" borderId="399">
      <alignment horizontal="left" vertical="center" wrapText="1" indent="2"/>
    </xf>
    <xf numFmtId="0" fontId="34" fillId="0" borderId="399">
      <alignment horizontal="left" vertical="center" wrapText="1" indent="2"/>
    </xf>
    <xf numFmtId="0" fontId="62" fillId="55" borderId="400" applyNumberFormat="0" applyAlignment="0" applyProtection="0"/>
    <xf numFmtId="0" fontId="58" fillId="42" borderId="401" applyNumberFormat="0" applyAlignment="0" applyProtection="0"/>
    <xf numFmtId="0" fontId="45" fillId="55" borderId="401" applyNumberFormat="0" applyAlignment="0" applyProtection="0"/>
    <xf numFmtId="0" fontId="43" fillId="55" borderId="400" applyNumberFormat="0" applyAlignment="0" applyProtection="0"/>
    <xf numFmtId="0" fontId="32" fillId="33" borderId="398">
      <alignment horizontal="right" vertical="center"/>
    </xf>
    <xf numFmtId="0" fontId="36" fillId="31" borderId="396">
      <alignment horizontal="right" vertical="center"/>
    </xf>
    <xf numFmtId="4" fontId="32" fillId="31" borderId="396">
      <alignment horizontal="right" vertical="center"/>
    </xf>
    <xf numFmtId="4" fontId="32" fillId="33" borderId="396">
      <alignment horizontal="right" vertical="center"/>
    </xf>
    <xf numFmtId="49" fontId="34" fillId="0" borderId="397" applyNumberFormat="0" applyFont="0" applyFill="0" applyBorder="0" applyProtection="0">
      <alignment horizontal="left" vertical="center" indent="5"/>
    </xf>
    <xf numFmtId="4" fontId="34" fillId="0" borderId="396" applyFill="0" applyBorder="0" applyProtection="0">
      <alignment horizontal="right" vertical="center"/>
    </xf>
    <xf numFmtId="4" fontId="32" fillId="31" borderId="396">
      <alignment horizontal="right" vertical="center"/>
    </xf>
    <xf numFmtId="0" fontId="58" fillId="42" borderId="401" applyNumberFormat="0" applyAlignment="0" applyProtection="0"/>
    <xf numFmtId="0" fontId="49" fillId="42" borderId="401" applyNumberFormat="0" applyAlignment="0" applyProtection="0"/>
    <xf numFmtId="0" fontId="45" fillId="55" borderId="401" applyNumberFormat="0" applyAlignment="0" applyProtection="0"/>
    <xf numFmtId="0" fontId="34" fillId="33" borderId="399">
      <alignment horizontal="left" vertical="center" wrapText="1" indent="2"/>
    </xf>
    <xf numFmtId="0" fontId="34" fillId="0" borderId="399">
      <alignment horizontal="left" vertical="center" wrapText="1" indent="2"/>
    </xf>
    <xf numFmtId="0" fontId="34" fillId="33" borderId="399">
      <alignment horizontal="left" vertical="center" wrapText="1" indent="2"/>
    </xf>
    <xf numFmtId="0" fontId="34" fillId="33" borderId="407">
      <alignment horizontal="left" vertical="center" wrapText="1" indent="2"/>
    </xf>
    <xf numFmtId="0" fontId="34" fillId="0" borderId="404">
      <alignment horizontal="right" vertical="center"/>
    </xf>
    <xf numFmtId="0" fontId="32" fillId="33" borderId="404">
      <alignment horizontal="right" vertical="center"/>
    </xf>
    <xf numFmtId="0" fontId="65" fillId="0" borderId="410" applyNumberFormat="0" applyFill="0" applyAlignment="0" applyProtection="0"/>
    <xf numFmtId="0" fontId="62" fillId="55" borderId="408" applyNumberFormat="0" applyAlignment="0" applyProtection="0"/>
    <xf numFmtId="0" fontId="49" fillId="42" borderId="409" applyNumberFormat="0" applyAlignment="0" applyProtection="0"/>
    <xf numFmtId="0" fontId="32" fillId="33" borderId="404">
      <alignment horizontal="right" vertical="center"/>
    </xf>
    <xf numFmtId="0" fontId="58" fillId="42" borderId="409" applyNumberFormat="0" applyAlignment="0" applyProtection="0"/>
    <xf numFmtId="4" fontId="32" fillId="31" borderId="404">
      <alignment horizontal="right" vertical="center"/>
    </xf>
    <xf numFmtId="4" fontId="34" fillId="0" borderId="404">
      <alignment horizontal="right" vertical="center"/>
    </xf>
    <xf numFmtId="0" fontId="32" fillId="33" borderId="404">
      <alignment horizontal="right" vertical="center"/>
    </xf>
    <xf numFmtId="4" fontId="36" fillId="31" borderId="404">
      <alignment horizontal="right" vertical="center"/>
    </xf>
    <xf numFmtId="49" fontId="34" fillId="0" borderId="404" applyNumberFormat="0" applyFont="0" applyFill="0" applyBorder="0" applyProtection="0">
      <alignment horizontal="left" vertical="center" indent="2"/>
    </xf>
    <xf numFmtId="173" fontId="34" fillId="59" borderId="404" applyNumberFormat="0" applyFont="0" applyBorder="0" applyAlignment="0" applyProtection="0">
      <alignment horizontal="right" vertical="center"/>
    </xf>
    <xf numFmtId="49" fontId="33" fillId="0" borderId="404" applyNumberFormat="0" applyFill="0" applyBorder="0" applyProtection="0">
      <alignment horizontal="left" vertical="center"/>
    </xf>
    <xf numFmtId="0" fontId="40" fillId="58" borderId="403" applyNumberFormat="0" applyFont="0" applyAlignment="0" applyProtection="0"/>
    <xf numFmtId="0" fontId="26" fillId="26" borderId="0" applyNumberFormat="0" applyBorder="0" applyAlignment="0" applyProtection="0"/>
    <xf numFmtId="0" fontId="26" fillId="14" borderId="0" applyNumberFormat="0" applyBorder="0" applyAlignment="0" applyProtection="0"/>
    <xf numFmtId="0" fontId="26" fillId="13" borderId="0" applyNumberFormat="0" applyBorder="0" applyAlignment="0" applyProtection="0"/>
    <xf numFmtId="0" fontId="26" fillId="17" borderId="0" applyNumberFormat="0" applyBorder="0" applyAlignment="0" applyProtection="0"/>
    <xf numFmtId="0" fontId="28" fillId="12" borderId="11" applyNumberFormat="0" applyAlignment="0" applyProtection="0"/>
    <xf numFmtId="49" fontId="33" fillId="0" borderId="415" applyNumberFormat="0" applyFill="0" applyBorder="0" applyProtection="0">
      <alignment horizontal="left" vertical="center"/>
    </xf>
    <xf numFmtId="0" fontId="58" fillId="42" borderId="412" applyNumberFormat="0" applyAlignment="0" applyProtection="0"/>
    <xf numFmtId="0" fontId="26" fillId="14" borderId="0" applyNumberFormat="0" applyBorder="0" applyAlignment="0" applyProtection="0"/>
    <xf numFmtId="0" fontId="32" fillId="31" borderId="404">
      <alignment horizontal="right" vertical="center"/>
    </xf>
    <xf numFmtId="4" fontId="34" fillId="32" borderId="415"/>
    <xf numFmtId="49" fontId="34" fillId="0" borderId="404" applyNumberFormat="0" applyFont="0" applyFill="0" applyBorder="0" applyProtection="0">
      <alignment horizontal="left" vertical="center" indent="2"/>
    </xf>
    <xf numFmtId="0" fontId="26" fillId="16" borderId="0" applyNumberFormat="0" applyBorder="0" applyAlignment="0" applyProtection="0"/>
    <xf numFmtId="0" fontId="36" fillId="31" borderId="404">
      <alignment horizontal="right" vertical="center"/>
    </xf>
    <xf numFmtId="0" fontId="12" fillId="24" borderId="0" applyNumberFormat="0" applyBorder="0" applyAlignment="0" applyProtection="0"/>
    <xf numFmtId="0" fontId="49" fillId="42" borderId="412" applyNumberFormat="0" applyAlignment="0" applyProtection="0"/>
    <xf numFmtId="0" fontId="58" fillId="42" borderId="409" applyNumberFormat="0" applyAlignment="0" applyProtection="0"/>
    <xf numFmtId="0" fontId="36" fillId="31" borderId="404">
      <alignment horizontal="right" vertical="center"/>
    </xf>
    <xf numFmtId="0" fontId="12" fillId="15" borderId="0" applyNumberFormat="0" applyBorder="0" applyAlignment="0" applyProtection="0"/>
    <xf numFmtId="4" fontId="34" fillId="0" borderId="404">
      <alignment horizontal="right" vertical="center"/>
    </xf>
    <xf numFmtId="0" fontId="26" fillId="16" borderId="0" applyNumberFormat="0" applyBorder="0" applyAlignment="0" applyProtection="0"/>
    <xf numFmtId="4" fontId="36" fillId="31" borderId="404">
      <alignment horizontal="right" vertical="center"/>
    </xf>
    <xf numFmtId="0" fontId="34" fillId="0" borderId="404">
      <alignment horizontal="right" vertical="center"/>
    </xf>
    <xf numFmtId="0" fontId="65" fillId="0" borderId="410" applyNumberFormat="0" applyFill="0" applyAlignment="0" applyProtection="0"/>
    <xf numFmtId="0" fontId="34" fillId="0" borderId="407">
      <alignment horizontal="left" vertical="center" wrapText="1" indent="2"/>
    </xf>
    <xf numFmtId="4" fontId="34" fillId="32" borderId="404"/>
    <xf numFmtId="0" fontId="34" fillId="0" borderId="404" applyNumberFormat="0" applyFill="0" applyAlignment="0" applyProtection="0"/>
    <xf numFmtId="0" fontId="34" fillId="0" borderId="418">
      <alignment horizontal="left" vertical="center" wrapText="1" indent="2"/>
    </xf>
    <xf numFmtId="0" fontId="12" fillId="27" borderId="0" applyNumberFormat="0" applyBorder="0" applyAlignment="0" applyProtection="0"/>
    <xf numFmtId="0" fontId="34" fillId="31" borderId="405">
      <alignment horizontal="left" vertical="center"/>
    </xf>
    <xf numFmtId="0" fontId="50" fillId="0" borderId="410" applyNumberFormat="0" applyFill="0" applyAlignment="0" applyProtection="0"/>
    <xf numFmtId="0" fontId="1" fillId="0" borderId="0" applyNumberFormat="0" applyFill="0" applyBorder="0" applyAlignment="0" applyProtection="0"/>
    <xf numFmtId="0" fontId="32" fillId="33" borderId="405">
      <alignment horizontal="right" vertical="center"/>
    </xf>
    <xf numFmtId="0" fontId="65" fillId="0" borderId="410" applyNumberFormat="0" applyFill="0" applyAlignment="0" applyProtection="0"/>
    <xf numFmtId="0" fontId="36" fillId="31" borderId="404">
      <alignment horizontal="right" vertical="center"/>
    </xf>
    <xf numFmtId="0" fontId="5" fillId="58" borderId="403" applyNumberFormat="0" applyFont="0" applyAlignment="0" applyProtection="0"/>
    <xf numFmtId="49" fontId="34" fillId="0" borderId="404" applyNumberFormat="0" applyFont="0" applyFill="0" applyBorder="0" applyProtection="0">
      <alignment horizontal="left" vertical="center" indent="2"/>
    </xf>
    <xf numFmtId="0" fontId="46" fillId="55" borderId="409" applyNumberFormat="0" applyAlignment="0" applyProtection="0"/>
    <xf numFmtId="0" fontId="5" fillId="58" borderId="403" applyNumberFormat="0" applyFont="0" applyAlignment="0" applyProtection="0"/>
    <xf numFmtId="0" fontId="36" fillId="31" borderId="404">
      <alignment horizontal="right" vertical="center"/>
    </xf>
    <xf numFmtId="0" fontId="5" fillId="58" borderId="403" applyNumberFormat="0" applyFont="0" applyAlignment="0" applyProtection="0"/>
    <xf numFmtId="0" fontId="46" fillId="55" borderId="409" applyNumberFormat="0" applyAlignment="0" applyProtection="0"/>
    <xf numFmtId="4" fontId="34" fillId="32" borderId="404"/>
    <xf numFmtId="0" fontId="32" fillId="33" borderId="404">
      <alignment horizontal="right" vertical="center"/>
    </xf>
    <xf numFmtId="4" fontId="34" fillId="0" borderId="404" applyFill="0" applyBorder="0" applyProtection="0">
      <alignment horizontal="right" vertical="center"/>
    </xf>
    <xf numFmtId="49" fontId="34" fillId="0" borderId="405" applyNumberFormat="0" applyFont="0" applyFill="0" applyBorder="0" applyProtection="0">
      <alignment horizontal="left" vertical="center" indent="5"/>
    </xf>
    <xf numFmtId="0" fontId="58" fillId="42" borderId="409" applyNumberFormat="0" applyAlignment="0" applyProtection="0"/>
    <xf numFmtId="0" fontId="12" fillId="21" borderId="0" applyNumberFormat="0" applyBorder="0" applyAlignment="0" applyProtection="0"/>
    <xf numFmtId="4" fontId="32" fillId="33" borderId="405">
      <alignment horizontal="right" vertical="center"/>
    </xf>
    <xf numFmtId="173" fontId="34" fillId="59" borderId="404" applyNumberFormat="0" applyFont="0" applyBorder="0" applyAlignment="0" applyProtection="0">
      <alignment horizontal="right" vertical="center"/>
    </xf>
    <xf numFmtId="4" fontId="36" fillId="31" borderId="404">
      <alignment horizontal="right" vertical="center"/>
    </xf>
    <xf numFmtId="0" fontId="34" fillId="0" borderId="404">
      <alignment horizontal="right" vertical="center"/>
    </xf>
    <xf numFmtId="0" fontId="26" fillId="26" borderId="0" applyNumberFormat="0" applyBorder="0" applyAlignment="0" applyProtection="0"/>
    <xf numFmtId="0" fontId="46" fillId="55" borderId="409" applyNumberFormat="0" applyAlignment="0" applyProtection="0"/>
    <xf numFmtId="0" fontId="26" fillId="26" borderId="0" applyNumberFormat="0" applyBorder="0" applyAlignment="0" applyProtection="0"/>
    <xf numFmtId="4" fontId="32" fillId="33" borderId="404">
      <alignment horizontal="right" vertical="center"/>
    </xf>
    <xf numFmtId="0" fontId="34" fillId="32" borderId="404"/>
    <xf numFmtId="49" fontId="33" fillId="0" borderId="404" applyNumberFormat="0" applyFill="0" applyBorder="0" applyProtection="0">
      <alignment horizontal="left" vertical="center"/>
    </xf>
    <xf numFmtId="0" fontId="12" fillId="15" borderId="0" applyNumberFormat="0" applyBorder="0" applyAlignment="0" applyProtection="0"/>
    <xf numFmtId="49" fontId="34" fillId="0" borderId="404" applyNumberFormat="0" applyFont="0" applyFill="0" applyBorder="0" applyProtection="0">
      <alignment horizontal="left" vertical="center" indent="2"/>
    </xf>
    <xf numFmtId="4" fontId="32" fillId="33" borderId="404">
      <alignment horizontal="right" vertical="center"/>
    </xf>
    <xf numFmtId="0" fontId="32" fillId="33" borderId="404">
      <alignment horizontal="right" vertical="center"/>
    </xf>
    <xf numFmtId="0" fontId="26" fillId="25" borderId="0" applyNumberFormat="0" applyBorder="0" applyAlignment="0" applyProtection="0"/>
    <xf numFmtId="49" fontId="34" fillId="0" borderId="405" applyNumberFormat="0" applyFont="0" applyFill="0" applyBorder="0" applyProtection="0">
      <alignment horizontal="left" vertical="center" indent="5"/>
    </xf>
    <xf numFmtId="0" fontId="45" fillId="55" borderId="409" applyNumberFormat="0" applyAlignment="0" applyProtection="0"/>
    <xf numFmtId="0" fontId="12" fillId="30" borderId="0" applyNumberFormat="0" applyBorder="0" applyAlignment="0" applyProtection="0"/>
    <xf numFmtId="0" fontId="50" fillId="0" borderId="413" applyNumberFormat="0" applyFill="0" applyAlignment="0" applyProtection="0"/>
    <xf numFmtId="0" fontId="65" fillId="0" borderId="413" applyNumberFormat="0" applyFill="0" applyAlignment="0" applyProtection="0"/>
    <xf numFmtId="0" fontId="45" fillId="55" borderId="409" applyNumberFormat="0" applyAlignment="0" applyProtection="0"/>
    <xf numFmtId="0" fontId="12" fillId="18" borderId="0" applyNumberFormat="0" applyBorder="0" applyAlignment="0" applyProtection="0"/>
    <xf numFmtId="49" fontId="34" fillId="0" borderId="416" applyNumberFormat="0" applyFont="0" applyFill="0" applyBorder="0" applyProtection="0">
      <alignment horizontal="left" vertical="center" indent="5"/>
    </xf>
    <xf numFmtId="0" fontId="65" fillId="0" borderId="410" applyNumberFormat="0" applyFill="0" applyAlignment="0" applyProtection="0"/>
    <xf numFmtId="0" fontId="49" fillId="42" borderId="409" applyNumberFormat="0" applyAlignment="0" applyProtection="0"/>
    <xf numFmtId="0" fontId="32" fillId="33" borderId="404">
      <alignment horizontal="right" vertical="center"/>
    </xf>
    <xf numFmtId="4" fontId="32" fillId="33" borderId="406">
      <alignment horizontal="right" vertical="center"/>
    </xf>
    <xf numFmtId="4" fontId="34" fillId="32" borderId="404"/>
    <xf numFmtId="0" fontId="12" fillId="21" borderId="0" applyNumberFormat="0" applyBorder="0" applyAlignment="0" applyProtection="0"/>
    <xf numFmtId="0" fontId="62" fillId="55" borderId="408" applyNumberFormat="0" applyAlignment="0" applyProtection="0"/>
    <xf numFmtId="0" fontId="12" fillId="15" borderId="0" applyNumberFormat="0" applyBorder="0" applyAlignment="0" applyProtection="0"/>
    <xf numFmtId="0" fontId="2" fillId="0" borderId="12" applyNumberFormat="0" applyFill="0" applyAlignment="0" applyProtection="0"/>
    <xf numFmtId="0" fontId="34" fillId="0" borderId="404">
      <alignment horizontal="right" vertical="center"/>
    </xf>
    <xf numFmtId="0" fontId="12" fillId="15" borderId="0" applyNumberFormat="0" applyBorder="0" applyAlignment="0" applyProtection="0"/>
    <xf numFmtId="0" fontId="46" fillId="55" borderId="412" applyNumberFormat="0" applyAlignment="0" applyProtection="0"/>
    <xf numFmtId="49" fontId="34" fillId="0" borderId="404" applyNumberFormat="0" applyFont="0" applyFill="0" applyBorder="0" applyProtection="0">
      <alignment horizontal="left" vertical="center" indent="2"/>
    </xf>
    <xf numFmtId="0" fontId="32" fillId="31" borderId="404">
      <alignment horizontal="right" vertical="center"/>
    </xf>
    <xf numFmtId="0" fontId="2" fillId="0" borderId="12" applyNumberFormat="0" applyFill="0" applyAlignment="0" applyProtection="0"/>
    <xf numFmtId="0" fontId="34" fillId="31" borderId="405">
      <alignment horizontal="left" vertical="center"/>
    </xf>
    <xf numFmtId="0" fontId="26" fillId="19" borderId="0" applyNumberFormat="0" applyBorder="0" applyAlignment="0" applyProtection="0"/>
    <xf numFmtId="0" fontId="30" fillId="0" borderId="0" applyNumberFormat="0" applyFill="0" applyBorder="0" applyAlignment="0" applyProtection="0"/>
    <xf numFmtId="0" fontId="26" fillId="29" borderId="0" applyNumberFormat="0" applyBorder="0" applyAlignment="0" applyProtection="0"/>
    <xf numFmtId="4" fontId="36" fillId="31" borderId="404">
      <alignment horizontal="right" vertical="center"/>
    </xf>
    <xf numFmtId="0" fontId="32" fillId="33" borderId="405">
      <alignment horizontal="right" vertical="center"/>
    </xf>
    <xf numFmtId="0" fontId="34" fillId="31" borderId="405">
      <alignment horizontal="left" vertical="center"/>
    </xf>
    <xf numFmtId="0" fontId="49" fillId="42" borderId="409" applyNumberFormat="0" applyAlignment="0" applyProtection="0"/>
    <xf numFmtId="0" fontId="49" fillId="42" borderId="409" applyNumberFormat="0" applyAlignment="0" applyProtection="0"/>
    <xf numFmtId="4" fontId="32" fillId="31" borderId="404">
      <alignment horizontal="right" vertical="center"/>
    </xf>
    <xf numFmtId="0" fontId="34" fillId="0" borderId="407">
      <alignment horizontal="left" vertical="center" wrapText="1" indent="2"/>
    </xf>
    <xf numFmtId="0" fontId="65" fillId="0" borderId="410" applyNumberFormat="0" applyFill="0" applyAlignment="0" applyProtection="0"/>
    <xf numFmtId="4" fontId="32" fillId="33" borderId="405">
      <alignment horizontal="right" vertical="center"/>
    </xf>
    <xf numFmtId="0" fontId="34" fillId="0" borderId="404" applyNumberFormat="0" applyFill="0" applyAlignment="0" applyProtection="0"/>
    <xf numFmtId="4" fontId="34" fillId="0" borderId="404">
      <alignment horizontal="right" vertical="center"/>
    </xf>
    <xf numFmtId="0" fontId="26" fillId="16" borderId="0" applyNumberFormat="0" applyBorder="0" applyAlignment="0" applyProtection="0"/>
    <xf numFmtId="0" fontId="46" fillId="55" borderId="409" applyNumberFormat="0" applyAlignment="0" applyProtection="0"/>
    <xf numFmtId="0" fontId="65" fillId="0" borderId="410" applyNumberFormat="0" applyFill="0" applyAlignment="0" applyProtection="0"/>
    <xf numFmtId="0" fontId="26" fillId="23" borderId="0" applyNumberFormat="0" applyBorder="0" applyAlignment="0" applyProtection="0"/>
    <xf numFmtId="0" fontId="34" fillId="31" borderId="405">
      <alignment horizontal="left" vertical="center"/>
    </xf>
    <xf numFmtId="0" fontId="62" fillId="55" borderId="408" applyNumberFormat="0" applyAlignment="0" applyProtection="0"/>
    <xf numFmtId="0" fontId="32" fillId="33" borderId="406">
      <alignment horizontal="right" vertical="center"/>
    </xf>
    <xf numFmtId="0" fontId="34" fillId="0" borderId="415" applyNumberFormat="0" applyFill="0" applyAlignment="0" applyProtection="0"/>
    <xf numFmtId="0" fontId="62" fillId="55" borderId="408" applyNumberFormat="0" applyAlignment="0" applyProtection="0"/>
    <xf numFmtId="0" fontId="32" fillId="33" borderId="404">
      <alignment horizontal="right" vertical="center"/>
    </xf>
    <xf numFmtId="0" fontId="26" fillId="29" borderId="0" applyNumberFormat="0" applyBorder="0" applyAlignment="0" applyProtection="0"/>
    <xf numFmtId="173" fontId="34" fillId="59" borderId="404" applyNumberFormat="0" applyFont="0" applyBorder="0" applyAlignment="0" applyProtection="0">
      <alignment horizontal="right" vertical="center"/>
    </xf>
    <xf numFmtId="0" fontId="43" fillId="55" borderId="408" applyNumberFormat="0" applyAlignment="0" applyProtection="0"/>
    <xf numFmtId="0" fontId="58" fillId="42" borderId="409" applyNumberFormat="0" applyAlignment="0" applyProtection="0"/>
    <xf numFmtId="173" fontId="34" fillId="59" borderId="404" applyNumberFormat="0" applyFont="0" applyBorder="0" applyAlignment="0" applyProtection="0">
      <alignment horizontal="right" vertical="center"/>
    </xf>
    <xf numFmtId="0" fontId="32" fillId="33" borderId="416">
      <alignment horizontal="right" vertical="center"/>
    </xf>
    <xf numFmtId="0" fontId="43" fillId="55" borderId="411" applyNumberFormat="0" applyAlignment="0" applyProtection="0"/>
    <xf numFmtId="0" fontId="26" fillId="16" borderId="0" applyNumberFormat="0" applyBorder="0" applyAlignment="0" applyProtection="0"/>
    <xf numFmtId="0" fontId="34" fillId="32" borderId="404"/>
    <xf numFmtId="0" fontId="26" fillId="19" borderId="0" applyNumberFormat="0" applyBorder="0" applyAlignment="0" applyProtection="0"/>
    <xf numFmtId="0" fontId="28" fillId="12" borderId="11" applyNumberFormat="0" applyAlignment="0" applyProtection="0"/>
    <xf numFmtId="49" fontId="33" fillId="0" borderId="404" applyNumberFormat="0" applyFill="0" applyBorder="0" applyProtection="0">
      <alignment horizontal="left" vertical="center"/>
    </xf>
    <xf numFmtId="0" fontId="26" fillId="23" borderId="0" applyNumberFormat="0" applyBorder="0" applyAlignment="0" applyProtection="0"/>
    <xf numFmtId="0" fontId="34" fillId="0" borderId="404">
      <alignment horizontal="right" vertical="center"/>
    </xf>
    <xf numFmtId="4" fontId="34" fillId="32" borderId="404"/>
    <xf numFmtId="4" fontId="34" fillId="32" borderId="404"/>
    <xf numFmtId="0" fontId="40" fillId="58" borderId="403" applyNumberFormat="0" applyFont="0" applyAlignment="0" applyProtection="0"/>
    <xf numFmtId="4" fontId="34" fillId="0" borderId="415">
      <alignment horizontal="right" vertical="center"/>
    </xf>
    <xf numFmtId="0" fontId="40" fillId="58" borderId="403" applyNumberFormat="0" applyFont="0" applyAlignment="0" applyProtection="0"/>
    <xf numFmtId="0" fontId="29" fillId="12" borderId="10" applyNumberFormat="0" applyAlignment="0" applyProtection="0"/>
    <xf numFmtId="0" fontId="26" fillId="22" borderId="0" applyNumberFormat="0" applyBorder="0" applyAlignment="0" applyProtection="0"/>
    <xf numFmtId="0" fontId="58" fillId="42" borderId="409" applyNumberFormat="0" applyAlignment="0" applyProtection="0"/>
    <xf numFmtId="4" fontId="34" fillId="0" borderId="404" applyFill="0" applyBorder="0" applyProtection="0">
      <alignment horizontal="right" vertical="center"/>
    </xf>
    <xf numFmtId="0" fontId="34" fillId="32" borderId="415"/>
    <xf numFmtId="0" fontId="26" fillId="13" borderId="0" applyNumberFormat="0" applyBorder="0" applyAlignment="0" applyProtection="0"/>
    <xf numFmtId="4" fontId="32" fillId="33" borderId="415">
      <alignment horizontal="right" vertical="center"/>
    </xf>
    <xf numFmtId="0" fontId="49" fillId="42" borderId="409" applyNumberFormat="0" applyAlignment="0" applyProtection="0"/>
    <xf numFmtId="4" fontId="34" fillId="0" borderId="404" applyFill="0" applyBorder="0" applyProtection="0">
      <alignment horizontal="right" vertical="center"/>
    </xf>
    <xf numFmtId="49" fontId="33" fillId="0" borderId="404" applyNumberFormat="0" applyFill="0" applyBorder="0" applyProtection="0">
      <alignment horizontal="left" vertical="center"/>
    </xf>
    <xf numFmtId="0" fontId="26" fillId="25" borderId="0" applyNumberFormat="0" applyBorder="0" applyAlignment="0" applyProtection="0"/>
    <xf numFmtId="0" fontId="28" fillId="12" borderId="11" applyNumberFormat="0" applyAlignment="0" applyProtection="0"/>
    <xf numFmtId="0" fontId="34" fillId="33" borderId="407">
      <alignment horizontal="left" vertical="center" wrapText="1" indent="2"/>
    </xf>
    <xf numFmtId="4" fontId="34" fillId="0" borderId="404">
      <alignment horizontal="right" vertical="center"/>
    </xf>
    <xf numFmtId="0" fontId="34" fillId="0" borderId="407">
      <alignment horizontal="left" vertical="center" wrapText="1" indent="2"/>
    </xf>
    <xf numFmtId="0" fontId="34" fillId="0" borderId="415">
      <alignment horizontal="right" vertical="center"/>
    </xf>
    <xf numFmtId="0" fontId="26" fillId="29" borderId="0" applyNumberFormat="0" applyBorder="0" applyAlignment="0" applyProtection="0"/>
    <xf numFmtId="0" fontId="65" fillId="0" borderId="410" applyNumberFormat="0" applyFill="0" applyAlignment="0" applyProtection="0"/>
    <xf numFmtId="4" fontId="32" fillId="31" borderId="404">
      <alignment horizontal="right" vertical="center"/>
    </xf>
    <xf numFmtId="49" fontId="33" fillId="0" borderId="404" applyNumberFormat="0" applyFill="0" applyBorder="0" applyProtection="0">
      <alignment horizontal="left" vertical="center"/>
    </xf>
    <xf numFmtId="0" fontId="65" fillId="0" borderId="410" applyNumberFormat="0" applyFill="0" applyAlignment="0" applyProtection="0"/>
    <xf numFmtId="0" fontId="65" fillId="0" borderId="410" applyNumberFormat="0" applyFill="0" applyAlignment="0" applyProtection="0"/>
    <xf numFmtId="0" fontId="26" fillId="26" borderId="0" applyNumberFormat="0" applyBorder="0" applyAlignment="0" applyProtection="0"/>
    <xf numFmtId="49" fontId="34" fillId="0" borderId="405" applyNumberFormat="0" applyFont="0" applyFill="0" applyBorder="0" applyProtection="0">
      <alignment horizontal="left" vertical="center" indent="5"/>
    </xf>
    <xf numFmtId="0" fontId="46" fillId="55" borderId="409" applyNumberFormat="0" applyAlignment="0" applyProtection="0"/>
    <xf numFmtId="0" fontId="34" fillId="0" borderId="404">
      <alignment horizontal="right" vertical="center"/>
    </xf>
    <xf numFmtId="4" fontId="32" fillId="31" borderId="404">
      <alignment horizontal="right" vertical="center"/>
    </xf>
    <xf numFmtId="0" fontId="65" fillId="0" borderId="410" applyNumberFormat="0" applyFill="0" applyAlignment="0" applyProtection="0"/>
    <xf numFmtId="0" fontId="12" fillId="30" borderId="0" applyNumberFormat="0" applyBorder="0" applyAlignment="0" applyProtection="0"/>
    <xf numFmtId="0" fontId="5" fillId="58" borderId="403" applyNumberFormat="0" applyFont="0" applyAlignment="0" applyProtection="0"/>
    <xf numFmtId="49" fontId="33" fillId="0" borderId="404" applyNumberFormat="0" applyFill="0" applyBorder="0" applyProtection="0">
      <alignment horizontal="left" vertical="center"/>
    </xf>
    <xf numFmtId="0" fontId="34" fillId="0" borderId="404">
      <alignment horizontal="right" vertical="center"/>
    </xf>
    <xf numFmtId="4" fontId="32" fillId="33" borderId="404">
      <alignment horizontal="right" vertical="center"/>
    </xf>
    <xf numFmtId="49" fontId="34" fillId="0" borderId="404" applyNumberFormat="0" applyFont="0" applyFill="0" applyBorder="0" applyProtection="0">
      <alignment horizontal="left" vertical="center" indent="2"/>
    </xf>
    <xf numFmtId="0" fontId="34" fillId="0" borderId="407">
      <alignment horizontal="left" vertical="center" wrapText="1" indent="2"/>
    </xf>
    <xf numFmtId="0" fontId="34" fillId="0" borderId="404" applyNumberFormat="0" applyFill="0" applyAlignment="0" applyProtection="0"/>
    <xf numFmtId="0" fontId="26" fillId="20" borderId="0" applyNumberFormat="0" applyBorder="0" applyAlignment="0" applyProtection="0"/>
    <xf numFmtId="4" fontId="32" fillId="31" borderId="404">
      <alignment horizontal="right" vertical="center"/>
    </xf>
    <xf numFmtId="0" fontId="26" fillId="23" borderId="0" applyNumberFormat="0" applyBorder="0" applyAlignment="0" applyProtection="0"/>
    <xf numFmtId="0" fontId="46" fillId="55" borderId="409" applyNumberFormat="0" applyAlignment="0" applyProtection="0"/>
    <xf numFmtId="0" fontId="45" fillId="55" borderId="409" applyNumberFormat="0" applyAlignment="0" applyProtection="0"/>
    <xf numFmtId="173" fontId="34" fillId="59" borderId="404" applyNumberFormat="0" applyFont="0" applyBorder="0" applyAlignment="0" applyProtection="0">
      <alignment horizontal="right" vertical="center"/>
    </xf>
    <xf numFmtId="0" fontId="32" fillId="31" borderId="404">
      <alignment horizontal="right" vertical="center"/>
    </xf>
    <xf numFmtId="0" fontId="26" fillId="25" borderId="0" applyNumberFormat="0" applyBorder="0" applyAlignment="0" applyProtection="0"/>
    <xf numFmtId="0" fontId="50" fillId="0" borderId="410" applyNumberFormat="0" applyFill="0" applyAlignment="0" applyProtection="0"/>
    <xf numFmtId="0" fontId="40" fillId="58" borderId="403" applyNumberFormat="0" applyFont="0" applyAlignment="0" applyProtection="0"/>
    <xf numFmtId="0" fontId="34" fillId="32" borderId="404"/>
    <xf numFmtId="0" fontId="26" fillId="25" borderId="0" applyNumberFormat="0" applyBorder="0" applyAlignment="0" applyProtection="0"/>
    <xf numFmtId="4" fontId="34" fillId="0" borderId="404" applyFill="0" applyBorder="0" applyProtection="0">
      <alignment horizontal="right" vertical="center"/>
    </xf>
    <xf numFmtId="0" fontId="62" fillId="55" borderId="408" applyNumberFormat="0" applyAlignment="0" applyProtection="0"/>
    <xf numFmtId="0" fontId="43" fillId="55" borderId="408" applyNumberFormat="0" applyAlignment="0" applyProtection="0"/>
    <xf numFmtId="0" fontId="58" fillId="42" borderId="409" applyNumberFormat="0" applyAlignment="0" applyProtection="0"/>
    <xf numFmtId="4" fontId="34" fillId="0" borderId="404">
      <alignment horizontal="right" vertical="center"/>
    </xf>
    <xf numFmtId="0" fontId="30" fillId="0" borderId="0" applyNumberFormat="0" applyFill="0" applyBorder="0" applyAlignment="0" applyProtection="0"/>
    <xf numFmtId="0" fontId="34" fillId="0" borderId="418">
      <alignment horizontal="left" vertical="center" wrapText="1" indent="2"/>
    </xf>
    <xf numFmtId="0" fontId="26" fillId="17" borderId="0" applyNumberFormat="0" applyBorder="0" applyAlignment="0" applyProtection="0"/>
    <xf numFmtId="0" fontId="36" fillId="31" borderId="404">
      <alignment horizontal="right" vertical="center"/>
    </xf>
    <xf numFmtId="4" fontId="36" fillId="31" borderId="415">
      <alignment horizontal="right" vertical="center"/>
    </xf>
    <xf numFmtId="0" fontId="65" fillId="0" borderId="410" applyNumberFormat="0" applyFill="0" applyAlignment="0" applyProtection="0"/>
    <xf numFmtId="0" fontId="32" fillId="31" borderId="404">
      <alignment horizontal="right" vertical="center"/>
    </xf>
    <xf numFmtId="49" fontId="34" fillId="0" borderId="404" applyNumberFormat="0" applyFont="0" applyFill="0" applyBorder="0" applyProtection="0">
      <alignment horizontal="left" vertical="center" indent="2"/>
    </xf>
    <xf numFmtId="0" fontId="34" fillId="32" borderId="404"/>
    <xf numFmtId="4" fontId="32" fillId="33" borderId="417">
      <alignment horizontal="right" vertical="center"/>
    </xf>
    <xf numFmtId="173" fontId="34" fillId="59" borderId="404" applyNumberFormat="0" applyFont="0" applyBorder="0" applyAlignment="0" applyProtection="0">
      <alignment horizontal="right" vertical="center"/>
    </xf>
    <xf numFmtId="0" fontId="26" fillId="14" borderId="0" applyNumberFormat="0" applyBorder="0" applyAlignment="0" applyProtection="0"/>
    <xf numFmtId="0" fontId="12" fillId="24" borderId="0" applyNumberFormat="0" applyBorder="0" applyAlignment="0" applyProtection="0"/>
    <xf numFmtId="0" fontId="62" fillId="55" borderId="408" applyNumberFormat="0" applyAlignment="0" applyProtection="0"/>
    <xf numFmtId="4" fontId="32" fillId="33" borderId="406">
      <alignment horizontal="right" vertical="center"/>
    </xf>
    <xf numFmtId="0" fontId="12" fillId="24" borderId="0" applyNumberFormat="0" applyBorder="0" applyAlignment="0" applyProtection="0"/>
    <xf numFmtId="0" fontId="32" fillId="31" borderId="404">
      <alignment horizontal="right" vertical="center"/>
    </xf>
    <xf numFmtId="0" fontId="58" fillId="42" borderId="412" applyNumberFormat="0" applyAlignment="0" applyProtection="0"/>
    <xf numFmtId="0" fontId="58" fillId="42" borderId="409" applyNumberFormat="0" applyAlignment="0" applyProtection="0"/>
    <xf numFmtId="0" fontId="65" fillId="0" borderId="413" applyNumberFormat="0" applyFill="0" applyAlignment="0" applyProtection="0"/>
    <xf numFmtId="4" fontId="32" fillId="33" borderId="404">
      <alignment horizontal="right" vertical="center"/>
    </xf>
    <xf numFmtId="0" fontId="26" fillId="28" borderId="0" applyNumberFormat="0" applyBorder="0" applyAlignment="0" applyProtection="0"/>
    <xf numFmtId="0" fontId="34" fillId="0" borderId="404">
      <alignment horizontal="right" vertical="center"/>
    </xf>
    <xf numFmtId="0" fontId="32" fillId="31" borderId="404">
      <alignment horizontal="right" vertical="center"/>
    </xf>
    <xf numFmtId="0" fontId="34" fillId="33" borderId="407">
      <alignment horizontal="left" vertical="center" wrapText="1" indent="2"/>
    </xf>
    <xf numFmtId="0" fontId="32" fillId="33" borderId="405">
      <alignment horizontal="right" vertical="center"/>
    </xf>
    <xf numFmtId="0" fontId="26" fillId="28" borderId="0" applyNumberFormat="0" applyBorder="0" applyAlignment="0" applyProtection="0"/>
    <xf numFmtId="0" fontId="2" fillId="0" borderId="12" applyNumberFormat="0" applyFill="0" applyAlignment="0" applyProtection="0"/>
    <xf numFmtId="0" fontId="26" fillId="19" borderId="0" applyNumberFormat="0" applyBorder="0" applyAlignment="0" applyProtection="0"/>
    <xf numFmtId="0" fontId="32" fillId="33" borderId="415">
      <alignment horizontal="right" vertical="center"/>
    </xf>
    <xf numFmtId="0" fontId="28" fillId="12" borderId="11" applyNumberFormat="0" applyAlignment="0" applyProtection="0"/>
    <xf numFmtId="4" fontId="34" fillId="0" borderId="404" applyFill="0" applyBorder="0" applyProtection="0">
      <alignment horizontal="right" vertical="center"/>
    </xf>
    <xf numFmtId="0" fontId="40" fillId="58" borderId="403" applyNumberFormat="0" applyFont="0" applyAlignment="0" applyProtection="0"/>
    <xf numFmtId="0" fontId="32" fillId="31" borderId="404">
      <alignment horizontal="right" vertical="center"/>
    </xf>
    <xf numFmtId="0" fontId="50" fillId="0" borderId="410" applyNumberFormat="0" applyFill="0" applyAlignment="0" applyProtection="0"/>
    <xf numFmtId="0" fontId="34" fillId="0" borderId="404" applyNumberFormat="0" applyFill="0" applyAlignment="0" applyProtection="0"/>
    <xf numFmtId="0" fontId="50" fillId="0" borderId="410" applyNumberFormat="0" applyFill="0" applyAlignment="0" applyProtection="0"/>
    <xf numFmtId="4" fontId="34" fillId="0" borderId="404" applyFill="0" applyBorder="0" applyProtection="0">
      <alignment horizontal="right" vertical="center"/>
    </xf>
    <xf numFmtId="49" fontId="34" fillId="0" borderId="405" applyNumberFormat="0" applyFont="0" applyFill="0" applyBorder="0" applyProtection="0">
      <alignment horizontal="left" vertical="center" indent="5"/>
    </xf>
    <xf numFmtId="0" fontId="34" fillId="0" borderId="404" applyNumberFormat="0" applyFill="0" applyAlignment="0" applyProtection="0"/>
    <xf numFmtId="0" fontId="34" fillId="0" borderId="404" applyNumberFormat="0" applyFill="0" applyAlignment="0" applyProtection="0"/>
    <xf numFmtId="4" fontId="32" fillId="33" borderId="404">
      <alignment horizontal="right" vertical="center"/>
    </xf>
    <xf numFmtId="0" fontId="12" fillId="21" borderId="0" applyNumberFormat="0" applyBorder="0" applyAlignment="0" applyProtection="0"/>
    <xf numFmtId="0" fontId="49" fillId="42" borderId="409" applyNumberFormat="0" applyAlignment="0" applyProtection="0"/>
    <xf numFmtId="0" fontId="46" fillId="55" borderId="409" applyNumberFormat="0" applyAlignment="0" applyProtection="0"/>
    <xf numFmtId="4" fontId="34" fillId="0" borderId="404">
      <alignment horizontal="right" vertical="center"/>
    </xf>
    <xf numFmtId="0" fontId="34" fillId="33" borderId="407">
      <alignment horizontal="left" vertical="center" wrapText="1" indent="2"/>
    </xf>
    <xf numFmtId="0" fontId="34" fillId="0" borderId="407">
      <alignment horizontal="left" vertical="center" wrapText="1" indent="2"/>
    </xf>
    <xf numFmtId="0" fontId="62" fillId="55" borderId="408" applyNumberFormat="0" applyAlignment="0" applyProtection="0"/>
    <xf numFmtId="0" fontId="58" fillId="42" borderId="409" applyNumberFormat="0" applyAlignment="0" applyProtection="0"/>
    <xf numFmtId="0" fontId="45" fillId="55" borderId="409" applyNumberFormat="0" applyAlignment="0" applyProtection="0"/>
    <xf numFmtId="0" fontId="43" fillId="55" borderId="408" applyNumberFormat="0" applyAlignment="0" applyProtection="0"/>
    <xf numFmtId="0" fontId="32" fillId="33" borderId="406">
      <alignment horizontal="right" vertical="center"/>
    </xf>
    <xf numFmtId="0" fontId="36" fillId="31" borderId="404">
      <alignment horizontal="right" vertical="center"/>
    </xf>
    <xf numFmtId="4" fontId="32" fillId="31" borderId="404">
      <alignment horizontal="right" vertical="center"/>
    </xf>
    <xf numFmtId="4" fontId="32" fillId="33" borderId="404">
      <alignment horizontal="right" vertical="center"/>
    </xf>
    <xf numFmtId="49" fontId="34" fillId="0" borderId="405" applyNumberFormat="0" applyFont="0" applyFill="0" applyBorder="0" applyProtection="0">
      <alignment horizontal="left" vertical="center" indent="5"/>
    </xf>
    <xf numFmtId="4" fontId="34" fillId="0" borderId="404" applyFill="0" applyBorder="0" applyProtection="0">
      <alignment horizontal="right" vertical="center"/>
    </xf>
    <xf numFmtId="4" fontId="32" fillId="31" borderId="404">
      <alignment horizontal="right" vertical="center"/>
    </xf>
    <xf numFmtId="0" fontId="58" fillId="42" borderId="409" applyNumberFormat="0" applyAlignment="0" applyProtection="0"/>
    <xf numFmtId="0" fontId="49" fillId="42" borderId="409" applyNumberFormat="0" applyAlignment="0" applyProtection="0"/>
    <xf numFmtId="0" fontId="45" fillId="55" borderId="409" applyNumberFormat="0" applyAlignment="0" applyProtection="0"/>
    <xf numFmtId="0" fontId="34" fillId="33" borderId="407">
      <alignment horizontal="left" vertical="center" wrapText="1" indent="2"/>
    </xf>
    <xf numFmtId="0" fontId="34" fillId="0" borderId="407">
      <alignment horizontal="left" vertical="center" wrapText="1" indent="2"/>
    </xf>
    <xf numFmtId="0" fontId="34" fillId="33" borderId="407">
      <alignment horizontal="left" vertical="center" wrapText="1" indent="2"/>
    </xf>
    <xf numFmtId="0" fontId="32" fillId="33" borderId="417">
      <alignment horizontal="right" vertical="center"/>
    </xf>
    <xf numFmtId="0" fontId="12" fillId="18" borderId="0" applyNumberFormat="0" applyBorder="0" applyAlignment="0" applyProtection="0"/>
    <xf numFmtId="0" fontId="12" fillId="30" borderId="0" applyNumberFormat="0" applyBorder="0" applyAlignment="0" applyProtection="0"/>
    <xf numFmtId="0" fontId="12" fillId="24"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12" fillId="21" borderId="0" applyNumberFormat="0" applyBorder="0" applyAlignment="0" applyProtection="0"/>
    <xf numFmtId="0" fontId="26" fillId="19" borderId="0" applyNumberFormat="0" applyBorder="0" applyAlignment="0" applyProtection="0"/>
    <xf numFmtId="0" fontId="26" fillId="13" borderId="0" applyNumberFormat="0" applyBorder="0" applyAlignment="0" applyProtection="0"/>
    <xf numFmtId="4" fontId="32" fillId="33" borderId="415">
      <alignment horizontal="right" vertical="center"/>
    </xf>
    <xf numFmtId="0" fontId="34" fillId="32" borderId="415"/>
    <xf numFmtId="0" fontId="45" fillId="55" borderId="412" applyNumberFormat="0" applyAlignment="0" applyProtection="0"/>
    <xf numFmtId="0" fontId="32" fillId="31" borderId="415">
      <alignment horizontal="right" vertical="center"/>
    </xf>
    <xf numFmtId="0" fontId="34" fillId="0" borderId="415">
      <alignment horizontal="right" vertical="center"/>
    </xf>
    <xf numFmtId="0" fontId="65" fillId="0" borderId="413" applyNumberFormat="0" applyFill="0" applyAlignment="0" applyProtection="0"/>
    <xf numFmtId="0" fontId="34" fillId="31" borderId="416">
      <alignment horizontal="left" vertical="center"/>
    </xf>
    <xf numFmtId="0" fontId="58" fillId="42" borderId="412" applyNumberFormat="0" applyAlignment="0" applyProtection="0"/>
    <xf numFmtId="173" fontId="34" fillId="59" borderId="415" applyNumberFormat="0" applyFont="0" applyBorder="0" applyAlignment="0" applyProtection="0">
      <alignment horizontal="right" vertical="center"/>
    </xf>
    <xf numFmtId="0" fontId="40" fillId="58" borderId="414" applyNumberFormat="0" applyFont="0" applyAlignment="0" applyProtection="0"/>
    <xf numFmtId="0" fontId="34" fillId="0" borderId="418">
      <alignment horizontal="left" vertical="center" wrapText="1" indent="2"/>
    </xf>
    <xf numFmtId="4" fontId="34" fillId="32" borderId="415"/>
    <xf numFmtId="49" fontId="33" fillId="0" borderId="415" applyNumberFormat="0" applyFill="0" applyBorder="0" applyProtection="0">
      <alignment horizontal="left" vertical="center"/>
    </xf>
    <xf numFmtId="0" fontId="34" fillId="0" borderId="415">
      <alignment horizontal="right" vertical="center"/>
    </xf>
    <xf numFmtId="4" fontId="32" fillId="33" borderId="417">
      <alignment horizontal="right" vertical="center"/>
    </xf>
    <xf numFmtId="4" fontId="32" fillId="33" borderId="415">
      <alignment horizontal="right" vertical="center"/>
    </xf>
    <xf numFmtId="4" fontId="32" fillId="33" borderId="415">
      <alignment horizontal="right" vertical="center"/>
    </xf>
    <xf numFmtId="0" fontId="36" fillId="31" borderId="415">
      <alignment horizontal="right" vertical="center"/>
    </xf>
    <xf numFmtId="0" fontId="32" fillId="31" borderId="415">
      <alignment horizontal="right" vertical="center"/>
    </xf>
    <xf numFmtId="49" fontId="34" fillId="0" borderId="415" applyNumberFormat="0" applyFont="0" applyFill="0" applyBorder="0" applyProtection="0">
      <alignment horizontal="left" vertical="center" indent="2"/>
    </xf>
    <xf numFmtId="0" fontId="58" fillId="42" borderId="412" applyNumberFormat="0" applyAlignment="0" applyProtection="0"/>
    <xf numFmtId="0" fontId="43" fillId="55" borderId="411" applyNumberFormat="0" applyAlignment="0" applyProtection="0"/>
    <xf numFmtId="49" fontId="34" fillId="0" borderId="415" applyNumberFormat="0" applyFont="0" applyFill="0" applyBorder="0" applyProtection="0">
      <alignment horizontal="left" vertical="center" indent="2"/>
    </xf>
    <xf numFmtId="0" fontId="49" fillId="42" borderId="412" applyNumberFormat="0" applyAlignment="0" applyProtection="0"/>
    <xf numFmtId="4" fontId="34" fillId="0" borderId="415" applyFill="0" applyBorder="0" applyProtection="0">
      <alignment horizontal="right" vertical="center"/>
    </xf>
    <xf numFmtId="0" fontId="46" fillId="55" borderId="412" applyNumberFormat="0" applyAlignment="0" applyProtection="0"/>
    <xf numFmtId="0" fontId="65" fillId="0" borderId="413" applyNumberFormat="0" applyFill="0" applyAlignment="0" applyProtection="0"/>
    <xf numFmtId="0" fontId="62" fillId="55" borderId="411" applyNumberFormat="0" applyAlignment="0" applyProtection="0"/>
    <xf numFmtId="0" fontId="34" fillId="0" borderId="415" applyNumberFormat="0" applyFill="0" applyAlignment="0" applyProtection="0"/>
    <xf numFmtId="4" fontId="34" fillId="0" borderId="415">
      <alignment horizontal="right" vertical="center"/>
    </xf>
    <xf numFmtId="0" fontId="34" fillId="0" borderId="415">
      <alignment horizontal="right" vertical="center"/>
    </xf>
    <xf numFmtId="0" fontId="58" fillId="42" borderId="412" applyNumberFormat="0" applyAlignment="0" applyProtection="0"/>
    <xf numFmtId="0" fontId="43" fillId="55" borderId="411" applyNumberFormat="0" applyAlignment="0" applyProtection="0"/>
    <xf numFmtId="0" fontId="45" fillId="55" borderId="412" applyNumberFormat="0" applyAlignment="0" applyProtection="0"/>
    <xf numFmtId="0" fontId="34" fillId="33" borderId="418">
      <alignment horizontal="left" vertical="center" wrapText="1" indent="2"/>
    </xf>
    <xf numFmtId="0" fontId="46" fillId="55" borderId="412" applyNumberFormat="0" applyAlignment="0" applyProtection="0"/>
    <xf numFmtId="0" fontId="46" fillId="55" borderId="412" applyNumberFormat="0" applyAlignment="0" applyProtection="0"/>
    <xf numFmtId="4" fontId="32" fillId="33" borderId="416">
      <alignment horizontal="right" vertical="center"/>
    </xf>
    <xf numFmtId="0" fontId="32" fillId="33" borderId="416">
      <alignment horizontal="right" vertical="center"/>
    </xf>
    <xf numFmtId="0" fontId="32" fillId="33" borderId="415">
      <alignment horizontal="right" vertical="center"/>
    </xf>
    <xf numFmtId="4" fontId="36" fillId="31" borderId="415">
      <alignment horizontal="right" vertical="center"/>
    </xf>
    <xf numFmtId="0" fontId="49" fillId="42" borderId="412" applyNumberFormat="0" applyAlignment="0" applyProtection="0"/>
    <xf numFmtId="0" fontId="50" fillId="0" borderId="413" applyNumberFormat="0" applyFill="0" applyAlignment="0" applyProtection="0"/>
    <xf numFmtId="0" fontId="65" fillId="0" borderId="413" applyNumberFormat="0" applyFill="0" applyAlignment="0" applyProtection="0"/>
    <xf numFmtId="0" fontId="40" fillId="58" borderId="414" applyNumberFormat="0" applyFont="0" applyAlignment="0" applyProtection="0"/>
    <xf numFmtId="0" fontId="58" fillId="42" borderId="412" applyNumberFormat="0" applyAlignment="0" applyProtection="0"/>
    <xf numFmtId="49" fontId="33" fillId="0" borderId="415" applyNumberFormat="0" applyFill="0" applyBorder="0" applyProtection="0">
      <alignment horizontal="left" vertical="center"/>
    </xf>
    <xf numFmtId="0" fontId="34" fillId="33" borderId="418">
      <alignment horizontal="left" vertical="center" wrapText="1" indent="2"/>
    </xf>
    <xf numFmtId="0" fontId="46" fillId="55" borderId="412" applyNumberFormat="0" applyAlignment="0" applyProtection="0"/>
    <xf numFmtId="0" fontId="34" fillId="0" borderId="418">
      <alignment horizontal="left" vertical="center" wrapText="1" indent="2"/>
    </xf>
    <xf numFmtId="0" fontId="40" fillId="58" borderId="414" applyNumberFormat="0" applyFont="0" applyAlignment="0" applyProtection="0"/>
    <xf numFmtId="0" fontId="5" fillId="58" borderId="414" applyNumberFormat="0" applyFont="0" applyAlignment="0" applyProtection="0"/>
    <xf numFmtId="0" fontId="62" fillId="55" borderId="411" applyNumberFormat="0" applyAlignment="0" applyProtection="0"/>
    <xf numFmtId="0" fontId="65" fillId="0" borderId="413" applyNumberFormat="0" applyFill="0" applyAlignment="0" applyProtection="0"/>
    <xf numFmtId="4" fontId="34" fillId="32" borderId="415"/>
    <xf numFmtId="0" fontId="32" fillId="33" borderId="415">
      <alignment horizontal="right" vertical="center"/>
    </xf>
    <xf numFmtId="0" fontId="65" fillId="0" borderId="413" applyNumberFormat="0" applyFill="0" applyAlignment="0" applyProtection="0"/>
    <xf numFmtId="4" fontId="32" fillId="33" borderId="417">
      <alignment horizontal="right" vertical="center"/>
    </xf>
    <xf numFmtId="0" fontId="45" fillId="55" borderId="412" applyNumberFormat="0" applyAlignment="0" applyProtection="0"/>
    <xf numFmtId="0" fontId="32" fillId="33" borderId="416">
      <alignment horizontal="right" vertical="center"/>
    </xf>
    <xf numFmtId="0" fontId="46" fillId="55" borderId="412" applyNumberFormat="0" applyAlignment="0" applyProtection="0"/>
    <xf numFmtId="0" fontId="50" fillId="0" borderId="413" applyNumberFormat="0" applyFill="0" applyAlignment="0" applyProtection="0"/>
    <xf numFmtId="0" fontId="40" fillId="58" borderId="414" applyNumberFormat="0" applyFont="0" applyAlignment="0" applyProtection="0"/>
    <xf numFmtId="4" fontId="32" fillId="33" borderId="416">
      <alignment horizontal="right" vertical="center"/>
    </xf>
    <xf numFmtId="0" fontId="34" fillId="33" borderId="418">
      <alignment horizontal="left" vertical="center" wrapText="1" indent="2"/>
    </xf>
    <xf numFmtId="0" fontId="34" fillId="32" borderId="415"/>
    <xf numFmtId="173" fontId="34" fillId="59" borderId="415" applyNumberFormat="0" applyFont="0" applyBorder="0" applyAlignment="0" applyProtection="0">
      <alignment horizontal="right" vertical="center"/>
    </xf>
    <xf numFmtId="0" fontId="34" fillId="0" borderId="415" applyNumberFormat="0" applyFill="0" applyAlignment="0" applyProtection="0"/>
    <xf numFmtId="4" fontId="34" fillId="0" borderId="415" applyFill="0" applyBorder="0" applyProtection="0">
      <alignment horizontal="right" vertical="center"/>
    </xf>
    <xf numFmtId="4" fontId="32" fillId="31" borderId="415">
      <alignment horizontal="right" vertical="center"/>
    </xf>
    <xf numFmtId="0" fontId="50" fillId="0" borderId="413" applyNumberFormat="0" applyFill="0" applyAlignment="0" applyProtection="0"/>
    <xf numFmtId="49" fontId="33" fillId="0" borderId="415" applyNumberFormat="0" applyFill="0" applyBorder="0" applyProtection="0">
      <alignment horizontal="left" vertical="center"/>
    </xf>
    <xf numFmtId="49" fontId="34" fillId="0" borderId="416" applyNumberFormat="0" applyFont="0" applyFill="0" applyBorder="0" applyProtection="0">
      <alignment horizontal="left" vertical="center" indent="5"/>
    </xf>
    <xf numFmtId="0" fontId="34" fillId="31" borderId="416">
      <alignment horizontal="left" vertical="center"/>
    </xf>
    <xf numFmtId="0" fontId="46" fillId="55" borderId="412" applyNumberFormat="0" applyAlignment="0" applyProtection="0"/>
    <xf numFmtId="4" fontId="32" fillId="33" borderId="417">
      <alignment horizontal="right" vertical="center"/>
    </xf>
    <xf numFmtId="0" fontId="58" fillId="42" borderId="412" applyNumberFormat="0" applyAlignment="0" applyProtection="0"/>
    <xf numFmtId="0" fontId="58" fillId="42" borderId="412" applyNumberFormat="0" applyAlignment="0" applyProtection="0"/>
    <xf numFmtId="0" fontId="40" fillId="58" borderId="414" applyNumberFormat="0" applyFont="0" applyAlignment="0" applyProtection="0"/>
    <xf numFmtId="0" fontId="62" fillId="55" borderId="411" applyNumberFormat="0" applyAlignment="0" applyProtection="0"/>
    <xf numFmtId="0" fontId="65" fillId="0" borderId="413" applyNumberFormat="0" applyFill="0" applyAlignment="0" applyProtection="0"/>
    <xf numFmtId="0" fontId="32" fillId="33" borderId="415">
      <alignment horizontal="right" vertical="center"/>
    </xf>
    <xf numFmtId="0" fontId="5" fillId="58" borderId="414" applyNumberFormat="0" applyFont="0" applyAlignment="0" applyProtection="0"/>
    <xf numFmtId="4" fontId="34" fillId="0" borderId="415">
      <alignment horizontal="right" vertical="center"/>
    </xf>
    <xf numFmtId="0" fontId="65" fillId="0" borderId="413" applyNumberFormat="0" applyFill="0" applyAlignment="0" applyProtection="0"/>
    <xf numFmtId="0" fontId="32" fillId="33" borderId="415">
      <alignment horizontal="right" vertical="center"/>
    </xf>
    <xf numFmtId="0" fontId="32" fillId="33" borderId="415">
      <alignment horizontal="right" vertical="center"/>
    </xf>
    <xf numFmtId="4" fontId="36" fillId="31" borderId="415">
      <alignment horizontal="right" vertical="center"/>
    </xf>
    <xf numFmtId="0" fontId="32" fillId="31" borderId="415">
      <alignment horizontal="right" vertical="center"/>
    </xf>
    <xf numFmtId="4" fontId="32" fillId="31" borderId="415">
      <alignment horizontal="right" vertical="center"/>
    </xf>
    <xf numFmtId="0" fontId="36" fillId="31" borderId="415">
      <alignment horizontal="right" vertical="center"/>
    </xf>
    <xf numFmtId="4" fontId="36" fillId="31" borderId="415">
      <alignment horizontal="right" vertical="center"/>
    </xf>
    <xf numFmtId="0" fontId="32" fillId="33" borderId="415">
      <alignment horizontal="right" vertical="center"/>
    </xf>
    <xf numFmtId="4" fontId="32" fillId="33" borderId="415">
      <alignment horizontal="right" vertical="center"/>
    </xf>
    <xf numFmtId="0" fontId="32" fillId="33" borderId="415">
      <alignment horizontal="right" vertical="center"/>
    </xf>
    <xf numFmtId="4" fontId="32" fillId="33" borderId="415">
      <alignment horizontal="right" vertical="center"/>
    </xf>
    <xf numFmtId="0" fontId="32" fillId="33" borderId="416">
      <alignment horizontal="right" vertical="center"/>
    </xf>
    <xf numFmtId="4" fontId="32" fillId="33" borderId="416">
      <alignment horizontal="right" vertical="center"/>
    </xf>
    <xf numFmtId="0" fontId="32" fillId="33" borderId="417">
      <alignment horizontal="right" vertical="center"/>
    </xf>
    <xf numFmtId="4" fontId="32" fillId="33" borderId="417">
      <alignment horizontal="right" vertical="center"/>
    </xf>
    <xf numFmtId="0" fontId="46" fillId="55" borderId="412" applyNumberFormat="0" applyAlignment="0" applyProtection="0"/>
    <xf numFmtId="0" fontId="34" fillId="33" borderId="418">
      <alignment horizontal="left" vertical="center" wrapText="1" indent="2"/>
    </xf>
    <xf numFmtId="0" fontId="34" fillId="0" borderId="418">
      <alignment horizontal="left" vertical="center" wrapText="1" indent="2"/>
    </xf>
    <xf numFmtId="0" fontId="34" fillId="31" borderId="416">
      <alignment horizontal="left" vertical="center"/>
    </xf>
    <xf numFmtId="0" fontId="58" fillId="42" borderId="412" applyNumberFormat="0" applyAlignment="0" applyProtection="0"/>
    <xf numFmtId="0" fontId="34" fillId="0" borderId="415">
      <alignment horizontal="right" vertical="center"/>
    </xf>
    <xf numFmtId="4" fontId="34" fillId="0" borderId="415">
      <alignment horizontal="right" vertical="center"/>
    </xf>
    <xf numFmtId="0" fontId="34" fillId="0" borderId="415" applyNumberFormat="0" applyFill="0" applyAlignment="0" applyProtection="0"/>
    <xf numFmtId="0" fontId="62" fillId="55" borderId="411" applyNumberFormat="0" applyAlignment="0" applyProtection="0"/>
    <xf numFmtId="173" fontId="34" fillId="59" borderId="415" applyNumberFormat="0" applyFont="0" applyBorder="0" applyAlignment="0" applyProtection="0">
      <alignment horizontal="right" vertical="center"/>
    </xf>
    <xf numFmtId="0" fontId="34" fillId="32" borderId="415"/>
    <xf numFmtId="4" fontId="34" fillId="32" borderId="415"/>
    <xf numFmtId="0" fontId="65" fillId="0" borderId="413" applyNumberFormat="0" applyFill="0" applyAlignment="0" applyProtection="0"/>
    <xf numFmtId="0" fontId="5" fillId="58" borderId="414" applyNumberFormat="0" applyFont="0" applyAlignment="0" applyProtection="0"/>
    <xf numFmtId="0" fontId="40" fillId="58" borderId="414" applyNumberFormat="0" applyFont="0" applyAlignment="0" applyProtection="0"/>
    <xf numFmtId="0" fontId="34" fillId="0" borderId="415" applyNumberFormat="0" applyFill="0" applyAlignment="0" applyProtection="0"/>
    <xf numFmtId="0" fontId="50" fillId="0" borderId="413" applyNumberFormat="0" applyFill="0" applyAlignment="0" applyProtection="0"/>
    <xf numFmtId="0" fontId="65" fillId="0" borderId="413" applyNumberFormat="0" applyFill="0" applyAlignment="0" applyProtection="0"/>
    <xf numFmtId="0" fontId="49" fillId="42" borderId="412" applyNumberFormat="0" applyAlignment="0" applyProtection="0"/>
    <xf numFmtId="0" fontId="46" fillId="55" borderId="412" applyNumberFormat="0" applyAlignment="0" applyProtection="0"/>
    <xf numFmtId="4" fontId="36" fillId="31" borderId="415">
      <alignment horizontal="right" vertical="center"/>
    </xf>
    <xf numFmtId="0" fontId="32" fillId="31" borderId="415">
      <alignment horizontal="right" vertical="center"/>
    </xf>
    <xf numFmtId="173" fontId="34" fillId="59" borderId="415" applyNumberFormat="0" applyFont="0" applyBorder="0" applyAlignment="0" applyProtection="0">
      <alignment horizontal="right" vertical="center"/>
    </xf>
    <xf numFmtId="0" fontId="50" fillId="0" borderId="413" applyNumberFormat="0" applyFill="0" applyAlignment="0" applyProtection="0"/>
    <xf numFmtId="49" fontId="34" fillId="0" borderId="415" applyNumberFormat="0" applyFont="0" applyFill="0" applyBorder="0" applyProtection="0">
      <alignment horizontal="left" vertical="center" indent="2"/>
    </xf>
    <xf numFmtId="49" fontId="34" fillId="0" borderId="416" applyNumberFormat="0" applyFont="0" applyFill="0" applyBorder="0" applyProtection="0">
      <alignment horizontal="left" vertical="center" indent="5"/>
    </xf>
    <xf numFmtId="49" fontId="34" fillId="0" borderId="415" applyNumberFormat="0" applyFont="0" applyFill="0" applyBorder="0" applyProtection="0">
      <alignment horizontal="left" vertical="center" indent="2"/>
    </xf>
    <xf numFmtId="4" fontId="34" fillId="0" borderId="415" applyFill="0" applyBorder="0" applyProtection="0">
      <alignment horizontal="right" vertical="center"/>
    </xf>
    <xf numFmtId="49" fontId="33" fillId="0" borderId="415" applyNumberFormat="0" applyFill="0" applyBorder="0" applyProtection="0">
      <alignment horizontal="left" vertical="center"/>
    </xf>
    <xf numFmtId="0" fontId="34" fillId="0" borderId="418">
      <alignment horizontal="left" vertical="center" wrapText="1" indent="2"/>
    </xf>
    <xf numFmtId="0" fontId="62" fillId="55" borderId="411" applyNumberFormat="0" applyAlignment="0" applyProtection="0"/>
    <xf numFmtId="0" fontId="32" fillId="33" borderId="417">
      <alignment horizontal="right" vertical="center"/>
    </xf>
    <xf numFmtId="0" fontId="49" fillId="42" borderId="412" applyNumberFormat="0" applyAlignment="0" applyProtection="0"/>
    <xf numFmtId="0" fontId="32" fillId="33" borderId="417">
      <alignment horizontal="right" vertical="center"/>
    </xf>
    <xf numFmtId="4" fontId="32" fillId="33" borderId="415">
      <alignment horizontal="right" vertical="center"/>
    </xf>
    <xf numFmtId="0" fontId="32" fillId="33" borderId="415">
      <alignment horizontal="right" vertical="center"/>
    </xf>
    <xf numFmtId="0" fontId="43" fillId="55" borderId="411" applyNumberFormat="0" applyAlignment="0" applyProtection="0"/>
    <xf numFmtId="0" fontId="45" fillId="55" borderId="412" applyNumberFormat="0" applyAlignment="0" applyProtection="0"/>
    <xf numFmtId="0" fontId="50" fillId="0" borderId="413" applyNumberFormat="0" applyFill="0" applyAlignment="0" applyProtection="0"/>
    <xf numFmtId="0" fontId="34" fillId="32" borderId="415"/>
    <xf numFmtId="4" fontId="34" fillId="32" borderId="415"/>
    <xf numFmtId="4" fontId="32" fillId="33" borderId="415">
      <alignment horizontal="right" vertical="center"/>
    </xf>
    <xf numFmtId="0" fontId="36" fillId="31" borderId="415">
      <alignment horizontal="right" vertical="center"/>
    </xf>
    <xf numFmtId="0" fontId="49" fillId="42" borderId="412" applyNumberFormat="0" applyAlignment="0" applyProtection="0"/>
    <xf numFmtId="0" fontId="46" fillId="55" borderId="412" applyNumberFormat="0" applyAlignment="0" applyProtection="0"/>
    <xf numFmtId="4" fontId="34" fillId="0" borderId="415">
      <alignment horizontal="right" vertical="center"/>
    </xf>
    <xf numFmtId="0" fontId="34" fillId="33" borderId="418">
      <alignment horizontal="left" vertical="center" wrapText="1" indent="2"/>
    </xf>
    <xf numFmtId="0" fontId="34" fillId="0" borderId="418">
      <alignment horizontal="left" vertical="center" wrapText="1" indent="2"/>
    </xf>
    <xf numFmtId="0" fontId="62" fillId="55" borderId="411" applyNumberFormat="0" applyAlignment="0" applyProtection="0"/>
    <xf numFmtId="0" fontId="58" fillId="42" borderId="412" applyNumberFormat="0" applyAlignment="0" applyProtection="0"/>
    <xf numFmtId="0" fontId="45" fillId="55" borderId="412" applyNumberFormat="0" applyAlignment="0" applyProtection="0"/>
    <xf numFmtId="0" fontId="43" fillId="55" borderId="411" applyNumberFormat="0" applyAlignment="0" applyProtection="0"/>
    <xf numFmtId="0" fontId="32" fillId="33" borderId="417">
      <alignment horizontal="right" vertical="center"/>
    </xf>
    <xf numFmtId="0" fontId="36" fillId="31" borderId="415">
      <alignment horizontal="right" vertical="center"/>
    </xf>
    <xf numFmtId="4" fontId="32" fillId="31" borderId="415">
      <alignment horizontal="right" vertical="center"/>
    </xf>
    <xf numFmtId="4" fontId="32" fillId="33" borderId="415">
      <alignment horizontal="right" vertical="center"/>
    </xf>
    <xf numFmtId="49" fontId="34" fillId="0" borderId="416" applyNumberFormat="0" applyFont="0" applyFill="0" applyBorder="0" applyProtection="0">
      <alignment horizontal="left" vertical="center" indent="5"/>
    </xf>
    <xf numFmtId="4" fontId="34" fillId="0" borderId="415" applyFill="0" applyBorder="0" applyProtection="0">
      <alignment horizontal="right" vertical="center"/>
    </xf>
    <xf numFmtId="4" fontId="32" fillId="31" borderId="415">
      <alignment horizontal="right" vertical="center"/>
    </xf>
    <xf numFmtId="0" fontId="58" fillId="42" borderId="412" applyNumberFormat="0" applyAlignment="0" applyProtection="0"/>
    <xf numFmtId="0" fontId="49" fillId="42" borderId="412" applyNumberFormat="0" applyAlignment="0" applyProtection="0"/>
    <xf numFmtId="0" fontId="45" fillId="55" borderId="412" applyNumberFormat="0" applyAlignment="0" applyProtection="0"/>
    <xf numFmtId="0" fontId="34" fillId="33" borderId="418">
      <alignment horizontal="left" vertical="center" wrapText="1" indent="2"/>
    </xf>
    <xf numFmtId="0" fontId="34" fillId="0" borderId="418">
      <alignment horizontal="left" vertical="center" wrapText="1" indent="2"/>
    </xf>
    <xf numFmtId="0" fontId="34" fillId="33" borderId="418">
      <alignment horizontal="left" vertical="center" wrapText="1" indent="2"/>
    </xf>
    <xf numFmtId="0" fontId="34" fillId="0" borderId="418">
      <alignment horizontal="left" vertical="center" wrapText="1" indent="2"/>
    </xf>
    <xf numFmtId="0" fontId="43" fillId="55" borderId="411" applyNumberFormat="0" applyAlignment="0" applyProtection="0"/>
    <xf numFmtId="0" fontId="45" fillId="55" borderId="412" applyNumberFormat="0" applyAlignment="0" applyProtection="0"/>
    <xf numFmtId="0" fontId="46" fillId="55" borderId="412" applyNumberFormat="0" applyAlignment="0" applyProtection="0"/>
    <xf numFmtId="0" fontId="49" fillId="42" borderId="412" applyNumberFormat="0" applyAlignment="0" applyProtection="0"/>
    <xf numFmtId="0" fontId="50" fillId="0" borderId="413" applyNumberFormat="0" applyFill="0" applyAlignment="0" applyProtection="0"/>
    <xf numFmtId="0" fontId="58" fillId="42" borderId="412" applyNumberFormat="0" applyAlignment="0" applyProtection="0"/>
    <xf numFmtId="0" fontId="40" fillId="58" borderId="414" applyNumberFormat="0" applyFont="0" applyAlignment="0" applyProtection="0"/>
    <xf numFmtId="0" fontId="5" fillId="58" borderId="414" applyNumberFormat="0" applyFont="0" applyAlignment="0" applyProtection="0"/>
    <xf numFmtId="0" fontId="62" fillId="55" borderId="411" applyNumberFormat="0" applyAlignment="0" applyProtection="0"/>
    <xf numFmtId="0" fontId="65" fillId="0" borderId="413" applyNumberFormat="0" applyFill="0" applyAlignment="0" applyProtection="0"/>
    <xf numFmtId="0" fontId="46" fillId="55" borderId="412" applyNumberFormat="0" applyAlignment="0" applyProtection="0"/>
    <xf numFmtId="0" fontId="58" fillId="42" borderId="412" applyNumberFormat="0" applyAlignment="0" applyProtection="0"/>
    <xf numFmtId="0" fontId="40" fillId="58" borderId="414" applyNumberFormat="0" applyFont="0" applyAlignment="0" applyProtection="0"/>
    <xf numFmtId="0" fontId="62" fillId="55" borderId="411" applyNumberFormat="0" applyAlignment="0" applyProtection="0"/>
    <xf numFmtId="0" fontId="65" fillId="0" borderId="413" applyNumberFormat="0" applyFill="0" applyAlignment="0" applyProtection="0"/>
    <xf numFmtId="0" fontId="46" fillId="55" borderId="412" applyNumberFormat="0" applyAlignment="0" applyProtection="0"/>
    <xf numFmtId="0" fontId="58" fillId="42" borderId="412" applyNumberFormat="0" applyAlignment="0" applyProtection="0"/>
    <xf numFmtId="0" fontId="62" fillId="55" borderId="411" applyNumberFormat="0" applyAlignment="0" applyProtection="0"/>
    <xf numFmtId="0" fontId="65" fillId="0" borderId="413" applyNumberFormat="0" applyFill="0" applyAlignment="0" applyProtection="0"/>
    <xf numFmtId="0" fontId="43" fillId="55" borderId="411" applyNumberFormat="0" applyAlignment="0" applyProtection="0"/>
    <xf numFmtId="0" fontId="45" fillId="55" borderId="412" applyNumberFormat="0" applyAlignment="0" applyProtection="0"/>
    <xf numFmtId="0" fontId="50" fillId="0" borderId="413" applyNumberFormat="0" applyFill="0" applyAlignment="0" applyProtection="0"/>
    <xf numFmtId="49" fontId="34" fillId="0" borderId="415" applyNumberFormat="0" applyFont="0" applyFill="0" applyBorder="0" applyProtection="0">
      <alignment horizontal="left" vertical="center" indent="2"/>
    </xf>
    <xf numFmtId="0" fontId="32" fillId="31" borderId="415">
      <alignment horizontal="right" vertical="center"/>
    </xf>
    <xf numFmtId="4" fontId="32" fillId="31" borderId="415">
      <alignment horizontal="right" vertical="center"/>
    </xf>
    <xf numFmtId="0" fontId="36" fillId="31" borderId="415">
      <alignment horizontal="right" vertical="center"/>
    </xf>
    <xf numFmtId="4" fontId="36" fillId="31" borderId="415">
      <alignment horizontal="right" vertical="center"/>
    </xf>
    <xf numFmtId="0" fontId="32" fillId="33" borderId="415">
      <alignment horizontal="right" vertical="center"/>
    </xf>
    <xf numFmtId="4" fontId="32" fillId="33" borderId="415">
      <alignment horizontal="right" vertical="center"/>
    </xf>
    <xf numFmtId="0" fontId="32" fillId="33" borderId="415">
      <alignment horizontal="right" vertical="center"/>
    </xf>
    <xf numFmtId="4" fontId="32" fillId="33" borderId="415">
      <alignment horizontal="right" vertical="center"/>
    </xf>
    <xf numFmtId="0" fontId="49" fillId="42" borderId="412" applyNumberFormat="0" applyAlignment="0" applyProtection="0"/>
    <xf numFmtId="0" fontId="34" fillId="0" borderId="415">
      <alignment horizontal="right" vertical="center"/>
    </xf>
    <xf numFmtId="4" fontId="34" fillId="0" borderId="415">
      <alignment horizontal="right" vertical="center"/>
    </xf>
    <xf numFmtId="4" fontId="34" fillId="0" borderId="415" applyFill="0" applyBorder="0" applyProtection="0">
      <alignment horizontal="right" vertical="center"/>
    </xf>
    <xf numFmtId="49" fontId="33" fillId="0" borderId="415" applyNumberFormat="0" applyFill="0" applyBorder="0" applyProtection="0">
      <alignment horizontal="left" vertical="center"/>
    </xf>
    <xf numFmtId="0" fontId="34" fillId="0" borderId="415" applyNumberFormat="0" applyFill="0" applyAlignment="0" applyProtection="0"/>
    <xf numFmtId="173" fontId="34" fillId="59" borderId="415" applyNumberFormat="0" applyFont="0" applyBorder="0" applyAlignment="0" applyProtection="0">
      <alignment horizontal="right" vertical="center"/>
    </xf>
    <xf numFmtId="0" fontId="34" fillId="32" borderId="415"/>
    <xf numFmtId="4" fontId="34" fillId="32" borderId="415"/>
    <xf numFmtId="4" fontId="32" fillId="33" borderId="415">
      <alignment horizontal="right" vertical="center"/>
    </xf>
    <xf numFmtId="0" fontId="34" fillId="32" borderId="415"/>
    <xf numFmtId="0" fontId="45" fillId="55" borderId="412" applyNumberFormat="0" applyAlignment="0" applyProtection="0"/>
    <xf numFmtId="0" fontId="32" fillId="31" borderId="415">
      <alignment horizontal="right" vertical="center"/>
    </xf>
    <xf numFmtId="0" fontId="34" fillId="0" borderId="415">
      <alignment horizontal="right" vertical="center"/>
    </xf>
    <xf numFmtId="0" fontId="65" fillId="0" borderId="413" applyNumberFormat="0" applyFill="0" applyAlignment="0" applyProtection="0"/>
    <xf numFmtId="0" fontId="34" fillId="31" borderId="416">
      <alignment horizontal="left" vertical="center"/>
    </xf>
    <xf numFmtId="0" fontId="58" fillId="42" borderId="412" applyNumberFormat="0" applyAlignment="0" applyProtection="0"/>
    <xf numFmtId="173" fontId="34" fillId="59" borderId="415" applyNumberFormat="0" applyFont="0" applyBorder="0" applyAlignment="0" applyProtection="0">
      <alignment horizontal="right" vertical="center"/>
    </xf>
    <xf numFmtId="0" fontId="40" fillId="58" borderId="414" applyNumberFormat="0" applyFont="0" applyAlignment="0" applyProtection="0"/>
    <xf numFmtId="0" fontId="34" fillId="0" borderId="418">
      <alignment horizontal="left" vertical="center" wrapText="1" indent="2"/>
    </xf>
    <xf numFmtId="4" fontId="34" fillId="32" borderId="415"/>
    <xf numFmtId="49" fontId="33" fillId="0" borderId="415" applyNumberFormat="0" applyFill="0" applyBorder="0" applyProtection="0">
      <alignment horizontal="left" vertical="center"/>
    </xf>
    <xf numFmtId="0" fontId="34" fillId="0" borderId="415">
      <alignment horizontal="right" vertical="center"/>
    </xf>
    <xf numFmtId="4" fontId="32" fillId="33" borderId="417">
      <alignment horizontal="right" vertical="center"/>
    </xf>
    <xf numFmtId="4" fontId="32" fillId="33" borderId="415">
      <alignment horizontal="right" vertical="center"/>
    </xf>
    <xf numFmtId="4" fontId="32" fillId="33" borderId="415">
      <alignment horizontal="right" vertical="center"/>
    </xf>
    <xf numFmtId="0" fontId="36" fillId="31" borderId="415">
      <alignment horizontal="right" vertical="center"/>
    </xf>
    <xf numFmtId="0" fontId="32" fillId="31" borderId="415">
      <alignment horizontal="right" vertical="center"/>
    </xf>
    <xf numFmtId="49" fontId="34" fillId="0" borderId="415" applyNumberFormat="0" applyFont="0" applyFill="0" applyBorder="0" applyProtection="0">
      <alignment horizontal="left" vertical="center" indent="2"/>
    </xf>
    <xf numFmtId="0" fontId="58" fillId="42" borderId="412" applyNumberFormat="0" applyAlignment="0" applyProtection="0"/>
    <xf numFmtId="0" fontId="43" fillId="55" borderId="411" applyNumberFormat="0" applyAlignment="0" applyProtection="0"/>
    <xf numFmtId="49" fontId="34" fillId="0" borderId="415" applyNumberFormat="0" applyFont="0" applyFill="0" applyBorder="0" applyProtection="0">
      <alignment horizontal="left" vertical="center" indent="2"/>
    </xf>
    <xf numFmtId="0" fontId="49" fillId="42" borderId="412" applyNumberFormat="0" applyAlignment="0" applyProtection="0"/>
    <xf numFmtId="4" fontId="34" fillId="0" borderId="415" applyFill="0" applyBorder="0" applyProtection="0">
      <alignment horizontal="right" vertical="center"/>
    </xf>
    <xf numFmtId="0" fontId="46" fillId="55" borderId="412" applyNumberFormat="0" applyAlignment="0" applyProtection="0"/>
    <xf numFmtId="0" fontId="65" fillId="0" borderId="413" applyNumberFormat="0" applyFill="0" applyAlignment="0" applyProtection="0"/>
    <xf numFmtId="0" fontId="62" fillId="55" borderId="411" applyNumberFormat="0" applyAlignment="0" applyProtection="0"/>
    <xf numFmtId="0" fontId="34" fillId="0" borderId="415" applyNumberFormat="0" applyFill="0" applyAlignment="0" applyProtection="0"/>
    <xf numFmtId="4" fontId="34" fillId="0" borderId="415">
      <alignment horizontal="right" vertical="center"/>
    </xf>
    <xf numFmtId="0" fontId="34" fillId="0" borderId="415">
      <alignment horizontal="right" vertical="center"/>
    </xf>
    <xf numFmtId="0" fontId="58" fillId="42" borderId="412" applyNumberFormat="0" applyAlignment="0" applyProtection="0"/>
    <xf numFmtId="0" fontId="43" fillId="55" borderId="411" applyNumberFormat="0" applyAlignment="0" applyProtection="0"/>
    <xf numFmtId="0" fontId="45" fillId="55" borderId="412" applyNumberFormat="0" applyAlignment="0" applyProtection="0"/>
    <xf numFmtId="0" fontId="34" fillId="33" borderId="418">
      <alignment horizontal="left" vertical="center" wrapText="1" indent="2"/>
    </xf>
    <xf numFmtId="0" fontId="46" fillId="55" borderId="412" applyNumberFormat="0" applyAlignment="0" applyProtection="0"/>
    <xf numFmtId="0" fontId="46" fillId="55" borderId="412" applyNumberFormat="0" applyAlignment="0" applyProtection="0"/>
    <xf numFmtId="4" fontId="32" fillId="33" borderId="416">
      <alignment horizontal="right" vertical="center"/>
    </xf>
    <xf numFmtId="0" fontId="32" fillId="33" borderId="416">
      <alignment horizontal="right" vertical="center"/>
    </xf>
    <xf numFmtId="0" fontId="32" fillId="33" borderId="415">
      <alignment horizontal="right" vertical="center"/>
    </xf>
    <xf numFmtId="4" fontId="36" fillId="31" borderId="415">
      <alignment horizontal="right" vertical="center"/>
    </xf>
    <xf numFmtId="0" fontId="49" fillId="42" borderId="412" applyNumberFormat="0" applyAlignment="0" applyProtection="0"/>
    <xf numFmtId="0" fontId="50" fillId="0" borderId="413" applyNumberFormat="0" applyFill="0" applyAlignment="0" applyProtection="0"/>
    <xf numFmtId="0" fontId="65" fillId="0" borderId="413" applyNumberFormat="0" applyFill="0" applyAlignment="0" applyProtection="0"/>
    <xf numFmtId="0" fontId="40" fillId="58" borderId="414" applyNumberFormat="0" applyFont="0" applyAlignment="0" applyProtection="0"/>
    <xf numFmtId="0" fontId="58" fillId="42" borderId="412" applyNumberFormat="0" applyAlignment="0" applyProtection="0"/>
    <xf numFmtId="49" fontId="33" fillId="0" borderId="415" applyNumberFormat="0" applyFill="0" applyBorder="0" applyProtection="0">
      <alignment horizontal="left" vertical="center"/>
    </xf>
    <xf numFmtId="0" fontId="34" fillId="33" borderId="418">
      <alignment horizontal="left" vertical="center" wrapText="1" indent="2"/>
    </xf>
    <xf numFmtId="0" fontId="46" fillId="55" borderId="412" applyNumberFormat="0" applyAlignment="0" applyProtection="0"/>
    <xf numFmtId="0" fontId="34" fillId="0" borderId="418">
      <alignment horizontal="left" vertical="center" wrapText="1" indent="2"/>
    </xf>
    <xf numFmtId="0" fontId="40" fillId="58" borderId="414" applyNumberFormat="0" applyFont="0" applyAlignment="0" applyProtection="0"/>
    <xf numFmtId="0" fontId="5" fillId="58" borderId="414" applyNumberFormat="0" applyFont="0" applyAlignment="0" applyProtection="0"/>
    <xf numFmtId="0" fontId="62" fillId="55" borderId="411" applyNumberFormat="0" applyAlignment="0" applyProtection="0"/>
    <xf numFmtId="0" fontId="65" fillId="0" borderId="413" applyNumberFormat="0" applyFill="0" applyAlignment="0" applyProtection="0"/>
    <xf numFmtId="4" fontId="34" fillId="32" borderId="415"/>
    <xf numFmtId="0" fontId="32" fillId="33" borderId="415">
      <alignment horizontal="right" vertical="center"/>
    </xf>
    <xf numFmtId="0" fontId="65" fillId="0" borderId="413" applyNumberFormat="0" applyFill="0" applyAlignment="0" applyProtection="0"/>
    <xf numFmtId="4" fontId="32" fillId="33" borderId="417">
      <alignment horizontal="right" vertical="center"/>
    </xf>
    <xf numFmtId="0" fontId="45" fillId="55" borderId="412" applyNumberFormat="0" applyAlignment="0" applyProtection="0"/>
    <xf numFmtId="0" fontId="32" fillId="33" borderId="416">
      <alignment horizontal="right" vertical="center"/>
    </xf>
    <xf numFmtId="0" fontId="46" fillId="55" borderId="412" applyNumberFormat="0" applyAlignment="0" applyProtection="0"/>
    <xf numFmtId="0" fontId="50" fillId="0" borderId="413" applyNumberFormat="0" applyFill="0" applyAlignment="0" applyProtection="0"/>
    <xf numFmtId="0" fontId="40" fillId="58" borderId="414" applyNumberFormat="0" applyFont="0" applyAlignment="0" applyProtection="0"/>
    <xf numFmtId="4" fontId="32" fillId="33" borderId="416">
      <alignment horizontal="right" vertical="center"/>
    </xf>
    <xf numFmtId="0" fontId="34" fillId="33" borderId="418">
      <alignment horizontal="left" vertical="center" wrapText="1" indent="2"/>
    </xf>
    <xf numFmtId="0" fontId="34" fillId="32" borderId="415"/>
    <xf numFmtId="173" fontId="34" fillId="59" borderId="415" applyNumberFormat="0" applyFont="0" applyBorder="0" applyAlignment="0" applyProtection="0">
      <alignment horizontal="right" vertical="center"/>
    </xf>
    <xf numFmtId="0" fontId="34" fillId="0" borderId="415" applyNumberFormat="0" applyFill="0" applyAlignment="0" applyProtection="0"/>
    <xf numFmtId="4" fontId="34" fillId="0" borderId="415" applyFill="0" applyBorder="0" applyProtection="0">
      <alignment horizontal="right" vertical="center"/>
    </xf>
    <xf numFmtId="4" fontId="32" fillId="31" borderId="415">
      <alignment horizontal="right" vertical="center"/>
    </xf>
    <xf numFmtId="0" fontId="50" fillId="0" borderId="413" applyNumberFormat="0" applyFill="0" applyAlignment="0" applyProtection="0"/>
    <xf numFmtId="49" fontId="33" fillId="0" borderId="415" applyNumberFormat="0" applyFill="0" applyBorder="0" applyProtection="0">
      <alignment horizontal="left" vertical="center"/>
    </xf>
    <xf numFmtId="49" fontId="34" fillId="0" borderId="416" applyNumberFormat="0" applyFont="0" applyFill="0" applyBorder="0" applyProtection="0">
      <alignment horizontal="left" vertical="center" indent="5"/>
    </xf>
    <xf numFmtId="0" fontId="34" fillId="31" borderId="416">
      <alignment horizontal="left" vertical="center"/>
    </xf>
    <xf numFmtId="0" fontId="46" fillId="55" borderId="412" applyNumberFormat="0" applyAlignment="0" applyProtection="0"/>
    <xf numFmtId="4" fontId="32" fillId="33" borderId="417">
      <alignment horizontal="right" vertical="center"/>
    </xf>
    <xf numFmtId="0" fontId="58" fillId="42" borderId="412" applyNumberFormat="0" applyAlignment="0" applyProtection="0"/>
    <xf numFmtId="0" fontId="58" fillId="42" borderId="412" applyNumberFormat="0" applyAlignment="0" applyProtection="0"/>
    <xf numFmtId="0" fontId="40" fillId="58" borderId="414" applyNumberFormat="0" applyFont="0" applyAlignment="0" applyProtection="0"/>
    <xf numFmtId="0" fontId="62" fillId="55" borderId="411" applyNumberFormat="0" applyAlignment="0" applyProtection="0"/>
    <xf numFmtId="0" fontId="65" fillId="0" borderId="413" applyNumberFormat="0" applyFill="0" applyAlignment="0" applyProtection="0"/>
    <xf numFmtId="0" fontId="32" fillId="33" borderId="415">
      <alignment horizontal="right" vertical="center"/>
    </xf>
    <xf numFmtId="0" fontId="5" fillId="58" borderId="414" applyNumberFormat="0" applyFont="0" applyAlignment="0" applyProtection="0"/>
    <xf numFmtId="4" fontId="34" fillId="0" borderId="415">
      <alignment horizontal="right" vertical="center"/>
    </xf>
    <xf numFmtId="0" fontId="65" fillId="0" borderId="413" applyNumberFormat="0" applyFill="0" applyAlignment="0" applyProtection="0"/>
    <xf numFmtId="0" fontId="32" fillId="33" borderId="415">
      <alignment horizontal="right" vertical="center"/>
    </xf>
    <xf numFmtId="0" fontId="32" fillId="33" borderId="415">
      <alignment horizontal="right" vertical="center"/>
    </xf>
    <xf numFmtId="4" fontId="36" fillId="31" borderId="415">
      <alignment horizontal="right" vertical="center"/>
    </xf>
    <xf numFmtId="0" fontId="32" fillId="31" borderId="415">
      <alignment horizontal="right" vertical="center"/>
    </xf>
    <xf numFmtId="4" fontId="32" fillId="31" borderId="415">
      <alignment horizontal="right" vertical="center"/>
    </xf>
    <xf numFmtId="0" fontId="36" fillId="31" borderId="415">
      <alignment horizontal="right" vertical="center"/>
    </xf>
    <xf numFmtId="4" fontId="36" fillId="31" borderId="415">
      <alignment horizontal="right" vertical="center"/>
    </xf>
    <xf numFmtId="0" fontId="32" fillId="33" borderId="415">
      <alignment horizontal="right" vertical="center"/>
    </xf>
    <xf numFmtId="4" fontId="32" fillId="33" borderId="415">
      <alignment horizontal="right" vertical="center"/>
    </xf>
    <xf numFmtId="0" fontId="32" fillId="33" borderId="415">
      <alignment horizontal="right" vertical="center"/>
    </xf>
    <xf numFmtId="4" fontId="32" fillId="33" borderId="415">
      <alignment horizontal="right" vertical="center"/>
    </xf>
    <xf numFmtId="0" fontId="32" fillId="33" borderId="416">
      <alignment horizontal="right" vertical="center"/>
    </xf>
    <xf numFmtId="4" fontId="32" fillId="33" borderId="416">
      <alignment horizontal="right" vertical="center"/>
    </xf>
    <xf numFmtId="0" fontId="32" fillId="33" borderId="417">
      <alignment horizontal="right" vertical="center"/>
    </xf>
    <xf numFmtId="4" fontId="32" fillId="33" borderId="417">
      <alignment horizontal="right" vertical="center"/>
    </xf>
    <xf numFmtId="0" fontId="46" fillId="55" borderId="412" applyNumberFormat="0" applyAlignment="0" applyProtection="0"/>
    <xf numFmtId="0" fontId="34" fillId="33" borderId="418">
      <alignment horizontal="left" vertical="center" wrapText="1" indent="2"/>
    </xf>
    <xf numFmtId="0" fontId="34" fillId="0" borderId="418">
      <alignment horizontal="left" vertical="center" wrapText="1" indent="2"/>
    </xf>
    <xf numFmtId="0" fontId="34" fillId="31" borderId="416">
      <alignment horizontal="left" vertical="center"/>
    </xf>
    <xf numFmtId="0" fontId="58" fillId="42" borderId="412" applyNumberFormat="0" applyAlignment="0" applyProtection="0"/>
    <xf numFmtId="0" fontId="34" fillId="0" borderId="415">
      <alignment horizontal="right" vertical="center"/>
    </xf>
    <xf numFmtId="4" fontId="34" fillId="0" borderId="415">
      <alignment horizontal="right" vertical="center"/>
    </xf>
    <xf numFmtId="0" fontId="34" fillId="0" borderId="415" applyNumberFormat="0" applyFill="0" applyAlignment="0" applyProtection="0"/>
    <xf numFmtId="0" fontId="62" fillId="55" borderId="411" applyNumberFormat="0" applyAlignment="0" applyProtection="0"/>
    <xf numFmtId="173" fontId="34" fillId="59" borderId="415" applyNumberFormat="0" applyFont="0" applyBorder="0" applyAlignment="0" applyProtection="0">
      <alignment horizontal="right" vertical="center"/>
    </xf>
    <xf numFmtId="0" fontId="34" fillId="32" borderId="415"/>
    <xf numFmtId="4" fontId="34" fillId="32" borderId="415"/>
    <xf numFmtId="0" fontId="65" fillId="0" borderId="413" applyNumberFormat="0" applyFill="0" applyAlignment="0" applyProtection="0"/>
    <xf numFmtId="0" fontId="5" fillId="58" borderId="414" applyNumberFormat="0" applyFont="0" applyAlignment="0" applyProtection="0"/>
    <xf numFmtId="0" fontId="40" fillId="58" borderId="414" applyNumberFormat="0" applyFont="0" applyAlignment="0" applyProtection="0"/>
    <xf numFmtId="0" fontId="34" fillId="0" borderId="415" applyNumberFormat="0" applyFill="0" applyAlignment="0" applyProtection="0"/>
    <xf numFmtId="0" fontId="50" fillId="0" borderId="413" applyNumberFormat="0" applyFill="0" applyAlignment="0" applyProtection="0"/>
    <xf numFmtId="0" fontId="65" fillId="0" borderId="413" applyNumberFormat="0" applyFill="0" applyAlignment="0" applyProtection="0"/>
    <xf numFmtId="0" fontId="49" fillId="42" borderId="412" applyNumberFormat="0" applyAlignment="0" applyProtection="0"/>
    <xf numFmtId="0" fontId="46" fillId="55" borderId="412" applyNumberFormat="0" applyAlignment="0" applyProtection="0"/>
    <xf numFmtId="4" fontId="36" fillId="31" borderId="415">
      <alignment horizontal="right" vertical="center"/>
    </xf>
    <xf numFmtId="0" fontId="32" fillId="31" borderId="415">
      <alignment horizontal="right" vertical="center"/>
    </xf>
    <xf numFmtId="173" fontId="34" fillId="59" borderId="415" applyNumberFormat="0" applyFont="0" applyBorder="0" applyAlignment="0" applyProtection="0">
      <alignment horizontal="right" vertical="center"/>
    </xf>
    <xf numFmtId="0" fontId="50" fillId="0" borderId="413" applyNumberFormat="0" applyFill="0" applyAlignment="0" applyProtection="0"/>
    <xf numFmtId="49" fontId="34" fillId="0" borderId="415" applyNumberFormat="0" applyFont="0" applyFill="0" applyBorder="0" applyProtection="0">
      <alignment horizontal="left" vertical="center" indent="2"/>
    </xf>
    <xf numFmtId="49" fontId="34" fillId="0" borderId="416" applyNumberFormat="0" applyFont="0" applyFill="0" applyBorder="0" applyProtection="0">
      <alignment horizontal="left" vertical="center" indent="5"/>
    </xf>
    <xf numFmtId="49" fontId="34" fillId="0" borderId="415" applyNumberFormat="0" applyFont="0" applyFill="0" applyBorder="0" applyProtection="0">
      <alignment horizontal="left" vertical="center" indent="2"/>
    </xf>
    <xf numFmtId="4" fontId="34" fillId="0" borderId="415" applyFill="0" applyBorder="0" applyProtection="0">
      <alignment horizontal="right" vertical="center"/>
    </xf>
    <xf numFmtId="49" fontId="33" fillId="0" borderId="415" applyNumberFormat="0" applyFill="0" applyBorder="0" applyProtection="0">
      <alignment horizontal="left" vertical="center"/>
    </xf>
    <xf numFmtId="0" fontId="34" fillId="0" borderId="418">
      <alignment horizontal="left" vertical="center" wrapText="1" indent="2"/>
    </xf>
    <xf numFmtId="0" fontId="62" fillId="55" borderId="411" applyNumberFormat="0" applyAlignment="0" applyProtection="0"/>
    <xf numFmtId="0" fontId="32" fillId="33" borderId="417">
      <alignment horizontal="right" vertical="center"/>
    </xf>
    <xf numFmtId="0" fontId="49" fillId="42" borderId="412" applyNumberFormat="0" applyAlignment="0" applyProtection="0"/>
    <xf numFmtId="0" fontId="32" fillId="33" borderId="417">
      <alignment horizontal="right" vertical="center"/>
    </xf>
    <xf numFmtId="4" fontId="32" fillId="33" borderId="415">
      <alignment horizontal="right" vertical="center"/>
    </xf>
    <xf numFmtId="0" fontId="32" fillId="33" borderId="415">
      <alignment horizontal="right" vertical="center"/>
    </xf>
    <xf numFmtId="0" fontId="43" fillId="55" borderId="411" applyNumberFormat="0" applyAlignment="0" applyProtection="0"/>
    <xf numFmtId="0" fontId="45" fillId="55" borderId="412" applyNumberFormat="0" applyAlignment="0" applyProtection="0"/>
    <xf numFmtId="0" fontId="50" fillId="0" borderId="413" applyNumberFormat="0" applyFill="0" applyAlignment="0" applyProtection="0"/>
    <xf numFmtId="0" fontId="34" fillId="32" borderId="415"/>
    <xf numFmtId="4" fontId="34" fillId="32" borderId="415"/>
    <xf numFmtId="4" fontId="32" fillId="33" borderId="415">
      <alignment horizontal="right" vertical="center"/>
    </xf>
    <xf numFmtId="0" fontId="36" fillId="31" borderId="415">
      <alignment horizontal="right" vertical="center"/>
    </xf>
    <xf numFmtId="0" fontId="49" fillId="42" borderId="412" applyNumberFormat="0" applyAlignment="0" applyProtection="0"/>
    <xf numFmtId="0" fontId="46" fillId="55" borderId="412" applyNumberFormat="0" applyAlignment="0" applyProtection="0"/>
    <xf numFmtId="4" fontId="34" fillId="0" borderId="415">
      <alignment horizontal="right" vertical="center"/>
    </xf>
    <xf numFmtId="0" fontId="34" fillId="33" borderId="418">
      <alignment horizontal="left" vertical="center" wrapText="1" indent="2"/>
    </xf>
    <xf numFmtId="0" fontId="34" fillId="0" borderId="418">
      <alignment horizontal="left" vertical="center" wrapText="1" indent="2"/>
    </xf>
    <xf numFmtId="0" fontId="62" fillId="55" borderId="411" applyNumberFormat="0" applyAlignment="0" applyProtection="0"/>
    <xf numFmtId="0" fontId="58" fillId="42" borderId="412" applyNumberFormat="0" applyAlignment="0" applyProtection="0"/>
    <xf numFmtId="0" fontId="45" fillId="55" borderId="412" applyNumberFormat="0" applyAlignment="0" applyProtection="0"/>
    <xf numFmtId="0" fontId="43" fillId="55" borderId="411" applyNumberFormat="0" applyAlignment="0" applyProtection="0"/>
    <xf numFmtId="0" fontId="32" fillId="33" borderId="417">
      <alignment horizontal="right" vertical="center"/>
    </xf>
    <xf numFmtId="0" fontId="36" fillId="31" borderId="415">
      <alignment horizontal="right" vertical="center"/>
    </xf>
    <xf numFmtId="4" fontId="32" fillId="31" borderId="415">
      <alignment horizontal="right" vertical="center"/>
    </xf>
    <xf numFmtId="4" fontId="32" fillId="33" borderId="415">
      <alignment horizontal="right" vertical="center"/>
    </xf>
    <xf numFmtId="49" fontId="34" fillId="0" borderId="416" applyNumberFormat="0" applyFont="0" applyFill="0" applyBorder="0" applyProtection="0">
      <alignment horizontal="left" vertical="center" indent="5"/>
    </xf>
    <xf numFmtId="4" fontId="34" fillId="0" borderId="415" applyFill="0" applyBorder="0" applyProtection="0">
      <alignment horizontal="right" vertical="center"/>
    </xf>
    <xf numFmtId="4" fontId="32" fillId="31" borderId="415">
      <alignment horizontal="right" vertical="center"/>
    </xf>
    <xf numFmtId="0" fontId="58" fillId="42" borderId="412" applyNumberFormat="0" applyAlignment="0" applyProtection="0"/>
    <xf numFmtId="0" fontId="49" fillId="42" borderId="412" applyNumberFormat="0" applyAlignment="0" applyProtection="0"/>
    <xf numFmtId="0" fontId="45" fillId="55" borderId="412" applyNumberFormat="0" applyAlignment="0" applyProtection="0"/>
    <xf numFmtId="0" fontId="34" fillId="33" borderId="418">
      <alignment horizontal="left" vertical="center" wrapText="1" indent="2"/>
    </xf>
    <xf numFmtId="0" fontId="34" fillId="0" borderId="418">
      <alignment horizontal="left" vertical="center" wrapText="1" indent="2"/>
    </xf>
    <xf numFmtId="0" fontId="34" fillId="33" borderId="418">
      <alignment horizontal="left" vertical="center" wrapText="1" indent="2"/>
    </xf>
    <xf numFmtId="0" fontId="26" fillId="26"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2" fillId="0" borderId="12" applyNumberFormat="0" applyFill="0" applyAlignment="0" applyProtection="0"/>
    <xf numFmtId="0" fontId="12" fillId="27" borderId="0" applyNumberFormat="0" applyBorder="0" applyAlignment="0" applyProtection="0"/>
    <xf numFmtId="0" fontId="26" fillId="20" borderId="0" applyNumberFormat="0" applyBorder="0" applyAlignment="0" applyProtection="0"/>
    <xf numFmtId="0" fontId="26" fillId="25" borderId="0" applyNumberFormat="0" applyBorder="0" applyAlignment="0" applyProtection="0"/>
    <xf numFmtId="0" fontId="12" fillId="30" borderId="0" applyNumberFormat="0" applyBorder="0" applyAlignment="0" applyProtection="0"/>
    <xf numFmtId="0" fontId="26" fillId="28" borderId="0" applyNumberFormat="0" applyBorder="0" applyAlignment="0" applyProtection="0"/>
    <xf numFmtId="0" fontId="26" fillId="28" borderId="0" applyNumberFormat="0" applyBorder="0" applyAlignment="0" applyProtection="0"/>
    <xf numFmtId="0" fontId="29" fillId="12" borderId="10" applyNumberFormat="0" applyAlignment="0" applyProtection="0"/>
    <xf numFmtId="0" fontId="26" fillId="23" borderId="0" applyNumberFormat="0" applyBorder="0" applyAlignment="0" applyProtection="0"/>
    <xf numFmtId="0" fontId="12" fillId="27" borderId="0" applyNumberFormat="0" applyBorder="0" applyAlignment="0" applyProtection="0"/>
    <xf numFmtId="0" fontId="12" fillId="24" borderId="0" applyNumberFormat="0" applyBorder="0" applyAlignment="0" applyProtection="0"/>
    <xf numFmtId="0" fontId="26" fillId="23" borderId="0" applyNumberFormat="0" applyBorder="0" applyAlignment="0" applyProtection="0"/>
    <xf numFmtId="0" fontId="26" fillId="19" borderId="0" applyNumberFormat="0" applyBorder="0" applyAlignment="0" applyProtection="0"/>
    <xf numFmtId="0" fontId="30" fillId="0" borderId="0" applyNumberFormat="0" applyFill="0" applyBorder="0" applyAlignment="0" applyProtection="0"/>
    <xf numFmtId="0" fontId="2" fillId="0" borderId="12" applyNumberFormat="0" applyFill="0" applyAlignment="0" applyProtection="0"/>
    <xf numFmtId="0" fontId="12" fillId="30" borderId="0" applyNumberFormat="0" applyBorder="0" applyAlignment="0" applyProtection="0"/>
    <xf numFmtId="0" fontId="12" fillId="24" borderId="0" applyNumberFormat="0" applyBorder="0" applyAlignment="0" applyProtection="0"/>
    <xf numFmtId="0" fontId="26" fillId="29" borderId="0" applyNumberFormat="0" applyBorder="0" applyAlignment="0" applyProtection="0"/>
    <xf numFmtId="0" fontId="26" fillId="16" borderId="0" applyNumberFormat="0" applyBorder="0" applyAlignment="0" applyProtection="0"/>
    <xf numFmtId="0" fontId="12" fillId="21" borderId="0" applyNumberFormat="0" applyBorder="0" applyAlignment="0" applyProtection="0"/>
    <xf numFmtId="0" fontId="12" fillId="18" borderId="0" applyNumberFormat="0" applyBorder="0" applyAlignment="0" applyProtection="0"/>
    <xf numFmtId="0" fontId="28" fillId="12" borderId="11" applyNumberFormat="0" applyAlignment="0" applyProtection="0"/>
    <xf numFmtId="0" fontId="32" fillId="33" borderId="446">
      <alignment horizontal="right" vertical="center"/>
    </xf>
    <xf numFmtId="0" fontId="34" fillId="32" borderId="439"/>
    <xf numFmtId="0" fontId="49" fillId="42" borderId="427" applyNumberFormat="0" applyAlignment="0" applyProtection="0"/>
    <xf numFmtId="0" fontId="28" fillId="12" borderId="11" applyNumberFormat="0" applyAlignment="0" applyProtection="0"/>
    <xf numFmtId="0" fontId="40" fillId="58" borderId="445" applyNumberFormat="0" applyFont="0" applyAlignment="0" applyProtection="0"/>
    <xf numFmtId="0" fontId="45" fillId="55" borderId="475" applyNumberFormat="0" applyAlignment="0" applyProtection="0"/>
    <xf numFmtId="0" fontId="32" fillId="33" borderId="432">
      <alignment horizontal="right" vertical="center"/>
    </xf>
    <xf numFmtId="0" fontId="62" fillId="55" borderId="450" applyNumberFormat="0" applyAlignment="0" applyProtection="0"/>
    <xf numFmtId="49" fontId="34" fillId="0" borderId="430" applyNumberFormat="0" applyFont="0" applyFill="0" applyBorder="0" applyProtection="0">
      <alignment horizontal="left" vertical="center" indent="2"/>
    </xf>
    <xf numFmtId="0" fontId="36" fillId="31" borderId="430">
      <alignment horizontal="right" vertical="center"/>
    </xf>
    <xf numFmtId="173" fontId="34" fillId="59" borderId="430" applyNumberFormat="0" applyFont="0" applyBorder="0" applyAlignment="0" applyProtection="0">
      <alignment horizontal="right" vertical="center"/>
    </xf>
    <xf numFmtId="0" fontId="58" fillId="42" borderId="475" applyNumberFormat="0" applyAlignment="0" applyProtection="0"/>
    <xf numFmtId="0" fontId="62" fillId="55" borderId="450" applyNumberFormat="0" applyAlignment="0" applyProtection="0"/>
    <xf numFmtId="4" fontId="34" fillId="0" borderId="430">
      <alignment horizontal="right" vertical="center"/>
    </xf>
    <xf numFmtId="0" fontId="65" fillId="0" borderId="444" applyNumberFormat="0" applyFill="0" applyAlignment="0" applyProtection="0"/>
    <xf numFmtId="0" fontId="26" fillId="13" borderId="0" applyNumberFormat="0" applyBorder="0" applyAlignment="0" applyProtection="0"/>
    <xf numFmtId="0" fontId="32" fillId="33" borderId="430">
      <alignment horizontal="right" vertical="center"/>
    </xf>
    <xf numFmtId="0" fontId="46" fillId="55" borderId="452" applyNumberFormat="0" applyAlignment="0" applyProtection="0"/>
    <xf numFmtId="0" fontId="65" fillId="0" borderId="461" applyNumberFormat="0" applyFill="0" applyAlignment="0" applyProtection="0"/>
    <xf numFmtId="0" fontId="29" fillId="12" borderId="10" applyNumberFormat="0" applyAlignment="0" applyProtection="0"/>
    <xf numFmtId="4" fontId="34" fillId="32" borderId="430"/>
    <xf numFmtId="0" fontId="32" fillId="33" borderId="446">
      <alignment horizontal="right" vertical="center"/>
    </xf>
    <xf numFmtId="0" fontId="5" fillId="58" borderId="429" applyNumberFormat="0" applyFont="0" applyAlignment="0" applyProtection="0"/>
    <xf numFmtId="0" fontId="34" fillId="0" borderId="430">
      <alignment horizontal="right" vertical="center"/>
    </xf>
    <xf numFmtId="0" fontId="32" fillId="31" borderId="430">
      <alignment horizontal="right" vertical="center"/>
    </xf>
    <xf numFmtId="4" fontId="32" fillId="33" borderId="432">
      <alignment horizontal="right" vertical="center"/>
    </xf>
    <xf numFmtId="0" fontId="49" fillId="42" borderId="452" applyNumberFormat="0" applyAlignment="0" applyProtection="0"/>
    <xf numFmtId="0" fontId="32" fillId="33" borderId="432">
      <alignment horizontal="right" vertical="center"/>
    </xf>
    <xf numFmtId="0" fontId="40" fillId="58" borderId="445" applyNumberFormat="0" applyFont="0" applyAlignment="0" applyProtection="0"/>
    <xf numFmtId="0" fontId="26" fillId="13" borderId="0" applyNumberFormat="0" applyBorder="0" applyAlignment="0" applyProtection="0"/>
    <xf numFmtId="0" fontId="26" fillId="28" borderId="0" applyNumberFormat="0" applyBorder="0" applyAlignment="0" applyProtection="0"/>
    <xf numFmtId="0" fontId="65" fillId="0" borderId="453" applyNumberFormat="0" applyFill="0" applyAlignment="0" applyProtection="0"/>
    <xf numFmtId="4" fontId="34" fillId="0" borderId="430">
      <alignment horizontal="right" vertical="center"/>
    </xf>
    <xf numFmtId="0" fontId="34" fillId="33" borderId="449">
      <alignment horizontal="left" vertical="center" wrapText="1" indent="2"/>
    </xf>
    <xf numFmtId="0" fontId="46" fillId="55" borderId="443" applyNumberFormat="0" applyAlignment="0" applyProtection="0"/>
    <xf numFmtId="4" fontId="34" fillId="0" borderId="446" applyFill="0" applyBorder="0" applyProtection="0">
      <alignment horizontal="right" vertical="center"/>
    </xf>
    <xf numFmtId="4" fontId="36" fillId="31" borderId="430">
      <alignment horizontal="right" vertical="center"/>
    </xf>
    <xf numFmtId="0" fontId="46" fillId="55" borderId="427" applyNumberFormat="0" applyAlignment="0" applyProtection="0"/>
    <xf numFmtId="0" fontId="32" fillId="33" borderId="431">
      <alignment horizontal="right" vertical="center"/>
    </xf>
    <xf numFmtId="0" fontId="62" fillId="55" borderId="435" applyNumberFormat="0" applyAlignment="0" applyProtection="0"/>
    <xf numFmtId="0" fontId="40" fillId="58" borderId="429" applyNumberFormat="0" applyFont="0" applyAlignment="0" applyProtection="0"/>
    <xf numFmtId="0" fontId="12" fillId="27" borderId="0" applyNumberFormat="0" applyBorder="0" applyAlignment="0" applyProtection="0"/>
    <xf numFmtId="4" fontId="34" fillId="32" borderId="446"/>
    <xf numFmtId="4" fontId="32" fillId="33" borderId="439">
      <alignment horizontal="right" vertical="center"/>
    </xf>
    <xf numFmtId="0" fontId="46" fillId="55" borderId="443" applyNumberFormat="0" applyAlignment="0" applyProtection="0"/>
    <xf numFmtId="4" fontId="34" fillId="32" borderId="430"/>
    <xf numFmtId="0" fontId="65" fillId="0" borderId="428" applyNumberFormat="0" applyFill="0" applyAlignment="0" applyProtection="0"/>
    <xf numFmtId="0" fontId="28" fillId="12" borderId="11" applyNumberFormat="0" applyAlignment="0" applyProtection="0"/>
    <xf numFmtId="0" fontId="29" fillId="12" borderId="10" applyNumberFormat="0" applyAlignment="0" applyProtection="0"/>
    <xf numFmtId="0" fontId="58" fillId="42" borderId="427" applyNumberFormat="0" applyAlignment="0" applyProtection="0"/>
    <xf numFmtId="0" fontId="1" fillId="0" borderId="0" applyNumberFormat="0" applyFill="0" applyBorder="0" applyAlignment="0" applyProtection="0"/>
    <xf numFmtId="4" fontId="32" fillId="33" borderId="430">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40" fillId="58" borderId="438" applyNumberFormat="0" applyFont="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26" fillId="25"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4" fontId="32" fillId="33" borderId="448">
      <alignment horizontal="right" vertical="center"/>
    </xf>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5" fillId="58" borderId="438" applyNumberFormat="0" applyFont="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415" applyNumberFormat="0" applyFill="0" applyAlignment="0" applyProtection="0"/>
    <xf numFmtId="0" fontId="32" fillId="33" borderId="415">
      <alignment horizontal="right" vertical="center"/>
    </xf>
    <xf numFmtId="0" fontId="32" fillId="33" borderId="415">
      <alignment horizontal="right" vertical="center"/>
    </xf>
    <xf numFmtId="0" fontId="34" fillId="0" borderId="418">
      <alignment horizontal="left" vertical="center" wrapText="1" indent="2"/>
    </xf>
    <xf numFmtId="0" fontId="32" fillId="33" borderId="417">
      <alignment horizontal="right" vertical="center"/>
    </xf>
    <xf numFmtId="0" fontId="34" fillId="0" borderId="415">
      <alignment horizontal="right" vertical="center"/>
    </xf>
    <xf numFmtId="0" fontId="36" fillId="31" borderId="415">
      <alignment horizontal="right" vertical="center"/>
    </xf>
    <xf numFmtId="0" fontId="34" fillId="32" borderId="415"/>
    <xf numFmtId="0" fontId="32" fillId="31" borderId="415">
      <alignment horizontal="right" vertical="center"/>
    </xf>
    <xf numFmtId="4" fontId="32" fillId="33" borderId="430">
      <alignment horizontal="right" vertical="center"/>
    </xf>
    <xf numFmtId="0" fontId="36" fillId="31" borderId="430">
      <alignment horizontal="right" vertical="center"/>
    </xf>
    <xf numFmtId="0" fontId="65" fillId="0" borderId="428" applyNumberFormat="0" applyFill="0" applyAlignment="0" applyProtection="0"/>
    <xf numFmtId="0" fontId="46" fillId="55" borderId="427" applyNumberFormat="0" applyAlignment="0" applyProtection="0"/>
    <xf numFmtId="0" fontId="34" fillId="33" borderId="433">
      <alignment horizontal="left" vertical="center" wrapText="1" indent="2"/>
    </xf>
    <xf numFmtId="0" fontId="32" fillId="33" borderId="430">
      <alignment horizontal="right" vertical="center"/>
    </xf>
    <xf numFmtId="0" fontId="32" fillId="33" borderId="432">
      <alignment horizontal="right" vertical="center"/>
    </xf>
    <xf numFmtId="0" fontId="34" fillId="0" borderId="433">
      <alignment horizontal="left" vertical="center" wrapText="1" indent="2"/>
    </xf>
    <xf numFmtId="0" fontId="32" fillId="33" borderId="430">
      <alignment horizontal="right" vertical="center"/>
    </xf>
    <xf numFmtId="0" fontId="45" fillId="55" borderId="427" applyNumberFormat="0" applyAlignment="0" applyProtection="0"/>
    <xf numFmtId="0" fontId="34" fillId="32" borderId="430"/>
    <xf numFmtId="0" fontId="26" fillId="19" borderId="0" applyNumberFormat="0" applyBorder="0" applyAlignment="0" applyProtection="0"/>
    <xf numFmtId="0" fontId="43" fillId="55" borderId="482" applyNumberFormat="0" applyAlignment="0" applyProtection="0"/>
    <xf numFmtId="0" fontId="65" fillId="0" borderId="428" applyNumberFormat="0" applyFill="0" applyAlignment="0" applyProtection="0"/>
    <xf numFmtId="0" fontId="43" fillId="55" borderId="434" applyNumberFormat="0" applyAlignment="0" applyProtection="0"/>
    <xf numFmtId="0" fontId="32" fillId="33" borderId="431">
      <alignment horizontal="right" vertical="center"/>
    </xf>
    <xf numFmtId="4" fontId="36" fillId="31" borderId="446">
      <alignment horizontal="right" vertical="center"/>
    </xf>
    <xf numFmtId="4" fontId="32" fillId="31" borderId="455">
      <alignment horizontal="right" vertical="center"/>
    </xf>
    <xf numFmtId="173" fontId="34" fillId="59" borderId="430" applyNumberFormat="0" applyFont="0" applyBorder="0" applyAlignment="0" applyProtection="0">
      <alignment horizontal="right" vertical="center"/>
    </xf>
    <xf numFmtId="0" fontId="50" fillId="0" borderId="476" applyNumberFormat="0" applyFill="0" applyAlignment="0" applyProtection="0"/>
    <xf numFmtId="0" fontId="34" fillId="0" borderId="455" applyNumberFormat="0" applyFill="0" applyAlignment="0" applyProtection="0"/>
    <xf numFmtId="0" fontId="32" fillId="33" borderId="479">
      <alignment horizontal="right" vertical="center"/>
    </xf>
    <xf numFmtId="0" fontId="40" fillId="58" borderId="445" applyNumberFormat="0" applyFont="0" applyAlignment="0" applyProtection="0"/>
    <xf numFmtId="0" fontId="36" fillId="31" borderId="430">
      <alignment horizontal="right" vertical="center"/>
    </xf>
    <xf numFmtId="0" fontId="32" fillId="33" borderId="430">
      <alignment horizontal="right" vertical="center"/>
    </xf>
    <xf numFmtId="0" fontId="65" fillId="0" borderId="428" applyNumberFormat="0" applyFill="0" applyAlignment="0" applyProtection="0"/>
    <xf numFmtId="4" fontId="32" fillId="33" borderId="446">
      <alignment horizontal="right" vertical="center"/>
    </xf>
    <xf numFmtId="0" fontId="58" fillId="42" borderId="452" applyNumberFormat="0" applyAlignment="0" applyProtection="0"/>
    <xf numFmtId="0" fontId="46" fillId="55" borderId="452" applyNumberFormat="0" applyAlignment="0" applyProtection="0"/>
    <xf numFmtId="0" fontId="32" fillId="33" borderId="441">
      <alignment horizontal="right" vertical="center"/>
    </xf>
    <xf numFmtId="0" fontId="46" fillId="55" borderId="443" applyNumberFormat="0" applyAlignment="0" applyProtection="0"/>
    <xf numFmtId="0" fontId="58" fillId="42" borderId="436" applyNumberFormat="0" applyAlignment="0" applyProtection="0"/>
    <xf numFmtId="0" fontId="32" fillId="31" borderId="446">
      <alignment horizontal="right" vertical="center"/>
    </xf>
    <xf numFmtId="0" fontId="12" fillId="18" borderId="0" applyNumberFormat="0" applyBorder="0" applyAlignment="0" applyProtection="0"/>
    <xf numFmtId="0" fontId="34" fillId="0" borderId="446" applyNumberFormat="0" applyFill="0" applyAlignment="0" applyProtection="0"/>
    <xf numFmtId="0" fontId="46" fillId="55" borderId="443" applyNumberFormat="0" applyAlignment="0" applyProtection="0"/>
    <xf numFmtId="0" fontId="32" fillId="33" borderId="455">
      <alignment horizontal="right" vertical="center"/>
    </xf>
    <xf numFmtId="0" fontId="43" fillId="55" borderId="435" applyNumberFormat="0" applyAlignment="0" applyProtection="0"/>
    <xf numFmtId="49" fontId="34" fillId="0" borderId="456" applyNumberFormat="0" applyFont="0" applyFill="0" applyBorder="0" applyProtection="0">
      <alignment horizontal="left" vertical="center" indent="5"/>
    </xf>
    <xf numFmtId="0" fontId="32" fillId="33" borderId="430">
      <alignment horizontal="right" vertical="center"/>
    </xf>
    <xf numFmtId="4" fontId="36" fillId="31" borderId="430">
      <alignment horizontal="right" vertical="center"/>
    </xf>
    <xf numFmtId="0" fontId="65" fillId="0" borderId="428" applyNumberFormat="0" applyFill="0" applyAlignment="0" applyProtection="0"/>
    <xf numFmtId="0" fontId="50" fillId="0" borderId="428" applyNumberFormat="0" applyFill="0" applyAlignment="0" applyProtection="0"/>
    <xf numFmtId="4" fontId="32" fillId="33" borderId="431">
      <alignment horizontal="right" vertical="center"/>
    </xf>
    <xf numFmtId="4" fontId="36" fillId="31" borderId="430">
      <alignment horizontal="right" vertical="center"/>
    </xf>
    <xf numFmtId="4" fontId="32" fillId="33" borderId="430">
      <alignment horizontal="right" vertical="center"/>
    </xf>
    <xf numFmtId="4" fontId="32" fillId="33" borderId="430">
      <alignment horizontal="right" vertical="center"/>
    </xf>
    <xf numFmtId="4" fontId="32" fillId="33" borderId="431">
      <alignment horizontal="right" vertical="center"/>
    </xf>
    <xf numFmtId="4" fontId="32" fillId="33" borderId="432">
      <alignment horizontal="right" vertical="center"/>
    </xf>
    <xf numFmtId="0" fontId="49" fillId="42" borderId="427" applyNumberFormat="0" applyAlignment="0" applyProtection="0"/>
    <xf numFmtId="0" fontId="46" fillId="55" borderId="420" applyNumberFormat="0" applyAlignment="0" applyProtection="0"/>
    <xf numFmtId="4" fontId="32" fillId="33" borderId="430">
      <alignment horizontal="right" vertical="center"/>
    </xf>
    <xf numFmtId="43" fontId="37" fillId="0" borderId="0" applyFont="0" applyFill="0" applyBorder="0" applyAlignment="0" applyProtection="0"/>
    <xf numFmtId="4" fontId="34" fillId="32" borderId="430"/>
    <xf numFmtId="43" fontId="37" fillId="0" borderId="0" applyFont="0" applyFill="0" applyBorder="0" applyAlignment="0" applyProtection="0"/>
    <xf numFmtId="0" fontId="34" fillId="0" borderId="449">
      <alignment horizontal="left" vertical="center" wrapText="1" indent="2"/>
    </xf>
    <xf numFmtId="0" fontId="58" fillId="42" borderId="443" applyNumberFormat="0" applyAlignment="0" applyProtection="0"/>
    <xf numFmtId="4" fontId="34" fillId="0" borderId="430" applyFill="0" applyBorder="0" applyProtection="0">
      <alignment horizontal="right" vertical="center"/>
    </xf>
    <xf numFmtId="0" fontId="34" fillId="0" borderId="430">
      <alignment horizontal="right" vertical="center"/>
    </xf>
    <xf numFmtId="0" fontId="32" fillId="33" borderId="430">
      <alignment horizontal="right" vertical="center"/>
    </xf>
    <xf numFmtId="0" fontId="49" fillId="42" borderId="427" applyNumberFormat="0" applyAlignment="0" applyProtection="0"/>
    <xf numFmtId="0" fontId="34" fillId="33" borderId="433">
      <alignment horizontal="left" vertical="center" wrapText="1" indent="2"/>
    </xf>
    <xf numFmtId="0" fontId="62" fillId="55" borderId="434" applyNumberFormat="0" applyAlignment="0" applyProtection="0"/>
    <xf numFmtId="0" fontId="32" fillId="33" borderId="430">
      <alignment horizontal="right" vertical="center"/>
    </xf>
    <xf numFmtId="0" fontId="58" fillId="42" borderId="420" applyNumberFormat="0" applyAlignment="0" applyProtection="0"/>
    <xf numFmtId="49" fontId="34" fillId="0" borderId="430" applyNumberFormat="0" applyFont="0" applyFill="0" applyBorder="0" applyProtection="0">
      <alignment horizontal="left" vertical="center" indent="2"/>
    </xf>
    <xf numFmtId="4" fontId="32" fillId="33" borderId="448">
      <alignment horizontal="right" vertical="center"/>
    </xf>
    <xf numFmtId="0" fontId="32" fillId="33" borderId="455">
      <alignment horizontal="right" vertical="center"/>
    </xf>
    <xf numFmtId="0" fontId="34" fillId="32" borderId="430"/>
    <xf numFmtId="0" fontId="32" fillId="33" borderId="448">
      <alignment horizontal="right" vertical="center"/>
    </xf>
    <xf numFmtId="0" fontId="62" fillId="55" borderId="450" applyNumberFormat="0" applyAlignment="0" applyProtection="0"/>
    <xf numFmtId="0" fontId="46" fillId="55" borderId="452" applyNumberFormat="0" applyAlignment="0" applyProtection="0"/>
    <xf numFmtId="0" fontId="49" fillId="42" borderId="443" applyNumberFormat="0" applyAlignment="0" applyProtection="0"/>
    <xf numFmtId="0" fontId="30" fillId="0" borderId="0" applyNumberFormat="0" applyFill="0" applyBorder="0" applyAlignment="0" applyProtection="0"/>
    <xf numFmtId="0" fontId="26" fillId="20" borderId="0" applyNumberFormat="0" applyBorder="0" applyAlignment="0" applyProtection="0"/>
    <xf numFmtId="0" fontId="26" fillId="29" borderId="0" applyNumberFormat="0" applyBorder="0" applyAlignment="0" applyProtection="0"/>
    <xf numFmtId="49" fontId="33" fillId="0" borderId="439" applyNumberFormat="0" applyFill="0" applyBorder="0" applyProtection="0">
      <alignment horizontal="left" vertical="center"/>
    </xf>
    <xf numFmtId="0" fontId="34" fillId="0" borderId="455">
      <alignment horizontal="right" vertical="center"/>
    </xf>
    <xf numFmtId="0" fontId="26" fillId="22" borderId="0" applyNumberFormat="0" applyBorder="0" applyAlignment="0" applyProtection="0"/>
    <xf numFmtId="0" fontId="65" fillId="0" borderId="437" applyNumberFormat="0" applyFill="0" applyAlignment="0" applyProtection="0"/>
    <xf numFmtId="0" fontId="50" fillId="0" borderId="437" applyNumberFormat="0" applyFill="0" applyAlignment="0" applyProtection="0"/>
    <xf numFmtId="0" fontId="46" fillId="55" borderId="427" applyNumberFormat="0" applyAlignment="0" applyProtection="0"/>
    <xf numFmtId="4" fontId="32" fillId="33" borderId="448">
      <alignment horizontal="right" vertical="center"/>
    </xf>
    <xf numFmtId="0" fontId="65" fillId="0" borderId="476" applyNumberFormat="0" applyFill="0" applyAlignment="0" applyProtection="0"/>
    <xf numFmtId="4" fontId="34" fillId="0" borderId="415" applyFill="0" applyBorder="0" applyProtection="0">
      <alignment horizontal="right" vertical="center"/>
    </xf>
    <xf numFmtId="0" fontId="5" fillId="58" borderId="445" applyNumberFormat="0" applyFont="0" applyAlignment="0" applyProtection="0"/>
    <xf numFmtId="0" fontId="40" fillId="58" borderId="445" applyNumberFormat="0" applyFont="0" applyAlignment="0" applyProtection="0"/>
    <xf numFmtId="0" fontId="34" fillId="0" borderId="481">
      <alignment horizontal="left" vertical="center" wrapText="1" indent="2"/>
    </xf>
    <xf numFmtId="0" fontId="65" fillId="0" borderId="444" applyNumberFormat="0" applyFill="0" applyAlignment="0" applyProtection="0"/>
    <xf numFmtId="0" fontId="62" fillId="55" borderId="450" applyNumberFormat="0" applyAlignment="0" applyProtection="0"/>
    <xf numFmtId="4" fontId="32" fillId="33" borderId="430">
      <alignment horizontal="right" vertical="center"/>
    </xf>
    <xf numFmtId="0" fontId="36" fillId="31" borderId="430">
      <alignment horizontal="right" vertical="center"/>
    </xf>
    <xf numFmtId="0" fontId="43" fillId="55" borderId="451" applyNumberFormat="0" applyAlignment="0" applyProtection="0"/>
    <xf numFmtId="0" fontId="40" fillId="58" borderId="422" applyNumberFormat="0" applyFont="0" applyAlignment="0" applyProtection="0"/>
    <xf numFmtId="0" fontId="5" fillId="58" borderId="422" applyNumberFormat="0" applyFont="0" applyAlignment="0" applyProtection="0"/>
    <xf numFmtId="0" fontId="62" fillId="55" borderId="419" applyNumberFormat="0" applyAlignment="0" applyProtection="0"/>
    <xf numFmtId="4" fontId="34" fillId="32" borderId="446"/>
    <xf numFmtId="4" fontId="36" fillId="31" borderId="455">
      <alignment horizontal="right" vertical="center"/>
    </xf>
    <xf numFmtId="49" fontId="34" fillId="0" borderId="463" applyNumberFormat="0" applyFont="0" applyFill="0" applyBorder="0" applyProtection="0">
      <alignment horizontal="left" vertical="center" indent="2"/>
    </xf>
    <xf numFmtId="0" fontId="34" fillId="32" borderId="430"/>
    <xf numFmtId="0" fontId="65" fillId="0" borderId="428" applyNumberFormat="0" applyFill="0" applyAlignment="0" applyProtection="0"/>
    <xf numFmtId="0" fontId="12" fillId="15" borderId="0" applyNumberFormat="0" applyBorder="0" applyAlignment="0" applyProtection="0"/>
    <xf numFmtId="0" fontId="65" fillId="0" borderId="421" applyNumberFormat="0" applyFill="0" applyAlignment="0" applyProtection="0"/>
    <xf numFmtId="0" fontId="34" fillId="31" borderId="431">
      <alignment horizontal="left" vertical="center"/>
    </xf>
    <xf numFmtId="0" fontId="45" fillId="55" borderId="427" applyNumberFormat="0" applyAlignment="0" applyProtection="0"/>
    <xf numFmtId="4" fontId="32" fillId="33" borderId="430">
      <alignment horizontal="right" vertical="center"/>
    </xf>
    <xf numFmtId="49" fontId="33" fillId="0" borderId="446" applyNumberFormat="0" applyFill="0" applyBorder="0" applyProtection="0">
      <alignment horizontal="left" vertical="center"/>
    </xf>
    <xf numFmtId="0" fontId="12" fillId="30" borderId="0" applyNumberFormat="0" applyBorder="0" applyAlignment="0" applyProtection="0"/>
    <xf numFmtId="0" fontId="36" fillId="31" borderId="455">
      <alignment horizontal="right" vertical="center"/>
    </xf>
    <xf numFmtId="0" fontId="34" fillId="33" borderId="481">
      <alignment horizontal="left" vertical="center" wrapText="1" indent="2"/>
    </xf>
    <xf numFmtId="0" fontId="49" fillId="42" borderId="427" applyNumberFormat="0" applyAlignment="0" applyProtection="0"/>
    <xf numFmtId="0" fontId="36" fillId="31" borderId="430">
      <alignment horizontal="right" vertical="center"/>
    </xf>
    <xf numFmtId="0" fontId="32" fillId="33" borderId="446">
      <alignment horizontal="right" vertical="center"/>
    </xf>
    <xf numFmtId="49" fontId="34" fillId="0" borderId="456" applyNumberFormat="0" applyFont="0" applyFill="0" applyBorder="0" applyProtection="0">
      <alignment horizontal="left" vertical="center" indent="5"/>
    </xf>
    <xf numFmtId="4" fontId="32" fillId="33" borderId="432">
      <alignment horizontal="right" vertical="center"/>
    </xf>
    <xf numFmtId="0" fontId="65" fillId="0" borderId="444" applyNumberFormat="0" applyFill="0" applyAlignment="0" applyProtection="0"/>
    <xf numFmtId="49" fontId="33" fillId="0" borderId="430" applyNumberFormat="0" applyFill="0" applyBorder="0" applyProtection="0">
      <alignment horizontal="left" vertical="center"/>
    </xf>
    <xf numFmtId="0" fontId="12" fillId="27" borderId="0" applyNumberFormat="0" applyBorder="0" applyAlignment="0" applyProtection="0"/>
    <xf numFmtId="0" fontId="34" fillId="0" borderId="478" applyNumberFormat="0" applyFill="0" applyAlignment="0" applyProtection="0"/>
    <xf numFmtId="0" fontId="62" fillId="55" borderId="450" applyNumberFormat="0" applyAlignment="0" applyProtection="0"/>
    <xf numFmtId="0" fontId="46" fillId="55" borderId="427" applyNumberFormat="0" applyAlignment="0" applyProtection="0"/>
    <xf numFmtId="0" fontId="45" fillId="55" borderId="427" applyNumberFormat="0" applyAlignment="0" applyProtection="0"/>
    <xf numFmtId="0" fontId="40" fillId="58" borderId="429" applyNumberFormat="0" applyFont="0" applyAlignment="0" applyProtection="0"/>
    <xf numFmtId="0" fontId="32" fillId="33" borderId="430">
      <alignment horizontal="right" vertical="center"/>
    </xf>
    <xf numFmtId="0" fontId="32" fillId="33" borderId="431">
      <alignment horizontal="right" vertical="center"/>
    </xf>
    <xf numFmtId="0" fontId="46" fillId="55" borderId="427" applyNumberFormat="0" applyAlignment="0" applyProtection="0"/>
    <xf numFmtId="0" fontId="32" fillId="33" borderId="432">
      <alignment horizontal="right" vertical="center"/>
    </xf>
    <xf numFmtId="4" fontId="34" fillId="0" borderId="446" applyFill="0" applyBorder="0" applyProtection="0">
      <alignment horizontal="right" vertical="center"/>
    </xf>
    <xf numFmtId="0" fontId="34" fillId="33" borderId="471">
      <alignment horizontal="left" vertical="center" wrapText="1" indent="2"/>
    </xf>
    <xf numFmtId="0" fontId="49" fillId="42" borderId="427" applyNumberFormat="0" applyAlignment="0" applyProtection="0"/>
    <xf numFmtId="4" fontId="34" fillId="0" borderId="430">
      <alignment horizontal="right" vertical="center"/>
    </xf>
    <xf numFmtId="0" fontId="46" fillId="55" borderId="427" applyNumberFormat="0" applyAlignment="0" applyProtection="0"/>
    <xf numFmtId="0" fontId="34" fillId="31" borderId="431">
      <alignment horizontal="left" vertical="center"/>
    </xf>
    <xf numFmtId="4" fontId="34" fillId="32" borderId="455"/>
    <xf numFmtId="0" fontId="32" fillId="33" borderId="478">
      <alignment horizontal="right" vertical="center"/>
    </xf>
    <xf numFmtId="49" fontId="34" fillId="0" borderId="446" applyNumberFormat="0" applyFont="0" applyFill="0" applyBorder="0" applyProtection="0">
      <alignment horizontal="left" vertical="center" indent="2"/>
    </xf>
    <xf numFmtId="4" fontId="34" fillId="32" borderId="478"/>
    <xf numFmtId="4" fontId="32" fillId="33" borderId="431">
      <alignment horizontal="right" vertical="center"/>
    </xf>
    <xf numFmtId="4" fontId="34" fillId="0" borderId="430">
      <alignment horizontal="right" vertical="center"/>
    </xf>
    <xf numFmtId="173" fontId="34" fillId="59" borderId="430" applyNumberFormat="0" applyFont="0" applyBorder="0" applyAlignment="0" applyProtection="0">
      <alignment horizontal="right" vertical="center"/>
    </xf>
    <xf numFmtId="0" fontId="65" fillId="0" borderId="444" applyNumberFormat="0" applyFill="0" applyAlignment="0" applyProtection="0"/>
    <xf numFmtId="4" fontId="36" fillId="31" borderId="446">
      <alignment horizontal="right" vertical="center"/>
    </xf>
    <xf numFmtId="0" fontId="34" fillId="0" borderId="439" applyNumberFormat="0" applyFill="0" applyAlignment="0" applyProtection="0"/>
    <xf numFmtId="0" fontId="34" fillId="0" borderId="463">
      <alignment horizontal="right" vertical="center"/>
    </xf>
    <xf numFmtId="0" fontId="58" fillId="42" borderId="443" applyNumberFormat="0" applyAlignment="0" applyProtection="0"/>
    <xf numFmtId="0" fontId="34" fillId="33" borderId="433">
      <alignment horizontal="left" vertical="center" wrapText="1" indent="2"/>
    </xf>
    <xf numFmtId="0" fontId="46" fillId="55" borderId="420" applyNumberFormat="0" applyAlignment="0" applyProtection="0"/>
    <xf numFmtId="0" fontId="43" fillId="55" borderId="434" applyNumberFormat="0" applyAlignment="0" applyProtection="0"/>
    <xf numFmtId="0" fontId="62" fillId="55" borderId="434" applyNumberFormat="0" applyAlignment="0" applyProtection="0"/>
    <xf numFmtId="0" fontId="45" fillId="55" borderId="427" applyNumberFormat="0" applyAlignment="0" applyProtection="0"/>
    <xf numFmtId="0" fontId="65" fillId="0" borderId="428" applyNumberFormat="0" applyFill="0" applyAlignment="0" applyProtection="0"/>
    <xf numFmtId="0" fontId="34" fillId="0" borderId="433">
      <alignment horizontal="left" vertical="center" wrapText="1" indent="2"/>
    </xf>
    <xf numFmtId="0" fontId="32" fillId="33" borderId="430">
      <alignment horizontal="right" vertical="center"/>
    </xf>
    <xf numFmtId="4" fontId="36" fillId="31" borderId="430">
      <alignment horizontal="right" vertical="center"/>
    </xf>
    <xf numFmtId="0" fontId="58" fillId="42" borderId="420" applyNumberFormat="0" applyAlignment="0" applyProtection="0"/>
    <xf numFmtId="0" fontId="34" fillId="0" borderId="446" applyNumberFormat="0" applyFill="0" applyAlignment="0" applyProtection="0"/>
    <xf numFmtId="0" fontId="65" fillId="0" borderId="444" applyNumberFormat="0" applyFill="0" applyAlignment="0" applyProtection="0"/>
    <xf numFmtId="0" fontId="28" fillId="12" borderId="11" applyNumberFormat="0" applyAlignment="0" applyProtection="0"/>
    <xf numFmtId="0" fontId="40" fillId="58" borderId="422" applyNumberFormat="0" applyFont="0" applyAlignment="0" applyProtection="0"/>
    <xf numFmtId="0" fontId="62" fillId="55" borderId="419" applyNumberFormat="0" applyAlignment="0" applyProtection="0"/>
    <xf numFmtId="0" fontId="50" fillId="0" borderId="428" applyNumberFormat="0" applyFill="0" applyAlignment="0" applyProtection="0"/>
    <xf numFmtId="0" fontId="65" fillId="0" borderId="421" applyNumberFormat="0" applyFill="0" applyAlignment="0" applyProtection="0"/>
    <xf numFmtId="0" fontId="58" fillId="42" borderId="452" applyNumberFormat="0" applyAlignment="0" applyProtection="0"/>
    <xf numFmtId="0" fontId="5" fillId="58" borderId="429" applyNumberFormat="0" applyFont="0" applyAlignment="0" applyProtection="0"/>
    <xf numFmtId="0" fontId="62" fillId="55" borderId="451" applyNumberFormat="0" applyAlignment="0" applyProtection="0"/>
    <xf numFmtId="0" fontId="32" fillId="33" borderId="446">
      <alignment horizontal="right" vertical="center"/>
    </xf>
    <xf numFmtId="0" fontId="40" fillId="58" borderId="445" applyNumberFormat="0" applyFont="0" applyAlignment="0" applyProtection="0"/>
    <xf numFmtId="4" fontId="32" fillId="33" borderId="431">
      <alignment horizontal="right" vertical="center"/>
    </xf>
    <xf numFmtId="4" fontId="34" fillId="32" borderId="430"/>
    <xf numFmtId="0" fontId="26" fillId="29" borderId="0" applyNumberFormat="0" applyBorder="0" applyAlignment="0" applyProtection="0"/>
    <xf numFmtId="0" fontId="34" fillId="31" borderId="447">
      <alignment horizontal="left" vertical="center"/>
    </xf>
    <xf numFmtId="0" fontId="26" fillId="29" borderId="0" applyNumberFormat="0" applyBorder="0" applyAlignment="0" applyProtection="0"/>
    <xf numFmtId="4" fontId="32" fillId="33" borderId="446">
      <alignment horizontal="right" vertical="center"/>
    </xf>
    <xf numFmtId="0" fontId="32" fillId="33" borderId="431">
      <alignment horizontal="right" vertical="center"/>
    </xf>
    <xf numFmtId="4" fontId="32" fillId="33" borderId="440">
      <alignment horizontal="right" vertical="center"/>
    </xf>
    <xf numFmtId="0" fontId="58" fillId="42" borderId="443" applyNumberFormat="0" applyAlignment="0" applyProtection="0"/>
    <xf numFmtId="0" fontId="58" fillId="42" borderId="443" applyNumberFormat="0" applyAlignment="0" applyProtection="0"/>
    <xf numFmtId="0" fontId="34" fillId="0" borderId="449">
      <alignment horizontal="left" vertical="center" wrapText="1" indent="2"/>
    </xf>
    <xf numFmtId="4" fontId="34" fillId="0" borderId="468">
      <alignment horizontal="right" vertical="center"/>
    </xf>
    <xf numFmtId="0" fontId="40" fillId="58" borderId="462" applyNumberFormat="0" applyFont="0" applyAlignment="0" applyProtection="0"/>
    <xf numFmtId="0" fontId="40" fillId="58" borderId="445" applyNumberFormat="0" applyFont="0" applyAlignment="0" applyProtection="0"/>
    <xf numFmtId="0" fontId="32" fillId="31" borderId="423">
      <alignment horizontal="right" vertical="center"/>
    </xf>
    <xf numFmtId="4" fontId="32" fillId="31" borderId="423">
      <alignment horizontal="right" vertical="center"/>
    </xf>
    <xf numFmtId="0" fontId="36" fillId="31" borderId="423">
      <alignment horizontal="right" vertical="center"/>
    </xf>
    <xf numFmtId="4" fontId="36" fillId="31" borderId="423">
      <alignment horizontal="right" vertical="center"/>
    </xf>
    <xf numFmtId="0" fontId="32" fillId="33" borderId="423">
      <alignment horizontal="right" vertical="center"/>
    </xf>
    <xf numFmtId="4" fontId="32" fillId="33" borderId="423">
      <alignment horizontal="right" vertical="center"/>
    </xf>
    <xf numFmtId="0" fontId="32" fillId="33" borderId="423">
      <alignment horizontal="right" vertical="center"/>
    </xf>
    <xf numFmtId="4" fontId="32" fillId="33" borderId="423">
      <alignment horizontal="right" vertical="center"/>
    </xf>
    <xf numFmtId="0" fontId="32" fillId="33" borderId="424">
      <alignment horizontal="right" vertical="center"/>
    </xf>
    <xf numFmtId="4" fontId="32" fillId="33" borderId="424">
      <alignment horizontal="right" vertical="center"/>
    </xf>
    <xf numFmtId="0" fontId="32" fillId="33" borderId="425">
      <alignment horizontal="right" vertical="center"/>
    </xf>
    <xf numFmtId="4" fontId="32" fillId="33" borderId="425">
      <alignment horizontal="right" vertical="center"/>
    </xf>
    <xf numFmtId="0" fontId="46" fillId="55" borderId="420" applyNumberFormat="0" applyAlignment="0" applyProtection="0"/>
    <xf numFmtId="0" fontId="34" fillId="33" borderId="426">
      <alignment horizontal="left" vertical="center" wrapText="1" indent="2"/>
    </xf>
    <xf numFmtId="0" fontId="34" fillId="0" borderId="426">
      <alignment horizontal="left" vertical="center" wrapText="1" indent="2"/>
    </xf>
    <xf numFmtId="0" fontId="34" fillId="31" borderId="424">
      <alignment horizontal="left" vertical="center"/>
    </xf>
    <xf numFmtId="0" fontId="32" fillId="33" borderId="430">
      <alignment horizontal="right" vertical="center"/>
    </xf>
    <xf numFmtId="0" fontId="58" fillId="42" borderId="420" applyNumberFormat="0" applyAlignment="0" applyProtection="0"/>
    <xf numFmtId="0" fontId="34" fillId="0" borderId="423">
      <alignment horizontal="right" vertical="center"/>
    </xf>
    <xf numFmtId="4" fontId="34" fillId="0" borderId="423">
      <alignment horizontal="right" vertical="center"/>
    </xf>
    <xf numFmtId="0" fontId="32" fillId="33" borderId="431">
      <alignment horizontal="right" vertical="center"/>
    </xf>
    <xf numFmtId="0" fontId="34" fillId="0" borderId="423" applyNumberFormat="0" applyFill="0" applyAlignment="0" applyProtection="0"/>
    <xf numFmtId="0" fontId="62" fillId="55" borderId="419" applyNumberFormat="0" applyAlignment="0" applyProtection="0"/>
    <xf numFmtId="173" fontId="34" fillId="59" borderId="423" applyNumberFormat="0" applyFont="0" applyBorder="0" applyAlignment="0" applyProtection="0">
      <alignment horizontal="right" vertical="center"/>
    </xf>
    <xf numFmtId="0" fontId="34" fillId="32" borderId="423"/>
    <xf numFmtId="4" fontId="34" fillId="32" borderId="423"/>
    <xf numFmtId="0" fontId="65" fillId="0" borderId="421" applyNumberFormat="0" applyFill="0" applyAlignment="0" applyProtection="0"/>
    <xf numFmtId="0" fontId="26" fillId="26" borderId="0" applyNumberFormat="0" applyBorder="0" applyAlignment="0" applyProtection="0"/>
    <xf numFmtId="0" fontId="65" fillId="0" borderId="444" applyNumberFormat="0" applyFill="0" applyAlignment="0" applyProtection="0"/>
    <xf numFmtId="4" fontId="32" fillId="31" borderId="430">
      <alignment horizontal="right" vertical="center"/>
    </xf>
    <xf numFmtId="0" fontId="34" fillId="0" borderId="449">
      <alignment horizontal="left" vertical="center" wrapText="1" indent="2"/>
    </xf>
    <xf numFmtId="0" fontId="40" fillId="58" borderId="429" applyNumberFormat="0" applyFont="0" applyAlignment="0" applyProtection="0"/>
    <xf numFmtId="0" fontId="50" fillId="0" borderId="444" applyNumberFormat="0" applyFill="0" applyAlignment="0" applyProtection="0"/>
    <xf numFmtId="0" fontId="50" fillId="0" borderId="428" applyNumberFormat="0" applyFill="0" applyAlignment="0" applyProtection="0"/>
    <xf numFmtId="0" fontId="26" fillId="14" borderId="0" applyNumberFormat="0" applyBorder="0" applyAlignment="0" applyProtection="0"/>
    <xf numFmtId="0" fontId="62" fillId="55" borderId="451" applyNumberFormat="0" applyAlignment="0" applyProtection="0"/>
    <xf numFmtId="0" fontId="34" fillId="32" borderId="430"/>
    <xf numFmtId="0" fontId="12" fillId="27" borderId="0" applyNumberFormat="0" applyBorder="0" applyAlignment="0" applyProtection="0"/>
    <xf numFmtId="49" fontId="33" fillId="0" borderId="430" applyNumberFormat="0" applyFill="0" applyBorder="0" applyProtection="0">
      <alignment horizontal="left" vertical="center"/>
    </xf>
    <xf numFmtId="0" fontId="62" fillId="55" borderId="435" applyNumberFormat="0" applyAlignment="0" applyProtection="0"/>
    <xf numFmtId="0" fontId="12" fillId="30" borderId="0" applyNumberFormat="0" applyBorder="0" applyAlignment="0" applyProtection="0"/>
    <xf numFmtId="4" fontId="36" fillId="31" borderId="430">
      <alignment horizontal="right" vertical="center"/>
    </xf>
    <xf numFmtId="0" fontId="43" fillId="55" borderId="434" applyNumberFormat="0" applyAlignment="0" applyProtection="0"/>
    <xf numFmtId="0" fontId="43" fillId="55" borderId="434" applyNumberFormat="0" applyAlignment="0" applyProtection="0"/>
    <xf numFmtId="0" fontId="5" fillId="58" borderId="429" applyNumberFormat="0" applyFont="0" applyAlignment="0" applyProtection="0"/>
    <xf numFmtId="0" fontId="46" fillId="55" borderId="427" applyNumberFormat="0" applyAlignment="0" applyProtection="0"/>
    <xf numFmtId="0" fontId="46" fillId="55" borderId="427" applyNumberFormat="0" applyAlignment="0" applyProtection="0"/>
    <xf numFmtId="0" fontId="32" fillId="31" borderId="455">
      <alignment horizontal="right" vertical="center"/>
    </xf>
    <xf numFmtId="0" fontId="12" fillId="21" borderId="0" applyNumberFormat="0" applyBorder="0" applyAlignment="0" applyProtection="0"/>
    <xf numFmtId="0" fontId="26" fillId="26" borderId="0" applyNumberFormat="0" applyBorder="0" applyAlignment="0" applyProtection="0"/>
    <xf numFmtId="0" fontId="26" fillId="13" borderId="0" applyNumberFormat="0" applyBorder="0" applyAlignment="0" applyProtection="0"/>
    <xf numFmtId="0" fontId="34" fillId="0" borderId="430">
      <alignment horizontal="right" vertical="center"/>
    </xf>
    <xf numFmtId="0" fontId="26" fillId="14" borderId="0" applyNumberFormat="0" applyBorder="0" applyAlignment="0" applyProtection="0"/>
    <xf numFmtId="0" fontId="58" fillId="42" borderId="452" applyNumberFormat="0" applyAlignment="0" applyProtection="0"/>
    <xf numFmtId="0" fontId="58" fillId="42" borderId="443" applyNumberFormat="0" applyAlignment="0" applyProtection="0"/>
    <xf numFmtId="0" fontId="45" fillId="55" borderId="443" applyNumberFormat="0" applyAlignment="0" applyProtection="0"/>
    <xf numFmtId="0" fontId="26" fillId="20" borderId="0" applyNumberFormat="0" applyBorder="0" applyAlignment="0" applyProtection="0"/>
    <xf numFmtId="4" fontId="36" fillId="31" borderId="446">
      <alignment horizontal="right" vertical="center"/>
    </xf>
    <xf numFmtId="0" fontId="58" fillId="42" borderId="427" applyNumberFormat="0" applyAlignment="0" applyProtection="0"/>
    <xf numFmtId="0" fontId="34" fillId="0" borderId="433">
      <alignment horizontal="left" vertical="center" wrapText="1" indent="2"/>
    </xf>
    <xf numFmtId="0" fontId="45" fillId="55" borderId="427" applyNumberFormat="0" applyAlignment="0" applyProtection="0"/>
    <xf numFmtId="49" fontId="34" fillId="0" borderId="430" applyNumberFormat="0" applyFont="0" applyFill="0" applyBorder="0" applyProtection="0">
      <alignment horizontal="left" vertical="center" indent="2"/>
    </xf>
    <xf numFmtId="0" fontId="36" fillId="31" borderId="430">
      <alignment horizontal="right" vertical="center"/>
    </xf>
    <xf numFmtId="0" fontId="58" fillId="42" borderId="427" applyNumberFormat="0" applyAlignment="0" applyProtection="0"/>
    <xf numFmtId="0" fontId="40" fillId="58" borderId="429" applyNumberFormat="0" applyFont="0" applyAlignment="0" applyProtection="0"/>
    <xf numFmtId="0" fontId="65" fillId="0" borderId="428" applyNumberFormat="0" applyFill="0" applyAlignment="0" applyProtection="0"/>
    <xf numFmtId="4" fontId="34" fillId="0" borderId="430" applyFill="0" applyBorder="0" applyProtection="0">
      <alignment horizontal="right" vertical="center"/>
    </xf>
    <xf numFmtId="0" fontId="32" fillId="31" borderId="430">
      <alignment horizontal="right" vertical="center"/>
    </xf>
    <xf numFmtId="49" fontId="34" fillId="0" borderId="430" applyNumberFormat="0" applyFont="0" applyFill="0" applyBorder="0" applyProtection="0">
      <alignment horizontal="left" vertical="center" indent="2"/>
    </xf>
    <xf numFmtId="0" fontId="34" fillId="0" borderId="458">
      <alignment horizontal="left" vertical="center" wrapText="1" indent="2"/>
    </xf>
    <xf numFmtId="0" fontId="12" fillId="18" borderId="0" applyNumberFormat="0" applyBorder="0" applyAlignment="0" applyProtection="0"/>
    <xf numFmtId="0" fontId="26" fillId="23" borderId="0" applyNumberFormat="0" applyBorder="0" applyAlignment="0" applyProtection="0"/>
    <xf numFmtId="0" fontId="26" fillId="25" borderId="0" applyNumberFormat="0" applyBorder="0" applyAlignment="0" applyProtection="0"/>
    <xf numFmtId="0" fontId="26" fillId="20" borderId="0" applyNumberFormat="0" applyBorder="0" applyAlignment="0" applyProtection="0"/>
    <xf numFmtId="0" fontId="5" fillId="58" borderId="454" applyNumberFormat="0" applyFont="0" applyAlignment="0" applyProtection="0"/>
    <xf numFmtId="4" fontId="32" fillId="33" borderId="455">
      <alignment horizontal="right" vertical="center"/>
    </xf>
    <xf numFmtId="0" fontId="29" fillId="12" borderId="10" applyNumberFormat="0" applyAlignment="0" applyProtection="0"/>
    <xf numFmtId="0" fontId="32" fillId="33" borderId="457">
      <alignment horizontal="right" vertical="center"/>
    </xf>
    <xf numFmtId="173" fontId="34" fillId="59" borderId="430" applyNumberFormat="0" applyFont="0" applyBorder="0" applyAlignment="0" applyProtection="0">
      <alignment horizontal="right" vertical="center"/>
    </xf>
    <xf numFmtId="0" fontId="58" fillId="42" borderId="427" applyNumberFormat="0" applyAlignment="0" applyProtection="0"/>
    <xf numFmtId="0" fontId="50" fillId="0" borderId="453" applyNumberFormat="0" applyFill="0" applyAlignment="0" applyProtection="0"/>
    <xf numFmtId="4" fontId="32" fillId="33" borderId="446">
      <alignment horizontal="right" vertical="center"/>
    </xf>
    <xf numFmtId="0" fontId="1" fillId="0" borderId="0" applyNumberFormat="0" applyFill="0" applyBorder="0" applyAlignment="0" applyProtection="0"/>
    <xf numFmtId="49" fontId="34" fillId="0" borderId="423" applyNumberFormat="0" applyFont="0" applyFill="0" applyBorder="0" applyProtection="0">
      <alignment horizontal="left" vertical="center" indent="2"/>
    </xf>
    <xf numFmtId="49" fontId="34" fillId="0" borderId="424" applyNumberFormat="0" applyFont="0" applyFill="0" applyBorder="0" applyProtection="0">
      <alignment horizontal="left" vertical="center" indent="5"/>
    </xf>
    <xf numFmtId="0" fontId="34" fillId="32" borderId="446"/>
    <xf numFmtId="4" fontId="34" fillId="32" borderId="446"/>
    <xf numFmtId="4" fontId="32" fillId="31" borderId="455">
      <alignment horizontal="right" vertical="center"/>
    </xf>
    <xf numFmtId="0" fontId="32" fillId="33" borderId="432">
      <alignment horizontal="right" vertical="center"/>
    </xf>
    <xf numFmtId="4" fontId="36" fillId="31" borderId="430">
      <alignment horizontal="right" vertical="center"/>
    </xf>
    <xf numFmtId="0" fontId="46" fillId="55" borderId="427" applyNumberFormat="0" applyAlignment="0" applyProtection="0"/>
    <xf numFmtId="49" fontId="34" fillId="0" borderId="440" applyNumberFormat="0" applyFont="0" applyFill="0" applyBorder="0" applyProtection="0">
      <alignment horizontal="left" vertical="center" indent="5"/>
    </xf>
    <xf numFmtId="4" fontId="36" fillId="31" borderId="430">
      <alignment horizontal="right" vertical="center"/>
    </xf>
    <xf numFmtId="0" fontId="32" fillId="33" borderId="448">
      <alignment horizontal="right" vertical="center"/>
    </xf>
    <xf numFmtId="4" fontId="34" fillId="0" borderId="423" applyFill="0" applyBorder="0" applyProtection="0">
      <alignment horizontal="right" vertical="center"/>
    </xf>
    <xf numFmtId="49" fontId="33" fillId="0" borderId="423" applyNumberFormat="0" applyFill="0" applyBorder="0" applyProtection="0">
      <alignment horizontal="left" vertical="center"/>
    </xf>
    <xf numFmtId="49" fontId="33" fillId="0" borderId="446" applyNumberFormat="0" applyFill="0" applyBorder="0" applyProtection="0">
      <alignment horizontal="left" vertical="center"/>
    </xf>
    <xf numFmtId="0" fontId="62" fillId="55" borderId="434" applyNumberFormat="0" applyAlignment="0" applyProtection="0"/>
    <xf numFmtId="0" fontId="58" fillId="42" borderId="427" applyNumberFormat="0" applyAlignment="0" applyProtection="0"/>
    <xf numFmtId="0" fontId="5" fillId="58" borderId="429" applyNumberFormat="0" applyFont="0" applyAlignment="0" applyProtection="0"/>
    <xf numFmtId="4" fontId="34" fillId="0" borderId="430">
      <alignment horizontal="right" vertical="center"/>
    </xf>
    <xf numFmtId="4" fontId="32" fillId="31" borderId="430">
      <alignment horizontal="right" vertical="center"/>
    </xf>
    <xf numFmtId="0" fontId="65" fillId="0" borderId="444" applyNumberFormat="0" applyFill="0" applyAlignment="0" applyProtection="0"/>
    <xf numFmtId="0" fontId="50" fillId="0" borderId="428" applyNumberFormat="0" applyFill="0" applyAlignment="0" applyProtection="0"/>
    <xf numFmtId="0" fontId="45" fillId="55" borderId="427" applyNumberFormat="0" applyAlignment="0" applyProtection="0"/>
    <xf numFmtId="0" fontId="50" fillId="0" borderId="428" applyNumberFormat="0" applyFill="0" applyAlignment="0" applyProtection="0"/>
    <xf numFmtId="0" fontId="46" fillId="55" borderId="427" applyNumberFormat="0" applyAlignment="0" applyProtection="0"/>
    <xf numFmtId="0" fontId="50" fillId="0" borderId="444" applyNumberFormat="0" applyFill="0" applyAlignment="0" applyProtection="0"/>
    <xf numFmtId="0" fontId="34" fillId="0" borderId="442">
      <alignment horizontal="left" vertical="center" wrapText="1" indent="2"/>
    </xf>
    <xf numFmtId="173" fontId="34" fillId="59" borderId="446" applyNumberFormat="0" applyFont="0" applyBorder="0" applyAlignment="0" applyProtection="0">
      <alignment horizontal="right" vertical="center"/>
    </xf>
    <xf numFmtId="4" fontId="32" fillId="33" borderId="432">
      <alignment horizontal="right" vertical="center"/>
    </xf>
    <xf numFmtId="0" fontId="43" fillId="55" borderId="450" applyNumberFormat="0" applyAlignment="0" applyProtection="0"/>
    <xf numFmtId="0" fontId="12" fillId="18" borderId="0" applyNumberFormat="0" applyBorder="0" applyAlignment="0" applyProtection="0"/>
    <xf numFmtId="0" fontId="36" fillId="31" borderId="446">
      <alignment horizontal="right" vertical="center"/>
    </xf>
    <xf numFmtId="0" fontId="45" fillId="55" borderId="436" applyNumberFormat="0" applyAlignment="0" applyProtection="0"/>
    <xf numFmtId="4" fontId="32" fillId="33" borderId="447">
      <alignment horizontal="right" vertical="center"/>
    </xf>
    <xf numFmtId="0" fontId="5" fillId="58" borderId="429" applyNumberFormat="0" applyFont="0" applyAlignment="0" applyProtection="0"/>
    <xf numFmtId="0" fontId="32" fillId="33" borderId="480">
      <alignment horizontal="right" vertical="center"/>
    </xf>
    <xf numFmtId="0" fontId="49" fillId="42" borderId="452" applyNumberFormat="0" applyAlignment="0" applyProtection="0"/>
    <xf numFmtId="4" fontId="32" fillId="33" borderId="456">
      <alignment horizontal="right" vertical="center"/>
    </xf>
    <xf numFmtId="4" fontId="32" fillId="31" borderId="446">
      <alignment horizontal="right" vertical="center"/>
    </xf>
    <xf numFmtId="0" fontId="43" fillId="55" borderId="419" applyNumberFormat="0" applyAlignment="0" applyProtection="0"/>
    <xf numFmtId="0" fontId="45" fillId="55" borderId="420" applyNumberFormat="0" applyAlignment="0" applyProtection="0"/>
    <xf numFmtId="0" fontId="50" fillId="0" borderId="421" applyNumberFormat="0" applyFill="0" applyAlignment="0" applyProtection="0"/>
    <xf numFmtId="0" fontId="65" fillId="0" borderId="428" applyNumberFormat="0" applyFill="0" applyAlignment="0" applyProtection="0"/>
    <xf numFmtId="0" fontId="5" fillId="58" borderId="429" applyNumberFormat="0" applyFont="0" applyAlignment="0" applyProtection="0"/>
    <xf numFmtId="0" fontId="43" fillId="55" borderId="434" applyNumberFormat="0" applyAlignment="0" applyProtection="0"/>
    <xf numFmtId="0" fontId="28" fillId="12" borderId="11" applyNumberFormat="0" applyAlignment="0" applyProtection="0"/>
    <xf numFmtId="0" fontId="12" fillId="30" borderId="0" applyNumberFormat="0" applyBorder="0" applyAlignment="0" applyProtection="0"/>
    <xf numFmtId="0" fontId="40" fillId="58" borderId="445" applyNumberFormat="0" applyFont="0" applyAlignment="0" applyProtection="0"/>
    <xf numFmtId="4" fontId="32" fillId="33" borderId="430">
      <alignment horizontal="right" vertical="center"/>
    </xf>
    <xf numFmtId="49" fontId="33" fillId="0" borderId="430" applyNumberFormat="0" applyFill="0" applyBorder="0" applyProtection="0">
      <alignment horizontal="left" vertical="center"/>
    </xf>
    <xf numFmtId="0" fontId="26" fillId="16" borderId="0" applyNumberFormat="0" applyBorder="0" applyAlignment="0" applyProtection="0"/>
    <xf numFmtId="173" fontId="34" fillId="59" borderId="455" applyNumberFormat="0" applyFont="0" applyBorder="0" applyAlignment="0" applyProtection="0">
      <alignment horizontal="right" vertical="center"/>
    </xf>
    <xf numFmtId="0" fontId="26" fillId="19" borderId="0" applyNumberFormat="0" applyBorder="0" applyAlignment="0" applyProtection="0"/>
    <xf numFmtId="0" fontId="46" fillId="55" borderId="436" applyNumberFormat="0" applyAlignment="0" applyProtection="0"/>
    <xf numFmtId="4" fontId="34" fillId="0" borderId="478" applyFill="0" applyBorder="0" applyProtection="0">
      <alignment horizontal="right" vertical="center"/>
    </xf>
    <xf numFmtId="0" fontId="62" fillId="55" borderId="434" applyNumberFormat="0" applyAlignment="0" applyProtection="0"/>
    <xf numFmtId="0" fontId="34" fillId="31" borderId="431">
      <alignment horizontal="left" vertical="center"/>
    </xf>
    <xf numFmtId="4" fontId="32" fillId="31" borderId="439">
      <alignment horizontal="right" vertical="center"/>
    </xf>
    <xf numFmtId="0" fontId="34" fillId="33" borderId="433">
      <alignment horizontal="left" vertical="center" wrapText="1" indent="2"/>
    </xf>
    <xf numFmtId="4" fontId="32" fillId="33" borderId="432">
      <alignment horizontal="right" vertical="center"/>
    </xf>
    <xf numFmtId="0" fontId="32" fillId="33" borderId="430">
      <alignment horizontal="right" vertical="center"/>
    </xf>
    <xf numFmtId="4" fontId="32" fillId="33" borderId="457">
      <alignment horizontal="right" vertical="center"/>
    </xf>
    <xf numFmtId="4" fontId="34" fillId="0" borderId="446">
      <alignment horizontal="right" vertical="center"/>
    </xf>
    <xf numFmtId="0" fontId="36" fillId="31" borderId="446">
      <alignment horizontal="right" vertical="center"/>
    </xf>
    <xf numFmtId="0" fontId="26" fillId="16" borderId="0" applyNumberFormat="0" applyBorder="0" applyAlignment="0" applyProtection="0"/>
    <xf numFmtId="0" fontId="49" fillId="42" borderId="420" applyNumberFormat="0" applyAlignment="0" applyProtection="0"/>
    <xf numFmtId="0" fontId="40" fillId="58" borderId="429" applyNumberFormat="0" applyFont="0" applyAlignment="0" applyProtection="0"/>
    <xf numFmtId="0" fontId="34" fillId="0" borderId="449">
      <alignment horizontal="left" vertical="center" wrapText="1" indent="2"/>
    </xf>
    <xf numFmtId="49" fontId="33" fillId="0" borderId="455" applyNumberFormat="0" applyFill="0" applyBorder="0" applyProtection="0">
      <alignment horizontal="left" vertical="center"/>
    </xf>
    <xf numFmtId="49" fontId="34" fillId="0" borderId="446" applyNumberFormat="0" applyFont="0" applyFill="0" applyBorder="0" applyProtection="0">
      <alignment horizontal="left" vertical="center" indent="2"/>
    </xf>
    <xf numFmtId="0" fontId="34" fillId="0" borderId="446">
      <alignment horizontal="right" vertical="center"/>
    </xf>
    <xf numFmtId="0" fontId="32" fillId="31" borderId="478">
      <alignment horizontal="right" vertical="center"/>
    </xf>
    <xf numFmtId="0" fontId="50" fillId="0" borderId="428" applyNumberFormat="0" applyFill="0" applyAlignment="0" applyProtection="0"/>
    <xf numFmtId="4" fontId="32" fillId="33" borderId="431">
      <alignment horizontal="right" vertical="center"/>
    </xf>
    <xf numFmtId="0" fontId="26" fillId="16" borderId="0" applyNumberFormat="0" applyBorder="0" applyAlignment="0" applyProtection="0"/>
    <xf numFmtId="0" fontId="58" fillId="42" borderId="427" applyNumberFormat="0" applyAlignment="0" applyProtection="0"/>
    <xf numFmtId="0" fontId="34" fillId="33" borderId="458">
      <alignment horizontal="left" vertical="center" wrapText="1" indent="2"/>
    </xf>
    <xf numFmtId="0" fontId="65" fillId="0" borderId="444" applyNumberFormat="0" applyFill="0" applyAlignment="0" applyProtection="0"/>
    <xf numFmtId="4" fontId="32" fillId="33" borderId="446">
      <alignment horizontal="right" vertical="center"/>
    </xf>
    <xf numFmtId="4" fontId="34" fillId="32" borderId="455"/>
    <xf numFmtId="0" fontId="58" fillId="42" borderId="427" applyNumberFormat="0" applyAlignment="0" applyProtection="0"/>
    <xf numFmtId="0" fontId="34" fillId="33" borderId="433">
      <alignment horizontal="left" vertical="center" wrapText="1" indent="2"/>
    </xf>
    <xf numFmtId="0" fontId="50" fillId="0" borderId="428" applyNumberFormat="0" applyFill="0" applyAlignment="0" applyProtection="0"/>
    <xf numFmtId="4" fontId="34" fillId="32" borderId="430"/>
    <xf numFmtId="0" fontId="49" fillId="42" borderId="443" applyNumberFormat="0" applyAlignment="0" applyProtection="0"/>
    <xf numFmtId="0" fontId="34" fillId="33" borderId="426">
      <alignment horizontal="left" vertical="center" wrapText="1" indent="2"/>
    </xf>
    <xf numFmtId="0" fontId="34" fillId="0" borderId="426">
      <alignment horizontal="left" vertical="center" wrapText="1" indent="2"/>
    </xf>
    <xf numFmtId="0" fontId="29" fillId="12" borderId="10" applyNumberFormat="0" applyAlignment="0" applyProtection="0"/>
    <xf numFmtId="0" fontId="12" fillId="18" borderId="0" applyNumberFormat="0" applyBorder="0" applyAlignment="0" applyProtection="0"/>
    <xf numFmtId="0" fontId="45" fillId="55" borderId="427" applyNumberFormat="0" applyAlignment="0" applyProtection="0"/>
    <xf numFmtId="0" fontId="34" fillId="0" borderId="449">
      <alignment horizontal="left" vertical="center" wrapText="1" indent="2"/>
    </xf>
    <xf numFmtId="0" fontId="65" fillId="0" borderId="444" applyNumberFormat="0" applyFill="0" applyAlignment="0" applyProtection="0"/>
    <xf numFmtId="4" fontId="32" fillId="31" borderId="446">
      <alignment horizontal="right" vertical="center"/>
    </xf>
    <xf numFmtId="0" fontId="49" fillId="42" borderId="460" applyNumberFormat="0" applyAlignment="0" applyProtection="0"/>
    <xf numFmtId="173" fontId="34" fillId="59" borderId="446" applyNumberFormat="0" applyFont="0" applyBorder="0" applyAlignment="0" applyProtection="0">
      <alignment horizontal="right" vertical="center"/>
    </xf>
    <xf numFmtId="0" fontId="46" fillId="55" borderId="452" applyNumberFormat="0" applyAlignment="0" applyProtection="0"/>
    <xf numFmtId="0" fontId="12" fillId="27" borderId="0" applyNumberFormat="0" applyBorder="0" applyAlignment="0" applyProtection="0"/>
    <xf numFmtId="0" fontId="45" fillId="55" borderId="427" applyNumberFormat="0" applyAlignment="0" applyProtection="0"/>
    <xf numFmtId="0" fontId="58" fillId="42" borderId="443" applyNumberFormat="0" applyAlignment="0" applyProtection="0"/>
    <xf numFmtId="0" fontId="58" fillId="42" borderId="443" applyNumberFormat="0" applyAlignment="0" applyProtection="0"/>
    <xf numFmtId="4" fontId="32" fillId="33" borderId="439">
      <alignment horizontal="right" vertical="center"/>
    </xf>
    <xf numFmtId="0" fontId="26" fillId="14" borderId="0" applyNumberFormat="0" applyBorder="0" applyAlignment="0" applyProtection="0"/>
    <xf numFmtId="4" fontId="32" fillId="33" borderId="432">
      <alignment horizontal="right" vertical="center"/>
    </xf>
    <xf numFmtId="4" fontId="32" fillId="33" borderId="431">
      <alignment horizontal="right" vertical="center"/>
    </xf>
    <xf numFmtId="0" fontId="40" fillId="58" borderId="429" applyNumberFormat="0" applyFont="0" applyAlignment="0" applyProtection="0"/>
    <xf numFmtId="0" fontId="50" fillId="0" borderId="428" applyNumberFormat="0" applyFill="0" applyAlignment="0" applyProtection="0"/>
    <xf numFmtId="49" fontId="34" fillId="0" borderId="430" applyNumberFormat="0" applyFont="0" applyFill="0" applyBorder="0" applyProtection="0">
      <alignment horizontal="left" vertical="center" indent="2"/>
    </xf>
    <xf numFmtId="0" fontId="65" fillId="0" borderId="428" applyNumberFormat="0" applyFill="0" applyAlignment="0" applyProtection="0"/>
    <xf numFmtId="49" fontId="33" fillId="0" borderId="446" applyNumberFormat="0" applyFill="0" applyBorder="0" applyProtection="0">
      <alignment horizontal="left" vertical="center"/>
    </xf>
    <xf numFmtId="4" fontId="32" fillId="33" borderId="432">
      <alignment horizontal="right" vertical="center"/>
    </xf>
    <xf numFmtId="0" fontId="34" fillId="0" borderId="430" applyNumberFormat="0" applyFill="0" applyAlignment="0" applyProtection="0"/>
    <xf numFmtId="0" fontId="46" fillId="55" borderId="427" applyNumberFormat="0" applyAlignment="0" applyProtection="0"/>
    <xf numFmtId="0" fontId="34" fillId="33" borderId="433">
      <alignment horizontal="left" vertical="center" wrapText="1" indent="2"/>
    </xf>
    <xf numFmtId="4" fontId="36" fillId="31" borderId="430">
      <alignment horizontal="right" vertical="center"/>
    </xf>
    <xf numFmtId="0" fontId="34" fillId="0" borderId="430" applyNumberFormat="0" applyFill="0" applyAlignment="0" applyProtection="0"/>
    <xf numFmtId="0" fontId="65" fillId="0" borderId="428" applyNumberFormat="0" applyFill="0" applyAlignment="0" applyProtection="0"/>
    <xf numFmtId="4" fontId="32" fillId="33" borderId="432">
      <alignment horizontal="right" vertical="center"/>
    </xf>
    <xf numFmtId="0" fontId="62" fillId="55" borderId="434" applyNumberFormat="0" applyAlignment="0" applyProtection="0"/>
    <xf numFmtId="0" fontId="58" fillId="42" borderId="427" applyNumberFormat="0" applyAlignment="0" applyProtection="0"/>
    <xf numFmtId="0" fontId="32" fillId="31" borderId="430">
      <alignment horizontal="right" vertical="center"/>
    </xf>
    <xf numFmtId="0" fontId="32" fillId="33" borderId="430">
      <alignment horizontal="right" vertical="center"/>
    </xf>
    <xf numFmtId="0" fontId="40" fillId="58" borderId="429" applyNumberFormat="0" applyFont="0" applyAlignment="0" applyProtection="0"/>
    <xf numFmtId="0" fontId="1" fillId="0" borderId="0" applyNumberFormat="0" applyFill="0" applyBorder="0" applyAlignment="0" applyProtection="0"/>
    <xf numFmtId="49" fontId="34" fillId="0" borderId="431" applyNumberFormat="0" applyFont="0" applyFill="0" applyBorder="0" applyProtection="0">
      <alignment horizontal="left" vertical="center" indent="5"/>
    </xf>
    <xf numFmtId="0" fontId="50" fillId="0" borderId="428" applyNumberFormat="0" applyFill="0" applyAlignment="0" applyProtection="0"/>
    <xf numFmtId="0" fontId="34" fillId="0" borderId="433">
      <alignment horizontal="left" vertical="center" wrapText="1" indent="2"/>
    </xf>
    <xf numFmtId="0" fontId="49" fillId="42" borderId="427" applyNumberFormat="0" applyAlignment="0" applyProtection="0"/>
    <xf numFmtId="0" fontId="58" fillId="42" borderId="460" applyNumberFormat="0" applyAlignment="0" applyProtection="0"/>
    <xf numFmtId="0" fontId="34" fillId="32" borderId="430"/>
    <xf numFmtId="4" fontId="34" fillId="0" borderId="430">
      <alignment horizontal="right" vertical="center"/>
    </xf>
    <xf numFmtId="0" fontId="26" fillId="23" borderId="0" applyNumberFormat="0" applyBorder="0" applyAlignment="0" applyProtection="0"/>
    <xf numFmtId="0" fontId="26" fillId="29" borderId="0" applyNumberFormat="0" applyBorder="0" applyAlignment="0" applyProtection="0"/>
    <xf numFmtId="0" fontId="40" fillId="58" borderId="467" applyNumberFormat="0" applyFont="0" applyAlignment="0" applyProtection="0"/>
    <xf numFmtId="0" fontId="12" fillId="15" borderId="0" applyNumberFormat="0" applyBorder="0" applyAlignment="0" applyProtection="0"/>
    <xf numFmtId="0" fontId="26" fillId="19" borderId="0" applyNumberFormat="0" applyBorder="0" applyAlignment="0" applyProtection="0"/>
    <xf numFmtId="0" fontId="12" fillId="24" borderId="0" applyNumberFormat="0" applyBorder="0" applyAlignment="0" applyProtection="0"/>
    <xf numFmtId="0" fontId="1" fillId="0" borderId="0" applyNumberFormat="0" applyFill="0" applyBorder="0" applyAlignment="0" applyProtection="0"/>
    <xf numFmtId="0" fontId="26" fillId="22" borderId="0" applyNumberFormat="0" applyBorder="0" applyAlignment="0" applyProtection="0"/>
    <xf numFmtId="0" fontId="34" fillId="0" borderId="455" applyNumberFormat="0" applyFill="0" applyAlignment="0" applyProtection="0"/>
    <xf numFmtId="0" fontId="26" fillId="19" borderId="0" applyNumberFormat="0" applyBorder="0" applyAlignment="0" applyProtection="0"/>
    <xf numFmtId="0" fontId="26" fillId="17" borderId="0" applyNumberFormat="0" applyBorder="0" applyAlignment="0" applyProtection="0"/>
    <xf numFmtId="4" fontId="32" fillId="33" borderId="441">
      <alignment horizontal="right" vertical="center"/>
    </xf>
    <xf numFmtId="4" fontId="32" fillId="33" borderId="447">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1" fillId="0" borderId="0" applyNumberFormat="0" applyFill="0" applyBorder="0" applyAlignment="0" applyProtection="0"/>
    <xf numFmtId="0" fontId="34" fillId="32" borderId="446"/>
    <xf numFmtId="0" fontId="28" fillId="12" borderId="11" applyNumberFormat="0" applyAlignment="0" applyProtection="0"/>
    <xf numFmtId="0" fontId="26" fillId="13" borderId="0" applyNumberFormat="0" applyBorder="0" applyAlignment="0" applyProtection="0"/>
    <xf numFmtId="4" fontId="36" fillId="31" borderId="455">
      <alignment horizontal="right" vertical="center"/>
    </xf>
    <xf numFmtId="0" fontId="1" fillId="0" borderId="0" applyNumberFormat="0" applyFill="0" applyBorder="0" applyAlignment="0" applyProtection="0"/>
    <xf numFmtId="0" fontId="49" fillId="42" borderId="452" applyNumberFormat="0" applyAlignment="0" applyProtection="0"/>
    <xf numFmtId="0" fontId="5" fillId="58" borderId="445" applyNumberFormat="0" applyFont="0" applyAlignment="0" applyProtection="0"/>
    <xf numFmtId="0" fontId="34" fillId="32" borderId="446"/>
    <xf numFmtId="0" fontId="2" fillId="0" borderId="12" applyNumberFormat="0" applyFill="0" applyAlignment="0" applyProtection="0"/>
    <xf numFmtId="4" fontId="32" fillId="33" borderId="423">
      <alignment horizontal="right" vertical="center"/>
    </xf>
    <xf numFmtId="0" fontId="34" fillId="32" borderId="423"/>
    <xf numFmtId="0" fontId="45" fillId="55" borderId="420" applyNumberFormat="0" applyAlignment="0" applyProtection="0"/>
    <xf numFmtId="0" fontId="32" fillId="31" borderId="423">
      <alignment horizontal="right" vertical="center"/>
    </xf>
    <xf numFmtId="0" fontId="34" fillId="0" borderId="423">
      <alignment horizontal="right" vertical="center"/>
    </xf>
    <xf numFmtId="0" fontId="65" fillId="0" borderId="421" applyNumberFormat="0" applyFill="0" applyAlignment="0" applyProtection="0"/>
    <xf numFmtId="0" fontId="34" fillId="31" borderId="424">
      <alignment horizontal="left" vertical="center"/>
    </xf>
    <xf numFmtId="0" fontId="58" fillId="42" borderId="420" applyNumberFormat="0" applyAlignment="0" applyProtection="0"/>
    <xf numFmtId="173" fontId="34" fillId="59" borderId="423" applyNumberFormat="0" applyFont="0" applyBorder="0" applyAlignment="0" applyProtection="0">
      <alignment horizontal="right" vertical="center"/>
    </xf>
    <xf numFmtId="0" fontId="40" fillId="58" borderId="422" applyNumberFormat="0" applyFont="0" applyAlignment="0" applyProtection="0"/>
    <xf numFmtId="0" fontId="34" fillId="0" borderId="426">
      <alignment horizontal="left" vertical="center" wrapText="1" indent="2"/>
    </xf>
    <xf numFmtId="4" fontId="34" fillId="32" borderId="423"/>
    <xf numFmtId="49" fontId="33" fillId="0" borderId="423" applyNumberFormat="0" applyFill="0" applyBorder="0" applyProtection="0">
      <alignment horizontal="left" vertical="center"/>
    </xf>
    <xf numFmtId="0" fontId="34" fillId="0" borderId="423">
      <alignment horizontal="right" vertical="center"/>
    </xf>
    <xf numFmtId="4" fontId="32" fillId="33" borderId="425">
      <alignment horizontal="right" vertical="center"/>
    </xf>
    <xf numFmtId="4" fontId="32" fillId="33" borderId="423">
      <alignment horizontal="right" vertical="center"/>
    </xf>
    <xf numFmtId="4" fontId="32" fillId="33" borderId="423">
      <alignment horizontal="right" vertical="center"/>
    </xf>
    <xf numFmtId="0" fontId="36" fillId="31" borderId="423">
      <alignment horizontal="right" vertical="center"/>
    </xf>
    <xf numFmtId="0" fontId="32" fillId="31" borderId="423">
      <alignment horizontal="right" vertical="center"/>
    </xf>
    <xf numFmtId="49" fontId="34" fillId="0" borderId="423" applyNumberFormat="0" applyFont="0" applyFill="0" applyBorder="0" applyProtection="0">
      <alignment horizontal="left" vertical="center" indent="2"/>
    </xf>
    <xf numFmtId="0" fontId="58" fillId="42" borderId="420" applyNumberFormat="0" applyAlignment="0" applyProtection="0"/>
    <xf numFmtId="0" fontId="43" fillId="55" borderId="419" applyNumberFormat="0" applyAlignment="0" applyProtection="0"/>
    <xf numFmtId="49" fontId="34" fillId="0" borderId="423" applyNumberFormat="0" applyFont="0" applyFill="0" applyBorder="0" applyProtection="0">
      <alignment horizontal="left" vertical="center" indent="2"/>
    </xf>
    <xf numFmtId="0" fontId="49" fillId="42" borderId="420" applyNumberFormat="0" applyAlignment="0" applyProtection="0"/>
    <xf numFmtId="4" fontId="34" fillId="0" borderId="423" applyFill="0" applyBorder="0" applyProtection="0">
      <alignment horizontal="right" vertical="center"/>
    </xf>
    <xf numFmtId="0" fontId="46" fillId="55" borderId="420" applyNumberFormat="0" applyAlignment="0" applyProtection="0"/>
    <xf numFmtId="0" fontId="65" fillId="0" borderId="421" applyNumberFormat="0" applyFill="0" applyAlignment="0" applyProtection="0"/>
    <xf numFmtId="0" fontId="62" fillId="55" borderId="419" applyNumberFormat="0" applyAlignment="0" applyProtection="0"/>
    <xf numFmtId="0" fontId="34" fillId="0" borderId="423" applyNumberFormat="0" applyFill="0" applyAlignment="0" applyProtection="0"/>
    <xf numFmtId="4" fontId="34" fillId="0" borderId="423">
      <alignment horizontal="right" vertical="center"/>
    </xf>
    <xf numFmtId="0" fontId="34" fillId="0" borderId="423">
      <alignment horizontal="right" vertical="center"/>
    </xf>
    <xf numFmtId="0" fontId="58" fillId="42" borderId="420" applyNumberFormat="0" applyAlignment="0" applyProtection="0"/>
    <xf numFmtId="0" fontId="43" fillId="55" borderId="419" applyNumberFormat="0" applyAlignment="0" applyProtection="0"/>
    <xf numFmtId="0" fontId="45" fillId="55" borderId="420" applyNumberFormat="0" applyAlignment="0" applyProtection="0"/>
    <xf numFmtId="0" fontId="34" fillId="33" borderId="426">
      <alignment horizontal="left" vertical="center" wrapText="1" indent="2"/>
    </xf>
    <xf numFmtId="0" fontId="46" fillId="55" borderId="420" applyNumberFormat="0" applyAlignment="0" applyProtection="0"/>
    <xf numFmtId="0" fontId="46" fillId="55" borderId="420" applyNumberFormat="0" applyAlignment="0" applyProtection="0"/>
    <xf numFmtId="4" fontId="32" fillId="33" borderId="424">
      <alignment horizontal="right" vertical="center"/>
    </xf>
    <xf numFmtId="0" fontId="32" fillId="33" borderId="424">
      <alignment horizontal="right" vertical="center"/>
    </xf>
    <xf numFmtId="0" fontId="32" fillId="33" borderId="423">
      <alignment horizontal="right" vertical="center"/>
    </xf>
    <xf numFmtId="4" fontId="36" fillId="31" borderId="423">
      <alignment horizontal="right" vertical="center"/>
    </xf>
    <xf numFmtId="0" fontId="49" fillId="42" borderId="420" applyNumberFormat="0" applyAlignment="0" applyProtection="0"/>
    <xf numFmtId="0" fontId="50" fillId="0" borderId="421" applyNumberFormat="0" applyFill="0" applyAlignment="0" applyProtection="0"/>
    <xf numFmtId="0" fontId="65" fillId="0" borderId="421" applyNumberFormat="0" applyFill="0" applyAlignment="0" applyProtection="0"/>
    <xf numFmtId="0" fontId="40" fillId="58" borderId="422" applyNumberFormat="0" applyFont="0" applyAlignment="0" applyProtection="0"/>
    <xf numFmtId="0" fontId="58" fillId="42" borderId="420" applyNumberFormat="0" applyAlignment="0" applyProtection="0"/>
    <xf numFmtId="49" fontId="33" fillId="0" borderId="423" applyNumberFormat="0" applyFill="0" applyBorder="0" applyProtection="0">
      <alignment horizontal="left" vertical="center"/>
    </xf>
    <xf numFmtId="0" fontId="34" fillId="33" borderId="426">
      <alignment horizontal="left" vertical="center" wrapText="1" indent="2"/>
    </xf>
    <xf numFmtId="0" fontId="46" fillId="55" borderId="420" applyNumberFormat="0" applyAlignment="0" applyProtection="0"/>
    <xf numFmtId="0" fontId="34" fillId="0" borderId="426">
      <alignment horizontal="left" vertical="center" wrapText="1" indent="2"/>
    </xf>
    <xf numFmtId="0" fontId="40" fillId="58" borderId="422" applyNumberFormat="0" applyFont="0" applyAlignment="0" applyProtection="0"/>
    <xf numFmtId="0" fontId="5" fillId="58" borderId="422" applyNumberFormat="0" applyFont="0" applyAlignment="0" applyProtection="0"/>
    <xf numFmtId="0" fontId="62" fillId="55" borderId="419" applyNumberFormat="0" applyAlignment="0" applyProtection="0"/>
    <xf numFmtId="0" fontId="65" fillId="0" borderId="421" applyNumberFormat="0" applyFill="0" applyAlignment="0" applyProtection="0"/>
    <xf numFmtId="4" fontId="34" fillId="32" borderId="423"/>
    <xf numFmtId="0" fontId="32" fillId="33" borderId="423">
      <alignment horizontal="right" vertical="center"/>
    </xf>
    <xf numFmtId="0" fontId="65" fillId="0" borderId="421" applyNumberFormat="0" applyFill="0" applyAlignment="0" applyProtection="0"/>
    <xf numFmtId="4" fontId="32" fillId="33" borderId="425">
      <alignment horizontal="right" vertical="center"/>
    </xf>
    <xf numFmtId="0" fontId="45" fillId="55" borderId="420" applyNumberFormat="0" applyAlignment="0" applyProtection="0"/>
    <xf numFmtId="0" fontId="32" fillId="33" borderId="424">
      <alignment horizontal="right" vertical="center"/>
    </xf>
    <xf numFmtId="0" fontId="46" fillId="55" borderId="420" applyNumberFormat="0" applyAlignment="0" applyProtection="0"/>
    <xf numFmtId="0" fontId="50" fillId="0" borderId="421" applyNumberFormat="0" applyFill="0" applyAlignment="0" applyProtection="0"/>
    <xf numFmtId="0" fontId="40" fillId="58" borderId="422" applyNumberFormat="0" applyFont="0" applyAlignment="0" applyProtection="0"/>
    <xf numFmtId="4" fontId="32" fillId="33" borderId="424">
      <alignment horizontal="right" vertical="center"/>
    </xf>
    <xf numFmtId="0" fontId="34" fillId="33" borderId="426">
      <alignment horizontal="left" vertical="center" wrapText="1" indent="2"/>
    </xf>
    <xf numFmtId="0" fontId="34" fillId="32" borderId="423"/>
    <xf numFmtId="173" fontId="34" fillId="59" borderId="423" applyNumberFormat="0" applyFont="0" applyBorder="0" applyAlignment="0" applyProtection="0">
      <alignment horizontal="right" vertical="center"/>
    </xf>
    <xf numFmtId="0" fontId="34" fillId="0" borderId="423" applyNumberFormat="0" applyFill="0" applyAlignment="0" applyProtection="0"/>
    <xf numFmtId="4" fontId="34" fillId="0" borderId="423" applyFill="0" applyBorder="0" applyProtection="0">
      <alignment horizontal="right" vertical="center"/>
    </xf>
    <xf numFmtId="4" fontId="32" fillId="31" borderId="423">
      <alignment horizontal="right" vertical="center"/>
    </xf>
    <xf numFmtId="0" fontId="50" fillId="0" borderId="421" applyNumberFormat="0" applyFill="0" applyAlignment="0" applyProtection="0"/>
    <xf numFmtId="49" fontId="33" fillId="0" borderId="423" applyNumberFormat="0" applyFill="0" applyBorder="0" applyProtection="0">
      <alignment horizontal="left" vertical="center"/>
    </xf>
    <xf numFmtId="49" fontId="34" fillId="0" borderId="424" applyNumberFormat="0" applyFont="0" applyFill="0" applyBorder="0" applyProtection="0">
      <alignment horizontal="left" vertical="center" indent="5"/>
    </xf>
    <xf numFmtId="0" fontId="34" fillId="31" borderId="424">
      <alignment horizontal="left" vertical="center"/>
    </xf>
    <xf numFmtId="0" fontId="46" fillId="55" borderId="420" applyNumberFormat="0" applyAlignment="0" applyProtection="0"/>
    <xf numFmtId="4" fontId="32" fillId="33" borderId="425">
      <alignment horizontal="right" vertical="center"/>
    </xf>
    <xf numFmtId="0" fontId="58" fillId="42" borderId="420" applyNumberFormat="0" applyAlignment="0" applyProtection="0"/>
    <xf numFmtId="0" fontId="58" fillId="42" borderId="420" applyNumberFormat="0" applyAlignment="0" applyProtection="0"/>
    <xf numFmtId="0" fontId="40" fillId="58" borderId="422" applyNumberFormat="0" applyFont="0" applyAlignment="0" applyProtection="0"/>
    <xf numFmtId="0" fontId="62" fillId="55" borderId="419" applyNumberFormat="0" applyAlignment="0" applyProtection="0"/>
    <xf numFmtId="0" fontId="65" fillId="0" borderId="421" applyNumberFormat="0" applyFill="0" applyAlignment="0" applyProtection="0"/>
    <xf numFmtId="0" fontId="32" fillId="33" borderId="423">
      <alignment horizontal="right" vertical="center"/>
    </xf>
    <xf numFmtId="0" fontId="5" fillId="58" borderId="422" applyNumberFormat="0" applyFont="0" applyAlignment="0" applyProtection="0"/>
    <xf numFmtId="4" fontId="34" fillId="0" borderId="423">
      <alignment horizontal="right" vertical="center"/>
    </xf>
    <xf numFmtId="0" fontId="65" fillId="0" borderId="421" applyNumberFormat="0" applyFill="0" applyAlignment="0" applyProtection="0"/>
    <xf numFmtId="0" fontId="32" fillId="33" borderId="423">
      <alignment horizontal="right" vertical="center"/>
    </xf>
    <xf numFmtId="0" fontId="32" fillId="33" borderId="423">
      <alignment horizontal="right" vertical="center"/>
    </xf>
    <xf numFmtId="4" fontId="36" fillId="31" borderId="423">
      <alignment horizontal="right" vertical="center"/>
    </xf>
    <xf numFmtId="0" fontId="32" fillId="31" borderId="423">
      <alignment horizontal="right" vertical="center"/>
    </xf>
    <xf numFmtId="4" fontId="32" fillId="31" borderId="423">
      <alignment horizontal="right" vertical="center"/>
    </xf>
    <xf numFmtId="0" fontId="36" fillId="31" borderId="423">
      <alignment horizontal="right" vertical="center"/>
    </xf>
    <xf numFmtId="4" fontId="36" fillId="31" borderId="423">
      <alignment horizontal="right" vertical="center"/>
    </xf>
    <xf numFmtId="0" fontId="32" fillId="33" borderId="423">
      <alignment horizontal="right" vertical="center"/>
    </xf>
    <xf numFmtId="4" fontId="32" fillId="33" borderId="423">
      <alignment horizontal="right" vertical="center"/>
    </xf>
    <xf numFmtId="0" fontId="32" fillId="33" borderId="423">
      <alignment horizontal="right" vertical="center"/>
    </xf>
    <xf numFmtId="4" fontId="32" fillId="33" borderId="423">
      <alignment horizontal="right" vertical="center"/>
    </xf>
    <xf numFmtId="0" fontId="32" fillId="33" borderId="424">
      <alignment horizontal="right" vertical="center"/>
    </xf>
    <xf numFmtId="4" fontId="32" fillId="33" borderId="424">
      <alignment horizontal="right" vertical="center"/>
    </xf>
    <xf numFmtId="0" fontId="32" fillId="33" borderId="425">
      <alignment horizontal="right" vertical="center"/>
    </xf>
    <xf numFmtId="4" fontId="32" fillId="33" borderId="425">
      <alignment horizontal="right" vertical="center"/>
    </xf>
    <xf numFmtId="0" fontId="46" fillId="55" borderId="420" applyNumberFormat="0" applyAlignment="0" applyProtection="0"/>
    <xf numFmtId="0" fontId="34" fillId="33" borderId="426">
      <alignment horizontal="left" vertical="center" wrapText="1" indent="2"/>
    </xf>
    <xf numFmtId="0" fontId="34" fillId="0" borderId="426">
      <alignment horizontal="left" vertical="center" wrapText="1" indent="2"/>
    </xf>
    <xf numFmtId="0" fontId="34" fillId="31" borderId="424">
      <alignment horizontal="left" vertical="center"/>
    </xf>
    <xf numFmtId="0" fontId="58" fillId="42" borderId="420" applyNumberFormat="0" applyAlignment="0" applyProtection="0"/>
    <xf numFmtId="0" fontId="34" fillId="0" borderId="423">
      <alignment horizontal="right" vertical="center"/>
    </xf>
    <xf numFmtId="4" fontId="34" fillId="0" borderId="423">
      <alignment horizontal="right" vertical="center"/>
    </xf>
    <xf numFmtId="0" fontId="34" fillId="0" borderId="423" applyNumberFormat="0" applyFill="0" applyAlignment="0" applyProtection="0"/>
    <xf numFmtId="0" fontId="62" fillId="55" borderId="419" applyNumberFormat="0" applyAlignment="0" applyProtection="0"/>
    <xf numFmtId="173" fontId="34" fillId="59" borderId="423" applyNumberFormat="0" applyFont="0" applyBorder="0" applyAlignment="0" applyProtection="0">
      <alignment horizontal="right" vertical="center"/>
    </xf>
    <xf numFmtId="0" fontId="34" fillId="32" borderId="423"/>
    <xf numFmtId="4" fontId="34" fillId="32" borderId="423"/>
    <xf numFmtId="0" fontId="65" fillId="0" borderId="421" applyNumberFormat="0" applyFill="0" applyAlignment="0" applyProtection="0"/>
    <xf numFmtId="0" fontId="5" fillId="58" borderId="422" applyNumberFormat="0" applyFont="0" applyAlignment="0" applyProtection="0"/>
    <xf numFmtId="0" fontId="40" fillId="58" borderId="422" applyNumberFormat="0" applyFont="0" applyAlignment="0" applyProtection="0"/>
    <xf numFmtId="0" fontId="34" fillId="0" borderId="423" applyNumberFormat="0" applyFill="0" applyAlignment="0" applyProtection="0"/>
    <xf numFmtId="0" fontId="50" fillId="0" borderId="421" applyNumberFormat="0" applyFill="0" applyAlignment="0" applyProtection="0"/>
    <xf numFmtId="0" fontId="65" fillId="0" borderId="421" applyNumberFormat="0" applyFill="0" applyAlignment="0" applyProtection="0"/>
    <xf numFmtId="0" fontId="49" fillId="42" borderId="420" applyNumberFormat="0" applyAlignment="0" applyProtection="0"/>
    <xf numFmtId="0" fontId="46" fillId="55" borderId="420" applyNumberFormat="0" applyAlignment="0" applyProtection="0"/>
    <xf numFmtId="4" fontId="36" fillId="31" borderId="423">
      <alignment horizontal="right" vertical="center"/>
    </xf>
    <xf numFmtId="0" fontId="32" fillId="31" borderId="423">
      <alignment horizontal="right" vertical="center"/>
    </xf>
    <xf numFmtId="173" fontId="34" fillId="59" borderId="423" applyNumberFormat="0" applyFont="0" applyBorder="0" applyAlignment="0" applyProtection="0">
      <alignment horizontal="right" vertical="center"/>
    </xf>
    <xf numFmtId="0" fontId="50" fillId="0" borderId="421" applyNumberFormat="0" applyFill="0" applyAlignment="0" applyProtection="0"/>
    <xf numFmtId="49" fontId="34" fillId="0" borderId="423" applyNumberFormat="0" applyFont="0" applyFill="0" applyBorder="0" applyProtection="0">
      <alignment horizontal="left" vertical="center" indent="2"/>
    </xf>
    <xf numFmtId="49" fontId="34" fillId="0" borderId="424" applyNumberFormat="0" applyFont="0" applyFill="0" applyBorder="0" applyProtection="0">
      <alignment horizontal="left" vertical="center" indent="5"/>
    </xf>
    <xf numFmtId="49" fontId="34" fillId="0" borderId="423" applyNumberFormat="0" applyFont="0" applyFill="0" applyBorder="0" applyProtection="0">
      <alignment horizontal="left" vertical="center" indent="2"/>
    </xf>
    <xf numFmtId="4" fontId="34" fillId="0" borderId="423" applyFill="0" applyBorder="0" applyProtection="0">
      <alignment horizontal="right" vertical="center"/>
    </xf>
    <xf numFmtId="49" fontId="33" fillId="0" borderId="423" applyNumberFormat="0" applyFill="0" applyBorder="0" applyProtection="0">
      <alignment horizontal="left" vertical="center"/>
    </xf>
    <xf numFmtId="0" fontId="34" fillId="0" borderId="426">
      <alignment horizontal="left" vertical="center" wrapText="1" indent="2"/>
    </xf>
    <xf numFmtId="0" fontId="62" fillId="55" borderId="419" applyNumberFormat="0" applyAlignment="0" applyProtection="0"/>
    <xf numFmtId="0" fontId="32" fillId="33" borderId="425">
      <alignment horizontal="right" vertical="center"/>
    </xf>
    <xf numFmtId="0" fontId="49" fillId="42" borderId="420" applyNumberFormat="0" applyAlignment="0" applyProtection="0"/>
    <xf numFmtId="0" fontId="32" fillId="33" borderId="425">
      <alignment horizontal="right" vertical="center"/>
    </xf>
    <xf numFmtId="4" fontId="32" fillId="33" borderId="423">
      <alignment horizontal="right" vertical="center"/>
    </xf>
    <xf numFmtId="0" fontId="32" fillId="33" borderId="423">
      <alignment horizontal="right" vertical="center"/>
    </xf>
    <xf numFmtId="0" fontId="43" fillId="55" borderId="419" applyNumberFormat="0" applyAlignment="0" applyProtection="0"/>
    <xf numFmtId="0" fontId="45" fillId="55" borderId="420" applyNumberFormat="0" applyAlignment="0" applyProtection="0"/>
    <xf numFmtId="0" fontId="50" fillId="0" borderId="421" applyNumberFormat="0" applyFill="0" applyAlignment="0" applyProtection="0"/>
    <xf numFmtId="0" fontId="34" fillId="32" borderId="423"/>
    <xf numFmtId="4" fontId="34" fillId="32" borderId="423"/>
    <xf numFmtId="4" fontId="32" fillId="33" borderId="423">
      <alignment horizontal="right" vertical="center"/>
    </xf>
    <xf numFmtId="0" fontId="36" fillId="31" borderId="423">
      <alignment horizontal="right" vertical="center"/>
    </xf>
    <xf numFmtId="0" fontId="49" fillId="42" borderId="420" applyNumberFormat="0" applyAlignment="0" applyProtection="0"/>
    <xf numFmtId="0" fontId="46" fillId="55" borderId="420" applyNumberFormat="0" applyAlignment="0" applyProtection="0"/>
    <xf numFmtId="4" fontId="34" fillId="0" borderId="423">
      <alignment horizontal="right" vertical="center"/>
    </xf>
    <xf numFmtId="0" fontId="34" fillId="33" borderId="426">
      <alignment horizontal="left" vertical="center" wrapText="1" indent="2"/>
    </xf>
    <xf numFmtId="0" fontId="34" fillId="0" borderId="426">
      <alignment horizontal="left" vertical="center" wrapText="1" indent="2"/>
    </xf>
    <xf numFmtId="0" fontId="62" fillId="55" borderId="419" applyNumberFormat="0" applyAlignment="0" applyProtection="0"/>
    <xf numFmtId="0" fontId="58" fillId="42" borderId="420" applyNumberFormat="0" applyAlignment="0" applyProtection="0"/>
    <xf numFmtId="0" fontId="45" fillId="55" borderId="420" applyNumberFormat="0" applyAlignment="0" applyProtection="0"/>
    <xf numFmtId="0" fontId="43" fillId="55" borderId="419" applyNumberFormat="0" applyAlignment="0" applyProtection="0"/>
    <xf numFmtId="0" fontId="32" fillId="33" borderId="425">
      <alignment horizontal="right" vertical="center"/>
    </xf>
    <xf numFmtId="0" fontId="36" fillId="31" borderId="423">
      <alignment horizontal="right" vertical="center"/>
    </xf>
    <xf numFmtId="4" fontId="32" fillId="31" borderId="423">
      <alignment horizontal="right" vertical="center"/>
    </xf>
    <xf numFmtId="4" fontId="32" fillId="33" borderId="423">
      <alignment horizontal="right" vertical="center"/>
    </xf>
    <xf numFmtId="49" fontId="34" fillId="0" borderId="424" applyNumberFormat="0" applyFont="0" applyFill="0" applyBorder="0" applyProtection="0">
      <alignment horizontal="left" vertical="center" indent="5"/>
    </xf>
    <xf numFmtId="4" fontId="34" fillId="0" borderId="423" applyFill="0" applyBorder="0" applyProtection="0">
      <alignment horizontal="right" vertical="center"/>
    </xf>
    <xf numFmtId="4" fontId="32" fillId="31" borderId="423">
      <alignment horizontal="right" vertical="center"/>
    </xf>
    <xf numFmtId="0" fontId="29" fillId="12" borderId="10" applyNumberFormat="0" applyAlignment="0" applyProtection="0"/>
    <xf numFmtId="0" fontId="58" fillId="42" borderId="420" applyNumberFormat="0" applyAlignment="0" applyProtection="0"/>
    <xf numFmtId="0" fontId="49" fillId="42" borderId="420" applyNumberFormat="0" applyAlignment="0" applyProtection="0"/>
    <xf numFmtId="0" fontId="45" fillId="55" borderId="420" applyNumberFormat="0" applyAlignment="0" applyProtection="0"/>
    <xf numFmtId="0" fontId="34" fillId="33" borderId="426">
      <alignment horizontal="left" vertical="center" wrapText="1" indent="2"/>
    </xf>
    <xf numFmtId="0" fontId="34" fillId="0" borderId="426">
      <alignment horizontal="left" vertical="center" wrapText="1" indent="2"/>
    </xf>
    <xf numFmtId="0" fontId="34" fillId="33" borderId="426">
      <alignment horizontal="left" vertical="center" wrapText="1" indent="2"/>
    </xf>
    <xf numFmtId="0" fontId="34" fillId="0" borderId="426">
      <alignment horizontal="left" vertical="center" wrapText="1" indent="2"/>
    </xf>
    <xf numFmtId="0" fontId="43" fillId="55" borderId="419" applyNumberFormat="0" applyAlignment="0" applyProtection="0"/>
    <xf numFmtId="0" fontId="45" fillId="55" borderId="420" applyNumberFormat="0" applyAlignment="0" applyProtection="0"/>
    <xf numFmtId="0" fontId="46" fillId="55" borderId="420" applyNumberFormat="0" applyAlignment="0" applyProtection="0"/>
    <xf numFmtId="0" fontId="49" fillId="42" borderId="420" applyNumberFormat="0" applyAlignment="0" applyProtection="0"/>
    <xf numFmtId="0" fontId="50" fillId="0" borderId="421" applyNumberFormat="0" applyFill="0" applyAlignment="0" applyProtection="0"/>
    <xf numFmtId="0" fontId="58" fillId="42" borderId="420" applyNumberFormat="0" applyAlignment="0" applyProtection="0"/>
    <xf numFmtId="0" fontId="40" fillId="58" borderId="422" applyNumberFormat="0" applyFont="0" applyAlignment="0" applyProtection="0"/>
    <xf numFmtId="0" fontId="5" fillId="58" borderId="422" applyNumberFormat="0" applyFont="0" applyAlignment="0" applyProtection="0"/>
    <xf numFmtId="0" fontId="62" fillId="55" borderId="419" applyNumberFormat="0" applyAlignment="0" applyProtection="0"/>
    <xf numFmtId="0" fontId="65" fillId="0" borderId="421" applyNumberFormat="0" applyFill="0" applyAlignment="0" applyProtection="0"/>
    <xf numFmtId="0" fontId="46" fillId="55" borderId="420" applyNumberFormat="0" applyAlignment="0" applyProtection="0"/>
    <xf numFmtId="0" fontId="58" fillId="42" borderId="420" applyNumberFormat="0" applyAlignment="0" applyProtection="0"/>
    <xf numFmtId="0" fontId="40" fillId="58" borderId="422" applyNumberFormat="0" applyFont="0" applyAlignment="0" applyProtection="0"/>
    <xf numFmtId="0" fontId="62" fillId="55" borderId="419" applyNumberFormat="0" applyAlignment="0" applyProtection="0"/>
    <xf numFmtId="0" fontId="65" fillId="0" borderId="421" applyNumberFormat="0" applyFill="0" applyAlignment="0" applyProtection="0"/>
    <xf numFmtId="0" fontId="46" fillId="55" borderId="427" applyNumberFormat="0" applyAlignment="0" applyProtection="0"/>
    <xf numFmtId="0" fontId="32" fillId="33" borderId="432">
      <alignment horizontal="right" vertical="center"/>
    </xf>
    <xf numFmtId="0" fontId="32" fillId="33" borderId="417">
      <alignment horizontal="right" vertical="center"/>
    </xf>
    <xf numFmtId="4" fontId="32" fillId="33" borderId="417">
      <alignment horizontal="right" vertical="center"/>
    </xf>
    <xf numFmtId="0" fontId="46" fillId="55" borderId="420" applyNumberFormat="0" applyAlignment="0" applyProtection="0"/>
    <xf numFmtId="0" fontId="34" fillId="33" borderId="418">
      <alignment horizontal="left" vertical="center" wrapText="1" indent="2"/>
    </xf>
    <xf numFmtId="0" fontId="34" fillId="0" borderId="418">
      <alignment horizontal="left" vertical="center" wrapText="1" indent="2"/>
    </xf>
    <xf numFmtId="0" fontId="46" fillId="55" borderId="452" applyNumberFormat="0" applyAlignment="0" applyProtection="0"/>
    <xf numFmtId="0" fontId="58" fillId="42" borderId="420" applyNumberFormat="0" applyAlignment="0" applyProtection="0"/>
    <xf numFmtId="0" fontId="62" fillId="55" borderId="419" applyNumberFormat="0" applyAlignment="0" applyProtection="0"/>
    <xf numFmtId="0" fontId="65" fillId="0" borderId="421" applyNumberFormat="0" applyFill="0" applyAlignment="0" applyProtection="0"/>
    <xf numFmtId="0" fontId="62" fillId="55" borderId="450" applyNumberFormat="0" applyAlignment="0" applyProtection="0"/>
    <xf numFmtId="0" fontId="43" fillId="55" borderId="419" applyNumberFormat="0" applyAlignment="0" applyProtection="0"/>
    <xf numFmtId="0" fontId="45" fillId="55" borderId="420" applyNumberFormat="0" applyAlignment="0" applyProtection="0"/>
    <xf numFmtId="0" fontId="50" fillId="0" borderId="421" applyNumberFormat="0" applyFill="0" applyAlignment="0" applyProtection="0"/>
    <xf numFmtId="49" fontId="34" fillId="0" borderId="423" applyNumberFormat="0" applyFont="0" applyFill="0" applyBorder="0" applyProtection="0">
      <alignment horizontal="left" vertical="center" indent="2"/>
    </xf>
    <xf numFmtId="0" fontId="32" fillId="31" borderId="423">
      <alignment horizontal="right" vertical="center"/>
    </xf>
    <xf numFmtId="4" fontId="32" fillId="31" borderId="423">
      <alignment horizontal="right" vertical="center"/>
    </xf>
    <xf numFmtId="0" fontId="36" fillId="31" borderId="423">
      <alignment horizontal="right" vertical="center"/>
    </xf>
    <xf numFmtId="4" fontId="36" fillId="31" borderId="423">
      <alignment horizontal="right" vertical="center"/>
    </xf>
    <xf numFmtId="0" fontId="32" fillId="33" borderId="423">
      <alignment horizontal="right" vertical="center"/>
    </xf>
    <xf numFmtId="4" fontId="32" fillId="33" borderId="423">
      <alignment horizontal="right" vertical="center"/>
    </xf>
    <xf numFmtId="0" fontId="32" fillId="33" borderId="423">
      <alignment horizontal="right" vertical="center"/>
    </xf>
    <xf numFmtId="4" fontId="32" fillId="33" borderId="423">
      <alignment horizontal="right" vertical="center"/>
    </xf>
    <xf numFmtId="0" fontId="49" fillId="42" borderId="420" applyNumberFormat="0" applyAlignment="0" applyProtection="0"/>
    <xf numFmtId="0" fontId="34" fillId="0" borderId="423">
      <alignment horizontal="right" vertical="center"/>
    </xf>
    <xf numFmtId="4" fontId="34" fillId="0" borderId="423">
      <alignment horizontal="right" vertical="center"/>
    </xf>
    <xf numFmtId="4" fontId="34" fillId="0" borderId="423" applyFill="0" applyBorder="0" applyProtection="0">
      <alignment horizontal="right" vertical="center"/>
    </xf>
    <xf numFmtId="49" fontId="33" fillId="0" borderId="423" applyNumberFormat="0" applyFill="0" applyBorder="0" applyProtection="0">
      <alignment horizontal="left" vertical="center"/>
    </xf>
    <xf numFmtId="0" fontId="34" fillId="0" borderId="423" applyNumberFormat="0" applyFill="0" applyAlignment="0" applyProtection="0"/>
    <xf numFmtId="173" fontId="34" fillId="59" borderId="423" applyNumberFormat="0" applyFont="0" applyBorder="0" applyAlignment="0" applyProtection="0">
      <alignment horizontal="right" vertical="center"/>
    </xf>
    <xf numFmtId="0" fontId="34" fillId="32" borderId="423"/>
    <xf numFmtId="4" fontId="34" fillId="32" borderId="423"/>
    <xf numFmtId="4" fontId="32" fillId="33" borderId="423">
      <alignment horizontal="right" vertical="center"/>
    </xf>
    <xf numFmtId="0" fontId="34" fillId="32" borderId="423"/>
    <xf numFmtId="0" fontId="45" fillId="55" borderId="420" applyNumberFormat="0" applyAlignment="0" applyProtection="0"/>
    <xf numFmtId="0" fontId="32" fillId="31" borderId="423">
      <alignment horizontal="right" vertical="center"/>
    </xf>
    <xf numFmtId="0" fontId="34" fillId="0" borderId="423">
      <alignment horizontal="right" vertical="center"/>
    </xf>
    <xf numFmtId="0" fontId="65" fillId="0" borderId="421" applyNumberFormat="0" applyFill="0" applyAlignment="0" applyProtection="0"/>
    <xf numFmtId="0" fontId="34" fillId="31" borderId="424">
      <alignment horizontal="left" vertical="center"/>
    </xf>
    <xf numFmtId="0" fontId="58" fillId="42" borderId="420" applyNumberFormat="0" applyAlignment="0" applyProtection="0"/>
    <xf numFmtId="173" fontId="34" fillId="59" borderId="423" applyNumberFormat="0" applyFont="0" applyBorder="0" applyAlignment="0" applyProtection="0">
      <alignment horizontal="right" vertical="center"/>
    </xf>
    <xf numFmtId="0" fontId="40" fillId="58" borderId="422" applyNumberFormat="0" applyFont="0" applyAlignment="0" applyProtection="0"/>
    <xf numFmtId="0" fontId="34" fillId="0" borderId="426">
      <alignment horizontal="left" vertical="center" wrapText="1" indent="2"/>
    </xf>
    <xf numFmtId="4" fontId="34" fillId="32" borderId="423"/>
    <xf numFmtId="49" fontId="33" fillId="0" borderId="423" applyNumberFormat="0" applyFill="0" applyBorder="0" applyProtection="0">
      <alignment horizontal="left" vertical="center"/>
    </xf>
    <xf numFmtId="0" fontId="34" fillId="0" borderId="423">
      <alignment horizontal="right" vertical="center"/>
    </xf>
    <xf numFmtId="4" fontId="32" fillId="33" borderId="425">
      <alignment horizontal="right" vertical="center"/>
    </xf>
    <xf numFmtId="4" fontId="32" fillId="33" borderId="423">
      <alignment horizontal="right" vertical="center"/>
    </xf>
    <xf numFmtId="4" fontId="32" fillId="33" borderId="423">
      <alignment horizontal="right" vertical="center"/>
    </xf>
    <xf numFmtId="0" fontId="36" fillId="31" borderId="423">
      <alignment horizontal="right" vertical="center"/>
    </xf>
    <xf numFmtId="0" fontId="32" fillId="31" borderId="423">
      <alignment horizontal="right" vertical="center"/>
    </xf>
    <xf numFmtId="49" fontId="34" fillId="0" borderId="423" applyNumberFormat="0" applyFont="0" applyFill="0" applyBorder="0" applyProtection="0">
      <alignment horizontal="left" vertical="center" indent="2"/>
    </xf>
    <xf numFmtId="0" fontId="58" fillId="42" borderId="420" applyNumberFormat="0" applyAlignment="0" applyProtection="0"/>
    <xf numFmtId="0" fontId="43" fillId="55" borderId="419" applyNumberFormat="0" applyAlignment="0" applyProtection="0"/>
    <xf numFmtId="49" fontId="34" fillId="0" borderId="423" applyNumberFormat="0" applyFont="0" applyFill="0" applyBorder="0" applyProtection="0">
      <alignment horizontal="left" vertical="center" indent="2"/>
    </xf>
    <xf numFmtId="0" fontId="49" fillId="42" borderId="420" applyNumberFormat="0" applyAlignment="0" applyProtection="0"/>
    <xf numFmtId="4" fontId="34" fillId="0" borderId="423" applyFill="0" applyBorder="0" applyProtection="0">
      <alignment horizontal="right" vertical="center"/>
    </xf>
    <xf numFmtId="0" fontId="46" fillId="55" borderId="420" applyNumberFormat="0" applyAlignment="0" applyProtection="0"/>
    <xf numFmtId="0" fontId="65" fillId="0" borderId="421" applyNumberFormat="0" applyFill="0" applyAlignment="0" applyProtection="0"/>
    <xf numFmtId="0" fontId="62" fillId="55" borderId="419" applyNumberFormat="0" applyAlignment="0" applyProtection="0"/>
    <xf numFmtId="0" fontId="34" fillId="0" borderId="423" applyNumberFormat="0" applyFill="0" applyAlignment="0" applyProtection="0"/>
    <xf numFmtId="4" fontId="34" fillId="0" borderId="423">
      <alignment horizontal="right" vertical="center"/>
    </xf>
    <xf numFmtId="0" fontId="34" fillId="0" borderId="423">
      <alignment horizontal="right" vertical="center"/>
    </xf>
    <xf numFmtId="0" fontId="58" fillId="42" borderId="420" applyNumberFormat="0" applyAlignment="0" applyProtection="0"/>
    <xf numFmtId="0" fontId="43" fillId="55" borderId="419" applyNumberFormat="0" applyAlignment="0" applyProtection="0"/>
    <xf numFmtId="0" fontId="45" fillId="55" borderId="420" applyNumberFormat="0" applyAlignment="0" applyProtection="0"/>
    <xf numFmtId="0" fontId="34" fillId="33" borderId="426">
      <alignment horizontal="left" vertical="center" wrapText="1" indent="2"/>
    </xf>
    <xf numFmtId="0" fontId="46" fillId="55" borderId="420" applyNumberFormat="0" applyAlignment="0" applyProtection="0"/>
    <xf numFmtId="0" fontId="46" fillId="55" borderId="420" applyNumberFormat="0" applyAlignment="0" applyProtection="0"/>
    <xf numFmtId="4" fontId="32" fillId="33" borderId="424">
      <alignment horizontal="right" vertical="center"/>
    </xf>
    <xf numFmtId="0" fontId="32" fillId="33" borderId="424">
      <alignment horizontal="right" vertical="center"/>
    </xf>
    <xf numFmtId="0" fontId="32" fillId="33" borderId="423">
      <alignment horizontal="right" vertical="center"/>
    </xf>
    <xf numFmtId="4" fontId="36" fillId="31" borderId="423">
      <alignment horizontal="right" vertical="center"/>
    </xf>
    <xf numFmtId="0" fontId="49" fillId="42" borderId="420" applyNumberFormat="0" applyAlignment="0" applyProtection="0"/>
    <xf numFmtId="0" fontId="50" fillId="0" borderId="421" applyNumberFormat="0" applyFill="0" applyAlignment="0" applyProtection="0"/>
    <xf numFmtId="0" fontId="65" fillId="0" borderId="421" applyNumberFormat="0" applyFill="0" applyAlignment="0" applyProtection="0"/>
    <xf numFmtId="0" fontId="40" fillId="58" borderId="422" applyNumberFormat="0" applyFont="0" applyAlignment="0" applyProtection="0"/>
    <xf numFmtId="0" fontId="58" fillId="42" borderId="420" applyNumberFormat="0" applyAlignment="0" applyProtection="0"/>
    <xf numFmtId="49" fontId="33" fillId="0" borderId="423" applyNumberFormat="0" applyFill="0" applyBorder="0" applyProtection="0">
      <alignment horizontal="left" vertical="center"/>
    </xf>
    <xf numFmtId="0" fontId="34" fillId="33" borderId="426">
      <alignment horizontal="left" vertical="center" wrapText="1" indent="2"/>
    </xf>
    <xf numFmtId="0" fontId="46" fillId="55" borderId="420" applyNumberFormat="0" applyAlignment="0" applyProtection="0"/>
    <xf numFmtId="0" fontId="34" fillId="0" borderId="426">
      <alignment horizontal="left" vertical="center" wrapText="1" indent="2"/>
    </xf>
    <xf numFmtId="0" fontId="40" fillId="58" borderId="422" applyNumberFormat="0" applyFont="0" applyAlignment="0" applyProtection="0"/>
    <xf numFmtId="0" fontId="5" fillId="58" borderId="422" applyNumberFormat="0" applyFont="0" applyAlignment="0" applyProtection="0"/>
    <xf numFmtId="0" fontId="62" fillId="55" borderId="419" applyNumberFormat="0" applyAlignment="0" applyProtection="0"/>
    <xf numFmtId="0" fontId="65" fillId="0" borderId="421" applyNumberFormat="0" applyFill="0" applyAlignment="0" applyProtection="0"/>
    <xf numFmtId="4" fontId="34" fillId="32" borderId="423"/>
    <xf numFmtId="0" fontId="32" fillId="33" borderId="423">
      <alignment horizontal="right" vertical="center"/>
    </xf>
    <xf numFmtId="0" fontId="65" fillId="0" borderId="421" applyNumberFormat="0" applyFill="0" applyAlignment="0" applyProtection="0"/>
    <xf numFmtId="4" fontId="32" fillId="33" borderId="425">
      <alignment horizontal="right" vertical="center"/>
    </xf>
    <xf numFmtId="0" fontId="45" fillId="55" borderId="420" applyNumberFormat="0" applyAlignment="0" applyProtection="0"/>
    <xf numFmtId="0" fontId="32" fillId="33" borderId="424">
      <alignment horizontal="right" vertical="center"/>
    </xf>
    <xf numFmtId="0" fontId="46" fillId="55" borderId="420" applyNumberFormat="0" applyAlignment="0" applyProtection="0"/>
    <xf numFmtId="0" fontId="50" fillId="0" borderId="421" applyNumberFormat="0" applyFill="0" applyAlignment="0" applyProtection="0"/>
    <xf numFmtId="0" fontId="40" fillId="58" borderId="422" applyNumberFormat="0" applyFont="0" applyAlignment="0" applyProtection="0"/>
    <xf numFmtId="4" fontId="32" fillId="33" borderId="424">
      <alignment horizontal="right" vertical="center"/>
    </xf>
    <xf numFmtId="0" fontId="34" fillId="33" borderId="426">
      <alignment horizontal="left" vertical="center" wrapText="1" indent="2"/>
    </xf>
    <xf numFmtId="0" fontId="34" fillId="32" borderId="423"/>
    <xf numFmtId="173" fontId="34" fillId="59" borderId="423" applyNumberFormat="0" applyFont="0" applyBorder="0" applyAlignment="0" applyProtection="0">
      <alignment horizontal="right" vertical="center"/>
    </xf>
    <xf numFmtId="0" fontId="34" fillId="0" borderId="423" applyNumberFormat="0" applyFill="0" applyAlignment="0" applyProtection="0"/>
    <xf numFmtId="4" fontId="34" fillId="0" borderId="423" applyFill="0" applyBorder="0" applyProtection="0">
      <alignment horizontal="right" vertical="center"/>
    </xf>
    <xf numFmtId="4" fontId="32" fillId="31" borderId="423">
      <alignment horizontal="right" vertical="center"/>
    </xf>
    <xf numFmtId="0" fontId="50" fillId="0" borderId="421" applyNumberFormat="0" applyFill="0" applyAlignment="0" applyProtection="0"/>
    <xf numFmtId="49" fontId="33" fillId="0" borderId="423" applyNumberFormat="0" applyFill="0" applyBorder="0" applyProtection="0">
      <alignment horizontal="left" vertical="center"/>
    </xf>
    <xf numFmtId="49" fontId="34" fillId="0" borderId="424" applyNumberFormat="0" applyFont="0" applyFill="0" applyBorder="0" applyProtection="0">
      <alignment horizontal="left" vertical="center" indent="5"/>
    </xf>
    <xf numFmtId="0" fontId="34" fillId="31" borderId="424">
      <alignment horizontal="left" vertical="center"/>
    </xf>
    <xf numFmtId="0" fontId="46" fillId="55" borderId="420" applyNumberFormat="0" applyAlignment="0" applyProtection="0"/>
    <xf numFmtId="4" fontId="32" fillId="33" borderId="425">
      <alignment horizontal="right" vertical="center"/>
    </xf>
    <xf numFmtId="0" fontId="58" fillId="42" borderId="420" applyNumberFormat="0" applyAlignment="0" applyProtection="0"/>
    <xf numFmtId="0" fontId="58" fillId="42" borderId="420" applyNumberFormat="0" applyAlignment="0" applyProtection="0"/>
    <xf numFmtId="0" fontId="40" fillId="58" borderId="422" applyNumberFormat="0" applyFont="0" applyAlignment="0" applyProtection="0"/>
    <xf numFmtId="0" fontId="62" fillId="55" borderId="419" applyNumberFormat="0" applyAlignment="0" applyProtection="0"/>
    <xf numFmtId="0" fontId="65" fillId="0" borderId="421" applyNumberFormat="0" applyFill="0" applyAlignment="0" applyProtection="0"/>
    <xf numFmtId="0" fontId="32" fillId="33" borderId="423">
      <alignment horizontal="right" vertical="center"/>
    </xf>
    <xf numFmtId="0" fontId="5" fillId="58" borderId="422" applyNumberFormat="0" applyFont="0" applyAlignment="0" applyProtection="0"/>
    <xf numFmtId="4" fontId="34" fillId="0" borderId="423">
      <alignment horizontal="right" vertical="center"/>
    </xf>
    <xf numFmtId="0" fontId="65" fillId="0" borderId="421" applyNumberFormat="0" applyFill="0" applyAlignment="0" applyProtection="0"/>
    <xf numFmtId="0" fontId="32" fillId="33" borderId="423">
      <alignment horizontal="right" vertical="center"/>
    </xf>
    <xf numFmtId="0" fontId="32" fillId="33" borderId="423">
      <alignment horizontal="right" vertical="center"/>
    </xf>
    <xf numFmtId="4" fontId="36" fillId="31" borderId="423">
      <alignment horizontal="right" vertical="center"/>
    </xf>
    <xf numFmtId="0" fontId="32" fillId="31" borderId="423">
      <alignment horizontal="right" vertical="center"/>
    </xf>
    <xf numFmtId="4" fontId="32" fillId="31" borderId="423">
      <alignment horizontal="right" vertical="center"/>
    </xf>
    <xf numFmtId="0" fontId="36" fillId="31" borderId="423">
      <alignment horizontal="right" vertical="center"/>
    </xf>
    <xf numFmtId="4" fontId="36" fillId="31" borderId="423">
      <alignment horizontal="right" vertical="center"/>
    </xf>
    <xf numFmtId="0" fontId="32" fillId="33" borderId="423">
      <alignment horizontal="right" vertical="center"/>
    </xf>
    <xf numFmtId="4" fontId="32" fillId="33" borderId="423">
      <alignment horizontal="right" vertical="center"/>
    </xf>
    <xf numFmtId="0" fontId="32" fillId="33" borderId="423">
      <alignment horizontal="right" vertical="center"/>
    </xf>
    <xf numFmtId="4" fontId="32" fillId="33" borderId="423">
      <alignment horizontal="right" vertical="center"/>
    </xf>
    <xf numFmtId="0" fontId="32" fillId="33" borderId="424">
      <alignment horizontal="right" vertical="center"/>
    </xf>
    <xf numFmtId="4" fontId="32" fillId="33" borderId="424">
      <alignment horizontal="right" vertical="center"/>
    </xf>
    <xf numFmtId="0" fontId="32" fillId="33" borderId="425">
      <alignment horizontal="right" vertical="center"/>
    </xf>
    <xf numFmtId="4" fontId="32" fillId="33" borderId="425">
      <alignment horizontal="right" vertical="center"/>
    </xf>
    <xf numFmtId="0" fontId="46" fillId="55" borderId="420" applyNumberFormat="0" applyAlignment="0" applyProtection="0"/>
    <xf numFmtId="0" fontId="34" fillId="33" borderId="426">
      <alignment horizontal="left" vertical="center" wrapText="1" indent="2"/>
    </xf>
    <xf numFmtId="0" fontId="34" fillId="0" borderId="426">
      <alignment horizontal="left" vertical="center" wrapText="1" indent="2"/>
    </xf>
    <xf numFmtId="0" fontId="34" fillId="31" borderId="424">
      <alignment horizontal="left" vertical="center"/>
    </xf>
    <xf numFmtId="0" fontId="58" fillId="42" borderId="420" applyNumberFormat="0" applyAlignment="0" applyProtection="0"/>
    <xf numFmtId="0" fontId="34" fillId="0" borderId="423">
      <alignment horizontal="right" vertical="center"/>
    </xf>
    <xf numFmtId="4" fontId="34" fillId="0" borderId="423">
      <alignment horizontal="right" vertical="center"/>
    </xf>
    <xf numFmtId="0" fontId="34" fillId="0" borderId="423" applyNumberFormat="0" applyFill="0" applyAlignment="0" applyProtection="0"/>
    <xf numFmtId="0" fontId="62" fillId="55" borderId="419" applyNumberFormat="0" applyAlignment="0" applyProtection="0"/>
    <xf numFmtId="173" fontId="34" fillId="59" borderId="423" applyNumberFormat="0" applyFont="0" applyBorder="0" applyAlignment="0" applyProtection="0">
      <alignment horizontal="right" vertical="center"/>
    </xf>
    <xf numFmtId="0" fontId="34" fillId="32" borderId="423"/>
    <xf numFmtId="4" fontId="34" fillId="32" borderId="423"/>
    <xf numFmtId="0" fontId="65" fillId="0" borderId="421" applyNumberFormat="0" applyFill="0" applyAlignment="0" applyProtection="0"/>
    <xf numFmtId="0" fontId="5" fillId="58" borderId="422" applyNumberFormat="0" applyFont="0" applyAlignment="0" applyProtection="0"/>
    <xf numFmtId="0" fontId="40" fillId="58" borderId="422" applyNumberFormat="0" applyFont="0" applyAlignment="0" applyProtection="0"/>
    <xf numFmtId="0" fontId="34" fillId="0" borderId="423" applyNumberFormat="0" applyFill="0" applyAlignment="0" applyProtection="0"/>
    <xf numFmtId="0" fontId="50" fillId="0" borderId="421" applyNumberFormat="0" applyFill="0" applyAlignment="0" applyProtection="0"/>
    <xf numFmtId="0" fontId="65" fillId="0" borderId="421" applyNumberFormat="0" applyFill="0" applyAlignment="0" applyProtection="0"/>
    <xf numFmtId="0" fontId="49" fillId="42" borderId="420" applyNumberFormat="0" applyAlignment="0" applyProtection="0"/>
    <xf numFmtId="0" fontId="46" fillId="55" borderId="420" applyNumberFormat="0" applyAlignment="0" applyProtection="0"/>
    <xf numFmtId="4" fontId="36" fillId="31" borderId="423">
      <alignment horizontal="right" vertical="center"/>
    </xf>
    <xf numFmtId="0" fontId="32" fillId="31" borderId="423">
      <alignment horizontal="right" vertical="center"/>
    </xf>
    <xf numFmtId="173" fontId="34" fillId="59" borderId="423" applyNumberFormat="0" applyFont="0" applyBorder="0" applyAlignment="0" applyProtection="0">
      <alignment horizontal="right" vertical="center"/>
    </xf>
    <xf numFmtId="0" fontId="50" fillId="0" borderId="421" applyNumberFormat="0" applyFill="0" applyAlignment="0" applyProtection="0"/>
    <xf numFmtId="49" fontId="34" fillId="0" borderId="423" applyNumberFormat="0" applyFont="0" applyFill="0" applyBorder="0" applyProtection="0">
      <alignment horizontal="left" vertical="center" indent="2"/>
    </xf>
    <xf numFmtId="49" fontId="34" fillId="0" borderId="424" applyNumberFormat="0" applyFont="0" applyFill="0" applyBorder="0" applyProtection="0">
      <alignment horizontal="left" vertical="center" indent="5"/>
    </xf>
    <xf numFmtId="49" fontId="34" fillId="0" borderId="423" applyNumberFormat="0" applyFont="0" applyFill="0" applyBorder="0" applyProtection="0">
      <alignment horizontal="left" vertical="center" indent="2"/>
    </xf>
    <xf numFmtId="4" fontId="34" fillId="0" borderId="423" applyFill="0" applyBorder="0" applyProtection="0">
      <alignment horizontal="right" vertical="center"/>
    </xf>
    <xf numFmtId="49" fontId="33" fillId="0" borderId="423" applyNumberFormat="0" applyFill="0" applyBorder="0" applyProtection="0">
      <alignment horizontal="left" vertical="center"/>
    </xf>
    <xf numFmtId="0" fontId="34" fillId="0" borderId="426">
      <alignment horizontal="left" vertical="center" wrapText="1" indent="2"/>
    </xf>
    <xf numFmtId="0" fontId="62" fillId="55" borderId="419" applyNumberFormat="0" applyAlignment="0" applyProtection="0"/>
    <xf numFmtId="0" fontId="32" fillId="33" borderId="425">
      <alignment horizontal="right" vertical="center"/>
    </xf>
    <xf numFmtId="0" fontId="49" fillId="42" borderId="420" applyNumberFormat="0" applyAlignment="0" applyProtection="0"/>
    <xf numFmtId="0" fontId="32" fillId="33" borderId="425">
      <alignment horizontal="right" vertical="center"/>
    </xf>
    <xf numFmtId="4" fontId="32" fillId="33" borderId="423">
      <alignment horizontal="right" vertical="center"/>
    </xf>
    <xf numFmtId="0" fontId="32" fillId="33" borderId="423">
      <alignment horizontal="right" vertical="center"/>
    </xf>
    <xf numFmtId="0" fontId="43" fillId="55" borderId="419" applyNumberFormat="0" applyAlignment="0" applyProtection="0"/>
    <xf numFmtId="0" fontId="45" fillId="55" borderId="420" applyNumberFormat="0" applyAlignment="0" applyProtection="0"/>
    <xf numFmtId="0" fontId="50" fillId="0" borderId="421" applyNumberFormat="0" applyFill="0" applyAlignment="0" applyProtection="0"/>
    <xf numFmtId="0" fontId="34" fillId="32" borderId="423"/>
    <xf numFmtId="4" fontId="34" fillId="32" borderId="423"/>
    <xf numFmtId="4" fontId="32" fillId="33" borderId="423">
      <alignment horizontal="right" vertical="center"/>
    </xf>
    <xf numFmtId="0" fontId="36" fillId="31" borderId="423">
      <alignment horizontal="right" vertical="center"/>
    </xf>
    <xf numFmtId="0" fontId="49" fillId="42" borderId="420" applyNumberFormat="0" applyAlignment="0" applyProtection="0"/>
    <xf numFmtId="0" fontId="46" fillId="55" borderId="420" applyNumberFormat="0" applyAlignment="0" applyProtection="0"/>
    <xf numFmtId="4" fontId="34" fillId="0" borderId="423">
      <alignment horizontal="right" vertical="center"/>
    </xf>
    <xf numFmtId="0" fontId="34" fillId="33" borderId="426">
      <alignment horizontal="left" vertical="center" wrapText="1" indent="2"/>
    </xf>
    <xf numFmtId="0" fontId="34" fillId="0" borderId="426">
      <alignment horizontal="left" vertical="center" wrapText="1" indent="2"/>
    </xf>
    <xf numFmtId="0" fontId="62" fillId="55" borderId="419" applyNumberFormat="0" applyAlignment="0" applyProtection="0"/>
    <xf numFmtId="0" fontId="58" fillId="42" borderId="420" applyNumberFormat="0" applyAlignment="0" applyProtection="0"/>
    <xf numFmtId="0" fontId="45" fillId="55" borderId="420" applyNumberFormat="0" applyAlignment="0" applyProtection="0"/>
    <xf numFmtId="0" fontId="43" fillId="55" borderId="419" applyNumberFormat="0" applyAlignment="0" applyProtection="0"/>
    <xf numFmtId="0" fontId="32" fillId="33" borderId="425">
      <alignment horizontal="right" vertical="center"/>
    </xf>
    <xf numFmtId="0" fontId="36" fillId="31" borderId="423">
      <alignment horizontal="right" vertical="center"/>
    </xf>
    <xf numFmtId="4" fontId="32" fillId="31" borderId="423">
      <alignment horizontal="right" vertical="center"/>
    </xf>
    <xf numFmtId="4" fontId="32" fillId="33" borderId="423">
      <alignment horizontal="right" vertical="center"/>
    </xf>
    <xf numFmtId="49" fontId="34" fillId="0" borderId="424" applyNumberFormat="0" applyFont="0" applyFill="0" applyBorder="0" applyProtection="0">
      <alignment horizontal="left" vertical="center" indent="5"/>
    </xf>
    <xf numFmtId="4" fontId="34" fillId="0" borderId="423" applyFill="0" applyBorder="0" applyProtection="0">
      <alignment horizontal="right" vertical="center"/>
    </xf>
    <xf numFmtId="4" fontId="32" fillId="31" borderId="423">
      <alignment horizontal="right" vertical="center"/>
    </xf>
    <xf numFmtId="0" fontId="58" fillId="42" borderId="420" applyNumberFormat="0" applyAlignment="0" applyProtection="0"/>
    <xf numFmtId="0" fontId="49" fillId="42" borderId="420" applyNumberFormat="0" applyAlignment="0" applyProtection="0"/>
    <xf numFmtId="0" fontId="45" fillId="55" borderId="420" applyNumberFormat="0" applyAlignment="0" applyProtection="0"/>
    <xf numFmtId="0" fontId="34" fillId="33" borderId="426">
      <alignment horizontal="left" vertical="center" wrapText="1" indent="2"/>
    </xf>
    <xf numFmtId="0" fontId="34" fillId="0" borderId="426">
      <alignment horizontal="left" vertical="center" wrapText="1" indent="2"/>
    </xf>
    <xf numFmtId="0" fontId="34" fillId="33" borderId="426">
      <alignment horizontal="left" vertical="center" wrapText="1" indent="2"/>
    </xf>
    <xf numFmtId="0" fontId="34" fillId="32" borderId="446"/>
    <xf numFmtId="0" fontId="34" fillId="0" borderId="430">
      <alignment horizontal="right" vertical="center"/>
    </xf>
    <xf numFmtId="0" fontId="65" fillId="0" borderId="428" applyNumberFormat="0" applyFill="0" applyAlignment="0" applyProtection="0"/>
    <xf numFmtId="0" fontId="65" fillId="0" borderId="428" applyNumberFormat="0" applyFill="0" applyAlignment="0" applyProtection="0"/>
    <xf numFmtId="49" fontId="34" fillId="0" borderId="431" applyNumberFormat="0" applyFont="0" applyFill="0" applyBorder="0" applyProtection="0">
      <alignment horizontal="left" vertical="center" indent="5"/>
    </xf>
    <xf numFmtId="0" fontId="43" fillId="55" borderId="434" applyNumberFormat="0" applyAlignment="0" applyProtection="0"/>
    <xf numFmtId="49" fontId="34" fillId="0" borderId="430" applyNumberFormat="0" applyFont="0" applyFill="0" applyBorder="0" applyProtection="0">
      <alignment horizontal="left" vertical="center" indent="2"/>
    </xf>
    <xf numFmtId="0" fontId="32" fillId="33" borderId="430">
      <alignment horizontal="right" vertical="center"/>
    </xf>
    <xf numFmtId="0" fontId="46" fillId="55" borderId="427" applyNumberFormat="0" applyAlignment="0" applyProtection="0"/>
    <xf numFmtId="173" fontId="34" fillId="59" borderId="430" applyNumberFormat="0" applyFont="0" applyBorder="0" applyAlignment="0" applyProtection="0">
      <alignment horizontal="right" vertical="center"/>
    </xf>
    <xf numFmtId="0" fontId="58" fillId="42" borderId="427" applyNumberFormat="0" applyAlignment="0" applyProtection="0"/>
    <xf numFmtId="0" fontId="32" fillId="31" borderId="430">
      <alignment horizontal="right" vertical="center"/>
    </xf>
    <xf numFmtId="0" fontId="26" fillId="22" borderId="0" applyNumberFormat="0" applyBorder="0" applyAlignment="0" applyProtection="0"/>
    <xf numFmtId="0" fontId="34" fillId="33" borderId="458">
      <alignment horizontal="left" vertical="center" wrapText="1" indent="2"/>
    </xf>
    <xf numFmtId="0" fontId="49" fillId="42" borderId="443" applyNumberFormat="0" applyAlignment="0" applyProtection="0"/>
    <xf numFmtId="0" fontId="34" fillId="33" borderId="449">
      <alignment horizontal="left" vertical="center" wrapText="1" indent="2"/>
    </xf>
    <xf numFmtId="0" fontId="26" fillId="26" borderId="0" applyNumberFormat="0" applyBorder="0" applyAlignment="0" applyProtection="0"/>
    <xf numFmtId="0" fontId="40" fillId="58" borderId="445" applyNumberFormat="0" applyFont="0" applyAlignment="0" applyProtection="0"/>
    <xf numFmtId="0" fontId="2" fillId="0" borderId="12" applyNumberFormat="0" applyFill="0" applyAlignment="0" applyProtection="0"/>
    <xf numFmtId="0" fontId="30" fillId="0" borderId="0" applyNumberFormat="0" applyFill="0" applyBorder="0" applyAlignment="0" applyProtection="0"/>
    <xf numFmtId="4" fontId="36" fillId="31" borderId="446">
      <alignment horizontal="right" vertical="center"/>
    </xf>
    <xf numFmtId="0" fontId="34" fillId="0" borderId="433">
      <alignment horizontal="left" vertical="center" wrapText="1" indent="2"/>
    </xf>
    <xf numFmtId="0" fontId="34" fillId="0" borderId="446" applyNumberFormat="0" applyFill="0" applyAlignment="0" applyProtection="0"/>
    <xf numFmtId="0" fontId="26" fillId="17" borderId="0" applyNumberFormat="0" applyBorder="0" applyAlignment="0" applyProtection="0"/>
    <xf numFmtId="0" fontId="65" fillId="0" borderId="428" applyNumberFormat="0" applyFill="0" applyAlignment="0" applyProtection="0"/>
    <xf numFmtId="0" fontId="65" fillId="0" borderId="437" applyNumberFormat="0" applyFill="0" applyAlignment="0" applyProtection="0"/>
    <xf numFmtId="0" fontId="34" fillId="33" borderId="449">
      <alignment horizontal="left" vertical="center" wrapText="1" indent="2"/>
    </xf>
    <xf numFmtId="0" fontId="45" fillId="55" borderId="443" applyNumberFormat="0" applyAlignment="0" applyProtection="0"/>
    <xf numFmtId="0" fontId="5" fillId="58" borderId="445" applyNumberFormat="0" applyFont="0" applyAlignment="0" applyProtection="0"/>
    <xf numFmtId="4" fontId="34" fillId="32" borderId="439"/>
    <xf numFmtId="0" fontId="32" fillId="33" borderId="446">
      <alignment horizontal="right" vertical="center"/>
    </xf>
    <xf numFmtId="0" fontId="26" fillId="19" borderId="0" applyNumberFormat="0" applyBorder="0" applyAlignment="0" applyProtection="0"/>
    <xf numFmtId="0" fontId="26" fillId="14" borderId="0" applyNumberFormat="0" applyBorder="0" applyAlignment="0" applyProtection="0"/>
    <xf numFmtId="0" fontId="50" fillId="0" borderId="444" applyNumberFormat="0" applyFill="0" applyAlignment="0" applyProtection="0"/>
    <xf numFmtId="0" fontId="28" fillId="12" borderId="11" applyNumberFormat="0" applyAlignment="0" applyProtection="0"/>
    <xf numFmtId="4" fontId="34" fillId="0" borderId="446">
      <alignment horizontal="right" vertical="center"/>
    </xf>
    <xf numFmtId="4" fontId="34" fillId="32" borderId="446"/>
    <xf numFmtId="0" fontId="28" fillId="12" borderId="11" applyNumberFormat="0" applyAlignment="0" applyProtection="0"/>
    <xf numFmtId="0" fontId="12" fillId="24" borderId="0" applyNumberFormat="0" applyBorder="0" applyAlignment="0" applyProtection="0"/>
    <xf numFmtId="4" fontId="32" fillId="33" borderId="447">
      <alignment horizontal="right" vertical="center"/>
    </xf>
    <xf numFmtId="0" fontId="46" fillId="55" borderId="427" applyNumberFormat="0" applyAlignment="0" applyProtection="0"/>
    <xf numFmtId="0" fontId="34" fillId="0" borderId="430" applyNumberFormat="0" applyFill="0" applyAlignment="0" applyProtection="0"/>
    <xf numFmtId="0" fontId="34" fillId="32" borderId="430"/>
    <xf numFmtId="4" fontId="34" fillId="32" borderId="430"/>
    <xf numFmtId="173" fontId="34" fillId="59" borderId="439" applyNumberFormat="0" applyFont="0" applyBorder="0" applyAlignment="0" applyProtection="0">
      <alignment horizontal="right" vertical="center"/>
    </xf>
    <xf numFmtId="0" fontId="58" fillId="42" borderId="427" applyNumberFormat="0" applyAlignment="0" applyProtection="0"/>
    <xf numFmtId="0" fontId="34" fillId="0" borderId="430">
      <alignment horizontal="right" vertical="center"/>
    </xf>
    <xf numFmtId="0" fontId="34" fillId="31" borderId="431">
      <alignment horizontal="left" vertical="center"/>
    </xf>
    <xf numFmtId="0" fontId="34" fillId="33" borderId="433">
      <alignment horizontal="left" vertical="center" wrapText="1" indent="2"/>
    </xf>
    <xf numFmtId="0" fontId="32" fillId="33" borderId="430">
      <alignment horizontal="right" vertical="center"/>
    </xf>
    <xf numFmtId="4" fontId="32" fillId="33" borderId="430">
      <alignment horizontal="right" vertical="center"/>
    </xf>
    <xf numFmtId="0" fontId="32" fillId="33" borderId="431">
      <alignment horizontal="right" vertical="center"/>
    </xf>
    <xf numFmtId="4" fontId="32" fillId="33" borderId="430">
      <alignment horizontal="right" vertical="center"/>
    </xf>
    <xf numFmtId="0" fontId="32" fillId="31" borderId="430">
      <alignment horizontal="right" vertical="center"/>
    </xf>
    <xf numFmtId="4" fontId="32" fillId="31" borderId="430">
      <alignment horizontal="right" vertical="center"/>
    </xf>
    <xf numFmtId="0" fontId="40" fillId="58" borderId="454" applyNumberFormat="0" applyFont="0" applyAlignment="0" applyProtection="0"/>
    <xf numFmtId="0" fontId="49" fillId="42" borderId="436" applyNumberFormat="0" applyAlignment="0" applyProtection="0"/>
    <xf numFmtId="0" fontId="26" fillId="14" borderId="0" applyNumberFormat="0" applyBorder="0" applyAlignment="0" applyProtection="0"/>
    <xf numFmtId="4" fontId="32" fillId="33" borderId="478">
      <alignment horizontal="right" vertical="center"/>
    </xf>
    <xf numFmtId="0" fontId="12" fillId="18" borderId="0" applyNumberFormat="0" applyBorder="0" applyAlignment="0" applyProtection="0"/>
    <xf numFmtId="0" fontId="34" fillId="33" borderId="449">
      <alignment horizontal="left" vertical="center" wrapText="1" indent="2"/>
    </xf>
    <xf numFmtId="0" fontId="49" fillId="42" borderId="443" applyNumberFormat="0" applyAlignment="0" applyProtection="0"/>
    <xf numFmtId="0" fontId="50" fillId="0" borderId="453" applyNumberFormat="0" applyFill="0" applyAlignment="0" applyProtection="0"/>
    <xf numFmtId="49" fontId="33" fillId="0" borderId="455" applyNumberFormat="0" applyFill="0" applyBorder="0" applyProtection="0">
      <alignment horizontal="left" vertical="center"/>
    </xf>
    <xf numFmtId="0" fontId="65" fillId="0" borderId="428" applyNumberFormat="0" applyFill="0" applyAlignment="0" applyProtection="0"/>
    <xf numFmtId="0" fontId="40" fillId="58" borderId="429" applyNumberFormat="0" applyFont="0" applyAlignment="0" applyProtection="0"/>
    <xf numFmtId="0" fontId="62" fillId="55" borderId="451" applyNumberFormat="0" applyAlignment="0" applyProtection="0"/>
    <xf numFmtId="0" fontId="65" fillId="0" borderId="444" applyNumberFormat="0" applyFill="0" applyAlignment="0" applyProtection="0"/>
    <xf numFmtId="0" fontId="46" fillId="55" borderId="427" applyNumberFormat="0" applyAlignment="0" applyProtection="0"/>
    <xf numFmtId="4" fontId="34" fillId="0" borderId="446">
      <alignment horizontal="right" vertical="center"/>
    </xf>
    <xf numFmtId="0" fontId="65" fillId="0" borderId="444" applyNumberFormat="0" applyFill="0" applyAlignment="0" applyProtection="0"/>
    <xf numFmtId="0" fontId="58" fillId="42" borderId="436" applyNumberFormat="0" applyAlignment="0" applyProtection="0"/>
    <xf numFmtId="4" fontId="34" fillId="0" borderId="439" applyFill="0" applyBorder="0" applyProtection="0">
      <alignment horizontal="right" vertical="center"/>
    </xf>
    <xf numFmtId="0" fontId="34" fillId="31" borderId="447">
      <alignment horizontal="left" vertical="center"/>
    </xf>
    <xf numFmtId="0" fontId="49" fillId="42" borderId="443" applyNumberFormat="0" applyAlignment="0" applyProtection="0"/>
    <xf numFmtId="0" fontId="32" fillId="33" borderId="448">
      <alignment horizontal="right" vertical="center"/>
    </xf>
    <xf numFmtId="0" fontId="32" fillId="33" borderId="447">
      <alignment horizontal="right" vertical="center"/>
    </xf>
    <xf numFmtId="0" fontId="26" fillId="29" borderId="0" applyNumberFormat="0" applyBorder="0" applyAlignment="0" applyProtection="0"/>
    <xf numFmtId="4" fontId="32" fillId="31" borderId="455">
      <alignment horizontal="right" vertical="center"/>
    </xf>
    <xf numFmtId="0" fontId="49" fillId="42" borderId="452" applyNumberFormat="0" applyAlignment="0" applyProtection="0"/>
    <xf numFmtId="0" fontId="65" fillId="0" borderId="444" applyNumberFormat="0" applyFill="0" applyAlignment="0" applyProtection="0"/>
    <xf numFmtId="0" fontId="49" fillId="42" borderId="443" applyNumberFormat="0" applyAlignment="0" applyProtection="0"/>
    <xf numFmtId="0" fontId="36" fillId="31" borderId="455">
      <alignment horizontal="right" vertical="center"/>
    </xf>
    <xf numFmtId="0" fontId="58" fillId="42" borderId="452" applyNumberFormat="0" applyAlignment="0" applyProtection="0"/>
    <xf numFmtId="0" fontId="26" fillId="13" borderId="0" applyNumberFormat="0" applyBorder="0" applyAlignment="0" applyProtection="0"/>
    <xf numFmtId="0" fontId="34" fillId="31" borderId="447">
      <alignment horizontal="left" vertical="center"/>
    </xf>
    <xf numFmtId="0" fontId="62" fillId="55" borderId="451" applyNumberFormat="0" applyAlignment="0" applyProtection="0"/>
    <xf numFmtId="0" fontId="62" fillId="55" borderId="450" applyNumberFormat="0" applyAlignment="0" applyProtection="0"/>
    <xf numFmtId="0" fontId="62" fillId="55" borderId="450" applyNumberFormat="0" applyAlignment="0" applyProtection="0"/>
    <xf numFmtId="0" fontId="12" fillId="27" borderId="0" applyNumberFormat="0" applyBorder="0" applyAlignment="0" applyProtection="0"/>
    <xf numFmtId="0" fontId="45" fillId="55" borderId="443" applyNumberFormat="0" applyAlignment="0" applyProtection="0"/>
    <xf numFmtId="4" fontId="32" fillId="33" borderId="448">
      <alignment horizontal="right" vertical="center"/>
    </xf>
    <xf numFmtId="0" fontId="32" fillId="33" borderId="464">
      <alignment horizontal="right" vertical="center"/>
    </xf>
    <xf numFmtId="4" fontId="32" fillId="33" borderId="448">
      <alignment horizontal="right" vertical="center"/>
    </xf>
    <xf numFmtId="0" fontId="34" fillId="0" borderId="455">
      <alignment horizontal="right" vertical="center"/>
    </xf>
    <xf numFmtId="0" fontId="34" fillId="0" borderId="478">
      <alignment horizontal="right" vertical="center"/>
    </xf>
    <xf numFmtId="0" fontId="40" fillId="58" borderId="429" applyNumberFormat="0" applyFont="0" applyAlignment="0" applyProtection="0"/>
    <xf numFmtId="0" fontId="29" fillId="12" borderId="10" applyNumberFormat="0" applyAlignment="0" applyProtection="0"/>
    <xf numFmtId="4" fontId="34" fillId="0" borderId="446" applyFill="0" applyBorder="0" applyProtection="0">
      <alignment horizontal="right" vertical="center"/>
    </xf>
    <xf numFmtId="0" fontId="49" fillId="42" borderId="475" applyNumberFormat="0" applyAlignment="0" applyProtection="0"/>
    <xf numFmtId="0" fontId="2" fillId="0" borderId="12" applyNumberFormat="0" applyFill="0" applyAlignment="0" applyProtection="0"/>
    <xf numFmtId="0" fontId="32" fillId="33" borderId="465">
      <alignment horizontal="right" vertical="center"/>
    </xf>
    <xf numFmtId="0" fontId="34" fillId="33" borderId="449">
      <alignment horizontal="left" vertical="center" wrapText="1" indent="2"/>
    </xf>
    <xf numFmtId="0" fontId="26" fillId="13" borderId="0" applyNumberFormat="0" applyBorder="0" applyAlignment="0" applyProtection="0"/>
    <xf numFmtId="0" fontId="58" fillId="42" borderId="427" applyNumberFormat="0" applyAlignment="0" applyProtection="0"/>
    <xf numFmtId="0" fontId="5" fillId="58" borderId="445" applyNumberFormat="0" applyFont="0" applyAlignment="0" applyProtection="0"/>
    <xf numFmtId="0" fontId="34" fillId="33" borderId="433">
      <alignment horizontal="left" vertical="center" wrapText="1" indent="2"/>
    </xf>
    <xf numFmtId="4" fontId="36" fillId="31" borderId="430">
      <alignment horizontal="right" vertical="center"/>
    </xf>
    <xf numFmtId="0" fontId="30" fillId="0" borderId="0" applyNumberFormat="0" applyFill="0" applyBorder="0" applyAlignment="0" applyProtection="0"/>
    <xf numFmtId="49" fontId="33" fillId="0" borderId="455" applyNumberFormat="0" applyFill="0" applyBorder="0" applyProtection="0">
      <alignment horizontal="left" vertical="center"/>
    </xf>
    <xf numFmtId="0" fontId="29" fillId="12" borderId="10" applyNumberFormat="0" applyAlignment="0" applyProtection="0"/>
    <xf numFmtId="0" fontId="50" fillId="0" borderId="453" applyNumberFormat="0" applyFill="0" applyAlignment="0" applyProtection="0"/>
    <xf numFmtId="0" fontId="26" fillId="14" borderId="0" applyNumberFormat="0" applyBorder="0" applyAlignment="0" applyProtection="0"/>
    <xf numFmtId="0" fontId="12" fillId="15" borderId="0" applyNumberFormat="0" applyBorder="0" applyAlignment="0" applyProtection="0"/>
    <xf numFmtId="0" fontId="5" fillId="58" borderId="445" applyNumberFormat="0" applyFont="0" applyAlignment="0" applyProtection="0"/>
    <xf numFmtId="0" fontId="43" fillId="55" borderId="451" applyNumberFormat="0" applyAlignment="0" applyProtection="0"/>
    <xf numFmtId="4" fontId="32" fillId="33" borderId="464">
      <alignment horizontal="right" vertical="center"/>
    </xf>
    <xf numFmtId="4" fontId="36" fillId="31" borderId="430">
      <alignment horizontal="right" vertical="center"/>
    </xf>
    <xf numFmtId="4" fontId="32" fillId="31" borderId="430">
      <alignment horizontal="right" vertical="center"/>
    </xf>
    <xf numFmtId="0" fontId="34" fillId="0" borderId="433">
      <alignment horizontal="left" vertical="center" wrapText="1" indent="2"/>
    </xf>
    <xf numFmtId="0" fontId="62" fillId="55" borderId="434" applyNumberFormat="0" applyAlignment="0" applyProtection="0"/>
    <xf numFmtId="0" fontId="34" fillId="0" borderId="430">
      <alignment horizontal="right" vertical="center"/>
    </xf>
    <xf numFmtId="0" fontId="65" fillId="0" borderId="428" applyNumberFormat="0" applyFill="0" applyAlignment="0" applyProtection="0"/>
    <xf numFmtId="49" fontId="33" fillId="0" borderId="430" applyNumberFormat="0" applyFill="0" applyBorder="0" applyProtection="0">
      <alignment horizontal="left" vertical="center"/>
    </xf>
    <xf numFmtId="4" fontId="34" fillId="32" borderId="430"/>
    <xf numFmtId="0" fontId="58" fillId="42" borderId="427" applyNumberFormat="0" applyAlignment="0" applyProtection="0"/>
    <xf numFmtId="0" fontId="12" fillId="15" borderId="0" applyNumberFormat="0" applyBorder="0" applyAlignment="0" applyProtection="0"/>
    <xf numFmtId="173" fontId="34" fillId="59" borderId="430" applyNumberFormat="0" applyFont="0" applyBorder="0" applyAlignment="0" applyProtection="0">
      <alignment horizontal="right" vertical="center"/>
    </xf>
    <xf numFmtId="0" fontId="65" fillId="0" borderId="453" applyNumberFormat="0" applyFill="0" applyAlignment="0" applyProtection="0"/>
    <xf numFmtId="0" fontId="46" fillId="55" borderId="427" applyNumberFormat="0" applyAlignment="0" applyProtection="0"/>
    <xf numFmtId="4" fontId="34" fillId="0" borderId="455">
      <alignment horizontal="right" vertical="center"/>
    </xf>
    <xf numFmtId="4" fontId="34" fillId="32" borderId="446"/>
    <xf numFmtId="0" fontId="32" fillId="33" borderId="447">
      <alignment horizontal="right" vertical="center"/>
    </xf>
    <xf numFmtId="0" fontId="58" fillId="42" borderId="427" applyNumberFormat="0" applyAlignment="0" applyProtection="0"/>
    <xf numFmtId="0" fontId="43" fillId="55" borderId="434" applyNumberFormat="0" applyAlignment="0" applyProtection="0"/>
    <xf numFmtId="4" fontId="36" fillId="31" borderId="478">
      <alignment horizontal="right" vertical="center"/>
    </xf>
    <xf numFmtId="49" fontId="33" fillId="0" borderId="430" applyNumberFormat="0" applyFill="0" applyBorder="0" applyProtection="0">
      <alignment horizontal="left" vertical="center"/>
    </xf>
    <xf numFmtId="0" fontId="65" fillId="0" borderId="428" applyNumberFormat="0" applyFill="0" applyAlignment="0" applyProtection="0"/>
    <xf numFmtId="0" fontId="34" fillId="0" borderId="430">
      <alignment horizontal="right" vertical="center"/>
    </xf>
    <xf numFmtId="0" fontId="32" fillId="33" borderId="431">
      <alignment horizontal="right" vertical="center"/>
    </xf>
    <xf numFmtId="0" fontId="65" fillId="0" borderId="428" applyNumberFormat="0" applyFill="0" applyAlignment="0" applyProtection="0"/>
    <xf numFmtId="4" fontId="36" fillId="31" borderId="455">
      <alignment horizontal="right" vertical="center"/>
    </xf>
    <xf numFmtId="0" fontId="26" fillId="16" borderId="0" applyNumberFormat="0" applyBorder="0" applyAlignment="0" applyProtection="0"/>
    <xf numFmtId="0" fontId="26" fillId="19" borderId="0" applyNumberFormat="0" applyBorder="0" applyAlignment="0" applyProtection="0"/>
    <xf numFmtId="4" fontId="32" fillId="33" borderId="447">
      <alignment horizontal="right" vertical="center"/>
    </xf>
    <xf numFmtId="4" fontId="34" fillId="0" borderId="446">
      <alignment horizontal="right" vertical="center"/>
    </xf>
    <xf numFmtId="0" fontId="26" fillId="23" borderId="0" applyNumberFormat="0" applyBorder="0" applyAlignment="0" applyProtection="0"/>
    <xf numFmtId="0" fontId="46" fillId="55" borderId="427" applyNumberFormat="0" applyAlignment="0" applyProtection="0"/>
    <xf numFmtId="49" fontId="34" fillId="0" borderId="446" applyNumberFormat="0" applyFont="0" applyFill="0" applyBorder="0" applyProtection="0">
      <alignment horizontal="left" vertical="center" indent="2"/>
    </xf>
    <xf numFmtId="4" fontId="34" fillId="0" borderId="430" applyFill="0" applyBorder="0" applyProtection="0">
      <alignment horizontal="right" vertical="center"/>
    </xf>
    <xf numFmtId="0" fontId="32" fillId="33" borderId="455">
      <alignment horizontal="right" vertical="center"/>
    </xf>
    <xf numFmtId="49" fontId="33" fillId="0" borderId="455" applyNumberFormat="0" applyFill="0" applyBorder="0" applyProtection="0">
      <alignment horizontal="left" vertical="center"/>
    </xf>
    <xf numFmtId="0" fontId="46" fillId="55" borderId="443" applyNumberFormat="0" applyAlignment="0" applyProtection="0"/>
    <xf numFmtId="0" fontId="26" fillId="28" borderId="0" applyNumberFormat="0" applyBorder="0" applyAlignment="0" applyProtection="0"/>
    <xf numFmtId="0" fontId="58" fillId="42" borderId="443" applyNumberFormat="0" applyAlignment="0" applyProtection="0"/>
    <xf numFmtId="0" fontId="34" fillId="0" borderId="433">
      <alignment horizontal="left" vertical="center" wrapText="1" indent="2"/>
    </xf>
    <xf numFmtId="49" fontId="34" fillId="0" borderId="439" applyNumberFormat="0" applyFont="0" applyFill="0" applyBorder="0" applyProtection="0">
      <alignment horizontal="left" vertical="center" indent="2"/>
    </xf>
    <xf numFmtId="0" fontId="65" fillId="0" borderId="428" applyNumberFormat="0" applyFill="0" applyAlignment="0" applyProtection="0"/>
    <xf numFmtId="0" fontId="43" fillId="55" borderId="434" applyNumberFormat="0" applyAlignment="0" applyProtection="0"/>
    <xf numFmtId="0" fontId="32" fillId="33" borderId="430">
      <alignment horizontal="right" vertical="center"/>
    </xf>
    <xf numFmtId="0" fontId="45" fillId="55" borderId="427" applyNumberFormat="0" applyAlignment="0" applyProtection="0"/>
    <xf numFmtId="0" fontId="34" fillId="33" borderId="442">
      <alignment horizontal="left" vertical="center" wrapText="1" indent="2"/>
    </xf>
    <xf numFmtId="0" fontId="34" fillId="0" borderId="458">
      <alignment horizontal="left" vertical="center" wrapText="1" indent="2"/>
    </xf>
    <xf numFmtId="0" fontId="34" fillId="31" borderId="431">
      <alignment horizontal="left" vertical="center"/>
    </xf>
    <xf numFmtId="0" fontId="34" fillId="33" borderId="458">
      <alignment horizontal="left" vertical="center" wrapText="1" indent="2"/>
    </xf>
    <xf numFmtId="0" fontId="34" fillId="0" borderId="481">
      <alignment horizontal="left" vertical="center" wrapText="1" indent="2"/>
    </xf>
    <xf numFmtId="0" fontId="34" fillId="0" borderId="446">
      <alignment horizontal="right" vertical="center"/>
    </xf>
    <xf numFmtId="0" fontId="65" fillId="0" borderId="437" applyNumberFormat="0" applyFill="0" applyAlignment="0" applyProtection="0"/>
    <xf numFmtId="0" fontId="58" fillId="42" borderId="443" applyNumberFormat="0" applyAlignment="0" applyProtection="0"/>
    <xf numFmtId="0" fontId="32" fillId="31" borderId="430">
      <alignment horizontal="right" vertical="center"/>
    </xf>
    <xf numFmtId="0" fontId="32" fillId="33" borderId="439">
      <alignment horizontal="right" vertical="center"/>
    </xf>
    <xf numFmtId="0" fontId="34" fillId="31" borderId="440">
      <alignment horizontal="left" vertical="center"/>
    </xf>
    <xf numFmtId="0" fontId="50" fillId="0" borderId="428" applyNumberFormat="0" applyFill="0" applyAlignment="0" applyProtection="0"/>
    <xf numFmtId="0" fontId="32" fillId="33" borderId="455">
      <alignment horizontal="right" vertical="center"/>
    </xf>
    <xf numFmtId="0" fontId="34" fillId="0" borderId="430">
      <alignment horizontal="right" vertical="center"/>
    </xf>
    <xf numFmtId="0" fontId="5" fillId="58" borderId="429" applyNumberFormat="0" applyFont="0" applyAlignment="0" applyProtection="0"/>
    <xf numFmtId="0" fontId="34" fillId="32" borderId="455"/>
    <xf numFmtId="0" fontId="62" fillId="55" borderId="435" applyNumberFormat="0" applyAlignment="0" applyProtection="0"/>
    <xf numFmtId="0" fontId="34" fillId="33" borderId="442">
      <alignment horizontal="left" vertical="center" wrapText="1" indent="2"/>
    </xf>
    <xf numFmtId="0" fontId="12" fillId="24" borderId="0" applyNumberFormat="0" applyBorder="0" applyAlignment="0" applyProtection="0"/>
    <xf numFmtId="0" fontId="36" fillId="31" borderId="446">
      <alignment horizontal="right" vertical="center"/>
    </xf>
    <xf numFmtId="0" fontId="58" fillId="42" borderId="427" applyNumberFormat="0" applyAlignment="0" applyProtection="0"/>
    <xf numFmtId="4" fontId="34" fillId="32" borderId="455"/>
    <xf numFmtId="49" fontId="34" fillId="0" borderId="431" applyNumberFormat="0" applyFont="0" applyFill="0" applyBorder="0" applyProtection="0">
      <alignment horizontal="left" vertical="center" indent="5"/>
    </xf>
    <xf numFmtId="4" fontId="34" fillId="32" borderId="446"/>
    <xf numFmtId="0" fontId="34" fillId="0" borderId="430" applyNumberFormat="0" applyFill="0" applyAlignment="0" applyProtection="0"/>
    <xf numFmtId="0" fontId="50" fillId="0" borderId="428" applyNumberFormat="0" applyFill="0" applyAlignment="0" applyProtection="0"/>
    <xf numFmtId="0" fontId="62" fillId="55" borderId="434" applyNumberFormat="0" applyAlignment="0" applyProtection="0"/>
    <xf numFmtId="4" fontId="32" fillId="33" borderId="430">
      <alignment horizontal="right" vertical="center"/>
    </xf>
    <xf numFmtId="4" fontId="34" fillId="32" borderId="430"/>
    <xf numFmtId="0" fontId="65" fillId="0" borderId="428" applyNumberFormat="0" applyFill="0" applyAlignment="0" applyProtection="0"/>
    <xf numFmtId="0" fontId="32" fillId="33" borderId="439">
      <alignment horizontal="right" vertical="center"/>
    </xf>
    <xf numFmtId="0" fontId="43" fillId="55" borderId="434" applyNumberFormat="0" applyAlignment="0" applyProtection="0"/>
    <xf numFmtId="0" fontId="45" fillId="55" borderId="427" applyNumberFormat="0" applyAlignment="0" applyProtection="0"/>
    <xf numFmtId="0" fontId="46" fillId="55" borderId="427" applyNumberFormat="0" applyAlignment="0" applyProtection="0"/>
    <xf numFmtId="0" fontId="62" fillId="55" borderId="434" applyNumberFormat="0" applyAlignment="0" applyProtection="0"/>
    <xf numFmtId="0" fontId="32" fillId="33" borderId="432">
      <alignment horizontal="right" vertical="center"/>
    </xf>
    <xf numFmtId="0" fontId="34" fillId="0" borderId="430" applyNumberFormat="0" applyFill="0" applyAlignment="0" applyProtection="0"/>
    <xf numFmtId="49" fontId="34" fillId="0" borderId="431" applyNumberFormat="0" applyFont="0" applyFill="0" applyBorder="0" applyProtection="0">
      <alignment horizontal="left" vertical="center" indent="5"/>
    </xf>
    <xf numFmtId="0" fontId="65" fillId="0" borderId="428" applyNumberFormat="0" applyFill="0" applyAlignment="0" applyProtection="0"/>
    <xf numFmtId="0" fontId="34" fillId="0" borderId="430" applyNumberFormat="0" applyFill="0" applyAlignment="0" applyProtection="0"/>
    <xf numFmtId="0" fontId="49" fillId="42" borderId="443" applyNumberFormat="0" applyAlignment="0" applyProtection="0"/>
    <xf numFmtId="0" fontId="46" fillId="55" borderId="436" applyNumberFormat="0" applyAlignment="0" applyProtection="0"/>
    <xf numFmtId="0" fontId="50" fillId="0" borderId="444" applyNumberFormat="0" applyFill="0" applyAlignment="0" applyProtection="0"/>
    <xf numFmtId="0" fontId="12" fillId="21" borderId="0" applyNumberFormat="0" applyBorder="0" applyAlignment="0" applyProtection="0"/>
    <xf numFmtId="0" fontId="32" fillId="31" borderId="478">
      <alignment horizontal="right" vertical="center"/>
    </xf>
    <xf numFmtId="0" fontId="45" fillId="55" borderId="443" applyNumberFormat="0" applyAlignment="0" applyProtection="0"/>
    <xf numFmtId="0" fontId="40" fillId="58" borderId="429" applyNumberFormat="0" applyFont="0" applyAlignment="0" applyProtection="0"/>
    <xf numFmtId="0" fontId="26" fillId="13" borderId="0" applyNumberFormat="0" applyBorder="0" applyAlignment="0" applyProtection="0"/>
    <xf numFmtId="0" fontId="34" fillId="0" borderId="446" applyNumberFormat="0" applyFill="0" applyAlignment="0" applyProtection="0"/>
    <xf numFmtId="4" fontId="34" fillId="0" borderId="446">
      <alignment horizontal="right" vertical="center"/>
    </xf>
    <xf numFmtId="0" fontId="30" fillId="0" borderId="0" applyNumberFormat="0" applyFill="0" applyBorder="0" applyAlignment="0" applyProtection="0"/>
    <xf numFmtId="0" fontId="32" fillId="31" borderId="439">
      <alignment horizontal="right" vertical="center"/>
    </xf>
    <xf numFmtId="0" fontId="65" fillId="0" borderId="444" applyNumberFormat="0" applyFill="0" applyAlignment="0" applyProtection="0"/>
    <xf numFmtId="0" fontId="43" fillId="55" borderId="450" applyNumberFormat="0" applyAlignment="0" applyProtection="0"/>
    <xf numFmtId="0" fontId="26" fillId="17" borderId="0" applyNumberFormat="0" applyBorder="0" applyAlignment="0" applyProtection="0"/>
    <xf numFmtId="0" fontId="32" fillId="31" borderId="446">
      <alignment horizontal="right" vertical="center"/>
    </xf>
    <xf numFmtId="0" fontId="26" fillId="16" borderId="0" applyNumberFormat="0" applyBorder="0" applyAlignment="0" applyProtection="0"/>
    <xf numFmtId="0" fontId="34" fillId="0" borderId="433">
      <alignment horizontal="left" vertical="center" wrapText="1" indent="2"/>
    </xf>
    <xf numFmtId="49" fontId="33" fillId="0" borderId="455" applyNumberFormat="0" applyFill="0" applyBorder="0" applyProtection="0">
      <alignment horizontal="left" vertical="center"/>
    </xf>
    <xf numFmtId="4" fontId="32" fillId="31" borderId="430">
      <alignment horizontal="right" vertical="center"/>
    </xf>
    <xf numFmtId="0" fontId="32" fillId="33" borderId="446">
      <alignment horizontal="right" vertical="center"/>
    </xf>
    <xf numFmtId="4" fontId="32" fillId="33" borderId="447">
      <alignment horizontal="right" vertical="center"/>
    </xf>
    <xf numFmtId="0" fontId="62" fillId="55" borderId="434" applyNumberFormat="0" applyAlignment="0" applyProtection="0"/>
    <xf numFmtId="49" fontId="34" fillId="0" borderId="431" applyNumberFormat="0" applyFont="0" applyFill="0" applyBorder="0" applyProtection="0">
      <alignment horizontal="left" vertical="center" indent="5"/>
    </xf>
    <xf numFmtId="4" fontId="34" fillId="0" borderId="430">
      <alignment horizontal="right" vertical="center"/>
    </xf>
    <xf numFmtId="0" fontId="46" fillId="55" borderId="443" applyNumberFormat="0" applyAlignment="0" applyProtection="0"/>
    <xf numFmtId="0" fontId="46" fillId="55" borderId="436" applyNumberFormat="0" applyAlignment="0" applyProtection="0"/>
    <xf numFmtId="0" fontId="32" fillId="33" borderId="446">
      <alignment horizontal="right" vertical="center"/>
    </xf>
    <xf numFmtId="0" fontId="26" fillId="22" borderId="0" applyNumberFormat="0" applyBorder="0" applyAlignment="0" applyProtection="0"/>
    <xf numFmtId="0" fontId="50" fillId="0" borderId="428" applyNumberFormat="0" applyFill="0" applyAlignment="0" applyProtection="0"/>
    <xf numFmtId="0" fontId="43" fillId="55" borderId="451" applyNumberFormat="0" applyAlignment="0" applyProtection="0"/>
    <xf numFmtId="4" fontId="32" fillId="33" borderId="432">
      <alignment horizontal="right" vertical="center"/>
    </xf>
    <xf numFmtId="4" fontId="32" fillId="33" borderId="430">
      <alignment horizontal="right" vertical="center"/>
    </xf>
    <xf numFmtId="4" fontId="32" fillId="33" borderId="430">
      <alignment horizontal="right" vertical="center"/>
    </xf>
    <xf numFmtId="0" fontId="65" fillId="0" borderId="428" applyNumberFormat="0" applyFill="0" applyAlignment="0" applyProtection="0"/>
    <xf numFmtId="0" fontId="46" fillId="55" borderId="427" applyNumberFormat="0" applyAlignment="0" applyProtection="0"/>
    <xf numFmtId="0" fontId="49" fillId="42" borderId="427" applyNumberFormat="0" applyAlignment="0" applyProtection="0"/>
    <xf numFmtId="0" fontId="46" fillId="55" borderId="443" applyNumberFormat="0" applyAlignment="0" applyProtection="0"/>
    <xf numFmtId="0" fontId="58" fillId="42" borderId="452" applyNumberFormat="0" applyAlignment="0" applyProtection="0"/>
    <xf numFmtId="49" fontId="33" fillId="0" borderId="430" applyNumberFormat="0" applyFill="0" applyBorder="0" applyProtection="0">
      <alignment horizontal="left" vertical="center"/>
    </xf>
    <xf numFmtId="0" fontId="5" fillId="58" borderId="429" applyNumberFormat="0" applyFont="0" applyAlignment="0" applyProtection="0"/>
    <xf numFmtId="0" fontId="40" fillId="58" borderId="438" applyNumberFormat="0" applyFont="0" applyAlignment="0" applyProtection="0"/>
    <xf numFmtId="4" fontId="32" fillId="33" borderId="430">
      <alignment horizontal="right" vertical="center"/>
    </xf>
    <xf numFmtId="0" fontId="26" fillId="23" borderId="0" applyNumberFormat="0" applyBorder="0" applyAlignment="0" applyProtection="0"/>
    <xf numFmtId="0" fontId="49" fillId="42" borderId="443" applyNumberFormat="0" applyAlignment="0" applyProtection="0"/>
    <xf numFmtId="0" fontId="36" fillId="31" borderId="455">
      <alignment horizontal="right" vertical="center"/>
    </xf>
    <xf numFmtId="0" fontId="12" fillId="27" borderId="0" applyNumberFormat="0" applyBorder="0" applyAlignment="0" applyProtection="0"/>
    <xf numFmtId="0" fontId="62" fillId="55" borderId="459" applyNumberFormat="0" applyAlignment="0" applyProtection="0"/>
    <xf numFmtId="49" fontId="34" fillId="0" borderId="430" applyNumberFormat="0" applyFont="0" applyFill="0" applyBorder="0" applyProtection="0">
      <alignment horizontal="left" vertical="center" indent="2"/>
    </xf>
    <xf numFmtId="0" fontId="65" fillId="0" borderId="428" applyNumberFormat="0" applyFill="0" applyAlignment="0" applyProtection="0"/>
    <xf numFmtId="4" fontId="34" fillId="0" borderId="430" applyFill="0" applyBorder="0" applyProtection="0">
      <alignment horizontal="right" vertical="center"/>
    </xf>
    <xf numFmtId="0" fontId="58" fillId="42" borderId="427" applyNumberFormat="0" applyAlignment="0" applyProtection="0"/>
    <xf numFmtId="49" fontId="33" fillId="0" borderId="430" applyNumberFormat="0" applyFill="0" applyBorder="0" applyProtection="0">
      <alignment horizontal="left" vertical="center"/>
    </xf>
    <xf numFmtId="49" fontId="34" fillId="0" borderId="430" applyNumberFormat="0" applyFont="0" applyFill="0" applyBorder="0" applyProtection="0">
      <alignment horizontal="left" vertical="center" indent="2"/>
    </xf>
    <xf numFmtId="4" fontId="34" fillId="0" borderId="430" applyFill="0" applyBorder="0" applyProtection="0">
      <alignment horizontal="right" vertical="center"/>
    </xf>
    <xf numFmtId="0" fontId="32" fillId="33" borderId="448">
      <alignment horizontal="right" vertical="center"/>
    </xf>
    <xf numFmtId="173" fontId="34" fillId="59" borderId="430" applyNumberFormat="0" applyFont="0" applyBorder="0" applyAlignment="0" applyProtection="0">
      <alignment horizontal="right" vertical="center"/>
    </xf>
    <xf numFmtId="173" fontId="34" fillId="59" borderId="446" applyNumberFormat="0" applyFont="0" applyBorder="0" applyAlignment="0" applyProtection="0">
      <alignment horizontal="right" vertical="center"/>
    </xf>
    <xf numFmtId="0" fontId="34" fillId="0" borderId="458">
      <alignment horizontal="left" vertical="center" wrapText="1" indent="2"/>
    </xf>
    <xf numFmtId="173" fontId="34" fillId="59" borderId="455" applyNumberFormat="0" applyFont="0" applyBorder="0" applyAlignment="0" applyProtection="0">
      <alignment horizontal="right" vertical="center"/>
    </xf>
    <xf numFmtId="0" fontId="36" fillId="31" borderId="430">
      <alignment horizontal="right" vertical="center"/>
    </xf>
    <xf numFmtId="0" fontId="46" fillId="55" borderId="443" applyNumberFormat="0" applyAlignment="0" applyProtection="0"/>
    <xf numFmtId="0" fontId="58" fillId="42" borderId="443" applyNumberFormat="0" applyAlignment="0" applyProtection="0"/>
    <xf numFmtId="0" fontId="34" fillId="0" borderId="446">
      <alignment horizontal="right" vertical="center"/>
    </xf>
    <xf numFmtId="0" fontId="49" fillId="42" borderId="427" applyNumberFormat="0" applyAlignment="0" applyProtection="0"/>
    <xf numFmtId="4" fontId="32" fillId="33" borderId="430">
      <alignment horizontal="right" vertical="center"/>
    </xf>
    <xf numFmtId="0" fontId="34" fillId="31" borderId="431">
      <alignment horizontal="left" vertical="center"/>
    </xf>
    <xf numFmtId="0" fontId="58" fillId="42" borderId="443" applyNumberFormat="0" applyAlignment="0" applyProtection="0"/>
    <xf numFmtId="4" fontId="34" fillId="0" borderId="455" applyFill="0" applyBorder="0" applyProtection="0">
      <alignment horizontal="right" vertical="center"/>
    </xf>
    <xf numFmtId="0" fontId="32" fillId="33" borderId="448">
      <alignment horizontal="right" vertical="center"/>
    </xf>
    <xf numFmtId="0" fontId="40" fillId="58" borderId="445" applyNumberFormat="0" applyFont="0" applyAlignment="0" applyProtection="0"/>
    <xf numFmtId="0" fontId="12" fillId="30" borderId="0" applyNumberFormat="0" applyBorder="0" applyAlignment="0" applyProtection="0"/>
    <xf numFmtId="0" fontId="26" fillId="25" borderId="0" applyNumberFormat="0" applyBorder="0" applyAlignment="0" applyProtection="0"/>
    <xf numFmtId="0" fontId="46" fillId="55" borderId="443" applyNumberFormat="0" applyAlignment="0" applyProtection="0"/>
    <xf numFmtId="4" fontId="36" fillId="31" borderId="439">
      <alignment horizontal="right" vertical="center"/>
    </xf>
    <xf numFmtId="0" fontId="32" fillId="31" borderId="446">
      <alignment horizontal="right" vertical="center"/>
    </xf>
    <xf numFmtId="4" fontId="34" fillId="32" borderId="455"/>
    <xf numFmtId="0" fontId="12" fillId="21" borderId="0" applyNumberFormat="0" applyBorder="0" applyAlignment="0" applyProtection="0"/>
    <xf numFmtId="4" fontId="34" fillId="0" borderId="446" applyFill="0" applyBorder="0" applyProtection="0">
      <alignment horizontal="right" vertical="center"/>
    </xf>
    <xf numFmtId="0" fontId="32" fillId="33" borderId="430">
      <alignment horizontal="right" vertical="center"/>
    </xf>
    <xf numFmtId="0" fontId="34" fillId="33" borderId="433">
      <alignment horizontal="left" vertical="center" wrapText="1" indent="2"/>
    </xf>
    <xf numFmtId="173" fontId="34" fillId="59" borderId="430" applyNumberFormat="0" applyFont="0" applyBorder="0" applyAlignment="0" applyProtection="0">
      <alignment horizontal="right" vertical="center"/>
    </xf>
    <xf numFmtId="0" fontId="40" fillId="58" borderId="429" applyNumberFormat="0" applyFont="0" applyAlignment="0" applyProtection="0"/>
    <xf numFmtId="49" fontId="34" fillId="0" borderId="430" applyNumberFormat="0" applyFont="0" applyFill="0" applyBorder="0" applyProtection="0">
      <alignment horizontal="left" vertical="center" indent="2"/>
    </xf>
    <xf numFmtId="0" fontId="46" fillId="55" borderId="443" applyNumberFormat="0" applyAlignment="0" applyProtection="0"/>
    <xf numFmtId="0" fontId="58" fillId="42" borderId="436" applyNumberFormat="0" applyAlignment="0" applyProtection="0"/>
    <xf numFmtId="0" fontId="45" fillId="55" borderId="443" applyNumberFormat="0" applyAlignment="0" applyProtection="0"/>
    <xf numFmtId="0" fontId="30" fillId="0" borderId="0" applyNumberFormat="0" applyFill="0" applyBorder="0" applyAlignment="0" applyProtection="0"/>
    <xf numFmtId="49" fontId="33" fillId="0" borderId="430" applyNumberFormat="0" applyFill="0" applyBorder="0" applyProtection="0">
      <alignment horizontal="left" vertical="center"/>
    </xf>
    <xf numFmtId="0" fontId="34" fillId="0" borderId="455" applyNumberFormat="0" applyFill="0" applyAlignment="0" applyProtection="0"/>
    <xf numFmtId="173" fontId="34" fillId="59" borderId="430" applyNumberFormat="0" applyFont="0" applyBorder="0" applyAlignment="0" applyProtection="0">
      <alignment horizontal="right" vertical="center"/>
    </xf>
    <xf numFmtId="0" fontId="62" fillId="55" borderId="434" applyNumberFormat="0" applyAlignment="0" applyProtection="0"/>
    <xf numFmtId="0" fontId="34" fillId="0" borderId="430">
      <alignment horizontal="right" vertical="center"/>
    </xf>
    <xf numFmtId="0" fontId="26" fillId="28" borderId="0" applyNumberFormat="0" applyBorder="0" applyAlignment="0" applyProtection="0"/>
    <xf numFmtId="0" fontId="34" fillId="32" borderId="430"/>
    <xf numFmtId="4" fontId="32" fillId="33" borderId="430">
      <alignment horizontal="right" vertical="center"/>
    </xf>
    <xf numFmtId="0" fontId="34" fillId="32" borderId="430"/>
    <xf numFmtId="0" fontId="58" fillId="42" borderId="427" applyNumberFormat="0" applyAlignment="0" applyProtection="0"/>
    <xf numFmtId="0" fontId="49" fillId="42" borderId="443" applyNumberFormat="0" applyAlignment="0" applyProtection="0"/>
    <xf numFmtId="0" fontId="36" fillId="31" borderId="430">
      <alignment horizontal="right" vertical="center"/>
    </xf>
    <xf numFmtId="0" fontId="34" fillId="0" borderId="433">
      <alignment horizontal="left" vertical="center" wrapText="1" indent="2"/>
    </xf>
    <xf numFmtId="0" fontId="32" fillId="31" borderId="430">
      <alignment horizontal="right" vertical="center"/>
    </xf>
    <xf numFmtId="0" fontId="49" fillId="42" borderId="427" applyNumberFormat="0" applyAlignment="0" applyProtection="0"/>
    <xf numFmtId="0" fontId="34" fillId="33" borderId="433">
      <alignment horizontal="left" vertical="center" wrapText="1" indent="2"/>
    </xf>
    <xf numFmtId="0" fontId="26" fillId="26" borderId="0" applyNumberFormat="0" applyBorder="0" applyAlignment="0" applyProtection="0"/>
    <xf numFmtId="0" fontId="26" fillId="19" borderId="0" applyNumberFormat="0" applyBorder="0" applyAlignment="0" applyProtection="0"/>
    <xf numFmtId="4" fontId="34" fillId="0" borderId="446" applyFill="0" applyBorder="0" applyProtection="0">
      <alignment horizontal="right" vertical="center"/>
    </xf>
    <xf numFmtId="0" fontId="26" fillId="16" borderId="0" applyNumberFormat="0" applyBorder="0" applyAlignment="0" applyProtection="0"/>
    <xf numFmtId="0" fontId="26" fillId="17" borderId="0" applyNumberFormat="0" applyBorder="0" applyAlignment="0" applyProtection="0"/>
    <xf numFmtId="0" fontId="32" fillId="33" borderId="479">
      <alignment horizontal="right" vertical="center"/>
    </xf>
    <xf numFmtId="4" fontId="32" fillId="33" borderId="446">
      <alignment horizontal="right" vertical="center"/>
    </xf>
    <xf numFmtId="0" fontId="43" fillId="55" borderId="450" applyNumberFormat="0" applyAlignment="0" applyProtection="0"/>
    <xf numFmtId="0" fontId="34" fillId="33" borderId="481">
      <alignment horizontal="left" vertical="center" wrapText="1" indent="2"/>
    </xf>
    <xf numFmtId="0" fontId="45" fillId="55" borderId="427" applyNumberFormat="0" applyAlignment="0" applyProtection="0"/>
    <xf numFmtId="0" fontId="36" fillId="31" borderId="430">
      <alignment horizontal="right" vertical="center"/>
    </xf>
    <xf numFmtId="0" fontId="49" fillId="42" borderId="443" applyNumberFormat="0" applyAlignment="0" applyProtection="0"/>
    <xf numFmtId="0" fontId="26" fillId="20" borderId="0" applyNumberFormat="0" applyBorder="0" applyAlignment="0" applyProtection="0"/>
    <xf numFmtId="0" fontId="40" fillId="58" borderId="462" applyNumberFormat="0" applyFont="0" applyAlignment="0" applyProtection="0"/>
    <xf numFmtId="0" fontId="29" fillId="12" borderId="10" applyNumberFormat="0" applyAlignment="0" applyProtection="0"/>
    <xf numFmtId="0" fontId="26" fillId="13" borderId="0" applyNumberFormat="0" applyBorder="0" applyAlignment="0" applyProtection="0"/>
    <xf numFmtId="0" fontId="36" fillId="31" borderId="455">
      <alignment horizontal="right" vertical="center"/>
    </xf>
    <xf numFmtId="4" fontId="36" fillId="31" borderId="455">
      <alignment horizontal="right" vertical="center"/>
    </xf>
    <xf numFmtId="0" fontId="32" fillId="33" borderId="447">
      <alignment horizontal="right" vertical="center"/>
    </xf>
    <xf numFmtId="0" fontId="45" fillId="55" borderId="443" applyNumberFormat="0" applyAlignment="0" applyProtection="0"/>
    <xf numFmtId="0" fontId="32" fillId="33" borderId="430">
      <alignment horizontal="right" vertical="center"/>
    </xf>
    <xf numFmtId="4" fontId="34" fillId="0" borderId="430" applyFill="0" applyBorder="0" applyProtection="0">
      <alignment horizontal="right" vertical="center"/>
    </xf>
    <xf numFmtId="0" fontId="34" fillId="33" borderId="433">
      <alignment horizontal="left" vertical="center" wrapText="1" indent="2"/>
    </xf>
    <xf numFmtId="0" fontId="40" fillId="58" borderId="429" applyNumberFormat="0" applyFont="0" applyAlignment="0" applyProtection="0"/>
    <xf numFmtId="0" fontId="49" fillId="42" borderId="427" applyNumberFormat="0" applyAlignment="0" applyProtection="0"/>
    <xf numFmtId="4" fontId="34" fillId="32" borderId="430"/>
    <xf numFmtId="4" fontId="34" fillId="0" borderId="430" applyFill="0" applyBorder="0" applyProtection="0">
      <alignment horizontal="right" vertical="center"/>
    </xf>
    <xf numFmtId="0" fontId="65" fillId="0" borderId="428" applyNumberFormat="0" applyFill="0" applyAlignment="0" applyProtection="0"/>
    <xf numFmtId="0" fontId="34" fillId="31" borderId="431">
      <alignment horizontal="left" vertical="center"/>
    </xf>
    <xf numFmtId="0" fontId="34" fillId="0" borderId="433">
      <alignment horizontal="left" vertical="center" wrapText="1" indent="2"/>
    </xf>
    <xf numFmtId="0" fontId="32" fillId="33" borderId="446">
      <alignment horizontal="right" vertical="center"/>
    </xf>
    <xf numFmtId="0" fontId="58" fillId="42" borderId="427" applyNumberFormat="0" applyAlignment="0" applyProtection="0"/>
    <xf numFmtId="0" fontId="34" fillId="33" borderId="433">
      <alignment horizontal="left" vertical="center" wrapText="1" indent="2"/>
    </xf>
    <xf numFmtId="0" fontId="12" fillId="15" borderId="0" applyNumberFormat="0" applyBorder="0" applyAlignment="0" applyProtection="0"/>
    <xf numFmtId="0" fontId="49" fillId="42" borderId="443" applyNumberFormat="0" applyAlignment="0" applyProtection="0"/>
    <xf numFmtId="0" fontId="40" fillId="58" borderId="429" applyNumberFormat="0" applyFont="0" applyAlignment="0" applyProtection="0"/>
    <xf numFmtId="0" fontId="58" fillId="42" borderId="427" applyNumberFormat="0" applyAlignment="0" applyProtection="0"/>
    <xf numFmtId="0" fontId="26" fillId="20" borderId="0" applyNumberFormat="0" applyBorder="0" applyAlignment="0" applyProtection="0"/>
    <xf numFmtId="4" fontId="34" fillId="32" borderId="430"/>
    <xf numFmtId="0" fontId="46" fillId="55" borderId="427" applyNumberFormat="0" applyAlignment="0" applyProtection="0"/>
    <xf numFmtId="0" fontId="58" fillId="42" borderId="427" applyNumberFormat="0" applyAlignment="0" applyProtection="0"/>
    <xf numFmtId="4" fontId="32" fillId="33" borderId="430">
      <alignment horizontal="right" vertical="center"/>
    </xf>
    <xf numFmtId="0" fontId="50" fillId="0" borderId="428" applyNumberFormat="0" applyFill="0" applyAlignment="0" applyProtection="0"/>
    <xf numFmtId="4" fontId="32" fillId="33" borderId="447">
      <alignment horizontal="right" vertical="center"/>
    </xf>
    <xf numFmtId="0" fontId="40" fillId="58" borderId="445" applyNumberFormat="0" applyFont="0" applyAlignment="0" applyProtection="0"/>
    <xf numFmtId="4" fontId="36" fillId="31" borderId="446">
      <alignment horizontal="right" vertical="center"/>
    </xf>
    <xf numFmtId="4" fontId="34" fillId="0" borderId="439">
      <alignment horizontal="right" vertical="center"/>
    </xf>
    <xf numFmtId="4" fontId="34" fillId="32" borderId="446"/>
    <xf numFmtId="0" fontId="49" fillId="42" borderId="427" applyNumberFormat="0" applyAlignment="0" applyProtection="0"/>
    <xf numFmtId="0" fontId="26" fillId="16" borderId="0" applyNumberFormat="0" applyBorder="0" applyAlignment="0" applyProtection="0"/>
    <xf numFmtId="0" fontId="32" fillId="33" borderId="446">
      <alignment horizontal="right" vertical="center"/>
    </xf>
    <xf numFmtId="0" fontId="34" fillId="31" borderId="447">
      <alignment horizontal="left" vertical="center"/>
    </xf>
    <xf numFmtId="0" fontId="40" fillId="58" borderId="445" applyNumberFormat="0" applyFont="0" applyAlignment="0" applyProtection="0"/>
    <xf numFmtId="0" fontId="32" fillId="33" borderId="480">
      <alignment horizontal="right" vertical="center"/>
    </xf>
    <xf numFmtId="0" fontId="34" fillId="31" borderId="464">
      <alignment horizontal="left" vertical="center"/>
    </xf>
    <xf numFmtId="0" fontId="34" fillId="33" borderId="433">
      <alignment horizontal="left" vertical="center" wrapText="1" indent="2"/>
    </xf>
    <xf numFmtId="0" fontId="29" fillId="12" borderId="10" applyNumberFormat="0" applyAlignment="0" applyProtection="0"/>
    <xf numFmtId="0" fontId="62" fillId="55" borderId="434" applyNumberFormat="0" applyAlignment="0" applyProtection="0"/>
    <xf numFmtId="0" fontId="58" fillId="42" borderId="427" applyNumberFormat="0" applyAlignment="0" applyProtection="0"/>
    <xf numFmtId="4" fontId="32" fillId="33" borderId="430">
      <alignment horizontal="right" vertical="center"/>
    </xf>
    <xf numFmtId="0" fontId="34" fillId="32" borderId="430"/>
    <xf numFmtId="0" fontId="65" fillId="0" borderId="444" applyNumberFormat="0" applyFill="0" applyAlignment="0" applyProtection="0"/>
    <xf numFmtId="0" fontId="45" fillId="55" borderId="452" applyNumberFormat="0" applyAlignment="0" applyProtection="0"/>
    <xf numFmtId="0" fontId="34" fillId="0" borderId="433">
      <alignment horizontal="left" vertical="center" wrapText="1" indent="2"/>
    </xf>
    <xf numFmtId="0" fontId="26" fillId="23" borderId="0" applyNumberFormat="0" applyBorder="0" applyAlignment="0" applyProtection="0"/>
    <xf numFmtId="0" fontId="12" fillId="18" borderId="0" applyNumberFormat="0" applyBorder="0" applyAlignment="0" applyProtection="0"/>
    <xf numFmtId="0" fontId="45" fillId="55" borderId="443" applyNumberFormat="0" applyAlignment="0" applyProtection="0"/>
    <xf numFmtId="0" fontId="62" fillId="55" borderId="450" applyNumberFormat="0" applyAlignment="0" applyProtection="0"/>
    <xf numFmtId="0" fontId="45" fillId="55" borderId="427" applyNumberFormat="0" applyAlignment="0" applyProtection="0"/>
    <xf numFmtId="0" fontId="32" fillId="33" borderId="440">
      <alignment horizontal="right" vertical="center"/>
    </xf>
    <xf numFmtId="0" fontId="34" fillId="0" borderId="439">
      <alignment horizontal="right" vertical="center"/>
    </xf>
    <xf numFmtId="4" fontId="32" fillId="31" borderId="430">
      <alignment horizontal="right" vertical="center"/>
    </xf>
    <xf numFmtId="0" fontId="43" fillId="55" borderId="450" applyNumberFormat="0" applyAlignment="0" applyProtection="0"/>
    <xf numFmtId="0" fontId="32" fillId="31" borderId="430">
      <alignment horizontal="right" vertical="center"/>
    </xf>
    <xf numFmtId="0" fontId="32" fillId="33" borderId="430">
      <alignment horizontal="right" vertical="center"/>
    </xf>
    <xf numFmtId="0" fontId="32" fillId="33" borderId="446">
      <alignment horizontal="right" vertical="center"/>
    </xf>
    <xf numFmtId="173" fontId="34" fillId="59" borderId="455" applyNumberFormat="0" applyFont="0" applyBorder="0" applyAlignment="0" applyProtection="0">
      <alignment horizontal="right" vertical="center"/>
    </xf>
    <xf numFmtId="0" fontId="34" fillId="0" borderId="446">
      <alignment horizontal="right" vertical="center"/>
    </xf>
    <xf numFmtId="0" fontId="26" fillId="23" borderId="0" applyNumberFormat="0" applyBorder="0" applyAlignment="0" applyProtection="0"/>
    <xf numFmtId="0" fontId="62" fillId="55" borderId="434" applyNumberFormat="0" applyAlignment="0" applyProtection="0"/>
    <xf numFmtId="0" fontId="26" fillId="13" borderId="0" applyNumberFormat="0" applyBorder="0" applyAlignment="0" applyProtection="0"/>
    <xf numFmtId="49" fontId="34" fillId="0" borderId="430" applyNumberFormat="0" applyFont="0" applyFill="0" applyBorder="0" applyProtection="0">
      <alignment horizontal="left" vertical="center" indent="2"/>
    </xf>
    <xf numFmtId="0" fontId="40" fillId="58" borderId="445" applyNumberFormat="0" applyFont="0" applyAlignment="0" applyProtection="0"/>
    <xf numFmtId="0" fontId="40" fillId="58" borderId="429" applyNumberFormat="0" applyFont="0" applyAlignment="0" applyProtection="0"/>
    <xf numFmtId="173" fontId="34" fillId="59" borderId="430" applyNumberFormat="0" applyFont="0" applyBorder="0" applyAlignment="0" applyProtection="0">
      <alignment horizontal="right" vertical="center"/>
    </xf>
    <xf numFmtId="0" fontId="58" fillId="42" borderId="427" applyNumberFormat="0" applyAlignment="0" applyProtection="0"/>
    <xf numFmtId="0" fontId="32" fillId="33" borderId="430">
      <alignment horizontal="right" vertical="center"/>
    </xf>
    <xf numFmtId="0" fontId="34" fillId="32" borderId="430"/>
    <xf numFmtId="0" fontId="62" fillId="55" borderId="434" applyNumberFormat="0" applyAlignment="0" applyProtection="0"/>
    <xf numFmtId="0" fontId="46" fillId="55" borderId="427" applyNumberFormat="0" applyAlignment="0" applyProtection="0"/>
    <xf numFmtId="0" fontId="45" fillId="55" borderId="427" applyNumberFormat="0" applyAlignment="0" applyProtection="0"/>
    <xf numFmtId="0" fontId="49" fillId="42" borderId="427" applyNumberFormat="0" applyAlignment="0" applyProtection="0"/>
    <xf numFmtId="0" fontId="49" fillId="42" borderId="427" applyNumberFormat="0" applyAlignment="0" applyProtection="0"/>
    <xf numFmtId="0" fontId="34" fillId="0" borderId="433">
      <alignment horizontal="left" vertical="center" wrapText="1" indent="2"/>
    </xf>
    <xf numFmtId="4" fontId="32" fillId="33" borderId="431">
      <alignment horizontal="right" vertical="center"/>
    </xf>
    <xf numFmtId="4" fontId="34" fillId="0" borderId="430">
      <alignment horizontal="right" vertical="center"/>
    </xf>
    <xf numFmtId="49" fontId="33" fillId="0" borderId="430" applyNumberFormat="0" applyFill="0" applyBorder="0" applyProtection="0">
      <alignment horizontal="left" vertical="center"/>
    </xf>
    <xf numFmtId="4" fontId="34" fillId="0" borderId="430">
      <alignment horizontal="right" vertical="center"/>
    </xf>
    <xf numFmtId="0" fontId="62" fillId="55" borderId="434" applyNumberFormat="0" applyAlignment="0" applyProtection="0"/>
    <xf numFmtId="0" fontId="34" fillId="31" borderId="479">
      <alignment horizontal="left" vertical="center"/>
    </xf>
    <xf numFmtId="0" fontId="50" fillId="0" borderId="444" applyNumberFormat="0" applyFill="0" applyAlignment="0" applyProtection="0"/>
    <xf numFmtId="173" fontId="34" fillId="59" borderId="478" applyNumberFormat="0" applyFont="0" applyBorder="0" applyAlignment="0" applyProtection="0">
      <alignment horizontal="right" vertical="center"/>
    </xf>
    <xf numFmtId="0" fontId="65" fillId="0" borderId="444" applyNumberFormat="0" applyFill="0" applyAlignment="0" applyProtection="0"/>
    <xf numFmtId="4" fontId="32" fillId="31" borderId="446">
      <alignment horizontal="right" vertical="center"/>
    </xf>
    <xf numFmtId="0" fontId="26" fillId="13" borderId="0" applyNumberFormat="0" applyBorder="0" applyAlignment="0" applyProtection="0"/>
    <xf numFmtId="0" fontId="34" fillId="0" borderId="433">
      <alignment horizontal="left" vertical="center" wrapText="1" indent="2"/>
    </xf>
    <xf numFmtId="0" fontId="12" fillId="15" borderId="0" applyNumberFormat="0" applyBorder="0" applyAlignment="0" applyProtection="0"/>
    <xf numFmtId="0" fontId="58" fillId="42" borderId="475" applyNumberFormat="0" applyAlignment="0" applyProtection="0"/>
    <xf numFmtId="0" fontId="46" fillId="55" borderId="443" applyNumberFormat="0" applyAlignment="0" applyProtection="0"/>
    <xf numFmtId="0" fontId="26" fillId="22" borderId="0" applyNumberFormat="0" applyBorder="0" applyAlignment="0" applyProtection="0"/>
    <xf numFmtId="0" fontId="62" fillId="55" borderId="451" applyNumberFormat="0" applyAlignment="0" applyProtection="0"/>
    <xf numFmtId="0" fontId="26" fillId="14" borderId="0" applyNumberFormat="0" applyBorder="0" applyAlignment="0" applyProtection="0"/>
    <xf numFmtId="0" fontId="12" fillId="30" borderId="0" applyNumberFormat="0" applyBorder="0" applyAlignment="0" applyProtection="0"/>
    <xf numFmtId="0" fontId="45" fillId="55" borderId="443" applyNumberFormat="0" applyAlignment="0" applyProtection="0"/>
    <xf numFmtId="0" fontId="50" fillId="0" borderId="444" applyNumberFormat="0" applyFill="0" applyAlignment="0" applyProtection="0"/>
    <xf numFmtId="0" fontId="40" fillId="58" borderId="445" applyNumberFormat="0" applyFont="0" applyAlignment="0" applyProtection="0"/>
    <xf numFmtId="0" fontId="40" fillId="58" borderId="429" applyNumberFormat="0" applyFont="0" applyAlignment="0" applyProtection="0"/>
    <xf numFmtId="0" fontId="34" fillId="0" borderId="446" applyNumberFormat="0" applyFill="0" applyAlignment="0" applyProtection="0"/>
    <xf numFmtId="0" fontId="32" fillId="31" borderId="430">
      <alignment horizontal="right" vertical="center"/>
    </xf>
    <xf numFmtId="0" fontId="2" fillId="0" borderId="12" applyNumberFormat="0" applyFill="0" applyAlignment="0" applyProtection="0"/>
    <xf numFmtId="4" fontId="32" fillId="33" borderId="446">
      <alignment horizontal="right" vertical="center"/>
    </xf>
    <xf numFmtId="0" fontId="34" fillId="0" borderId="430" applyNumberFormat="0" applyFill="0" applyAlignment="0" applyProtection="0"/>
    <xf numFmtId="49" fontId="33" fillId="0" borderId="430" applyNumberFormat="0" applyFill="0" applyBorder="0" applyProtection="0">
      <alignment horizontal="left" vertical="center"/>
    </xf>
    <xf numFmtId="0" fontId="34" fillId="0" borderId="430">
      <alignment horizontal="right" vertical="center"/>
    </xf>
    <xf numFmtId="0" fontId="32" fillId="33" borderId="455">
      <alignment horizontal="right" vertical="center"/>
    </xf>
    <xf numFmtId="0" fontId="34" fillId="0" borderId="442">
      <alignment horizontal="left" vertical="center" wrapText="1" indent="2"/>
    </xf>
    <xf numFmtId="0" fontId="12" fillId="18" borderId="0" applyNumberFormat="0" applyBorder="0" applyAlignment="0" applyProtection="0"/>
    <xf numFmtId="0" fontId="46" fillId="55" borderId="443" applyNumberFormat="0" applyAlignment="0" applyProtection="0"/>
    <xf numFmtId="4" fontId="32" fillId="31" borderId="430">
      <alignment horizontal="right" vertical="center"/>
    </xf>
    <xf numFmtId="0" fontId="34" fillId="0" borderId="455">
      <alignment horizontal="right" vertical="center"/>
    </xf>
    <xf numFmtId="0" fontId="46" fillId="55" borderId="427" applyNumberFormat="0" applyAlignment="0" applyProtection="0"/>
    <xf numFmtId="0" fontId="32" fillId="33" borderId="432">
      <alignment horizontal="right" vertical="center"/>
    </xf>
    <xf numFmtId="4" fontId="32" fillId="31" borderId="430">
      <alignment horizontal="right" vertical="center"/>
    </xf>
    <xf numFmtId="0" fontId="32" fillId="33" borderId="430">
      <alignment horizontal="right" vertical="center"/>
    </xf>
    <xf numFmtId="0" fontId="46" fillId="55" borderId="427" applyNumberFormat="0" applyAlignment="0" applyProtection="0"/>
    <xf numFmtId="49" fontId="33" fillId="0" borderId="446" applyNumberFormat="0" applyFill="0" applyBorder="0" applyProtection="0">
      <alignment horizontal="left" vertical="center"/>
    </xf>
    <xf numFmtId="0" fontId="26" fillId="25" borderId="0" applyNumberFormat="0" applyBorder="0" applyAlignment="0" applyProtection="0"/>
    <xf numFmtId="0" fontId="2" fillId="0" borderId="12" applyNumberFormat="0" applyFill="0" applyAlignment="0" applyProtection="0"/>
    <xf numFmtId="4" fontId="34" fillId="0" borderId="430" applyFill="0" applyBorder="0" applyProtection="0">
      <alignment horizontal="right" vertical="center"/>
    </xf>
    <xf numFmtId="0" fontId="40" fillId="58" borderId="429" applyNumberFormat="0" applyFont="0" applyAlignment="0" applyProtection="0"/>
    <xf numFmtId="4" fontId="32" fillId="33" borderId="480">
      <alignment horizontal="right" vertical="center"/>
    </xf>
    <xf numFmtId="0" fontId="28" fillId="12" borderId="11" applyNumberFormat="0" applyAlignment="0" applyProtection="0"/>
    <xf numFmtId="0" fontId="26" fillId="28" borderId="0" applyNumberFormat="0" applyBorder="0" applyAlignment="0" applyProtection="0"/>
    <xf numFmtId="0" fontId="26" fillId="19" borderId="0" applyNumberFormat="0" applyBorder="0" applyAlignment="0" applyProtection="0"/>
    <xf numFmtId="0" fontId="32" fillId="33" borderId="446">
      <alignment horizontal="right" vertical="center"/>
    </xf>
    <xf numFmtId="0" fontId="26" fillId="26" borderId="0" applyNumberFormat="0" applyBorder="0" applyAlignment="0" applyProtection="0"/>
    <xf numFmtId="0" fontId="65" fillId="0" borderId="444" applyNumberFormat="0" applyFill="0" applyAlignment="0" applyProtection="0"/>
    <xf numFmtId="0" fontId="32" fillId="31" borderId="430">
      <alignment horizontal="right" vertical="center"/>
    </xf>
    <xf numFmtId="0" fontId="50" fillId="0" borderId="428" applyNumberFormat="0" applyFill="0" applyAlignment="0" applyProtection="0"/>
    <xf numFmtId="0" fontId="34" fillId="0" borderId="430" applyNumberFormat="0" applyFill="0" applyAlignment="0" applyProtection="0"/>
    <xf numFmtId="0" fontId="50" fillId="0" borderId="428" applyNumberFormat="0" applyFill="0" applyAlignment="0" applyProtection="0"/>
    <xf numFmtId="4" fontId="34" fillId="0" borderId="430" applyFill="0" applyBorder="0" applyProtection="0">
      <alignment horizontal="right" vertical="center"/>
    </xf>
    <xf numFmtId="49" fontId="34" fillId="0" borderId="431" applyNumberFormat="0" applyFont="0" applyFill="0" applyBorder="0" applyProtection="0">
      <alignment horizontal="left" vertical="center" indent="5"/>
    </xf>
    <xf numFmtId="0" fontId="34" fillId="0" borderId="430" applyNumberFormat="0" applyFill="0" applyAlignment="0" applyProtection="0"/>
    <xf numFmtId="0" fontId="58" fillId="42" borderId="427" applyNumberFormat="0" applyAlignment="0" applyProtection="0"/>
    <xf numFmtId="0" fontId="34" fillId="0" borderId="430" applyNumberFormat="0" applyFill="0" applyAlignment="0" applyProtection="0"/>
    <xf numFmtId="0" fontId="28" fillId="12" borderId="11" applyNumberFormat="0" applyAlignment="0" applyProtection="0"/>
    <xf numFmtId="4" fontId="32" fillId="33" borderId="430">
      <alignment horizontal="right" vertical="center"/>
    </xf>
    <xf numFmtId="0" fontId="43" fillId="55" borderId="450" applyNumberFormat="0" applyAlignment="0" applyProtection="0"/>
    <xf numFmtId="0" fontId="12" fillId="21" borderId="0" applyNumberFormat="0" applyBorder="0" applyAlignment="0" applyProtection="0"/>
    <xf numFmtId="0" fontId="50" fillId="0" borderId="444" applyNumberFormat="0" applyFill="0" applyAlignment="0" applyProtection="0"/>
    <xf numFmtId="0" fontId="49" fillId="42" borderId="427" applyNumberFormat="0" applyAlignment="0" applyProtection="0"/>
    <xf numFmtId="0" fontId="46" fillId="55" borderId="427" applyNumberFormat="0" applyAlignment="0" applyProtection="0"/>
    <xf numFmtId="4" fontId="34" fillId="0" borderId="430">
      <alignment horizontal="right" vertical="center"/>
    </xf>
    <xf numFmtId="0" fontId="34" fillId="33" borderId="433">
      <alignment horizontal="left" vertical="center" wrapText="1" indent="2"/>
    </xf>
    <xf numFmtId="0" fontId="34" fillId="0" borderId="433">
      <alignment horizontal="left" vertical="center" wrapText="1" indent="2"/>
    </xf>
    <xf numFmtId="0" fontId="62" fillId="55" borderId="434" applyNumberFormat="0" applyAlignment="0" applyProtection="0"/>
    <xf numFmtId="0" fontId="58" fillId="42" borderId="427" applyNumberFormat="0" applyAlignment="0" applyProtection="0"/>
    <xf numFmtId="0" fontId="45" fillId="55" borderId="427" applyNumberFormat="0" applyAlignment="0" applyProtection="0"/>
    <xf numFmtId="0" fontId="43" fillId="55" borderId="434" applyNumberFormat="0" applyAlignment="0" applyProtection="0"/>
    <xf numFmtId="0" fontId="32" fillId="33" borderId="432">
      <alignment horizontal="right" vertical="center"/>
    </xf>
    <xf numFmtId="0" fontId="36" fillId="31" borderId="430">
      <alignment horizontal="right" vertical="center"/>
    </xf>
    <xf numFmtId="4" fontId="32" fillId="31" borderId="430">
      <alignment horizontal="right" vertical="center"/>
    </xf>
    <xf numFmtId="4" fontId="32" fillId="33" borderId="430">
      <alignment horizontal="right" vertical="center"/>
    </xf>
    <xf numFmtId="49" fontId="34" fillId="0" borderId="431" applyNumberFormat="0" applyFont="0" applyFill="0" applyBorder="0" applyProtection="0">
      <alignment horizontal="left" vertical="center" indent="5"/>
    </xf>
    <xf numFmtId="4" fontId="34" fillId="0" borderId="430" applyFill="0" applyBorder="0" applyProtection="0">
      <alignment horizontal="right" vertical="center"/>
    </xf>
    <xf numFmtId="4" fontId="32" fillId="31" borderId="430">
      <alignment horizontal="right" vertical="center"/>
    </xf>
    <xf numFmtId="0" fontId="58" fillId="42" borderId="427" applyNumberFormat="0" applyAlignment="0" applyProtection="0"/>
    <xf numFmtId="0" fontId="49" fillId="42" borderId="427" applyNumberFormat="0" applyAlignment="0" applyProtection="0"/>
    <xf numFmtId="0" fontId="45" fillId="55" borderId="427" applyNumberFormat="0" applyAlignment="0" applyProtection="0"/>
    <xf numFmtId="0" fontId="34" fillId="33" borderId="433">
      <alignment horizontal="left" vertical="center" wrapText="1" indent="2"/>
    </xf>
    <xf numFmtId="0" fontId="34" fillId="0" borderId="433">
      <alignment horizontal="left" vertical="center" wrapText="1" indent="2"/>
    </xf>
    <xf numFmtId="0" fontId="34" fillId="33" borderId="433">
      <alignment horizontal="left" vertical="center" wrapText="1" indent="2"/>
    </xf>
    <xf numFmtId="0" fontId="36" fillId="31" borderId="439">
      <alignment horizontal="right" vertical="center"/>
    </xf>
    <xf numFmtId="4" fontId="34" fillId="0" borderId="446">
      <alignment horizontal="right" vertical="center"/>
    </xf>
    <xf numFmtId="173" fontId="34" fillId="59" borderId="446" applyNumberFormat="0" applyFont="0" applyBorder="0" applyAlignment="0" applyProtection="0">
      <alignment horizontal="right" vertical="center"/>
    </xf>
    <xf numFmtId="0" fontId="50" fillId="0" borderId="453" applyNumberFormat="0" applyFill="0" applyAlignment="0" applyProtection="0"/>
    <xf numFmtId="0" fontId="34" fillId="33" borderId="449">
      <alignment horizontal="left" vertical="center" wrapText="1" indent="2"/>
    </xf>
    <xf numFmtId="0" fontId="32" fillId="33" borderId="447">
      <alignment horizontal="right" vertical="center"/>
    </xf>
    <xf numFmtId="0" fontId="43" fillId="55" borderId="451" applyNumberFormat="0" applyAlignment="0" applyProtection="0"/>
    <xf numFmtId="0" fontId="32" fillId="31" borderId="468">
      <alignment horizontal="right" vertical="center"/>
    </xf>
    <xf numFmtId="0" fontId="32" fillId="33" borderId="456">
      <alignment horizontal="right" vertical="center"/>
    </xf>
    <xf numFmtId="0" fontId="65" fillId="0" borderId="461" applyNumberFormat="0" applyFill="0" applyAlignment="0" applyProtection="0"/>
    <xf numFmtId="4" fontId="36" fillId="31" borderId="446">
      <alignment horizontal="right" vertical="center"/>
    </xf>
    <xf numFmtId="0" fontId="32" fillId="33" borderId="446">
      <alignment horizontal="right" vertical="center"/>
    </xf>
    <xf numFmtId="49" fontId="33" fillId="0" borderId="455" applyNumberFormat="0" applyFill="0" applyBorder="0" applyProtection="0">
      <alignment horizontal="left" vertical="center"/>
    </xf>
    <xf numFmtId="4" fontId="32" fillId="31" borderId="478">
      <alignment horizontal="right" vertical="center"/>
    </xf>
    <xf numFmtId="0" fontId="32" fillId="33" borderId="446">
      <alignment horizontal="right" vertical="center"/>
    </xf>
    <xf numFmtId="173" fontId="34" fillId="59" borderId="446" applyNumberFormat="0" applyFont="0" applyBorder="0" applyAlignment="0" applyProtection="0">
      <alignment horizontal="right" vertical="center"/>
    </xf>
    <xf numFmtId="4" fontId="32" fillId="33" borderId="446">
      <alignment horizontal="right" vertical="center"/>
    </xf>
    <xf numFmtId="0" fontId="36" fillId="31" borderId="468">
      <alignment horizontal="right" vertical="center"/>
    </xf>
    <xf numFmtId="0" fontId="58" fillId="42" borderId="443" applyNumberFormat="0" applyAlignment="0" applyProtection="0"/>
    <xf numFmtId="0" fontId="34" fillId="31" borderId="447">
      <alignment horizontal="left" vertical="center"/>
    </xf>
    <xf numFmtId="0" fontId="62" fillId="55" borderId="451" applyNumberFormat="0" applyAlignment="0" applyProtection="0"/>
    <xf numFmtId="0" fontId="30" fillId="0" borderId="0" applyNumberFormat="0" applyFill="0" applyBorder="0" applyAlignment="0" applyProtection="0"/>
    <xf numFmtId="0" fontId="58" fillId="42" borderId="452" applyNumberFormat="0" applyAlignment="0" applyProtection="0"/>
    <xf numFmtId="173" fontId="34" fillId="59" borderId="455" applyNumberFormat="0" applyFont="0" applyBorder="0" applyAlignment="0" applyProtection="0">
      <alignment horizontal="right" vertical="center"/>
    </xf>
    <xf numFmtId="0" fontId="32" fillId="33" borderId="457">
      <alignment horizontal="right" vertical="center"/>
    </xf>
    <xf numFmtId="0" fontId="32" fillId="33" borderId="468">
      <alignment horizontal="right" vertical="center"/>
    </xf>
    <xf numFmtId="0" fontId="36" fillId="31" borderId="446">
      <alignment horizontal="right" vertical="center"/>
    </xf>
    <xf numFmtId="0" fontId="26" fillId="26" borderId="0" applyNumberFormat="0" applyBorder="0" applyAlignment="0" applyProtection="0"/>
    <xf numFmtId="0" fontId="32" fillId="33" borderId="446">
      <alignment horizontal="right" vertical="center"/>
    </xf>
    <xf numFmtId="4" fontId="32" fillId="33" borderId="455">
      <alignment horizontal="right" vertical="center"/>
    </xf>
    <xf numFmtId="0" fontId="65" fillId="0" borderId="453" applyNumberFormat="0" applyFill="0" applyAlignment="0" applyProtection="0"/>
    <xf numFmtId="0" fontId="26" fillId="17" borderId="0" applyNumberFormat="0" applyBorder="0" applyAlignment="0" applyProtection="0"/>
    <xf numFmtId="0" fontId="26" fillId="29" borderId="0" applyNumberFormat="0" applyBorder="0" applyAlignment="0" applyProtection="0"/>
    <xf numFmtId="0" fontId="40" fillId="58" borderId="454" applyNumberFormat="0" applyFont="0" applyAlignment="0" applyProtection="0"/>
    <xf numFmtId="0" fontId="1" fillId="0" borderId="0" applyNumberFormat="0" applyFill="0" applyBorder="0" applyAlignment="0" applyProtection="0"/>
    <xf numFmtId="0" fontId="62" fillId="55" borderId="482" applyNumberFormat="0" applyAlignment="0" applyProtection="0"/>
    <xf numFmtId="0" fontId="34" fillId="32" borderId="446"/>
    <xf numFmtId="0" fontId="62" fillId="55" borderId="451" applyNumberFormat="0" applyAlignment="0" applyProtection="0"/>
    <xf numFmtId="0" fontId="12" fillId="30" borderId="0" applyNumberFormat="0" applyBorder="0" applyAlignment="0" applyProtection="0"/>
    <xf numFmtId="0" fontId="26" fillId="23"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12" fillId="24"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12" fillId="15" borderId="0" applyNumberFormat="0" applyBorder="0" applyAlignment="0" applyProtection="0"/>
    <xf numFmtId="0" fontId="26" fillId="22" borderId="0" applyNumberFormat="0" applyBorder="0" applyAlignment="0" applyProtection="0"/>
    <xf numFmtId="4" fontId="32" fillId="33" borderId="446">
      <alignment horizontal="right" vertical="center"/>
    </xf>
    <xf numFmtId="0" fontId="34" fillId="32" borderId="455"/>
    <xf numFmtId="49" fontId="34" fillId="0" borderId="446" applyNumberFormat="0" applyFont="0" applyFill="0" applyBorder="0" applyProtection="0">
      <alignment horizontal="left" vertical="center" indent="2"/>
    </xf>
    <xf numFmtId="4" fontId="32" fillId="33" borderId="439">
      <alignment horizontal="right" vertical="center"/>
    </xf>
    <xf numFmtId="0" fontId="34" fillId="32" borderId="439"/>
    <xf numFmtId="0" fontId="45" fillId="55" borderId="436" applyNumberFormat="0" applyAlignment="0" applyProtection="0"/>
    <xf numFmtId="0" fontId="32" fillId="31" borderId="439">
      <alignment horizontal="right" vertical="center"/>
    </xf>
    <xf numFmtId="0" fontId="34" fillId="0" borderId="439">
      <alignment horizontal="right" vertical="center"/>
    </xf>
    <xf numFmtId="0" fontId="65" fillId="0" borderId="437" applyNumberFormat="0" applyFill="0" applyAlignment="0" applyProtection="0"/>
    <xf numFmtId="0" fontId="34" fillId="31" borderId="440">
      <alignment horizontal="left" vertical="center"/>
    </xf>
    <xf numFmtId="0" fontId="58" fillId="42" borderId="436" applyNumberFormat="0" applyAlignment="0" applyProtection="0"/>
    <xf numFmtId="173" fontId="34" fillId="59" borderId="439" applyNumberFormat="0" applyFont="0" applyBorder="0" applyAlignment="0" applyProtection="0">
      <alignment horizontal="right" vertical="center"/>
    </xf>
    <xf numFmtId="0" fontId="40" fillId="58" borderId="438" applyNumberFormat="0" applyFont="0" applyAlignment="0" applyProtection="0"/>
    <xf numFmtId="0" fontId="34" fillId="0" borderId="442">
      <alignment horizontal="left" vertical="center" wrapText="1" indent="2"/>
    </xf>
    <xf numFmtId="4" fontId="34" fillId="32" borderId="439"/>
    <xf numFmtId="49" fontId="33" fillId="0" borderId="439" applyNumberFormat="0" applyFill="0" applyBorder="0" applyProtection="0">
      <alignment horizontal="left" vertical="center"/>
    </xf>
    <xf numFmtId="0" fontId="34" fillId="0" borderId="439">
      <alignment horizontal="right" vertical="center"/>
    </xf>
    <xf numFmtId="4" fontId="32" fillId="33" borderId="441">
      <alignment horizontal="right" vertical="center"/>
    </xf>
    <xf numFmtId="4" fontId="32" fillId="33" borderId="439">
      <alignment horizontal="right" vertical="center"/>
    </xf>
    <xf numFmtId="4" fontId="32" fillId="33" borderId="439">
      <alignment horizontal="right" vertical="center"/>
    </xf>
    <xf numFmtId="0" fontId="36" fillId="31" borderId="439">
      <alignment horizontal="right" vertical="center"/>
    </xf>
    <xf numFmtId="0" fontId="32" fillId="31" borderId="439">
      <alignment horizontal="right" vertical="center"/>
    </xf>
    <xf numFmtId="49" fontId="34" fillId="0" borderId="439" applyNumberFormat="0" applyFont="0" applyFill="0" applyBorder="0" applyProtection="0">
      <alignment horizontal="left" vertical="center" indent="2"/>
    </xf>
    <xf numFmtId="0" fontId="58" fillId="42" borderId="436" applyNumberFormat="0" applyAlignment="0" applyProtection="0"/>
    <xf numFmtId="0" fontId="43" fillId="55" borderId="435" applyNumberFormat="0" applyAlignment="0" applyProtection="0"/>
    <xf numFmtId="49" fontId="34" fillId="0" borderId="439" applyNumberFormat="0" applyFont="0" applyFill="0" applyBorder="0" applyProtection="0">
      <alignment horizontal="left" vertical="center" indent="2"/>
    </xf>
    <xf numFmtId="0" fontId="49" fillId="42" borderId="436" applyNumberFormat="0" applyAlignment="0" applyProtection="0"/>
    <xf numFmtId="4" fontId="34" fillId="0" borderId="439" applyFill="0" applyBorder="0" applyProtection="0">
      <alignment horizontal="right" vertical="center"/>
    </xf>
    <xf numFmtId="0" fontId="46" fillId="55" borderId="436" applyNumberFormat="0" applyAlignment="0" applyProtection="0"/>
    <xf numFmtId="0" fontId="65" fillId="0" borderId="437" applyNumberFormat="0" applyFill="0" applyAlignment="0" applyProtection="0"/>
    <xf numFmtId="0" fontId="62" fillId="55" borderId="435" applyNumberFormat="0" applyAlignment="0" applyProtection="0"/>
    <xf numFmtId="0" fontId="34" fillId="0" borderId="439" applyNumberFormat="0" applyFill="0" applyAlignment="0" applyProtection="0"/>
    <xf numFmtId="4" fontId="34" fillId="0" borderId="439">
      <alignment horizontal="right" vertical="center"/>
    </xf>
    <xf numFmtId="0" fontId="34" fillId="0" borderId="439">
      <alignment horizontal="right" vertical="center"/>
    </xf>
    <xf numFmtId="0" fontId="58" fillId="42" borderId="436" applyNumberFormat="0" applyAlignment="0" applyProtection="0"/>
    <xf numFmtId="0" fontId="43" fillId="55" borderId="435" applyNumberFormat="0" applyAlignment="0" applyProtection="0"/>
    <xf numFmtId="0" fontId="45" fillId="55" borderId="436" applyNumberFormat="0" applyAlignment="0" applyProtection="0"/>
    <xf numFmtId="0" fontId="34" fillId="33" borderId="442">
      <alignment horizontal="left" vertical="center" wrapText="1" indent="2"/>
    </xf>
    <xf numFmtId="0" fontId="46" fillId="55" borderId="436" applyNumberFormat="0" applyAlignment="0" applyProtection="0"/>
    <xf numFmtId="0" fontId="46" fillId="55" borderId="436" applyNumberFormat="0" applyAlignment="0" applyProtection="0"/>
    <xf numFmtId="4" fontId="32" fillId="33" borderId="440">
      <alignment horizontal="right" vertical="center"/>
    </xf>
    <xf numFmtId="0" fontId="32" fillId="33" borderId="440">
      <alignment horizontal="right" vertical="center"/>
    </xf>
    <xf numFmtId="0" fontId="32" fillId="33" borderId="439">
      <alignment horizontal="right" vertical="center"/>
    </xf>
    <xf numFmtId="4" fontId="36" fillId="31" borderId="439">
      <alignment horizontal="right" vertical="center"/>
    </xf>
    <xf numFmtId="0" fontId="49" fillId="42" borderId="436" applyNumberFormat="0" applyAlignment="0" applyProtection="0"/>
    <xf numFmtId="0" fontId="50" fillId="0" borderId="437" applyNumberFormat="0" applyFill="0" applyAlignment="0" applyProtection="0"/>
    <xf numFmtId="0" fontId="65" fillId="0" borderId="437" applyNumberFormat="0" applyFill="0" applyAlignment="0" applyProtection="0"/>
    <xf numFmtId="0" fontId="40" fillId="58" borderId="438" applyNumberFormat="0" applyFont="0" applyAlignment="0" applyProtection="0"/>
    <xf numFmtId="0" fontId="58" fillId="42" borderId="436" applyNumberFormat="0" applyAlignment="0" applyProtection="0"/>
    <xf numFmtId="49" fontId="33" fillId="0" borderId="439" applyNumberFormat="0" applyFill="0" applyBorder="0" applyProtection="0">
      <alignment horizontal="left" vertical="center"/>
    </xf>
    <xf numFmtId="0" fontId="34" fillId="33" borderId="442">
      <alignment horizontal="left" vertical="center" wrapText="1" indent="2"/>
    </xf>
    <xf numFmtId="0" fontId="46" fillId="55" borderId="436" applyNumberFormat="0" applyAlignment="0" applyProtection="0"/>
    <xf numFmtId="0" fontId="34" fillId="0" borderId="442">
      <alignment horizontal="left" vertical="center" wrapText="1" indent="2"/>
    </xf>
    <xf numFmtId="0" fontId="40" fillId="58" borderId="438" applyNumberFormat="0" applyFont="0" applyAlignment="0" applyProtection="0"/>
    <xf numFmtId="0" fontId="5" fillId="58" borderId="438" applyNumberFormat="0" applyFont="0" applyAlignment="0" applyProtection="0"/>
    <xf numFmtId="0" fontId="62" fillId="55" borderId="435" applyNumberFormat="0" applyAlignment="0" applyProtection="0"/>
    <xf numFmtId="0" fontId="65" fillId="0" borderId="437" applyNumberFormat="0" applyFill="0" applyAlignment="0" applyProtection="0"/>
    <xf numFmtId="4" fontId="34" fillId="32" borderId="439"/>
    <xf numFmtId="0" fontId="32" fillId="33" borderId="439">
      <alignment horizontal="right" vertical="center"/>
    </xf>
    <xf numFmtId="0" fontId="65" fillId="0" borderId="437" applyNumberFormat="0" applyFill="0" applyAlignment="0" applyProtection="0"/>
    <xf numFmtId="4" fontId="32" fillId="33" borderId="441">
      <alignment horizontal="right" vertical="center"/>
    </xf>
    <xf numFmtId="0" fontId="45" fillId="55" borderId="436" applyNumberFormat="0" applyAlignment="0" applyProtection="0"/>
    <xf numFmtId="0" fontId="32" fillId="33" borderId="440">
      <alignment horizontal="right" vertical="center"/>
    </xf>
    <xf numFmtId="0" fontId="46" fillId="55" borderId="436" applyNumberFormat="0" applyAlignment="0" applyProtection="0"/>
    <xf numFmtId="0" fontId="50" fillId="0" borderId="437" applyNumberFormat="0" applyFill="0" applyAlignment="0" applyProtection="0"/>
    <xf numFmtId="0" fontId="40" fillId="58" borderId="438" applyNumberFormat="0" applyFont="0" applyAlignment="0" applyProtection="0"/>
    <xf numFmtId="4" fontId="32" fillId="33" borderId="440">
      <alignment horizontal="right" vertical="center"/>
    </xf>
    <xf numFmtId="0" fontId="34" fillId="33" borderId="442">
      <alignment horizontal="left" vertical="center" wrapText="1" indent="2"/>
    </xf>
    <xf numFmtId="0" fontId="34" fillId="32" borderId="439"/>
    <xf numFmtId="173" fontId="34" fillId="59" borderId="439" applyNumberFormat="0" applyFont="0" applyBorder="0" applyAlignment="0" applyProtection="0">
      <alignment horizontal="right" vertical="center"/>
    </xf>
    <xf numFmtId="0" fontId="34" fillId="0" borderId="439" applyNumberFormat="0" applyFill="0" applyAlignment="0" applyProtection="0"/>
    <xf numFmtId="4" fontId="34" fillId="0" borderId="439" applyFill="0" applyBorder="0" applyProtection="0">
      <alignment horizontal="right" vertical="center"/>
    </xf>
    <xf numFmtId="4" fontId="32" fillId="31" borderId="439">
      <alignment horizontal="right" vertical="center"/>
    </xf>
    <xf numFmtId="0" fontId="50" fillId="0" borderId="437" applyNumberFormat="0" applyFill="0" applyAlignment="0" applyProtection="0"/>
    <xf numFmtId="49" fontId="33" fillId="0" borderId="439" applyNumberFormat="0" applyFill="0" applyBorder="0" applyProtection="0">
      <alignment horizontal="left" vertical="center"/>
    </xf>
    <xf numFmtId="49" fontId="34" fillId="0" borderId="440" applyNumberFormat="0" applyFont="0" applyFill="0" applyBorder="0" applyProtection="0">
      <alignment horizontal="left" vertical="center" indent="5"/>
    </xf>
    <xf numFmtId="0" fontId="34" fillId="31" borderId="440">
      <alignment horizontal="left" vertical="center"/>
    </xf>
    <xf numFmtId="0" fontId="46" fillId="55" borderId="436" applyNumberFormat="0" applyAlignment="0" applyProtection="0"/>
    <xf numFmtId="4" fontId="32" fillId="33" borderId="441">
      <alignment horizontal="right" vertical="center"/>
    </xf>
    <xf numFmtId="0" fontId="58" fillId="42" borderId="436" applyNumberFormat="0" applyAlignment="0" applyProtection="0"/>
    <xf numFmtId="0" fontId="58" fillId="42" borderId="436" applyNumberFormat="0" applyAlignment="0" applyProtection="0"/>
    <xf numFmtId="0" fontId="40" fillId="58" borderId="438" applyNumberFormat="0" applyFont="0" applyAlignment="0" applyProtection="0"/>
    <xf numFmtId="0" fontId="62" fillId="55" borderId="435" applyNumberFormat="0" applyAlignment="0" applyProtection="0"/>
    <xf numFmtId="0" fontId="65" fillId="0" borderId="437" applyNumberFormat="0" applyFill="0" applyAlignment="0" applyProtection="0"/>
    <xf numFmtId="0" fontId="32" fillId="33" borderId="439">
      <alignment horizontal="right" vertical="center"/>
    </xf>
    <xf numFmtId="0" fontId="5" fillId="58" borderId="438" applyNumberFormat="0" applyFont="0" applyAlignment="0" applyProtection="0"/>
    <xf numFmtId="4" fontId="34" fillId="0" borderId="439">
      <alignment horizontal="right" vertical="center"/>
    </xf>
    <xf numFmtId="0" fontId="65" fillId="0" borderId="437" applyNumberFormat="0" applyFill="0" applyAlignment="0" applyProtection="0"/>
    <xf numFmtId="0" fontId="32" fillId="33" borderId="439">
      <alignment horizontal="right" vertical="center"/>
    </xf>
    <xf numFmtId="0" fontId="32" fillId="33" borderId="439">
      <alignment horizontal="right" vertical="center"/>
    </xf>
    <xf numFmtId="4" fontId="36" fillId="31" borderId="439">
      <alignment horizontal="right" vertical="center"/>
    </xf>
    <xf numFmtId="0" fontId="32" fillId="31" borderId="439">
      <alignment horizontal="right" vertical="center"/>
    </xf>
    <xf numFmtId="4" fontId="32" fillId="31" borderId="439">
      <alignment horizontal="right" vertical="center"/>
    </xf>
    <xf numFmtId="0" fontId="36" fillId="31" borderId="439">
      <alignment horizontal="right" vertical="center"/>
    </xf>
    <xf numFmtId="4" fontId="36" fillId="31" borderId="439">
      <alignment horizontal="right" vertical="center"/>
    </xf>
    <xf numFmtId="0" fontId="32" fillId="33" borderId="439">
      <alignment horizontal="right" vertical="center"/>
    </xf>
    <xf numFmtId="4" fontId="32" fillId="33" borderId="439">
      <alignment horizontal="right" vertical="center"/>
    </xf>
    <xf numFmtId="0" fontId="32" fillId="33" borderId="439">
      <alignment horizontal="right" vertical="center"/>
    </xf>
    <xf numFmtId="4" fontId="32" fillId="33" borderId="439">
      <alignment horizontal="right" vertical="center"/>
    </xf>
    <xf numFmtId="0" fontId="32" fillId="33" borderId="440">
      <alignment horizontal="right" vertical="center"/>
    </xf>
    <xf numFmtId="4" fontId="32" fillId="33" borderId="440">
      <alignment horizontal="right" vertical="center"/>
    </xf>
    <xf numFmtId="0" fontId="32" fillId="33" borderId="441">
      <alignment horizontal="right" vertical="center"/>
    </xf>
    <xf numFmtId="4" fontId="32" fillId="33" borderId="441">
      <alignment horizontal="right" vertical="center"/>
    </xf>
    <xf numFmtId="0" fontId="46" fillId="55" borderId="436" applyNumberFormat="0" applyAlignment="0" applyProtection="0"/>
    <xf numFmtId="0" fontId="34" fillId="33" borderId="442">
      <alignment horizontal="left" vertical="center" wrapText="1" indent="2"/>
    </xf>
    <xf numFmtId="0" fontId="34" fillId="0" borderId="442">
      <alignment horizontal="left" vertical="center" wrapText="1" indent="2"/>
    </xf>
    <xf numFmtId="0" fontId="34" fillId="31" borderId="440">
      <alignment horizontal="left" vertical="center"/>
    </xf>
    <xf numFmtId="0" fontId="58" fillId="42" borderId="436" applyNumberFormat="0" applyAlignment="0" applyProtection="0"/>
    <xf numFmtId="0" fontId="34" fillId="0" borderId="439">
      <alignment horizontal="right" vertical="center"/>
    </xf>
    <xf numFmtId="4" fontId="34" fillId="0" borderId="439">
      <alignment horizontal="right" vertical="center"/>
    </xf>
    <xf numFmtId="0" fontId="34" fillId="0" borderId="439" applyNumberFormat="0" applyFill="0" applyAlignment="0" applyProtection="0"/>
    <xf numFmtId="0" fontId="62" fillId="55" borderId="435" applyNumberFormat="0" applyAlignment="0" applyProtection="0"/>
    <xf numFmtId="173" fontId="34" fillId="59" borderId="439" applyNumberFormat="0" applyFont="0" applyBorder="0" applyAlignment="0" applyProtection="0">
      <alignment horizontal="right" vertical="center"/>
    </xf>
    <xf numFmtId="0" fontId="34" fillId="32" borderId="439"/>
    <xf numFmtId="4" fontId="34" fillId="32" borderId="439"/>
    <xf numFmtId="0" fontId="65" fillId="0" borderId="437" applyNumberFormat="0" applyFill="0" applyAlignment="0" applyProtection="0"/>
    <xf numFmtId="0" fontId="5" fillId="58" borderId="438" applyNumberFormat="0" applyFont="0" applyAlignment="0" applyProtection="0"/>
    <xf numFmtId="0" fontId="40" fillId="58" borderId="438" applyNumberFormat="0" applyFont="0" applyAlignment="0" applyProtection="0"/>
    <xf numFmtId="0" fontId="34" fillId="0" borderId="439" applyNumberFormat="0" applyFill="0" applyAlignment="0" applyProtection="0"/>
    <xf numFmtId="0" fontId="50" fillId="0" borderId="437" applyNumberFormat="0" applyFill="0" applyAlignment="0" applyProtection="0"/>
    <xf numFmtId="0" fontId="65" fillId="0" borderId="437" applyNumberFormat="0" applyFill="0" applyAlignment="0" applyProtection="0"/>
    <xf numFmtId="0" fontId="49" fillId="42" borderId="436" applyNumberFormat="0" applyAlignment="0" applyProtection="0"/>
    <xf numFmtId="0" fontId="46" fillId="55" borderId="436" applyNumberFormat="0" applyAlignment="0" applyProtection="0"/>
    <xf numFmtId="4" fontId="36" fillId="31" borderId="439">
      <alignment horizontal="right" vertical="center"/>
    </xf>
    <xf numFmtId="0" fontId="32" fillId="31" borderId="439">
      <alignment horizontal="right" vertical="center"/>
    </xf>
    <xf numFmtId="173" fontId="34" fillId="59" borderId="439" applyNumberFormat="0" applyFont="0" applyBorder="0" applyAlignment="0" applyProtection="0">
      <alignment horizontal="right" vertical="center"/>
    </xf>
    <xf numFmtId="0" fontId="50" fillId="0" borderId="437" applyNumberFormat="0" applyFill="0" applyAlignment="0" applyProtection="0"/>
    <xf numFmtId="49" fontId="34" fillId="0" borderId="439" applyNumberFormat="0" applyFont="0" applyFill="0" applyBorder="0" applyProtection="0">
      <alignment horizontal="left" vertical="center" indent="2"/>
    </xf>
    <xf numFmtId="49" fontId="34" fillId="0" borderId="440" applyNumberFormat="0" applyFont="0" applyFill="0" applyBorder="0" applyProtection="0">
      <alignment horizontal="left" vertical="center" indent="5"/>
    </xf>
    <xf numFmtId="49" fontId="34" fillId="0" borderId="439" applyNumberFormat="0" applyFont="0" applyFill="0" applyBorder="0" applyProtection="0">
      <alignment horizontal="left" vertical="center" indent="2"/>
    </xf>
    <xf numFmtId="4" fontId="34" fillId="0" borderId="439" applyFill="0" applyBorder="0" applyProtection="0">
      <alignment horizontal="right" vertical="center"/>
    </xf>
    <xf numFmtId="49" fontId="33" fillId="0" borderId="439" applyNumberFormat="0" applyFill="0" applyBorder="0" applyProtection="0">
      <alignment horizontal="left" vertical="center"/>
    </xf>
    <xf numFmtId="0" fontId="34" fillId="0" borderId="442">
      <alignment horizontal="left" vertical="center" wrapText="1" indent="2"/>
    </xf>
    <xf numFmtId="0" fontId="62" fillId="55" borderId="435" applyNumberFormat="0" applyAlignment="0" applyProtection="0"/>
    <xf numFmtId="0" fontId="32" fillId="33" borderId="441">
      <alignment horizontal="right" vertical="center"/>
    </xf>
    <xf numFmtId="0" fontId="49" fillId="42" borderId="436" applyNumberFormat="0" applyAlignment="0" applyProtection="0"/>
    <xf numFmtId="0" fontId="32" fillId="33" borderId="441">
      <alignment horizontal="right" vertical="center"/>
    </xf>
    <xf numFmtId="4" fontId="32" fillId="33" borderId="439">
      <alignment horizontal="right" vertical="center"/>
    </xf>
    <xf numFmtId="0" fontId="32" fillId="33" borderId="439">
      <alignment horizontal="right" vertical="center"/>
    </xf>
    <xf numFmtId="0" fontId="43" fillId="55" borderId="435" applyNumberFormat="0" applyAlignment="0" applyProtection="0"/>
    <xf numFmtId="0" fontId="45" fillId="55" borderId="436" applyNumberFormat="0" applyAlignment="0" applyProtection="0"/>
    <xf numFmtId="0" fontId="50" fillId="0" borderId="437" applyNumberFormat="0" applyFill="0" applyAlignment="0" applyProtection="0"/>
    <xf numFmtId="0" fontId="34" fillId="32" borderId="439"/>
    <xf numFmtId="4" fontId="34" fillId="32" borderId="439"/>
    <xf numFmtId="4" fontId="32" fillId="33" borderId="439">
      <alignment horizontal="right" vertical="center"/>
    </xf>
    <xf numFmtId="0" fontId="36" fillId="31" borderId="439">
      <alignment horizontal="right" vertical="center"/>
    </xf>
    <xf numFmtId="0" fontId="49" fillId="42" borderId="436" applyNumberFormat="0" applyAlignment="0" applyProtection="0"/>
    <xf numFmtId="0" fontId="46" fillId="55" borderId="436" applyNumberFormat="0" applyAlignment="0" applyProtection="0"/>
    <xf numFmtId="4" fontId="34" fillId="0" borderId="439">
      <alignment horizontal="right" vertical="center"/>
    </xf>
    <xf numFmtId="0" fontId="34" fillId="33" borderId="442">
      <alignment horizontal="left" vertical="center" wrapText="1" indent="2"/>
    </xf>
    <xf numFmtId="0" fontId="34" fillId="0" borderId="442">
      <alignment horizontal="left" vertical="center" wrapText="1" indent="2"/>
    </xf>
    <xf numFmtId="0" fontId="62" fillId="55" borderId="435" applyNumberFormat="0" applyAlignment="0" applyProtection="0"/>
    <xf numFmtId="0" fontId="58" fillId="42" borderId="436" applyNumberFormat="0" applyAlignment="0" applyProtection="0"/>
    <xf numFmtId="0" fontId="45" fillId="55" borderId="436" applyNumberFormat="0" applyAlignment="0" applyProtection="0"/>
    <xf numFmtId="0" fontId="43" fillId="55" borderId="435" applyNumberFormat="0" applyAlignment="0" applyProtection="0"/>
    <xf numFmtId="0" fontId="32" fillId="33" borderId="441">
      <alignment horizontal="right" vertical="center"/>
    </xf>
    <xf numFmtId="0" fontId="36" fillId="31" borderId="439">
      <alignment horizontal="right" vertical="center"/>
    </xf>
    <xf numFmtId="4" fontId="32" fillId="31" borderId="439">
      <alignment horizontal="right" vertical="center"/>
    </xf>
    <xf numFmtId="4" fontId="32" fillId="33" borderId="439">
      <alignment horizontal="right" vertical="center"/>
    </xf>
    <xf numFmtId="49" fontId="34" fillId="0" borderId="440" applyNumberFormat="0" applyFont="0" applyFill="0" applyBorder="0" applyProtection="0">
      <alignment horizontal="left" vertical="center" indent="5"/>
    </xf>
    <xf numFmtId="4" fontId="34" fillId="0" borderId="439" applyFill="0" applyBorder="0" applyProtection="0">
      <alignment horizontal="right" vertical="center"/>
    </xf>
    <xf numFmtId="4" fontId="32" fillId="31" borderId="439">
      <alignment horizontal="right" vertical="center"/>
    </xf>
    <xf numFmtId="0" fontId="58" fillId="42" borderId="443" applyNumberFormat="0" applyAlignment="0" applyProtection="0"/>
    <xf numFmtId="0" fontId="58" fillId="42" borderId="436" applyNumberFormat="0" applyAlignment="0" applyProtection="0"/>
    <xf numFmtId="0" fontId="49" fillId="42" borderId="436" applyNumberFormat="0" applyAlignment="0" applyProtection="0"/>
    <xf numFmtId="0" fontId="45" fillId="55" borderId="436" applyNumberFormat="0" applyAlignment="0" applyProtection="0"/>
    <xf numFmtId="0" fontId="34" fillId="33" borderId="442">
      <alignment horizontal="left" vertical="center" wrapText="1" indent="2"/>
    </xf>
    <xf numFmtId="0" fontId="34" fillId="0" borderId="442">
      <alignment horizontal="left" vertical="center" wrapText="1" indent="2"/>
    </xf>
    <xf numFmtId="0" fontId="34" fillId="33" borderId="442">
      <alignment horizontal="left" vertical="center" wrapText="1" indent="2"/>
    </xf>
    <xf numFmtId="0" fontId="34" fillId="0" borderId="442">
      <alignment horizontal="left" vertical="center" wrapText="1" indent="2"/>
    </xf>
    <xf numFmtId="0" fontId="43" fillId="55" borderId="435" applyNumberFormat="0" applyAlignment="0" applyProtection="0"/>
    <xf numFmtId="0" fontId="45" fillId="55" borderId="436" applyNumberFormat="0" applyAlignment="0" applyProtection="0"/>
    <xf numFmtId="0" fontId="46" fillId="55" borderId="436" applyNumberFormat="0" applyAlignment="0" applyProtection="0"/>
    <xf numFmtId="0" fontId="49" fillId="42" borderId="436" applyNumberFormat="0" applyAlignment="0" applyProtection="0"/>
    <xf numFmtId="0" fontId="50" fillId="0" borderId="437" applyNumberFormat="0" applyFill="0" applyAlignment="0" applyProtection="0"/>
    <xf numFmtId="0" fontId="58" fillId="42" borderId="436" applyNumberFormat="0" applyAlignment="0" applyProtection="0"/>
    <xf numFmtId="0" fontId="40" fillId="58" borderId="438" applyNumberFormat="0" applyFont="0" applyAlignment="0" applyProtection="0"/>
    <xf numFmtId="0" fontId="5" fillId="58" borderId="438" applyNumberFormat="0" applyFont="0" applyAlignment="0" applyProtection="0"/>
    <xf numFmtId="0" fontId="62" fillId="55" borderId="435" applyNumberFormat="0" applyAlignment="0" applyProtection="0"/>
    <xf numFmtId="0" fontId="65" fillId="0" borderId="437" applyNumberFormat="0" applyFill="0" applyAlignment="0" applyProtection="0"/>
    <xf numFmtId="0" fontId="46" fillId="55" borderId="436" applyNumberFormat="0" applyAlignment="0" applyProtection="0"/>
    <xf numFmtId="0" fontId="58" fillId="42" borderId="436" applyNumberFormat="0" applyAlignment="0" applyProtection="0"/>
    <xf numFmtId="0" fontId="40" fillId="58" borderId="438" applyNumberFormat="0" applyFont="0" applyAlignment="0" applyProtection="0"/>
    <xf numFmtId="0" fontId="62" fillId="55" borderId="435" applyNumberFormat="0" applyAlignment="0" applyProtection="0"/>
    <xf numFmtId="0" fontId="65" fillId="0" borderId="437" applyNumberFormat="0" applyFill="0" applyAlignment="0" applyProtection="0"/>
    <xf numFmtId="4" fontId="32" fillId="33" borderId="448">
      <alignment horizontal="right" vertical="center"/>
    </xf>
    <xf numFmtId="0" fontId="65" fillId="0" borderId="453" applyNumberFormat="0" applyFill="0" applyAlignment="0" applyProtection="0"/>
    <xf numFmtId="0" fontId="62" fillId="55" borderId="482" applyNumberFormat="0" applyAlignment="0" applyProtection="0"/>
    <xf numFmtId="0" fontId="46" fillId="55" borderId="436" applyNumberFormat="0" applyAlignment="0" applyProtection="0"/>
    <xf numFmtId="4" fontId="34" fillId="0" borderId="446" applyFill="0" applyBorder="0" applyProtection="0">
      <alignment horizontal="right" vertical="center"/>
    </xf>
    <xf numFmtId="0" fontId="46" fillId="55" borderId="452" applyNumberFormat="0" applyAlignment="0" applyProtection="0"/>
    <xf numFmtId="0" fontId="58" fillId="42" borderId="436" applyNumberFormat="0" applyAlignment="0" applyProtection="0"/>
    <xf numFmtId="0" fontId="62" fillId="55" borderId="435" applyNumberFormat="0" applyAlignment="0" applyProtection="0"/>
    <xf numFmtId="0" fontId="65" fillId="0" borderId="437" applyNumberFormat="0" applyFill="0" applyAlignment="0" applyProtection="0"/>
    <xf numFmtId="0" fontId="34" fillId="0" borderId="446">
      <alignment horizontal="right" vertical="center"/>
    </xf>
    <xf numFmtId="0" fontId="43" fillId="55" borderId="435" applyNumberFormat="0" applyAlignment="0" applyProtection="0"/>
    <xf numFmtId="0" fontId="45" fillId="55" borderId="436" applyNumberFormat="0" applyAlignment="0" applyProtection="0"/>
    <xf numFmtId="0" fontId="50" fillId="0" borderId="437" applyNumberFormat="0" applyFill="0" applyAlignment="0" applyProtection="0"/>
    <xf numFmtId="49" fontId="34" fillId="0" borderId="439" applyNumberFormat="0" applyFont="0" applyFill="0" applyBorder="0" applyProtection="0">
      <alignment horizontal="left" vertical="center" indent="2"/>
    </xf>
    <xf numFmtId="0" fontId="32" fillId="31" borderId="439">
      <alignment horizontal="right" vertical="center"/>
    </xf>
    <xf numFmtId="4" fontId="32" fillId="31" borderId="439">
      <alignment horizontal="right" vertical="center"/>
    </xf>
    <xf numFmtId="0" fontId="36" fillId="31" borderId="439">
      <alignment horizontal="right" vertical="center"/>
    </xf>
    <xf numFmtId="4" fontId="36" fillId="31" borderId="439">
      <alignment horizontal="right" vertical="center"/>
    </xf>
    <xf numFmtId="0" fontId="32" fillId="33" borderId="439">
      <alignment horizontal="right" vertical="center"/>
    </xf>
    <xf numFmtId="4" fontId="32" fillId="33" borderId="439">
      <alignment horizontal="right" vertical="center"/>
    </xf>
    <xf numFmtId="0" fontId="32" fillId="33" borderId="439">
      <alignment horizontal="right" vertical="center"/>
    </xf>
    <xf numFmtId="4" fontId="32" fillId="33" borderId="439">
      <alignment horizontal="right" vertical="center"/>
    </xf>
    <xf numFmtId="0" fontId="49" fillId="42" borderId="436" applyNumberFormat="0" applyAlignment="0" applyProtection="0"/>
    <xf numFmtId="0" fontId="34" fillId="0" borderId="439">
      <alignment horizontal="right" vertical="center"/>
    </xf>
    <xf numFmtId="4" fontId="34" fillId="0" borderId="439">
      <alignment horizontal="right" vertical="center"/>
    </xf>
    <xf numFmtId="4" fontId="34" fillId="0" borderId="439" applyFill="0" applyBorder="0" applyProtection="0">
      <alignment horizontal="right" vertical="center"/>
    </xf>
    <xf numFmtId="49" fontId="33" fillId="0" borderId="439" applyNumberFormat="0" applyFill="0" applyBorder="0" applyProtection="0">
      <alignment horizontal="left" vertical="center"/>
    </xf>
    <xf numFmtId="0" fontId="34" fillId="0" borderId="439" applyNumberFormat="0" applyFill="0" applyAlignment="0" applyProtection="0"/>
    <xf numFmtId="173" fontId="34" fillId="59" borderId="439" applyNumberFormat="0" applyFont="0" applyBorder="0" applyAlignment="0" applyProtection="0">
      <alignment horizontal="right" vertical="center"/>
    </xf>
    <xf numFmtId="0" fontId="34" fillId="32" borderId="439"/>
    <xf numFmtId="4" fontId="34" fillId="32" borderId="439"/>
    <xf numFmtId="4" fontId="32" fillId="33" borderId="439">
      <alignment horizontal="right" vertical="center"/>
    </xf>
    <xf numFmtId="0" fontId="34" fillId="32" borderId="439"/>
    <xf numFmtId="0" fontId="45" fillId="55" borderId="436" applyNumberFormat="0" applyAlignment="0" applyProtection="0"/>
    <xf numFmtId="0" fontId="32" fillId="31" borderId="439">
      <alignment horizontal="right" vertical="center"/>
    </xf>
    <xf numFmtId="0" fontId="34" fillId="0" borderId="439">
      <alignment horizontal="right" vertical="center"/>
    </xf>
    <xf numFmtId="0" fontId="65" fillId="0" borderId="437" applyNumberFormat="0" applyFill="0" applyAlignment="0" applyProtection="0"/>
    <xf numFmtId="0" fontId="34" fillId="31" borderId="440">
      <alignment horizontal="left" vertical="center"/>
    </xf>
    <xf numFmtId="0" fontId="58" fillId="42" borderId="436" applyNumberFormat="0" applyAlignment="0" applyProtection="0"/>
    <xf numFmtId="173" fontId="34" fillId="59" borderId="439" applyNumberFormat="0" applyFont="0" applyBorder="0" applyAlignment="0" applyProtection="0">
      <alignment horizontal="right" vertical="center"/>
    </xf>
    <xf numFmtId="0" fontId="40" fillId="58" borderId="438" applyNumberFormat="0" applyFont="0" applyAlignment="0" applyProtection="0"/>
    <xf numFmtId="0" fontId="34" fillId="0" borderId="442">
      <alignment horizontal="left" vertical="center" wrapText="1" indent="2"/>
    </xf>
    <xf numFmtId="4" fontId="34" fillId="32" borderId="439"/>
    <xf numFmtId="49" fontId="33" fillId="0" borderId="439" applyNumberFormat="0" applyFill="0" applyBorder="0" applyProtection="0">
      <alignment horizontal="left" vertical="center"/>
    </xf>
    <xf numFmtId="0" fontId="34" fillId="0" borderId="439">
      <alignment horizontal="right" vertical="center"/>
    </xf>
    <xf numFmtId="4" fontId="32" fillId="33" borderId="441">
      <alignment horizontal="right" vertical="center"/>
    </xf>
    <xf numFmtId="4" fontId="32" fillId="33" borderId="439">
      <alignment horizontal="right" vertical="center"/>
    </xf>
    <xf numFmtId="4" fontId="32" fillId="33" borderId="439">
      <alignment horizontal="right" vertical="center"/>
    </xf>
    <xf numFmtId="0" fontId="36" fillId="31" borderId="439">
      <alignment horizontal="right" vertical="center"/>
    </xf>
    <xf numFmtId="0" fontId="32" fillId="31" borderId="439">
      <alignment horizontal="right" vertical="center"/>
    </xf>
    <xf numFmtId="49" fontId="34" fillId="0" borderId="439" applyNumberFormat="0" applyFont="0" applyFill="0" applyBorder="0" applyProtection="0">
      <alignment horizontal="left" vertical="center" indent="2"/>
    </xf>
    <xf numFmtId="0" fontId="58" fillId="42" borderId="436" applyNumberFormat="0" applyAlignment="0" applyProtection="0"/>
    <xf numFmtId="0" fontId="43" fillId="55" borderId="435" applyNumberFormat="0" applyAlignment="0" applyProtection="0"/>
    <xf numFmtId="49" fontId="34" fillId="0" borderId="439" applyNumberFormat="0" applyFont="0" applyFill="0" applyBorder="0" applyProtection="0">
      <alignment horizontal="left" vertical="center" indent="2"/>
    </xf>
    <xf numFmtId="0" fontId="49" fillId="42" borderId="436" applyNumberFormat="0" applyAlignment="0" applyProtection="0"/>
    <xf numFmtId="4" fontId="34" fillId="0" borderId="439" applyFill="0" applyBorder="0" applyProtection="0">
      <alignment horizontal="right" vertical="center"/>
    </xf>
    <xf numFmtId="0" fontId="46" fillId="55" borderId="436" applyNumberFormat="0" applyAlignment="0" applyProtection="0"/>
    <xf numFmtId="0" fontId="65" fillId="0" borderId="437" applyNumberFormat="0" applyFill="0" applyAlignment="0" applyProtection="0"/>
    <xf numFmtId="0" fontId="62" fillId="55" borderId="435" applyNumberFormat="0" applyAlignment="0" applyProtection="0"/>
    <xf numFmtId="0" fontId="34" fillId="0" borderId="439" applyNumberFormat="0" applyFill="0" applyAlignment="0" applyProtection="0"/>
    <xf numFmtId="4" fontId="34" fillId="0" borderId="439">
      <alignment horizontal="right" vertical="center"/>
    </xf>
    <xf numFmtId="0" fontId="34" fillId="0" borderId="439">
      <alignment horizontal="right" vertical="center"/>
    </xf>
    <xf numFmtId="0" fontId="58" fillId="42" borderId="436" applyNumberFormat="0" applyAlignment="0" applyProtection="0"/>
    <xf numFmtId="0" fontId="43" fillId="55" borderId="435" applyNumberFormat="0" applyAlignment="0" applyProtection="0"/>
    <xf numFmtId="0" fontId="45" fillId="55" borderId="436" applyNumberFormat="0" applyAlignment="0" applyProtection="0"/>
    <xf numFmtId="0" fontId="34" fillId="33" borderId="442">
      <alignment horizontal="left" vertical="center" wrapText="1" indent="2"/>
    </xf>
    <xf numFmtId="0" fontId="46" fillId="55" borderId="436" applyNumberFormat="0" applyAlignment="0" applyProtection="0"/>
    <xf numFmtId="0" fontId="46" fillId="55" borderId="436" applyNumberFormat="0" applyAlignment="0" applyProtection="0"/>
    <xf numFmtId="4" fontId="32" fillId="33" borderId="440">
      <alignment horizontal="right" vertical="center"/>
    </xf>
    <xf numFmtId="0" fontId="32" fillId="33" borderId="440">
      <alignment horizontal="right" vertical="center"/>
    </xf>
    <xf numFmtId="0" fontId="32" fillId="33" borderId="439">
      <alignment horizontal="right" vertical="center"/>
    </xf>
    <xf numFmtId="4" fontId="36" fillId="31" borderId="439">
      <alignment horizontal="right" vertical="center"/>
    </xf>
    <xf numFmtId="0" fontId="49" fillId="42" borderId="436" applyNumberFormat="0" applyAlignment="0" applyProtection="0"/>
    <xf numFmtId="0" fontId="50" fillId="0" borderId="437" applyNumberFormat="0" applyFill="0" applyAlignment="0" applyProtection="0"/>
    <xf numFmtId="0" fontId="65" fillId="0" borderId="437" applyNumberFormat="0" applyFill="0" applyAlignment="0" applyProtection="0"/>
    <xf numFmtId="0" fontId="40" fillId="58" borderId="438" applyNumberFormat="0" applyFont="0" applyAlignment="0" applyProtection="0"/>
    <xf numFmtId="0" fontId="58" fillId="42" borderId="436" applyNumberFormat="0" applyAlignment="0" applyProtection="0"/>
    <xf numFmtId="49" fontId="33" fillId="0" borderId="439" applyNumberFormat="0" applyFill="0" applyBorder="0" applyProtection="0">
      <alignment horizontal="left" vertical="center"/>
    </xf>
    <xf numFmtId="0" fontId="34" fillId="33" borderId="442">
      <alignment horizontal="left" vertical="center" wrapText="1" indent="2"/>
    </xf>
    <xf numFmtId="0" fontId="46" fillId="55" borderId="436" applyNumberFormat="0" applyAlignment="0" applyProtection="0"/>
    <xf numFmtId="0" fontId="34" fillId="0" borderId="442">
      <alignment horizontal="left" vertical="center" wrapText="1" indent="2"/>
    </xf>
    <xf numFmtId="0" fontId="40" fillId="58" borderId="438" applyNumberFormat="0" applyFont="0" applyAlignment="0" applyProtection="0"/>
    <xf numFmtId="0" fontId="5" fillId="58" borderId="438" applyNumberFormat="0" applyFont="0" applyAlignment="0" applyProtection="0"/>
    <xf numFmtId="0" fontId="62" fillId="55" borderId="435" applyNumberFormat="0" applyAlignment="0" applyProtection="0"/>
    <xf numFmtId="0" fontId="65" fillId="0" borderId="437" applyNumberFormat="0" applyFill="0" applyAlignment="0" applyProtection="0"/>
    <xf numFmtId="4" fontId="34" fillId="32" borderId="439"/>
    <xf numFmtId="0" fontId="32" fillId="33" borderId="439">
      <alignment horizontal="right" vertical="center"/>
    </xf>
    <xf numFmtId="0" fontId="65" fillId="0" borderId="437" applyNumberFormat="0" applyFill="0" applyAlignment="0" applyProtection="0"/>
    <xf numFmtId="4" fontId="32" fillId="33" borderId="441">
      <alignment horizontal="right" vertical="center"/>
    </xf>
    <xf numFmtId="0" fontId="45" fillId="55" borderId="436" applyNumberFormat="0" applyAlignment="0" applyProtection="0"/>
    <xf numFmtId="0" fontId="32" fillId="33" borderId="440">
      <alignment horizontal="right" vertical="center"/>
    </xf>
    <xf numFmtId="0" fontId="46" fillId="55" borderId="436" applyNumberFormat="0" applyAlignment="0" applyProtection="0"/>
    <xf numFmtId="0" fontId="50" fillId="0" borderId="437" applyNumberFormat="0" applyFill="0" applyAlignment="0" applyProtection="0"/>
    <xf numFmtId="0" fontId="40" fillId="58" borderId="438" applyNumberFormat="0" applyFont="0" applyAlignment="0" applyProtection="0"/>
    <xf numFmtId="4" fontId="32" fillId="33" borderId="440">
      <alignment horizontal="right" vertical="center"/>
    </xf>
    <xf numFmtId="0" fontId="34" fillId="33" borderId="442">
      <alignment horizontal="left" vertical="center" wrapText="1" indent="2"/>
    </xf>
    <xf numFmtId="0" fontId="34" fillId="32" borderId="439"/>
    <xf numFmtId="173" fontId="34" fillId="59" borderId="439" applyNumberFormat="0" applyFont="0" applyBorder="0" applyAlignment="0" applyProtection="0">
      <alignment horizontal="right" vertical="center"/>
    </xf>
    <xf numFmtId="0" fontId="34" fillId="0" borderId="439" applyNumberFormat="0" applyFill="0" applyAlignment="0" applyProtection="0"/>
    <xf numFmtId="4" fontId="34" fillId="0" borderId="439" applyFill="0" applyBorder="0" applyProtection="0">
      <alignment horizontal="right" vertical="center"/>
    </xf>
    <xf numFmtId="4" fontId="32" fillId="31" borderId="439">
      <alignment horizontal="right" vertical="center"/>
    </xf>
    <xf numFmtId="0" fontId="50" fillId="0" borderId="437" applyNumberFormat="0" applyFill="0" applyAlignment="0" applyProtection="0"/>
    <xf numFmtId="49" fontId="33" fillId="0" borderId="439" applyNumberFormat="0" applyFill="0" applyBorder="0" applyProtection="0">
      <alignment horizontal="left" vertical="center"/>
    </xf>
    <xf numFmtId="49" fontId="34" fillId="0" borderId="440" applyNumberFormat="0" applyFont="0" applyFill="0" applyBorder="0" applyProtection="0">
      <alignment horizontal="left" vertical="center" indent="5"/>
    </xf>
    <xf numFmtId="0" fontId="34" fillId="31" borderId="440">
      <alignment horizontal="left" vertical="center"/>
    </xf>
    <xf numFmtId="0" fontId="46" fillId="55" borderId="436" applyNumberFormat="0" applyAlignment="0" applyProtection="0"/>
    <xf numFmtId="4" fontId="32" fillId="33" borderId="441">
      <alignment horizontal="right" vertical="center"/>
    </xf>
    <xf numFmtId="0" fontId="58" fillId="42" borderId="436" applyNumberFormat="0" applyAlignment="0" applyProtection="0"/>
    <xf numFmtId="0" fontId="58" fillId="42" borderId="436" applyNumberFormat="0" applyAlignment="0" applyProtection="0"/>
    <xf numFmtId="0" fontId="40" fillId="58" borderId="438" applyNumberFormat="0" applyFont="0" applyAlignment="0" applyProtection="0"/>
    <xf numFmtId="0" fontId="62" fillId="55" borderId="435" applyNumberFormat="0" applyAlignment="0" applyProtection="0"/>
    <xf numFmtId="0" fontId="65" fillId="0" borderId="437" applyNumberFormat="0" applyFill="0" applyAlignment="0" applyProtection="0"/>
    <xf numFmtId="0" fontId="32" fillId="33" borderId="439">
      <alignment horizontal="right" vertical="center"/>
    </xf>
    <xf numFmtId="0" fontId="5" fillId="58" borderId="438" applyNumberFormat="0" applyFont="0" applyAlignment="0" applyProtection="0"/>
    <xf numFmtId="4" fontId="34" fillId="0" borderId="439">
      <alignment horizontal="right" vertical="center"/>
    </xf>
    <xf numFmtId="0" fontId="65" fillId="0" borderId="437" applyNumberFormat="0" applyFill="0" applyAlignment="0" applyProtection="0"/>
    <xf numFmtId="0" fontId="32" fillId="33" borderId="439">
      <alignment horizontal="right" vertical="center"/>
    </xf>
    <xf numFmtId="0" fontId="32" fillId="33" borderId="439">
      <alignment horizontal="right" vertical="center"/>
    </xf>
    <xf numFmtId="4" fontId="36" fillId="31" borderId="439">
      <alignment horizontal="right" vertical="center"/>
    </xf>
    <xf numFmtId="0" fontId="32" fillId="31" borderId="439">
      <alignment horizontal="right" vertical="center"/>
    </xf>
    <xf numFmtId="4" fontId="32" fillId="31" borderId="439">
      <alignment horizontal="right" vertical="center"/>
    </xf>
    <xf numFmtId="0" fontId="36" fillId="31" borderId="439">
      <alignment horizontal="right" vertical="center"/>
    </xf>
    <xf numFmtId="4" fontId="36" fillId="31" borderId="439">
      <alignment horizontal="right" vertical="center"/>
    </xf>
    <xf numFmtId="0" fontId="32" fillId="33" borderId="439">
      <alignment horizontal="right" vertical="center"/>
    </xf>
    <xf numFmtId="4" fontId="32" fillId="33" borderId="439">
      <alignment horizontal="right" vertical="center"/>
    </xf>
    <xf numFmtId="0" fontId="32" fillId="33" borderId="439">
      <alignment horizontal="right" vertical="center"/>
    </xf>
    <xf numFmtId="4" fontId="32" fillId="33" borderId="439">
      <alignment horizontal="right" vertical="center"/>
    </xf>
    <xf numFmtId="0" fontId="32" fillId="33" borderId="440">
      <alignment horizontal="right" vertical="center"/>
    </xf>
    <xf numFmtId="4" fontId="32" fillId="33" borderId="440">
      <alignment horizontal="right" vertical="center"/>
    </xf>
    <xf numFmtId="0" fontId="32" fillId="33" borderId="441">
      <alignment horizontal="right" vertical="center"/>
    </xf>
    <xf numFmtId="4" fontId="32" fillId="33" borderId="441">
      <alignment horizontal="right" vertical="center"/>
    </xf>
    <xf numFmtId="0" fontId="46" fillId="55" borderId="436" applyNumberFormat="0" applyAlignment="0" applyProtection="0"/>
    <xf numFmtId="0" fontId="34" fillId="33" borderId="442">
      <alignment horizontal="left" vertical="center" wrapText="1" indent="2"/>
    </xf>
    <xf numFmtId="0" fontId="34" fillId="0" borderId="442">
      <alignment horizontal="left" vertical="center" wrapText="1" indent="2"/>
    </xf>
    <xf numFmtId="0" fontId="34" fillId="31" borderId="440">
      <alignment horizontal="left" vertical="center"/>
    </xf>
    <xf numFmtId="0" fontId="58" fillId="42" borderId="436" applyNumberFormat="0" applyAlignment="0" applyProtection="0"/>
    <xf numFmtId="0" fontId="34" fillId="0" borderId="439">
      <alignment horizontal="right" vertical="center"/>
    </xf>
    <xf numFmtId="4" fontId="34" fillId="0" borderId="439">
      <alignment horizontal="right" vertical="center"/>
    </xf>
    <xf numFmtId="0" fontId="34" fillId="0" borderId="439" applyNumberFormat="0" applyFill="0" applyAlignment="0" applyProtection="0"/>
    <xf numFmtId="0" fontId="62" fillId="55" borderId="435" applyNumberFormat="0" applyAlignment="0" applyProtection="0"/>
    <xf numFmtId="173" fontId="34" fillId="59" borderId="439" applyNumberFormat="0" applyFont="0" applyBorder="0" applyAlignment="0" applyProtection="0">
      <alignment horizontal="right" vertical="center"/>
    </xf>
    <xf numFmtId="0" fontId="34" fillId="32" borderId="439"/>
    <xf numFmtId="4" fontId="34" fillId="32" borderId="439"/>
    <xf numFmtId="0" fontId="65" fillId="0" borderId="437" applyNumberFormat="0" applyFill="0" applyAlignment="0" applyProtection="0"/>
    <xf numFmtId="0" fontId="5" fillId="58" borderId="438" applyNumberFormat="0" applyFont="0" applyAlignment="0" applyProtection="0"/>
    <xf numFmtId="0" fontId="40" fillId="58" borderId="438" applyNumberFormat="0" applyFont="0" applyAlignment="0" applyProtection="0"/>
    <xf numFmtId="0" fontId="34" fillId="0" borderId="439" applyNumberFormat="0" applyFill="0" applyAlignment="0" applyProtection="0"/>
    <xf numFmtId="0" fontId="50" fillId="0" borderId="437" applyNumberFormat="0" applyFill="0" applyAlignment="0" applyProtection="0"/>
    <xf numFmtId="0" fontId="65" fillId="0" borderId="437" applyNumberFormat="0" applyFill="0" applyAlignment="0" applyProtection="0"/>
    <xf numFmtId="0" fontId="49" fillId="42" borderId="436" applyNumberFormat="0" applyAlignment="0" applyProtection="0"/>
    <xf numFmtId="0" fontId="46" fillId="55" borderId="436" applyNumberFormat="0" applyAlignment="0" applyProtection="0"/>
    <xf numFmtId="4" fontId="36" fillId="31" borderId="439">
      <alignment horizontal="right" vertical="center"/>
    </xf>
    <xf numFmtId="0" fontId="32" fillId="31" borderId="439">
      <alignment horizontal="right" vertical="center"/>
    </xf>
    <xf numFmtId="173" fontId="34" fillId="59" borderId="439" applyNumberFormat="0" applyFont="0" applyBorder="0" applyAlignment="0" applyProtection="0">
      <alignment horizontal="right" vertical="center"/>
    </xf>
    <xf numFmtId="0" fontId="50" fillId="0" borderId="437" applyNumberFormat="0" applyFill="0" applyAlignment="0" applyProtection="0"/>
    <xf numFmtId="49" fontId="34" fillId="0" borderId="439" applyNumberFormat="0" applyFont="0" applyFill="0" applyBorder="0" applyProtection="0">
      <alignment horizontal="left" vertical="center" indent="2"/>
    </xf>
    <xf numFmtId="49" fontId="34" fillId="0" borderId="440" applyNumberFormat="0" applyFont="0" applyFill="0" applyBorder="0" applyProtection="0">
      <alignment horizontal="left" vertical="center" indent="5"/>
    </xf>
    <xf numFmtId="49" fontId="34" fillId="0" borderId="439" applyNumberFormat="0" applyFont="0" applyFill="0" applyBorder="0" applyProtection="0">
      <alignment horizontal="left" vertical="center" indent="2"/>
    </xf>
    <xf numFmtId="4" fontId="34" fillId="0" borderId="439" applyFill="0" applyBorder="0" applyProtection="0">
      <alignment horizontal="right" vertical="center"/>
    </xf>
    <xf numFmtId="49" fontId="33" fillId="0" borderId="439" applyNumberFormat="0" applyFill="0" applyBorder="0" applyProtection="0">
      <alignment horizontal="left" vertical="center"/>
    </xf>
    <xf numFmtId="0" fontId="34" fillId="0" borderId="442">
      <alignment horizontal="left" vertical="center" wrapText="1" indent="2"/>
    </xf>
    <xf numFmtId="0" fontId="62" fillId="55" borderId="435" applyNumberFormat="0" applyAlignment="0" applyProtection="0"/>
    <xf numFmtId="0" fontId="32" fillId="33" borderId="441">
      <alignment horizontal="right" vertical="center"/>
    </xf>
    <xf numFmtId="0" fontId="49" fillId="42" borderId="436" applyNumberFormat="0" applyAlignment="0" applyProtection="0"/>
    <xf numFmtId="0" fontId="32" fillId="33" borderId="441">
      <alignment horizontal="right" vertical="center"/>
    </xf>
    <xf numFmtId="4" fontId="32" fillId="33" borderId="439">
      <alignment horizontal="right" vertical="center"/>
    </xf>
    <xf numFmtId="0" fontId="32" fillId="33" borderId="439">
      <alignment horizontal="right" vertical="center"/>
    </xf>
    <xf numFmtId="0" fontId="43" fillId="55" borderId="435" applyNumberFormat="0" applyAlignment="0" applyProtection="0"/>
    <xf numFmtId="0" fontId="45" fillId="55" borderId="436" applyNumberFormat="0" applyAlignment="0" applyProtection="0"/>
    <xf numFmtId="0" fontId="50" fillId="0" borderId="437" applyNumberFormat="0" applyFill="0" applyAlignment="0" applyProtection="0"/>
    <xf numFmtId="0" fontId="34" fillId="32" borderId="439"/>
    <xf numFmtId="4" fontId="34" fillId="32" borderId="439"/>
    <xf numFmtId="4" fontId="32" fillId="33" borderId="439">
      <alignment horizontal="right" vertical="center"/>
    </xf>
    <xf numFmtId="0" fontId="36" fillId="31" borderId="439">
      <alignment horizontal="right" vertical="center"/>
    </xf>
    <xf numFmtId="0" fontId="49" fillId="42" borderId="436" applyNumberFormat="0" applyAlignment="0" applyProtection="0"/>
    <xf numFmtId="0" fontId="46" fillId="55" borderId="436" applyNumberFormat="0" applyAlignment="0" applyProtection="0"/>
    <xf numFmtId="4" fontId="34" fillId="0" borderId="439">
      <alignment horizontal="right" vertical="center"/>
    </xf>
    <xf numFmtId="0" fontId="34" fillId="33" borderId="442">
      <alignment horizontal="left" vertical="center" wrapText="1" indent="2"/>
    </xf>
    <xf numFmtId="0" fontId="34" fillId="0" borderId="442">
      <alignment horizontal="left" vertical="center" wrapText="1" indent="2"/>
    </xf>
    <xf numFmtId="0" fontId="62" fillId="55" borderId="435" applyNumberFormat="0" applyAlignment="0" applyProtection="0"/>
    <xf numFmtId="0" fontId="58" fillId="42" borderId="436" applyNumberFormat="0" applyAlignment="0" applyProtection="0"/>
    <xf numFmtId="0" fontId="45" fillId="55" borderId="436" applyNumberFormat="0" applyAlignment="0" applyProtection="0"/>
    <xf numFmtId="0" fontId="43" fillId="55" borderId="435" applyNumberFormat="0" applyAlignment="0" applyProtection="0"/>
    <xf numFmtId="0" fontId="32" fillId="33" borderId="441">
      <alignment horizontal="right" vertical="center"/>
    </xf>
    <xf numFmtId="0" fontId="36" fillId="31" borderId="439">
      <alignment horizontal="right" vertical="center"/>
    </xf>
    <xf numFmtId="4" fontId="32" fillId="31" borderId="439">
      <alignment horizontal="right" vertical="center"/>
    </xf>
    <xf numFmtId="4" fontId="32" fillId="33" borderId="439">
      <alignment horizontal="right" vertical="center"/>
    </xf>
    <xf numFmtId="49" fontId="34" fillId="0" borderId="440" applyNumberFormat="0" applyFont="0" applyFill="0" applyBorder="0" applyProtection="0">
      <alignment horizontal="left" vertical="center" indent="5"/>
    </xf>
    <xf numFmtId="4" fontId="34" fillId="0" borderId="439" applyFill="0" applyBorder="0" applyProtection="0">
      <alignment horizontal="right" vertical="center"/>
    </xf>
    <xf numFmtId="4" fontId="32" fillId="31" borderId="439">
      <alignment horizontal="right" vertical="center"/>
    </xf>
    <xf numFmtId="0" fontId="58" fillId="42" borderId="436" applyNumberFormat="0" applyAlignment="0" applyProtection="0"/>
    <xf numFmtId="0" fontId="49" fillId="42" borderId="436" applyNumberFormat="0" applyAlignment="0" applyProtection="0"/>
    <xf numFmtId="0" fontId="45" fillId="55" borderId="436" applyNumberFormat="0" applyAlignment="0" applyProtection="0"/>
    <xf numFmtId="0" fontId="34" fillId="33" borderId="442">
      <alignment horizontal="left" vertical="center" wrapText="1" indent="2"/>
    </xf>
    <xf numFmtId="0" fontId="34" fillId="0" borderId="442">
      <alignment horizontal="left" vertical="center" wrapText="1" indent="2"/>
    </xf>
    <xf numFmtId="0" fontId="34" fillId="33" borderId="442">
      <alignment horizontal="left" vertical="center" wrapText="1" indent="2"/>
    </xf>
    <xf numFmtId="0" fontId="32" fillId="31" borderId="446">
      <alignment horizontal="right" vertical="center"/>
    </xf>
    <xf numFmtId="0" fontId="32" fillId="33" borderId="448">
      <alignment horizontal="right" vertical="center"/>
    </xf>
    <xf numFmtId="0" fontId="32" fillId="33" borderId="448">
      <alignment horizontal="right" vertical="center"/>
    </xf>
    <xf numFmtId="4" fontId="32" fillId="33" borderId="448">
      <alignment horizontal="right" vertical="center"/>
    </xf>
    <xf numFmtId="0" fontId="34" fillId="33" borderId="449">
      <alignment horizontal="left" vertical="center" wrapText="1" indent="2"/>
    </xf>
    <xf numFmtId="0" fontId="32" fillId="33" borderId="446">
      <alignment horizontal="right" vertical="center"/>
    </xf>
    <xf numFmtId="4" fontId="32" fillId="33" borderId="446">
      <alignment horizontal="right" vertical="center"/>
    </xf>
    <xf numFmtId="0" fontId="32" fillId="33" borderId="446">
      <alignment horizontal="right" vertical="center"/>
    </xf>
    <xf numFmtId="4" fontId="32" fillId="33" borderId="446">
      <alignment horizontal="right" vertical="center"/>
    </xf>
    <xf numFmtId="4" fontId="32" fillId="33" borderId="446">
      <alignment horizontal="right" vertical="center"/>
    </xf>
    <xf numFmtId="0" fontId="32" fillId="33" borderId="455">
      <alignment horizontal="right" vertical="center"/>
    </xf>
    <xf numFmtId="4" fontId="34" fillId="32" borderId="446"/>
    <xf numFmtId="4" fontId="32" fillId="33" borderId="446">
      <alignment horizontal="right" vertical="center"/>
    </xf>
    <xf numFmtId="0" fontId="49" fillId="42" borderId="443" applyNumberFormat="0" applyAlignment="0" applyProtection="0"/>
    <xf numFmtId="0" fontId="50" fillId="0" borderId="444" applyNumberFormat="0" applyFill="0" applyAlignment="0" applyProtection="0"/>
    <xf numFmtId="4" fontId="32" fillId="33" borderId="456">
      <alignment horizontal="right" vertical="center"/>
    </xf>
    <xf numFmtId="0" fontId="46" fillId="55" borderId="475" applyNumberFormat="0" applyAlignment="0" applyProtection="0"/>
    <xf numFmtId="0" fontId="46" fillId="55" borderId="475" applyNumberFormat="0" applyAlignment="0" applyProtection="0"/>
    <xf numFmtId="0" fontId="32" fillId="33" borderId="446">
      <alignment horizontal="right" vertical="center"/>
    </xf>
    <xf numFmtId="0" fontId="65" fillId="0" borderId="444" applyNumberFormat="0" applyFill="0" applyAlignment="0" applyProtection="0"/>
    <xf numFmtId="0" fontId="1" fillId="0" borderId="0" applyNumberFormat="0" applyFill="0" applyBorder="0" applyAlignment="0" applyProtection="0"/>
    <xf numFmtId="0" fontId="50" fillId="0" borderId="453" applyNumberFormat="0" applyFill="0" applyAlignment="0" applyProtection="0"/>
    <xf numFmtId="0" fontId="29" fillId="12" borderId="10" applyNumberFormat="0" applyAlignment="0" applyProtection="0"/>
    <xf numFmtId="0" fontId="34" fillId="0" borderId="446">
      <alignment horizontal="right" vertical="center"/>
    </xf>
    <xf numFmtId="0" fontId="62" fillId="55" borderId="450" applyNumberFormat="0" applyAlignment="0" applyProtection="0"/>
    <xf numFmtId="0" fontId="46" fillId="55" borderId="443" applyNumberFormat="0" applyAlignment="0" applyProtection="0"/>
    <xf numFmtId="0" fontId="32" fillId="33" borderId="446">
      <alignment horizontal="right" vertical="center"/>
    </xf>
    <xf numFmtId="0" fontId="34" fillId="0" borderId="449">
      <alignment horizontal="left" vertical="center" wrapText="1" indent="2"/>
    </xf>
    <xf numFmtId="0" fontId="34" fillId="33" borderId="449">
      <alignment horizontal="left" vertical="center" wrapText="1" indent="2"/>
    </xf>
    <xf numFmtId="0" fontId="62" fillId="55" borderId="450" applyNumberFormat="0" applyAlignment="0" applyProtection="0"/>
    <xf numFmtId="4" fontId="32" fillId="31" borderId="446">
      <alignment horizontal="right" vertical="center"/>
    </xf>
    <xf numFmtId="4" fontId="36" fillId="31" borderId="446">
      <alignment horizontal="right" vertical="center"/>
    </xf>
    <xf numFmtId="4" fontId="36" fillId="31" borderId="446">
      <alignment horizontal="right" vertical="center"/>
    </xf>
    <xf numFmtId="49" fontId="34" fillId="0" borderId="446" applyNumberFormat="0" applyFont="0" applyFill="0" applyBorder="0" applyProtection="0">
      <alignment horizontal="left" vertical="center" indent="2"/>
    </xf>
    <xf numFmtId="49" fontId="33" fillId="0" borderId="446" applyNumberFormat="0" applyFill="0" applyBorder="0" applyProtection="0">
      <alignment horizontal="left" vertical="center"/>
    </xf>
    <xf numFmtId="0" fontId="32" fillId="33" borderId="456">
      <alignment horizontal="right" vertical="center"/>
    </xf>
    <xf numFmtId="0" fontId="2" fillId="0" borderId="12" applyNumberFormat="0" applyFill="0" applyAlignment="0" applyProtection="0"/>
    <xf numFmtId="0" fontId="5" fillId="58" borderId="462" applyNumberFormat="0" applyFont="0" applyAlignment="0" applyProtection="0"/>
    <xf numFmtId="0" fontId="34" fillId="32" borderId="446"/>
    <xf numFmtId="0" fontId="26" fillId="22" borderId="0" applyNumberFormat="0" applyBorder="0" applyAlignment="0" applyProtection="0"/>
    <xf numFmtId="0" fontId="46" fillId="55" borderId="452" applyNumberFormat="0" applyAlignment="0" applyProtection="0"/>
    <xf numFmtId="49" fontId="34" fillId="0" borderId="455" applyNumberFormat="0" applyFont="0" applyFill="0" applyBorder="0" applyProtection="0">
      <alignment horizontal="left" vertical="center" indent="2"/>
    </xf>
    <xf numFmtId="0" fontId="34" fillId="33" borderId="458">
      <alignment horizontal="left" vertical="center" wrapText="1" indent="2"/>
    </xf>
    <xf numFmtId="4" fontId="34" fillId="0" borderId="455">
      <alignment horizontal="right" vertical="center"/>
    </xf>
    <xf numFmtId="0" fontId="26" fillId="29" borderId="0" applyNumberFormat="0" applyBorder="0" applyAlignment="0" applyProtection="0"/>
    <xf numFmtId="0" fontId="26" fillId="20" borderId="0" applyNumberFormat="0" applyBorder="0" applyAlignment="0" applyProtection="0"/>
    <xf numFmtId="0" fontId="12" fillId="24" borderId="0" applyNumberFormat="0" applyBorder="0" applyAlignment="0" applyProtection="0"/>
    <xf numFmtId="49" fontId="34" fillId="0" borderId="455" applyNumberFormat="0" applyFont="0" applyFill="0" applyBorder="0" applyProtection="0">
      <alignment horizontal="left" vertical="center" indent="2"/>
    </xf>
    <xf numFmtId="0" fontId="46" fillId="55" borderId="475" applyNumberFormat="0" applyAlignment="0" applyProtection="0"/>
    <xf numFmtId="0" fontId="32" fillId="33" borderId="457">
      <alignment horizontal="right" vertical="center"/>
    </xf>
    <xf numFmtId="0" fontId="12" fillId="30" borderId="0" applyNumberFormat="0" applyBorder="0" applyAlignment="0" applyProtection="0"/>
    <xf numFmtId="4" fontId="32" fillId="33" borderId="446">
      <alignment horizontal="right" vertical="center"/>
    </xf>
    <xf numFmtId="0" fontId="32" fillId="31" borderId="455">
      <alignment horizontal="right" vertical="center"/>
    </xf>
    <xf numFmtId="4" fontId="32" fillId="33" borderId="455">
      <alignment horizontal="right" vertical="center"/>
    </xf>
    <xf numFmtId="49" fontId="34" fillId="0" borderId="478" applyNumberFormat="0" applyFont="0" applyFill="0" applyBorder="0" applyProtection="0">
      <alignment horizontal="left" vertical="center" indent="2"/>
    </xf>
    <xf numFmtId="173" fontId="34" fillId="59" borderId="455" applyNumberFormat="0" applyFont="0" applyBorder="0" applyAlignment="0" applyProtection="0">
      <alignment horizontal="right" vertical="center"/>
    </xf>
    <xf numFmtId="0" fontId="58" fillId="42" borderId="452" applyNumberFormat="0" applyAlignment="0" applyProtection="0"/>
    <xf numFmtId="0" fontId="34" fillId="0" borderId="481">
      <alignment horizontal="left" vertical="center" wrapText="1" indent="2"/>
    </xf>
    <xf numFmtId="0" fontId="50" fillId="0" borderId="444" applyNumberFormat="0" applyFill="0" applyAlignment="0" applyProtection="0"/>
    <xf numFmtId="0" fontId="34" fillId="33" borderId="449">
      <alignment horizontal="left" vertical="center" wrapText="1" indent="2"/>
    </xf>
    <xf numFmtId="0" fontId="65" fillId="0" borderId="476" applyNumberFormat="0" applyFill="0" applyAlignment="0" applyProtection="0"/>
    <xf numFmtId="0" fontId="26" fillId="14" borderId="0" applyNumberFormat="0" applyBorder="0" applyAlignment="0" applyProtection="0"/>
    <xf numFmtId="0" fontId="50" fillId="0" borderId="444" applyNumberFormat="0" applyFill="0" applyAlignment="0" applyProtection="0"/>
    <xf numFmtId="0" fontId="46" fillId="55" borderId="443" applyNumberFormat="0" applyAlignment="0" applyProtection="0"/>
    <xf numFmtId="0" fontId="26" fillId="16" borderId="0" applyNumberFormat="0" applyBorder="0" applyAlignment="0" applyProtection="0"/>
    <xf numFmtId="0" fontId="45" fillId="55" borderId="443" applyNumberFormat="0" applyAlignment="0" applyProtection="0"/>
    <xf numFmtId="0" fontId="58" fillId="42" borderId="452" applyNumberFormat="0" applyAlignment="0" applyProtection="0"/>
    <xf numFmtId="0" fontId="62" fillId="55" borderId="450" applyNumberFormat="0" applyAlignment="0" applyProtection="0"/>
    <xf numFmtId="173" fontId="34" fillId="59" borderId="446" applyNumberFormat="0" applyFont="0" applyBorder="0" applyAlignment="0" applyProtection="0">
      <alignment horizontal="right" vertical="center"/>
    </xf>
    <xf numFmtId="173" fontId="34" fillId="59" borderId="478" applyNumberFormat="0" applyFont="0" applyBorder="0" applyAlignment="0" applyProtection="0">
      <alignment horizontal="right" vertical="center"/>
    </xf>
    <xf numFmtId="0" fontId="12" fillId="21" borderId="0" applyNumberFormat="0" applyBorder="0" applyAlignment="0" applyProtection="0"/>
    <xf numFmtId="0" fontId="12" fillId="15" borderId="0" applyNumberFormat="0" applyBorder="0" applyAlignment="0" applyProtection="0"/>
    <xf numFmtId="0" fontId="34" fillId="0" borderId="455" applyNumberFormat="0" applyFill="0" applyAlignment="0" applyProtection="0"/>
    <xf numFmtId="0" fontId="32" fillId="33" borderId="478">
      <alignment horizontal="right" vertical="center"/>
    </xf>
    <xf numFmtId="0" fontId="26" fillId="16" borderId="0" applyNumberFormat="0" applyBorder="0" applyAlignment="0" applyProtection="0"/>
    <xf numFmtId="0" fontId="32" fillId="31" borderId="478">
      <alignment horizontal="right" vertical="center"/>
    </xf>
    <xf numFmtId="0" fontId="26" fillId="14" borderId="0" applyNumberFormat="0" applyBorder="0" applyAlignment="0" applyProtection="0"/>
    <xf numFmtId="49" fontId="34" fillId="0" borderId="446" applyNumberFormat="0" applyFont="0" applyFill="0" applyBorder="0" applyProtection="0">
      <alignment horizontal="left" vertical="center" indent="2"/>
    </xf>
    <xf numFmtId="4" fontId="34" fillId="0" borderId="446" applyFill="0" applyBorder="0" applyProtection="0">
      <alignment horizontal="right" vertical="center"/>
    </xf>
    <xf numFmtId="0" fontId="34" fillId="32" borderId="446"/>
    <xf numFmtId="49" fontId="34" fillId="0" borderId="478" applyNumberFormat="0" applyFont="0" applyFill="0" applyBorder="0" applyProtection="0">
      <alignment horizontal="left" vertical="center" indent="2"/>
    </xf>
    <xf numFmtId="0" fontId="26" fillId="17" borderId="0" applyNumberFormat="0" applyBorder="0" applyAlignment="0" applyProtection="0"/>
    <xf numFmtId="0" fontId="26" fillId="19" borderId="0" applyNumberFormat="0" applyBorder="0" applyAlignment="0" applyProtection="0"/>
    <xf numFmtId="4" fontId="34" fillId="32" borderId="455"/>
    <xf numFmtId="4" fontId="34" fillId="32" borderId="446"/>
    <xf numFmtId="0" fontId="26" fillId="29" borderId="0" applyNumberFormat="0" applyBorder="0" applyAlignment="0" applyProtection="0"/>
    <xf numFmtId="0" fontId="12" fillId="21" borderId="0" applyNumberFormat="0" applyBorder="0" applyAlignment="0" applyProtection="0"/>
    <xf numFmtId="0" fontId="32" fillId="33" borderId="448">
      <alignment horizontal="right" vertical="center"/>
    </xf>
    <xf numFmtId="0" fontId="62" fillId="55" borderId="482" applyNumberFormat="0" applyAlignment="0" applyProtection="0"/>
    <xf numFmtId="0" fontId="40" fillId="58" borderId="445" applyNumberFormat="0" applyFont="0" applyAlignment="0" applyProtection="0"/>
    <xf numFmtId="0" fontId="34" fillId="33" borderId="458">
      <alignment horizontal="left" vertical="center" wrapText="1" indent="2"/>
    </xf>
    <xf numFmtId="0" fontId="34" fillId="0" borderId="446">
      <alignment horizontal="right" vertical="center"/>
    </xf>
    <xf numFmtId="4" fontId="34" fillId="32" borderId="446"/>
    <xf numFmtId="0" fontId="34" fillId="0" borderId="449">
      <alignment horizontal="left" vertical="center" wrapText="1" indent="2"/>
    </xf>
    <xf numFmtId="4" fontId="32" fillId="33" borderId="446">
      <alignment horizontal="right" vertical="center"/>
    </xf>
    <xf numFmtId="0" fontId="34" fillId="0" borderId="446">
      <alignment horizontal="right" vertical="center"/>
    </xf>
    <xf numFmtId="0" fontId="34" fillId="0" borderId="468">
      <alignment horizontal="right" vertical="center"/>
    </xf>
    <xf numFmtId="4" fontId="32" fillId="31" borderId="478">
      <alignment horizontal="right" vertical="center"/>
    </xf>
    <xf numFmtId="0" fontId="32" fillId="31" borderId="446">
      <alignment horizontal="right" vertical="center"/>
    </xf>
    <xf numFmtId="49" fontId="33" fillId="0" borderId="478" applyNumberFormat="0" applyFill="0" applyBorder="0" applyProtection="0">
      <alignment horizontal="left" vertical="center"/>
    </xf>
    <xf numFmtId="0" fontId="26" fillId="28" borderId="0" applyNumberFormat="0" applyBorder="0" applyAlignment="0" applyProtection="0"/>
    <xf numFmtId="49" fontId="34" fillId="0" borderId="447" applyNumberFormat="0" applyFont="0" applyFill="0" applyBorder="0" applyProtection="0">
      <alignment horizontal="left" vertical="center" indent="5"/>
    </xf>
    <xf numFmtId="0" fontId="58" fillId="42" borderId="443" applyNumberFormat="0" applyAlignment="0" applyProtection="0"/>
    <xf numFmtId="4" fontId="34" fillId="0" borderId="455" applyFill="0" applyBorder="0" applyProtection="0">
      <alignment horizontal="right" vertical="center"/>
    </xf>
    <xf numFmtId="0" fontId="32" fillId="31" borderId="446">
      <alignment horizontal="right" vertical="center"/>
    </xf>
    <xf numFmtId="0" fontId="40" fillId="58" borderId="477" applyNumberFormat="0" applyFont="0" applyAlignment="0" applyProtection="0"/>
    <xf numFmtId="0" fontId="58" fillId="42" borderId="443" applyNumberFormat="0" applyAlignment="0" applyProtection="0"/>
    <xf numFmtId="0" fontId="46" fillId="55" borderId="443" applyNumberFormat="0" applyAlignment="0" applyProtection="0"/>
    <xf numFmtId="0" fontId="34" fillId="33" borderId="449">
      <alignment horizontal="left" vertical="center" wrapText="1" indent="2"/>
    </xf>
    <xf numFmtId="0" fontId="26" fillId="22" borderId="0" applyNumberFormat="0" applyBorder="0" applyAlignment="0" applyProtection="0"/>
    <xf numFmtId="4" fontId="36" fillId="31" borderId="446">
      <alignment horizontal="right" vertical="center"/>
    </xf>
    <xf numFmtId="4" fontId="32" fillId="33" borderId="457">
      <alignment horizontal="right" vertical="center"/>
    </xf>
    <xf numFmtId="0" fontId="12" fillId="21" borderId="0" applyNumberFormat="0" applyBorder="0" applyAlignment="0" applyProtection="0"/>
    <xf numFmtId="49" fontId="33" fillId="0" borderId="478" applyNumberFormat="0" applyFill="0" applyBorder="0" applyProtection="0">
      <alignment horizontal="left" vertical="center"/>
    </xf>
    <xf numFmtId="0" fontId="32" fillId="33" borderId="447">
      <alignment horizontal="right" vertical="center"/>
    </xf>
    <xf numFmtId="0" fontId="43" fillId="55" borderId="451" applyNumberFormat="0" applyAlignment="0" applyProtection="0"/>
    <xf numFmtId="0" fontId="36" fillId="31" borderId="446">
      <alignment horizontal="right" vertical="center"/>
    </xf>
    <xf numFmtId="0" fontId="34" fillId="33" borderId="458">
      <alignment horizontal="left" vertical="center" wrapText="1" indent="2"/>
    </xf>
    <xf numFmtId="0" fontId="26" fillId="14" borderId="0" applyNumberFormat="0" applyBorder="0" applyAlignment="0" applyProtection="0"/>
    <xf numFmtId="0" fontId="12" fillId="18" borderId="0" applyNumberFormat="0" applyBorder="0" applyAlignment="0" applyProtection="0"/>
    <xf numFmtId="4" fontId="32" fillId="33" borderId="446">
      <alignment horizontal="right" vertical="center"/>
    </xf>
    <xf numFmtId="4" fontId="34" fillId="32" borderId="478"/>
    <xf numFmtId="0" fontId="32" fillId="33" borderId="447">
      <alignment horizontal="right" vertical="center"/>
    </xf>
    <xf numFmtId="0" fontId="32" fillId="33" borderId="455">
      <alignment horizontal="right" vertical="center"/>
    </xf>
    <xf numFmtId="49" fontId="34" fillId="0" borderId="447" applyNumberFormat="0" applyFont="0" applyFill="0" applyBorder="0" applyProtection="0">
      <alignment horizontal="left" vertical="center" indent="5"/>
    </xf>
    <xf numFmtId="0" fontId="12" fillId="24" borderId="0" applyNumberFormat="0" applyBorder="0" applyAlignment="0" applyProtection="0"/>
    <xf numFmtId="0" fontId="34" fillId="32" borderId="446"/>
    <xf numFmtId="4" fontId="32" fillId="33" borderId="457">
      <alignment horizontal="right" vertical="center"/>
    </xf>
    <xf numFmtId="0" fontId="5" fillId="58" borderId="445" applyNumberFormat="0" applyFont="0" applyAlignment="0" applyProtection="0"/>
    <xf numFmtId="0" fontId="34" fillId="31" borderId="447">
      <alignment horizontal="left" vertical="center"/>
    </xf>
    <xf numFmtId="0" fontId="65" fillId="0" borderId="444" applyNumberFormat="0" applyFill="0" applyAlignment="0" applyProtection="0"/>
    <xf numFmtId="4" fontId="32" fillId="31" borderId="478">
      <alignment horizontal="right" vertical="center"/>
    </xf>
    <xf numFmtId="0" fontId="40" fillId="58" borderId="454" applyNumberFormat="0" applyFont="0" applyAlignment="0" applyProtection="0"/>
    <xf numFmtId="49" fontId="33" fillId="0" borderId="446" applyNumberFormat="0" applyFill="0" applyBorder="0" applyProtection="0">
      <alignment horizontal="left" vertical="center"/>
    </xf>
    <xf numFmtId="0" fontId="34" fillId="0" borderId="449">
      <alignment horizontal="left" vertical="center" wrapText="1" indent="2"/>
    </xf>
    <xf numFmtId="0" fontId="49" fillId="42" borderId="452" applyNumberFormat="0" applyAlignment="0" applyProtection="0"/>
    <xf numFmtId="0" fontId="32" fillId="33" borderId="480">
      <alignment horizontal="right" vertical="center"/>
    </xf>
    <xf numFmtId="0" fontId="34" fillId="32" borderId="478"/>
    <xf numFmtId="0" fontId="65" fillId="0" borderId="444" applyNumberFormat="0" applyFill="0" applyAlignment="0" applyProtection="0"/>
    <xf numFmtId="0" fontId="36" fillId="31" borderId="446">
      <alignment horizontal="right" vertical="center"/>
    </xf>
    <xf numFmtId="0" fontId="34" fillId="0" borderId="449">
      <alignment horizontal="left" vertical="center" wrapText="1" indent="2"/>
    </xf>
    <xf numFmtId="0" fontId="26" fillId="22" borderId="0" applyNumberFormat="0" applyBorder="0" applyAlignment="0" applyProtection="0"/>
    <xf numFmtId="49" fontId="34" fillId="0" borderId="447" applyNumberFormat="0" applyFont="0" applyFill="0" applyBorder="0" applyProtection="0">
      <alignment horizontal="left" vertical="center" indent="5"/>
    </xf>
    <xf numFmtId="0" fontId="12" fillId="24" borderId="0" applyNumberFormat="0" applyBorder="0" applyAlignment="0" applyProtection="0"/>
    <xf numFmtId="0" fontId="50" fillId="0" borderId="444" applyNumberFormat="0" applyFill="0" applyAlignment="0" applyProtection="0"/>
    <xf numFmtId="0" fontId="34" fillId="31" borderId="456">
      <alignment horizontal="left" vertical="center"/>
    </xf>
    <xf numFmtId="0" fontId="43" fillId="55" borderId="482" applyNumberFormat="0" applyAlignment="0" applyProtection="0"/>
    <xf numFmtId="0" fontId="32" fillId="33" borderId="455">
      <alignment horizontal="right" vertical="center"/>
    </xf>
    <xf numFmtId="0" fontId="65" fillId="0" borderId="453" applyNumberFormat="0" applyFill="0" applyAlignment="0" applyProtection="0"/>
    <xf numFmtId="4" fontId="32" fillId="33" borderId="446">
      <alignment horizontal="right" vertical="center"/>
    </xf>
    <xf numFmtId="0" fontId="34" fillId="0" borderId="455">
      <alignment horizontal="right" vertical="center"/>
    </xf>
    <xf numFmtId="173" fontId="34" fillId="59" borderId="446" applyNumberFormat="0" applyFont="0" applyBorder="0" applyAlignment="0" applyProtection="0">
      <alignment horizontal="right" vertical="center"/>
    </xf>
    <xf numFmtId="4" fontId="32" fillId="33" borderId="447">
      <alignment horizontal="right" vertical="center"/>
    </xf>
    <xf numFmtId="0" fontId="12" fillId="30" borderId="0" applyNumberFormat="0" applyBorder="0" applyAlignment="0" applyProtection="0"/>
    <xf numFmtId="4" fontId="32" fillId="33" borderId="455">
      <alignment horizontal="right" vertical="center"/>
    </xf>
    <xf numFmtId="0" fontId="46" fillId="55" borderId="443" applyNumberFormat="0" applyAlignment="0" applyProtection="0"/>
    <xf numFmtId="0" fontId="43" fillId="55" borderId="451" applyNumberFormat="0" applyAlignment="0" applyProtection="0"/>
    <xf numFmtId="0" fontId="40" fillId="58" borderId="445" applyNumberFormat="0" applyFont="0" applyAlignment="0" applyProtection="0"/>
    <xf numFmtId="0" fontId="45" fillId="55" borderId="443" applyNumberFormat="0" applyAlignment="0" applyProtection="0"/>
    <xf numFmtId="0" fontId="46" fillId="55" borderId="443" applyNumberFormat="0" applyAlignment="0" applyProtection="0"/>
    <xf numFmtId="0" fontId="34" fillId="33" borderId="449">
      <alignment horizontal="left" vertical="center" wrapText="1" indent="2"/>
    </xf>
    <xf numFmtId="0" fontId="65" fillId="0" borderId="444" applyNumberFormat="0" applyFill="0" applyAlignment="0" applyProtection="0"/>
    <xf numFmtId="0" fontId="26" fillId="25" borderId="0" applyNumberFormat="0" applyBorder="0" applyAlignment="0" applyProtection="0"/>
    <xf numFmtId="0" fontId="34" fillId="33" borderId="449">
      <alignment horizontal="left" vertical="center" wrapText="1" indent="2"/>
    </xf>
    <xf numFmtId="0" fontId="34" fillId="32" borderId="446"/>
    <xf numFmtId="0" fontId="62" fillId="55" borderId="451" applyNumberFormat="0" applyAlignment="0" applyProtection="0"/>
    <xf numFmtId="0" fontId="26" fillId="13" borderId="0" applyNumberFormat="0" applyBorder="0" applyAlignment="0" applyProtection="0"/>
    <xf numFmtId="0" fontId="34" fillId="0" borderId="449">
      <alignment horizontal="left" vertical="center" wrapText="1" indent="2"/>
    </xf>
    <xf numFmtId="4" fontId="32" fillId="31" borderId="446">
      <alignment horizontal="right" vertical="center"/>
    </xf>
    <xf numFmtId="0" fontId="26" fillId="25" borderId="0" applyNumberFormat="0" applyBorder="0" applyAlignment="0" applyProtection="0"/>
    <xf numFmtId="0" fontId="50" fillId="0" borderId="476" applyNumberFormat="0" applyFill="0" applyAlignment="0" applyProtection="0"/>
    <xf numFmtId="0" fontId="58" fillId="42" borderId="452" applyNumberFormat="0" applyAlignment="0" applyProtection="0"/>
    <xf numFmtId="0" fontId="26" fillId="22" borderId="0" applyNumberFormat="0" applyBorder="0" applyAlignment="0" applyProtection="0"/>
    <xf numFmtId="0" fontId="26" fillId="16" borderId="0" applyNumberFormat="0" applyBorder="0" applyAlignment="0" applyProtection="0"/>
    <xf numFmtId="0" fontId="5" fillId="58" borderId="454" applyNumberFormat="0" applyFont="0" applyAlignment="0" applyProtection="0"/>
    <xf numFmtId="0" fontId="5" fillId="58" borderId="445" applyNumberFormat="0" applyFont="0" applyAlignment="0" applyProtection="0"/>
    <xf numFmtId="4" fontId="32" fillId="33" borderId="446">
      <alignment horizontal="right" vertical="center"/>
    </xf>
    <xf numFmtId="49" fontId="34" fillId="0" borderId="446" applyNumberFormat="0" applyFont="0" applyFill="0" applyBorder="0" applyProtection="0">
      <alignment horizontal="left" vertical="center" indent="2"/>
    </xf>
    <xf numFmtId="0" fontId="65" fillId="0" borderId="444" applyNumberFormat="0" applyFill="0" applyAlignment="0" applyProtection="0"/>
    <xf numFmtId="0" fontId="26" fillId="17" borderId="0" applyNumberFormat="0" applyBorder="0" applyAlignment="0" applyProtection="0"/>
    <xf numFmtId="0" fontId="26" fillId="19" borderId="0" applyNumberFormat="0" applyBorder="0" applyAlignment="0" applyProtection="0"/>
    <xf numFmtId="0" fontId="1" fillId="0" borderId="0" applyNumberFormat="0" applyFill="0" applyBorder="0" applyAlignment="0" applyProtection="0"/>
    <xf numFmtId="0" fontId="12" fillId="30" borderId="0" applyNumberFormat="0" applyBorder="0" applyAlignment="0" applyProtection="0"/>
    <xf numFmtId="0" fontId="34" fillId="0" borderId="446" applyNumberFormat="0" applyFill="0" applyAlignment="0" applyProtection="0"/>
    <xf numFmtId="0" fontId="58" fillId="42" borderId="443" applyNumberFormat="0" applyAlignment="0" applyProtection="0"/>
    <xf numFmtId="0" fontId="12" fillId="30" borderId="0" applyNumberFormat="0" applyBorder="0" applyAlignment="0" applyProtection="0"/>
    <xf numFmtId="0" fontId="46" fillId="55" borderId="460" applyNumberFormat="0" applyAlignment="0" applyProtection="0"/>
    <xf numFmtId="0" fontId="46" fillId="55" borderId="475" applyNumberFormat="0" applyAlignment="0" applyProtection="0"/>
    <xf numFmtId="0" fontId="12" fillId="27" borderId="0" applyNumberFormat="0" applyBorder="0" applyAlignment="0" applyProtection="0"/>
    <xf numFmtId="0" fontId="26" fillId="29" borderId="0" applyNumberFormat="0" applyBorder="0" applyAlignment="0" applyProtection="0"/>
    <xf numFmtId="0" fontId="65" fillId="0" borderId="444" applyNumberFormat="0" applyFill="0" applyAlignment="0" applyProtection="0"/>
    <xf numFmtId="0" fontId="49" fillId="42" borderId="452" applyNumberFormat="0" applyAlignment="0" applyProtection="0"/>
    <xf numFmtId="0" fontId="46" fillId="55" borderId="452" applyNumberFormat="0" applyAlignment="0" applyProtection="0"/>
    <xf numFmtId="4" fontId="34" fillId="0" borderId="446">
      <alignment horizontal="right" vertical="center"/>
    </xf>
    <xf numFmtId="0" fontId="34" fillId="31" borderId="469">
      <alignment horizontal="left" vertical="center"/>
    </xf>
    <xf numFmtId="0" fontId="46" fillId="55" borderId="460" applyNumberFormat="0" applyAlignment="0" applyProtection="0"/>
    <xf numFmtId="0" fontId="26" fillId="17" borderId="0" applyNumberFormat="0" applyBorder="0" applyAlignment="0" applyProtection="0"/>
    <xf numFmtId="0" fontId="34" fillId="31" borderId="456">
      <alignment horizontal="left" vertical="center"/>
    </xf>
    <xf numFmtId="0" fontId="29" fillId="12" borderId="10" applyNumberFormat="0" applyAlignment="0" applyProtection="0"/>
    <xf numFmtId="0" fontId="62" fillId="55" borderId="450" applyNumberFormat="0" applyAlignment="0" applyProtection="0"/>
    <xf numFmtId="0" fontId="43" fillId="55" borderId="451" applyNumberFormat="0" applyAlignment="0" applyProtection="0"/>
    <xf numFmtId="4" fontId="32" fillId="33" borderId="455">
      <alignment horizontal="right" vertical="center"/>
    </xf>
    <xf numFmtId="0" fontId="65" fillId="0" borderId="453" applyNumberFormat="0" applyFill="0" applyAlignment="0" applyProtection="0"/>
    <xf numFmtId="0" fontId="26" fillId="22" borderId="0" applyNumberFormat="0" applyBorder="0" applyAlignment="0" applyProtection="0"/>
    <xf numFmtId="0" fontId="26" fillId="16" borderId="0" applyNumberFormat="0" applyBorder="0" applyAlignment="0" applyProtection="0"/>
    <xf numFmtId="4" fontId="32" fillId="31" borderId="446">
      <alignment horizontal="right" vertical="center"/>
    </xf>
    <xf numFmtId="0" fontId="32" fillId="31" borderId="455">
      <alignment horizontal="right" vertical="center"/>
    </xf>
    <xf numFmtId="0" fontId="34" fillId="33" borderId="458">
      <alignment horizontal="left" vertical="center" wrapText="1" indent="2"/>
    </xf>
    <xf numFmtId="0" fontId="32" fillId="31" borderId="446">
      <alignment horizontal="right" vertical="center"/>
    </xf>
    <xf numFmtId="0" fontId="12" fillId="30" borderId="0" applyNumberFormat="0" applyBorder="0" applyAlignment="0" applyProtection="0"/>
    <xf numFmtId="0" fontId="26" fillId="25" borderId="0" applyNumberFormat="0" applyBorder="0" applyAlignment="0" applyProtection="0"/>
    <xf numFmtId="0" fontId="36" fillId="31" borderId="478">
      <alignment horizontal="right" vertical="center"/>
    </xf>
    <xf numFmtId="0" fontId="32" fillId="31" borderId="463">
      <alignment horizontal="right" vertical="center"/>
    </xf>
    <xf numFmtId="0" fontId="29" fillId="12" borderId="10" applyNumberFormat="0" applyAlignment="0" applyProtection="0"/>
    <xf numFmtId="0" fontId="49" fillId="42" borderId="452" applyNumberFormat="0" applyAlignment="0" applyProtection="0"/>
    <xf numFmtId="0" fontId="12" fillId="21" borderId="0" applyNumberFormat="0" applyBorder="0" applyAlignment="0" applyProtection="0"/>
    <xf numFmtId="0" fontId="43" fillId="55" borderId="450" applyNumberFormat="0" applyAlignment="0" applyProtection="0"/>
    <xf numFmtId="0" fontId="50" fillId="0" borderId="476" applyNumberFormat="0" applyFill="0" applyAlignment="0" applyProtection="0"/>
    <xf numFmtId="49" fontId="33" fillId="0" borderId="455" applyNumberFormat="0" applyFill="0" applyBorder="0" applyProtection="0">
      <alignment horizontal="left" vertical="center"/>
    </xf>
    <xf numFmtId="49" fontId="34" fillId="0" borderId="479" applyNumberFormat="0" applyFont="0" applyFill="0" applyBorder="0" applyProtection="0">
      <alignment horizontal="left" vertical="center" indent="5"/>
    </xf>
    <xf numFmtId="0" fontId="58" fillId="42" borderId="443" applyNumberFormat="0" applyAlignment="0" applyProtection="0"/>
    <xf numFmtId="0" fontId="58" fillId="42" borderId="452" applyNumberFormat="0" applyAlignment="0" applyProtection="0"/>
    <xf numFmtId="49" fontId="33" fillId="0" borderId="478" applyNumberFormat="0" applyFill="0" applyBorder="0" applyProtection="0">
      <alignment horizontal="left" vertical="center"/>
    </xf>
    <xf numFmtId="0" fontId="34" fillId="0" borderId="446">
      <alignment horizontal="right" vertical="center"/>
    </xf>
    <xf numFmtId="0" fontId="46" fillId="55" borderId="452" applyNumberFormat="0" applyAlignment="0" applyProtection="0"/>
    <xf numFmtId="0" fontId="46" fillId="55" borderId="443" applyNumberFormat="0" applyAlignment="0" applyProtection="0"/>
    <xf numFmtId="0" fontId="65" fillId="0" borderId="444" applyNumberFormat="0" applyFill="0" applyAlignment="0" applyProtection="0"/>
    <xf numFmtId="0" fontId="12" fillId="18" borderId="0" applyNumberFormat="0" applyBorder="0" applyAlignment="0" applyProtection="0"/>
    <xf numFmtId="0" fontId="26" fillId="28" borderId="0" applyNumberFormat="0" applyBorder="0" applyAlignment="0" applyProtection="0"/>
    <xf numFmtId="0" fontId="30" fillId="0" borderId="0" applyNumberFormat="0" applyFill="0" applyBorder="0" applyAlignment="0" applyProtection="0"/>
    <xf numFmtId="0" fontId="58" fillId="42" borderId="443" applyNumberFormat="0" applyAlignment="0" applyProtection="0"/>
    <xf numFmtId="4" fontId="34" fillId="0" borderId="455" applyFill="0" applyBorder="0" applyProtection="0">
      <alignment horizontal="right" vertical="center"/>
    </xf>
    <xf numFmtId="0" fontId="49" fillId="42" borderId="443" applyNumberFormat="0" applyAlignment="0" applyProtection="0"/>
    <xf numFmtId="4" fontId="34" fillId="0" borderId="455">
      <alignment horizontal="right" vertical="center"/>
    </xf>
    <xf numFmtId="0" fontId="58" fillId="42" borderId="452" applyNumberFormat="0" applyAlignment="0" applyProtection="0"/>
    <xf numFmtId="0" fontId="49" fillId="42" borderId="452" applyNumberFormat="0" applyAlignment="0" applyProtection="0"/>
    <xf numFmtId="0" fontId="58" fillId="42" borderId="443" applyNumberFormat="0" applyAlignment="0" applyProtection="0"/>
    <xf numFmtId="0" fontId="32" fillId="33" borderId="446">
      <alignment horizontal="right" vertical="center"/>
    </xf>
    <xf numFmtId="4" fontId="32" fillId="31" borderId="446">
      <alignment horizontal="right" vertical="center"/>
    </xf>
    <xf numFmtId="0" fontId="5" fillId="58" borderId="454" applyNumberFormat="0" applyFont="0" applyAlignment="0" applyProtection="0"/>
    <xf numFmtId="4" fontId="32" fillId="33" borderId="457">
      <alignment horizontal="right" vertical="center"/>
    </xf>
    <xf numFmtId="0" fontId="26" fillId="26" borderId="0" applyNumberFormat="0" applyBorder="0" applyAlignment="0" applyProtection="0"/>
    <xf numFmtId="0" fontId="58" fillId="42" borderId="452" applyNumberFormat="0" applyAlignment="0" applyProtection="0"/>
    <xf numFmtId="0" fontId="50" fillId="0" borderId="444" applyNumberFormat="0" applyFill="0" applyAlignment="0" applyProtection="0"/>
    <xf numFmtId="0" fontId="26" fillId="17" borderId="0" applyNumberFormat="0" applyBorder="0" applyAlignment="0" applyProtection="0"/>
    <xf numFmtId="0" fontId="40" fillId="58" borderId="454" applyNumberFormat="0" applyFont="0" applyAlignment="0" applyProtection="0"/>
    <xf numFmtId="0" fontId="1" fillId="0" borderId="0" applyNumberFormat="0" applyFill="0" applyBorder="0" applyAlignment="0" applyProtection="0"/>
    <xf numFmtId="0" fontId="34" fillId="0" borderId="455">
      <alignment horizontal="right" vertical="center"/>
    </xf>
    <xf numFmtId="0" fontId="36" fillId="31" borderId="446">
      <alignment horizontal="right" vertical="center"/>
    </xf>
    <xf numFmtId="0" fontId="43" fillId="55" borderId="450" applyNumberFormat="0" applyAlignment="0" applyProtection="0"/>
    <xf numFmtId="0" fontId="58" fillId="42" borderId="443" applyNumberFormat="0" applyAlignment="0" applyProtection="0"/>
    <xf numFmtId="0" fontId="26" fillId="17" borderId="0" applyNumberFormat="0" applyBorder="0" applyAlignment="0" applyProtection="0"/>
    <xf numFmtId="0" fontId="36" fillId="31" borderId="446">
      <alignment horizontal="right" vertical="center"/>
    </xf>
    <xf numFmtId="0" fontId="34" fillId="31" borderId="447">
      <alignment horizontal="left" vertical="center"/>
    </xf>
    <xf numFmtId="0" fontId="50" fillId="0" borderId="453" applyNumberFormat="0" applyFill="0" applyAlignment="0" applyProtection="0"/>
    <xf numFmtId="0" fontId="26" fillId="13" borderId="0" applyNumberFormat="0" applyBorder="0" applyAlignment="0" applyProtection="0"/>
    <xf numFmtId="0" fontId="46" fillId="55" borderId="443" applyNumberFormat="0" applyAlignment="0" applyProtection="0"/>
    <xf numFmtId="0" fontId="32" fillId="33" borderId="478">
      <alignment horizontal="right" vertical="center"/>
    </xf>
    <xf numFmtId="0" fontId="26" fillId="16" borderId="0" applyNumberFormat="0" applyBorder="0" applyAlignment="0" applyProtection="0"/>
    <xf numFmtId="4" fontId="34" fillId="0" borderId="478">
      <alignment horizontal="right" vertical="center"/>
    </xf>
    <xf numFmtId="0" fontId="50" fillId="0" borderId="453" applyNumberFormat="0" applyFill="0" applyAlignment="0" applyProtection="0"/>
    <xf numFmtId="0" fontId="50" fillId="0" borderId="444" applyNumberFormat="0" applyFill="0" applyAlignment="0" applyProtection="0"/>
    <xf numFmtId="0" fontId="32" fillId="33" borderId="455">
      <alignment horizontal="right" vertical="center"/>
    </xf>
    <xf numFmtId="0" fontId="34" fillId="33" borderId="449">
      <alignment horizontal="left" vertical="center" wrapText="1" indent="2"/>
    </xf>
    <xf numFmtId="0" fontId="26" fillId="29" borderId="0" applyNumberFormat="0" applyBorder="0" applyAlignment="0" applyProtection="0"/>
    <xf numFmtId="0" fontId="49" fillId="42" borderId="452" applyNumberFormat="0" applyAlignment="0" applyProtection="0"/>
    <xf numFmtId="4" fontId="32" fillId="33" borderId="455">
      <alignment horizontal="right" vertical="center"/>
    </xf>
    <xf numFmtId="0" fontId="45" fillId="55" borderId="452" applyNumberFormat="0" applyAlignment="0" applyProtection="0"/>
    <xf numFmtId="0" fontId="45" fillId="55" borderId="475" applyNumberFormat="0" applyAlignment="0" applyProtection="0"/>
    <xf numFmtId="0" fontId="43" fillId="55" borderId="450" applyNumberFormat="0" applyAlignment="0" applyProtection="0"/>
    <xf numFmtId="4" fontId="32" fillId="33" borderId="455">
      <alignment horizontal="right" vertical="center"/>
    </xf>
    <xf numFmtId="0" fontId="43" fillId="55" borderId="450" applyNumberFormat="0" applyAlignment="0" applyProtection="0"/>
    <xf numFmtId="0" fontId="45" fillId="55" borderId="452" applyNumberFormat="0" applyAlignment="0" applyProtection="0"/>
    <xf numFmtId="0" fontId="34" fillId="33" borderId="481">
      <alignment horizontal="left" vertical="center" wrapText="1" indent="2"/>
    </xf>
    <xf numFmtId="0" fontId="5" fillId="58" borderId="454" applyNumberFormat="0" applyFont="0" applyAlignment="0" applyProtection="0"/>
    <xf numFmtId="0" fontId="34" fillId="0" borderId="458">
      <alignment horizontal="left" vertical="center" wrapText="1" indent="2"/>
    </xf>
    <xf numFmtId="49" fontId="33" fillId="0" borderId="446" applyNumberFormat="0" applyFill="0" applyBorder="0" applyProtection="0">
      <alignment horizontal="left" vertical="center"/>
    </xf>
    <xf numFmtId="0" fontId="45" fillId="55" borderId="452" applyNumberFormat="0" applyAlignment="0" applyProtection="0"/>
    <xf numFmtId="0" fontId="46" fillId="55" borderId="452" applyNumberFormat="0" applyAlignment="0" applyProtection="0"/>
    <xf numFmtId="173" fontId="34" fillId="59" borderId="446" applyNumberFormat="0" applyFont="0" applyBorder="0" applyAlignment="0" applyProtection="0">
      <alignment horizontal="right" vertical="center"/>
    </xf>
    <xf numFmtId="0" fontId="45" fillId="55" borderId="475" applyNumberFormat="0" applyAlignment="0" applyProtection="0"/>
    <xf numFmtId="0" fontId="62" fillId="55" borderId="450" applyNumberFormat="0" applyAlignment="0" applyProtection="0"/>
    <xf numFmtId="0" fontId="49" fillId="42" borderId="452" applyNumberFormat="0" applyAlignment="0" applyProtection="0"/>
    <xf numFmtId="173" fontId="34" fillId="59" borderId="446" applyNumberFormat="0" applyFont="0" applyBorder="0" applyAlignment="0" applyProtection="0">
      <alignment horizontal="right" vertical="center"/>
    </xf>
    <xf numFmtId="0" fontId="26" fillId="23" borderId="0" applyNumberFormat="0" applyBorder="0" applyAlignment="0" applyProtection="0"/>
    <xf numFmtId="4" fontId="34" fillId="0" borderId="446">
      <alignment horizontal="right" vertical="center"/>
    </xf>
    <xf numFmtId="0" fontId="46" fillId="55" borderId="443" applyNumberFormat="0" applyAlignment="0" applyProtection="0"/>
    <xf numFmtId="0" fontId="1" fillId="0" borderId="0" applyNumberFormat="0" applyFill="0" applyBorder="0" applyAlignment="0" applyProtection="0"/>
    <xf numFmtId="0" fontId="58" fillId="42" borderId="475" applyNumberFormat="0" applyAlignment="0" applyProtection="0"/>
    <xf numFmtId="4" fontId="32" fillId="33" borderId="448">
      <alignment horizontal="right" vertical="center"/>
    </xf>
    <xf numFmtId="4" fontId="34" fillId="0" borderId="463">
      <alignment horizontal="right" vertical="center"/>
    </xf>
    <xf numFmtId="0" fontId="32" fillId="33" borderId="455">
      <alignment horizontal="right" vertical="center"/>
    </xf>
    <xf numFmtId="0" fontId="36" fillId="31" borderId="446">
      <alignment horizontal="right" vertical="center"/>
    </xf>
    <xf numFmtId="0" fontId="34" fillId="32" borderId="446"/>
    <xf numFmtId="0" fontId="65" fillId="0" borderId="444" applyNumberFormat="0" applyFill="0" applyAlignment="0" applyProtection="0"/>
    <xf numFmtId="0" fontId="28" fillId="12" borderId="11" applyNumberFormat="0" applyAlignment="0" applyProtection="0"/>
    <xf numFmtId="0" fontId="65" fillId="0" borderId="453" applyNumberFormat="0" applyFill="0" applyAlignment="0" applyProtection="0"/>
    <xf numFmtId="0" fontId="12" fillId="24" borderId="0" applyNumberFormat="0" applyBorder="0" applyAlignment="0" applyProtection="0"/>
    <xf numFmtId="0" fontId="34" fillId="33" borderId="481">
      <alignment horizontal="left" vertical="center" wrapText="1" indent="2"/>
    </xf>
    <xf numFmtId="0" fontId="45" fillId="55" borderId="443" applyNumberFormat="0" applyAlignment="0" applyProtection="0"/>
    <xf numFmtId="0" fontId="34" fillId="33" borderId="481">
      <alignment horizontal="left" vertical="center" wrapText="1" indent="2"/>
    </xf>
    <xf numFmtId="0" fontId="32" fillId="31" borderId="446">
      <alignment horizontal="right" vertical="center"/>
    </xf>
    <xf numFmtId="49" fontId="34" fillId="0" borderId="446" applyNumberFormat="0" applyFont="0" applyFill="0" applyBorder="0" applyProtection="0">
      <alignment horizontal="left" vertical="center" indent="2"/>
    </xf>
    <xf numFmtId="173" fontId="34" fillId="59" borderId="455" applyNumberFormat="0" applyFont="0" applyBorder="0" applyAlignment="0" applyProtection="0">
      <alignment horizontal="right" vertical="center"/>
    </xf>
    <xf numFmtId="0" fontId="36" fillId="31" borderId="478">
      <alignment horizontal="right" vertical="center"/>
    </xf>
    <xf numFmtId="0" fontId="65" fillId="0" borderId="453" applyNumberFormat="0" applyFill="0" applyAlignment="0" applyProtection="0"/>
    <xf numFmtId="0" fontId="12" fillId="18" borderId="0" applyNumberFormat="0" applyBorder="0" applyAlignment="0" applyProtection="0"/>
    <xf numFmtId="0" fontId="46" fillId="55" borderId="443" applyNumberFormat="0" applyAlignment="0" applyProtection="0"/>
    <xf numFmtId="0" fontId="45" fillId="55" borderId="443" applyNumberFormat="0" applyAlignment="0" applyProtection="0"/>
    <xf numFmtId="0" fontId="1" fillId="0" borderId="0" applyNumberFormat="0" applyFill="0" applyBorder="0" applyAlignment="0" applyProtection="0"/>
    <xf numFmtId="0" fontId="45" fillId="55" borderId="443" applyNumberFormat="0" applyAlignment="0" applyProtection="0"/>
    <xf numFmtId="0" fontId="32" fillId="33" borderId="446">
      <alignment horizontal="right" vertical="center"/>
    </xf>
    <xf numFmtId="4" fontId="36" fillId="31" borderId="446">
      <alignment horizontal="right" vertical="center"/>
    </xf>
    <xf numFmtId="0" fontId="58" fillId="42" borderId="443" applyNumberFormat="0" applyAlignment="0" applyProtection="0"/>
    <xf numFmtId="4" fontId="36" fillId="31" borderId="455">
      <alignment horizontal="right" vertical="center"/>
    </xf>
    <xf numFmtId="4" fontId="34" fillId="0" borderId="446" applyFill="0" applyBorder="0" applyProtection="0">
      <alignment horizontal="right" vertical="center"/>
    </xf>
    <xf numFmtId="0" fontId="26" fillId="23" borderId="0" applyNumberFormat="0" applyBorder="0" applyAlignment="0" applyProtection="0"/>
    <xf numFmtId="0" fontId="65" fillId="0" borderId="453" applyNumberFormat="0" applyFill="0" applyAlignment="0" applyProtection="0"/>
    <xf numFmtId="0" fontId="12" fillId="27" borderId="0" applyNumberFormat="0" applyBorder="0" applyAlignment="0" applyProtection="0"/>
    <xf numFmtId="0" fontId="32" fillId="33" borderId="478">
      <alignment horizontal="right" vertical="center"/>
    </xf>
    <xf numFmtId="173" fontId="34" fillId="59" borderId="446" applyNumberFormat="0" applyFont="0" applyBorder="0" applyAlignment="0" applyProtection="0">
      <alignment horizontal="right" vertical="center"/>
    </xf>
    <xf numFmtId="4" fontId="32" fillId="33" borderId="479">
      <alignment horizontal="right" vertical="center"/>
    </xf>
    <xf numFmtId="0" fontId="12" fillId="15" borderId="0" applyNumberFormat="0" applyBorder="0" applyAlignment="0" applyProtection="0"/>
    <xf numFmtId="4" fontId="34" fillId="0" borderId="468" applyFill="0" applyBorder="0" applyProtection="0">
      <alignment horizontal="right" vertical="center"/>
    </xf>
    <xf numFmtId="0" fontId="30" fillId="0" borderId="0" applyNumberFormat="0" applyFill="0" applyBorder="0" applyAlignment="0" applyProtection="0"/>
    <xf numFmtId="0" fontId="36" fillId="31" borderId="446">
      <alignment horizontal="right" vertical="center"/>
    </xf>
    <xf numFmtId="4" fontId="34" fillId="0" borderId="455">
      <alignment horizontal="right" vertical="center"/>
    </xf>
    <xf numFmtId="0" fontId="26" fillId="25" borderId="0" applyNumberFormat="0" applyBorder="0" applyAlignment="0" applyProtection="0"/>
    <xf numFmtId="49" fontId="34" fillId="0" borderId="446" applyNumberFormat="0" applyFont="0" applyFill="0" applyBorder="0" applyProtection="0">
      <alignment horizontal="left" vertical="center" indent="2"/>
    </xf>
    <xf numFmtId="49" fontId="34" fillId="0" borderId="446" applyNumberFormat="0" applyFont="0" applyFill="0" applyBorder="0" applyProtection="0">
      <alignment horizontal="left" vertical="center" indent="2"/>
    </xf>
    <xf numFmtId="0" fontId="34" fillId="0" borderId="455">
      <alignment horizontal="right" vertical="center"/>
    </xf>
    <xf numFmtId="0" fontId="34" fillId="0" borderId="463" applyNumberFormat="0" applyFill="0" applyAlignment="0" applyProtection="0"/>
    <xf numFmtId="0" fontId="36" fillId="31" borderId="455">
      <alignment horizontal="right" vertical="center"/>
    </xf>
    <xf numFmtId="0" fontId="34" fillId="0" borderId="446" applyNumberFormat="0" applyFill="0" applyAlignment="0" applyProtection="0"/>
    <xf numFmtId="0" fontId="49" fillId="42" borderId="475" applyNumberFormat="0" applyAlignment="0" applyProtection="0"/>
    <xf numFmtId="0" fontId="58" fillId="42" borderId="452" applyNumberFormat="0" applyAlignment="0" applyProtection="0"/>
    <xf numFmtId="49" fontId="34" fillId="0" borderId="447" applyNumberFormat="0" applyFont="0" applyFill="0" applyBorder="0" applyProtection="0">
      <alignment horizontal="left" vertical="center" indent="5"/>
    </xf>
    <xf numFmtId="0" fontId="46" fillId="55" borderId="443" applyNumberFormat="0" applyAlignment="0" applyProtection="0"/>
    <xf numFmtId="0" fontId="46" fillId="55" borderId="452" applyNumberFormat="0" applyAlignment="0" applyProtection="0"/>
    <xf numFmtId="0" fontId="32" fillId="33" borderId="447">
      <alignment horizontal="right" vertical="center"/>
    </xf>
    <xf numFmtId="4" fontId="36" fillId="31" borderId="455">
      <alignment horizontal="right" vertical="center"/>
    </xf>
    <xf numFmtId="49" fontId="33" fillId="0" borderId="446" applyNumberFormat="0" applyFill="0" applyBorder="0" applyProtection="0">
      <alignment horizontal="left" vertical="center"/>
    </xf>
    <xf numFmtId="4" fontId="32" fillId="31" borderId="446">
      <alignment horizontal="right" vertical="center"/>
    </xf>
    <xf numFmtId="0" fontId="46" fillId="55" borderId="475" applyNumberFormat="0" applyAlignment="0" applyProtection="0"/>
    <xf numFmtId="0" fontId="12" fillId="15" borderId="0" applyNumberFormat="0" applyBorder="0" applyAlignment="0" applyProtection="0"/>
    <xf numFmtId="173" fontId="34" fillId="59" borderId="455" applyNumberFormat="0" applyFont="0" applyBorder="0" applyAlignment="0" applyProtection="0">
      <alignment horizontal="right" vertical="center"/>
    </xf>
    <xf numFmtId="0" fontId="46" fillId="55" borderId="452" applyNumberFormat="0" applyAlignment="0" applyProtection="0"/>
    <xf numFmtId="0" fontId="32" fillId="33" borderId="446">
      <alignment horizontal="right" vertical="center"/>
    </xf>
    <xf numFmtId="4" fontId="34" fillId="0" borderId="446">
      <alignment horizontal="right" vertical="center"/>
    </xf>
    <xf numFmtId="0" fontId="34" fillId="0" borderId="446" applyNumberFormat="0" applyFill="0" applyAlignment="0" applyProtection="0"/>
    <xf numFmtId="49" fontId="34" fillId="0" borderId="455" applyNumberFormat="0" applyFont="0" applyFill="0" applyBorder="0" applyProtection="0">
      <alignment horizontal="left" vertical="center" indent="2"/>
    </xf>
    <xf numFmtId="0" fontId="5" fillId="58" borderId="445" applyNumberFormat="0" applyFont="0" applyAlignment="0" applyProtection="0"/>
    <xf numFmtId="0" fontId="50" fillId="0" borderId="453" applyNumberFormat="0" applyFill="0" applyAlignment="0" applyProtection="0"/>
    <xf numFmtId="0" fontId="26" fillId="17" borderId="0" applyNumberFormat="0" applyBorder="0" applyAlignment="0" applyProtection="0"/>
    <xf numFmtId="0" fontId="40" fillId="58" borderId="454" applyNumberFormat="0" applyFont="0" applyAlignment="0" applyProtection="0"/>
    <xf numFmtId="0" fontId="32" fillId="33" borderId="446">
      <alignment horizontal="right" vertical="center"/>
    </xf>
    <xf numFmtId="4" fontId="32" fillId="33" borderId="446">
      <alignment horizontal="right" vertical="center"/>
    </xf>
    <xf numFmtId="0" fontId="2" fillId="0" borderId="12" applyNumberFormat="0" applyFill="0" applyAlignment="0" applyProtection="0"/>
    <xf numFmtId="0" fontId="34" fillId="0" borderId="478" applyNumberFormat="0" applyFill="0" applyAlignment="0" applyProtection="0"/>
    <xf numFmtId="0" fontId="46" fillId="55" borderId="452" applyNumberFormat="0" applyAlignment="0" applyProtection="0"/>
    <xf numFmtId="4" fontId="34" fillId="0" borderId="478" applyFill="0" applyBorder="0" applyProtection="0">
      <alignment horizontal="right" vertical="center"/>
    </xf>
    <xf numFmtId="0" fontId="32" fillId="33" borderId="479">
      <alignment horizontal="right" vertical="center"/>
    </xf>
    <xf numFmtId="0" fontId="26" fillId="20" borderId="0" applyNumberFormat="0" applyBorder="0" applyAlignment="0" applyProtection="0"/>
    <xf numFmtId="0" fontId="26" fillId="19" borderId="0" applyNumberFormat="0" applyBorder="0" applyAlignment="0" applyProtection="0"/>
    <xf numFmtId="0" fontId="32" fillId="31" borderId="446">
      <alignment horizontal="right" vertical="center"/>
    </xf>
    <xf numFmtId="0" fontId="12" fillId="24" borderId="0" applyNumberFormat="0" applyBorder="0" applyAlignment="0" applyProtection="0"/>
    <xf numFmtId="0" fontId="34" fillId="0" borderId="446">
      <alignment horizontal="right" vertical="center"/>
    </xf>
    <xf numFmtId="4" fontId="32" fillId="33" borderId="448">
      <alignment horizontal="right" vertical="center"/>
    </xf>
    <xf numFmtId="49" fontId="33" fillId="0" borderId="446" applyNumberFormat="0" applyFill="0" applyBorder="0" applyProtection="0">
      <alignment horizontal="left" vertical="center"/>
    </xf>
    <xf numFmtId="0" fontId="34" fillId="0" borderId="449">
      <alignment horizontal="left" vertical="center" wrapText="1" indent="2"/>
    </xf>
    <xf numFmtId="49" fontId="33" fillId="0" borderId="446" applyNumberFormat="0" applyFill="0" applyBorder="0" applyProtection="0">
      <alignment horizontal="left" vertical="center"/>
    </xf>
    <xf numFmtId="0" fontId="65" fillId="0" borderId="453" applyNumberFormat="0" applyFill="0" applyAlignment="0" applyProtection="0"/>
    <xf numFmtId="4" fontId="32" fillId="33" borderId="456">
      <alignment horizontal="right" vertical="center"/>
    </xf>
    <xf numFmtId="0" fontId="36" fillId="31" borderId="478">
      <alignment horizontal="right" vertical="center"/>
    </xf>
    <xf numFmtId="0" fontId="26" fillId="16" borderId="0" applyNumberFormat="0" applyBorder="0" applyAlignment="0" applyProtection="0"/>
    <xf numFmtId="0" fontId="46" fillId="55" borderId="443" applyNumberFormat="0" applyAlignment="0" applyProtection="0"/>
    <xf numFmtId="0" fontId="30" fillId="0" borderId="0" applyNumberFormat="0" applyFill="0" applyBorder="0" applyAlignment="0" applyProtection="0"/>
    <xf numFmtId="173" fontId="34" fillId="59" borderId="478" applyNumberFormat="0" applyFont="0" applyBorder="0" applyAlignment="0" applyProtection="0">
      <alignment horizontal="right" vertical="center"/>
    </xf>
    <xf numFmtId="49" fontId="33" fillId="0" borderId="463" applyNumberFormat="0" applyFill="0" applyBorder="0" applyProtection="0">
      <alignment horizontal="left" vertical="center"/>
    </xf>
    <xf numFmtId="0" fontId="26" fillId="26" borderId="0" applyNumberFormat="0" applyBorder="0" applyAlignment="0" applyProtection="0"/>
    <xf numFmtId="4" fontId="34" fillId="0" borderId="478">
      <alignment horizontal="right" vertical="center"/>
    </xf>
    <xf numFmtId="0" fontId="34" fillId="0" borderId="446">
      <alignment horizontal="right" vertical="center"/>
    </xf>
    <xf numFmtId="173" fontId="34" fillId="59" borderId="455" applyNumberFormat="0" applyFont="0" applyBorder="0" applyAlignment="0" applyProtection="0">
      <alignment horizontal="right" vertical="center"/>
    </xf>
    <xf numFmtId="0" fontId="62" fillId="55" borderId="451" applyNumberFormat="0" applyAlignment="0" applyProtection="0"/>
    <xf numFmtId="0" fontId="46" fillId="55" borderId="452" applyNumberFormat="0" applyAlignment="0" applyProtection="0"/>
    <xf numFmtId="4" fontId="32" fillId="33" borderId="455">
      <alignment horizontal="right" vertical="center"/>
    </xf>
    <xf numFmtId="49" fontId="34" fillId="0" borderId="447" applyNumberFormat="0" applyFont="0" applyFill="0" applyBorder="0" applyProtection="0">
      <alignment horizontal="left" vertical="center" indent="5"/>
    </xf>
    <xf numFmtId="0" fontId="32" fillId="33" borderId="455">
      <alignment horizontal="right" vertical="center"/>
    </xf>
    <xf numFmtId="0" fontId="34" fillId="0" borderId="455" applyNumberFormat="0" applyFill="0" applyAlignment="0" applyProtection="0"/>
    <xf numFmtId="0" fontId="32" fillId="33" borderId="478">
      <alignment horizontal="right" vertical="center"/>
    </xf>
    <xf numFmtId="4" fontId="34" fillId="0" borderId="455">
      <alignment horizontal="right" vertical="center"/>
    </xf>
    <xf numFmtId="0" fontId="34" fillId="0" borderId="449">
      <alignment horizontal="left" vertical="center" wrapText="1" indent="2"/>
    </xf>
    <xf numFmtId="0" fontId="34" fillId="0" borderId="449">
      <alignment horizontal="left" vertical="center" wrapText="1" indent="2"/>
    </xf>
    <xf numFmtId="0" fontId="34" fillId="0" borderId="466">
      <alignment horizontal="left" vertical="center" wrapText="1" indent="2"/>
    </xf>
    <xf numFmtId="0" fontId="58" fillId="42" borderId="452" applyNumberFormat="0" applyAlignment="0" applyProtection="0"/>
    <xf numFmtId="0" fontId="40" fillId="58" borderId="445" applyNumberFormat="0" applyFont="0" applyAlignment="0" applyProtection="0"/>
    <xf numFmtId="0" fontId="50" fillId="0" borderId="453" applyNumberFormat="0" applyFill="0" applyAlignment="0" applyProtection="0"/>
    <xf numFmtId="4" fontId="34" fillId="32" borderId="478"/>
    <xf numFmtId="0" fontId="26" fillId="28" borderId="0" applyNumberFormat="0" applyBorder="0" applyAlignment="0" applyProtection="0"/>
    <xf numFmtId="0" fontId="62" fillId="55" borderId="451" applyNumberFormat="0" applyAlignment="0" applyProtection="0"/>
    <xf numFmtId="0" fontId="26" fillId="26" borderId="0" applyNumberFormat="0" applyBorder="0" applyAlignment="0" applyProtection="0"/>
    <xf numFmtId="49" fontId="33" fillId="0" borderId="455" applyNumberFormat="0" applyFill="0" applyBorder="0" applyProtection="0">
      <alignment horizontal="left" vertical="center"/>
    </xf>
    <xf numFmtId="0" fontId="32" fillId="31" borderId="446">
      <alignment horizontal="right" vertical="center"/>
    </xf>
    <xf numFmtId="0" fontId="50" fillId="0" borderId="444" applyNumberFormat="0" applyFill="0" applyAlignment="0" applyProtection="0"/>
    <xf numFmtId="0" fontId="34" fillId="0" borderId="446" applyNumberFormat="0" applyFill="0" applyAlignment="0" applyProtection="0"/>
    <xf numFmtId="0" fontId="50" fillId="0" borderId="444" applyNumberFormat="0" applyFill="0" applyAlignment="0" applyProtection="0"/>
    <xf numFmtId="4" fontId="34" fillId="0" borderId="446" applyFill="0" applyBorder="0" applyProtection="0">
      <alignment horizontal="right" vertical="center"/>
    </xf>
    <xf numFmtId="49" fontId="34" fillId="0" borderId="447" applyNumberFormat="0" applyFont="0" applyFill="0" applyBorder="0" applyProtection="0">
      <alignment horizontal="left" vertical="center" indent="5"/>
    </xf>
    <xf numFmtId="0" fontId="34" fillId="0" borderId="446" applyNumberFormat="0" applyFill="0" applyAlignment="0" applyProtection="0"/>
    <xf numFmtId="0" fontId="58" fillId="42" borderId="443" applyNumberFormat="0" applyAlignment="0" applyProtection="0"/>
    <xf numFmtId="0" fontId="34" fillId="0" borderId="446" applyNumberFormat="0" applyFill="0" applyAlignment="0" applyProtection="0"/>
    <xf numFmtId="0" fontId="65" fillId="0" borderId="461" applyNumberFormat="0" applyFill="0" applyAlignment="0" applyProtection="0"/>
    <xf numFmtId="4" fontId="32" fillId="33" borderId="446">
      <alignment horizontal="right" vertical="center"/>
    </xf>
    <xf numFmtId="4" fontId="36" fillId="31" borderId="455">
      <alignment horizontal="right" vertical="center"/>
    </xf>
    <xf numFmtId="4" fontId="32" fillId="33" borderId="455">
      <alignment horizontal="right" vertical="center"/>
    </xf>
    <xf numFmtId="0" fontId="26" fillId="17" borderId="0" applyNumberFormat="0" applyBorder="0" applyAlignment="0" applyProtection="0"/>
    <xf numFmtId="0" fontId="49" fillId="42" borderId="443" applyNumberFormat="0" applyAlignment="0" applyProtection="0"/>
    <xf numFmtId="0" fontId="46" fillId="55" borderId="443" applyNumberFormat="0" applyAlignment="0" applyProtection="0"/>
    <xf numFmtId="4" fontId="34" fillId="0" borderId="446">
      <alignment horizontal="right" vertical="center"/>
    </xf>
    <xf numFmtId="0" fontId="34" fillId="33" borderId="449">
      <alignment horizontal="left" vertical="center" wrapText="1" indent="2"/>
    </xf>
    <xf numFmtId="0" fontId="34" fillId="0" borderId="449">
      <alignment horizontal="left" vertical="center" wrapText="1" indent="2"/>
    </xf>
    <xf numFmtId="0" fontId="62" fillId="55" borderId="450" applyNumberFormat="0" applyAlignment="0" applyProtection="0"/>
    <xf numFmtId="0" fontId="58" fillId="42" borderId="443" applyNumberFormat="0" applyAlignment="0" applyProtection="0"/>
    <xf numFmtId="0" fontId="45" fillId="55" borderId="443" applyNumberFormat="0" applyAlignment="0" applyProtection="0"/>
    <xf numFmtId="0" fontId="43" fillId="55" borderId="450" applyNumberFormat="0" applyAlignment="0" applyProtection="0"/>
    <xf numFmtId="0" fontId="32" fillId="33" borderId="448">
      <alignment horizontal="right" vertical="center"/>
    </xf>
    <xf numFmtId="0" fontId="36" fillId="31" borderId="446">
      <alignment horizontal="right" vertical="center"/>
    </xf>
    <xf numFmtId="4" fontId="32" fillId="31" borderId="446">
      <alignment horizontal="right" vertical="center"/>
    </xf>
    <xf numFmtId="4" fontId="32" fillId="33" borderId="446">
      <alignment horizontal="right" vertical="center"/>
    </xf>
    <xf numFmtId="49" fontId="34" fillId="0" borderId="447" applyNumberFormat="0" applyFont="0" applyFill="0" applyBorder="0" applyProtection="0">
      <alignment horizontal="left" vertical="center" indent="5"/>
    </xf>
    <xf numFmtId="4" fontId="34" fillId="0" borderId="446" applyFill="0" applyBorder="0" applyProtection="0">
      <alignment horizontal="right" vertical="center"/>
    </xf>
    <xf numFmtId="4" fontId="32" fillId="31" borderId="446">
      <alignment horizontal="right" vertical="center"/>
    </xf>
    <xf numFmtId="0" fontId="58" fillId="42" borderId="443" applyNumberFormat="0" applyAlignment="0" applyProtection="0"/>
    <xf numFmtId="0" fontId="49" fillId="42" borderId="443" applyNumberFormat="0" applyAlignment="0" applyProtection="0"/>
    <xf numFmtId="0" fontId="45" fillId="55" borderId="443" applyNumberFormat="0" applyAlignment="0" applyProtection="0"/>
    <xf numFmtId="0" fontId="34" fillId="33" borderId="449">
      <alignment horizontal="left" vertical="center" wrapText="1" indent="2"/>
    </xf>
    <xf numFmtId="0" fontId="34" fillId="0" borderId="449">
      <alignment horizontal="left" vertical="center" wrapText="1" indent="2"/>
    </xf>
    <xf numFmtId="0" fontId="34" fillId="33" borderId="449">
      <alignment horizontal="left" vertical="center" wrapText="1" indent="2"/>
    </xf>
    <xf numFmtId="0" fontId="50" fillId="0" borderId="453" applyNumberFormat="0" applyFill="0" applyAlignment="0" applyProtection="0"/>
    <xf numFmtId="0" fontId="62" fillId="55" borderId="451" applyNumberFormat="0" applyAlignment="0" applyProtection="0"/>
    <xf numFmtId="0" fontId="34" fillId="32" borderId="455"/>
    <xf numFmtId="0" fontId="32" fillId="31" borderId="455">
      <alignment horizontal="right" vertical="center"/>
    </xf>
    <xf numFmtId="0" fontId="26" fillId="17" borderId="0" applyNumberFormat="0" applyBorder="0" applyAlignment="0" applyProtection="0"/>
    <xf numFmtId="0" fontId="40" fillId="58" borderId="454" applyNumberFormat="0" applyFont="0" applyAlignment="0" applyProtection="0"/>
    <xf numFmtId="4" fontId="34" fillId="0" borderId="478">
      <alignment horizontal="right" vertical="center"/>
    </xf>
    <xf numFmtId="4" fontId="32" fillId="33" borderId="479">
      <alignment horizontal="right" vertical="center"/>
    </xf>
    <xf numFmtId="49" fontId="34" fillId="0" borderId="469" applyNumberFormat="0" applyFont="0" applyFill="0" applyBorder="0" applyProtection="0">
      <alignment horizontal="left" vertical="center" indent="5"/>
    </xf>
    <xf numFmtId="49" fontId="34" fillId="0" borderId="455" applyNumberFormat="0" applyFont="0" applyFill="0" applyBorder="0" applyProtection="0">
      <alignment horizontal="left" vertical="center" indent="2"/>
    </xf>
    <xf numFmtId="0" fontId="32" fillId="33" borderId="455">
      <alignment horizontal="right" vertical="center"/>
    </xf>
    <xf numFmtId="0" fontId="32" fillId="33" borderId="479">
      <alignment horizontal="right" vertical="center"/>
    </xf>
    <xf numFmtId="0" fontId="65" fillId="0" borderId="453" applyNumberFormat="0" applyFill="0" applyAlignment="0" applyProtection="0"/>
    <xf numFmtId="49" fontId="34" fillId="0" borderId="478" applyNumberFormat="0" applyFont="0" applyFill="0" applyBorder="0" applyProtection="0">
      <alignment horizontal="left" vertical="center" indent="2"/>
    </xf>
    <xf numFmtId="0" fontId="34" fillId="31" borderId="456">
      <alignment horizontal="left" vertical="center"/>
    </xf>
    <xf numFmtId="0" fontId="45" fillId="55" borderId="452" applyNumberFormat="0" applyAlignment="0" applyProtection="0"/>
    <xf numFmtId="0" fontId="34" fillId="32" borderId="478"/>
    <xf numFmtId="0" fontId="34" fillId="0" borderId="458">
      <alignment horizontal="left" vertical="center" wrapText="1" indent="2"/>
    </xf>
    <xf numFmtId="4" fontId="32" fillId="31" borderId="455">
      <alignment horizontal="right" vertical="center"/>
    </xf>
    <xf numFmtId="0" fontId="32" fillId="33" borderId="478">
      <alignment horizontal="right" vertical="center"/>
    </xf>
    <xf numFmtId="4" fontId="32" fillId="33" borderId="455">
      <alignment horizontal="right" vertical="center"/>
    </xf>
    <xf numFmtId="0" fontId="65" fillId="0" borderId="453" applyNumberFormat="0" applyFill="0" applyAlignment="0" applyProtection="0"/>
    <xf numFmtId="4" fontId="32" fillId="33" borderId="455">
      <alignment horizontal="right" vertical="center"/>
    </xf>
    <xf numFmtId="0" fontId="29" fillId="12" borderId="10" applyNumberFormat="0" applyAlignment="0" applyProtection="0"/>
    <xf numFmtId="0" fontId="12" fillId="18" borderId="0" applyNumberFormat="0" applyBorder="0" applyAlignment="0" applyProtection="0"/>
    <xf numFmtId="0" fontId="58" fillId="42" borderId="452" applyNumberFormat="0" applyAlignment="0" applyProtection="0"/>
    <xf numFmtId="0" fontId="12" fillId="15" borderId="0" applyNumberFormat="0" applyBorder="0" applyAlignment="0" applyProtection="0"/>
    <xf numFmtId="4" fontId="34" fillId="0" borderId="478">
      <alignment horizontal="right" vertical="center"/>
    </xf>
    <xf numFmtId="0" fontId="26" fillId="26" borderId="0" applyNumberFormat="0" applyBorder="0" applyAlignment="0" applyProtection="0"/>
    <xf numFmtId="0" fontId="12" fillId="21" borderId="0" applyNumberFormat="0" applyBorder="0" applyAlignment="0" applyProtection="0"/>
    <xf numFmtId="0" fontId="65" fillId="0" borderId="453" applyNumberFormat="0" applyFill="0" applyAlignment="0" applyProtection="0"/>
    <xf numFmtId="0" fontId="58" fillId="42" borderId="475" applyNumberFormat="0" applyAlignment="0" applyProtection="0"/>
    <xf numFmtId="0" fontId="34" fillId="32" borderId="463"/>
    <xf numFmtId="0" fontId="32" fillId="31" borderId="455">
      <alignment horizontal="right" vertical="center"/>
    </xf>
    <xf numFmtId="0" fontId="34" fillId="31" borderId="456">
      <alignment horizontal="left" vertical="center"/>
    </xf>
    <xf numFmtId="0" fontId="26" fillId="13" borderId="0" applyNumberFormat="0" applyBorder="0" applyAlignment="0" applyProtection="0"/>
    <xf numFmtId="0" fontId="26" fillId="17" borderId="0" applyNumberFormat="0" applyBorder="0" applyAlignment="0" applyProtection="0"/>
    <xf numFmtId="4" fontId="32" fillId="33" borderId="455">
      <alignment horizontal="right" vertical="center"/>
    </xf>
    <xf numFmtId="4" fontId="32" fillId="33" borderId="457">
      <alignment horizontal="right" vertical="center"/>
    </xf>
    <xf numFmtId="0" fontId="36" fillId="31" borderId="455">
      <alignment horizontal="right" vertical="center"/>
    </xf>
    <xf numFmtId="0" fontId="65" fillId="0" borderId="453" applyNumberFormat="0" applyFill="0" applyAlignment="0" applyProtection="0"/>
    <xf numFmtId="4" fontId="34" fillId="0" borderId="455" applyFill="0" applyBorder="0" applyProtection="0">
      <alignment horizontal="right" vertical="center"/>
    </xf>
    <xf numFmtId="0" fontId="34" fillId="0" borderId="478">
      <alignment horizontal="right" vertical="center"/>
    </xf>
    <xf numFmtId="0" fontId="62" fillId="55" borderId="451" applyNumberFormat="0" applyAlignment="0" applyProtection="0"/>
    <xf numFmtId="0" fontId="32" fillId="33" borderId="478">
      <alignment horizontal="right" vertical="center"/>
    </xf>
    <xf numFmtId="4" fontId="34" fillId="32" borderId="455"/>
    <xf numFmtId="0" fontId="30" fillId="0" borderId="0" applyNumberFormat="0" applyFill="0" applyBorder="0" applyAlignment="0" applyProtection="0"/>
    <xf numFmtId="49" fontId="34" fillId="0" borderId="455" applyNumberFormat="0" applyFont="0" applyFill="0" applyBorder="0" applyProtection="0">
      <alignment horizontal="left" vertical="center" indent="2"/>
    </xf>
    <xf numFmtId="0" fontId="58" fillId="42" borderId="452" applyNumberFormat="0" applyAlignment="0" applyProtection="0"/>
    <xf numFmtId="0" fontId="29" fillId="12" borderId="10" applyNumberFormat="0" applyAlignment="0" applyProtection="0"/>
    <xf numFmtId="0" fontId="34" fillId="0" borderId="455">
      <alignment horizontal="right" vertical="center"/>
    </xf>
    <xf numFmtId="0" fontId="2" fillId="0" borderId="12" applyNumberFormat="0" applyFill="0" applyAlignment="0" applyProtection="0"/>
    <xf numFmtId="0" fontId="34" fillId="0" borderId="478" applyNumberFormat="0" applyFill="0" applyAlignment="0" applyProtection="0"/>
    <xf numFmtId="0" fontId="30" fillId="0" borderId="0" applyNumberFormat="0" applyFill="0" applyBorder="0" applyAlignment="0" applyProtection="0"/>
    <xf numFmtId="4" fontId="32" fillId="33" borderId="457">
      <alignment horizontal="right" vertical="center"/>
    </xf>
    <xf numFmtId="0" fontId="12" fillId="24" borderId="0" applyNumberFormat="0" applyBorder="0" applyAlignment="0" applyProtection="0"/>
    <xf numFmtId="0" fontId="34" fillId="31" borderId="456">
      <alignment horizontal="left" vertical="center"/>
    </xf>
    <xf numFmtId="0" fontId="49" fillId="42" borderId="475" applyNumberFormat="0" applyAlignment="0" applyProtection="0"/>
    <xf numFmtId="4" fontId="32" fillId="33" borderId="479">
      <alignment horizontal="right" vertical="center"/>
    </xf>
    <xf numFmtId="0" fontId="32" fillId="33" borderId="456">
      <alignment horizontal="right" vertical="center"/>
    </xf>
    <xf numFmtId="0" fontId="46" fillId="55" borderId="460" applyNumberFormat="0" applyAlignment="0" applyProtection="0"/>
    <xf numFmtId="0" fontId="34" fillId="0" borderId="458">
      <alignment horizontal="left" vertical="center" wrapText="1" indent="2"/>
    </xf>
    <xf numFmtId="0" fontId="58" fillId="42" borderId="475" applyNumberFormat="0" applyAlignment="0" applyProtection="0"/>
    <xf numFmtId="4" fontId="32" fillId="33" borderId="480">
      <alignment horizontal="right" vertical="center"/>
    </xf>
    <xf numFmtId="0" fontId="34" fillId="31" borderId="479">
      <alignment horizontal="left" vertical="center"/>
    </xf>
    <xf numFmtId="0" fontId="32" fillId="33" borderId="456">
      <alignment horizontal="right" vertical="center"/>
    </xf>
    <xf numFmtId="0" fontId="34" fillId="33" borderId="458">
      <alignment horizontal="left" vertical="center" wrapText="1" indent="2"/>
    </xf>
    <xf numFmtId="0" fontId="65" fillId="0" borderId="476" applyNumberFormat="0" applyFill="0" applyAlignment="0" applyProtection="0"/>
    <xf numFmtId="0" fontId="32" fillId="31" borderId="455">
      <alignment horizontal="right" vertical="center"/>
    </xf>
    <xf numFmtId="49" fontId="34" fillId="0" borderId="468" applyNumberFormat="0" applyFont="0" applyFill="0" applyBorder="0" applyProtection="0">
      <alignment horizontal="left" vertical="center" indent="2"/>
    </xf>
    <xf numFmtId="0" fontId="46" fillId="55" borderId="452" applyNumberFormat="0" applyAlignment="0" applyProtection="0"/>
    <xf numFmtId="0" fontId="26" fillId="13" borderId="0" applyNumberFormat="0" applyBorder="0" applyAlignment="0" applyProtection="0"/>
    <xf numFmtId="0" fontId="12" fillId="21" borderId="0" applyNumberFormat="0" applyBorder="0" applyAlignment="0" applyProtection="0"/>
    <xf numFmtId="0" fontId="62" fillId="55" borderId="482" applyNumberFormat="0" applyAlignment="0" applyProtection="0"/>
    <xf numFmtId="0" fontId="34" fillId="0" borderId="471">
      <alignment horizontal="left" vertical="center" wrapText="1" indent="2"/>
    </xf>
    <xf numFmtId="0" fontId="26" fillId="16" borderId="0" applyNumberFormat="0" applyBorder="0" applyAlignment="0" applyProtection="0"/>
    <xf numFmtId="0" fontId="58" fillId="42" borderId="452" applyNumberFormat="0" applyAlignment="0" applyProtection="0"/>
    <xf numFmtId="0" fontId="26" fillId="20" borderId="0" applyNumberFormat="0" applyBorder="0" applyAlignment="0" applyProtection="0"/>
    <xf numFmtId="4" fontId="34" fillId="0" borderId="455">
      <alignment horizontal="right" vertical="center"/>
    </xf>
    <xf numFmtId="0" fontId="34" fillId="0" borderId="455" applyNumberFormat="0" applyFill="0" applyAlignment="0" applyProtection="0"/>
    <xf numFmtId="4" fontId="32" fillId="33" borderId="478">
      <alignment horizontal="right" vertical="center"/>
    </xf>
    <xf numFmtId="0" fontId="34" fillId="0" borderId="458">
      <alignment horizontal="left" vertical="center" wrapText="1" indent="2"/>
    </xf>
    <xf numFmtId="0" fontId="65" fillId="0" borderId="453" applyNumberFormat="0" applyFill="0" applyAlignment="0" applyProtection="0"/>
    <xf numFmtId="0" fontId="50" fillId="0" borderId="453" applyNumberFormat="0" applyFill="0" applyAlignment="0" applyProtection="0"/>
    <xf numFmtId="49" fontId="33" fillId="0" borderId="455" applyNumberFormat="0" applyFill="0" applyBorder="0" applyProtection="0">
      <alignment horizontal="left" vertical="center"/>
    </xf>
    <xf numFmtId="0" fontId="65" fillId="0" borderId="453" applyNumberFormat="0" applyFill="0" applyAlignment="0" applyProtection="0"/>
    <xf numFmtId="0" fontId="34" fillId="32" borderId="455"/>
    <xf numFmtId="0" fontId="34" fillId="33" borderId="466">
      <alignment horizontal="left" vertical="center" wrapText="1" indent="2"/>
    </xf>
    <xf numFmtId="0" fontId="32" fillId="33" borderId="455">
      <alignment horizontal="right" vertical="center"/>
    </xf>
    <xf numFmtId="0" fontId="26" fillId="28" borderId="0" applyNumberFormat="0" applyBorder="0" applyAlignment="0" applyProtection="0"/>
    <xf numFmtId="0" fontId="26" fillId="25" borderId="0" applyNumberFormat="0" applyBorder="0" applyAlignment="0" applyProtection="0"/>
    <xf numFmtId="0" fontId="12" fillId="21" borderId="0" applyNumberFormat="0" applyBorder="0" applyAlignment="0" applyProtection="0"/>
    <xf numFmtId="0" fontId="32" fillId="33" borderId="456">
      <alignment horizontal="right" vertical="center"/>
    </xf>
    <xf numFmtId="4" fontId="34" fillId="0" borderId="455" applyFill="0" applyBorder="0" applyProtection="0">
      <alignment horizontal="right" vertical="center"/>
    </xf>
    <xf numFmtId="4" fontId="32" fillId="33" borderId="457">
      <alignment horizontal="right" vertical="center"/>
    </xf>
    <xf numFmtId="0" fontId="34" fillId="33" borderId="481">
      <alignment horizontal="left" vertical="center" wrapText="1" indent="2"/>
    </xf>
    <xf numFmtId="4" fontId="32" fillId="33" borderId="457">
      <alignment horizontal="right" vertical="center"/>
    </xf>
    <xf numFmtId="49" fontId="33" fillId="0" borderId="468" applyNumberFormat="0" applyFill="0" applyBorder="0" applyProtection="0">
      <alignment horizontal="left" vertical="center"/>
    </xf>
    <xf numFmtId="0" fontId="58" fillId="42" borderId="475" applyNumberFormat="0" applyAlignment="0" applyProtection="0"/>
    <xf numFmtId="0" fontId="30" fillId="0" borderId="0" applyNumberFormat="0" applyFill="0" applyBorder="0" applyAlignment="0" applyProtection="0"/>
    <xf numFmtId="4" fontId="32" fillId="31" borderId="455">
      <alignment horizontal="right" vertical="center"/>
    </xf>
    <xf numFmtId="0" fontId="62" fillId="55" borderId="459" applyNumberFormat="0" applyAlignment="0" applyProtection="0"/>
    <xf numFmtId="0" fontId="26" fillId="23" borderId="0" applyNumberFormat="0" applyBorder="0" applyAlignment="0" applyProtection="0"/>
    <xf numFmtId="0" fontId="50" fillId="0" borderId="453" applyNumberFormat="0" applyFill="0" applyAlignment="0" applyProtection="0"/>
    <xf numFmtId="0" fontId="12" fillId="24" borderId="0" applyNumberFormat="0" applyBorder="0" applyAlignment="0" applyProtection="0"/>
    <xf numFmtId="0" fontId="65" fillId="0" borderId="476" applyNumberFormat="0" applyFill="0" applyAlignment="0" applyProtection="0"/>
    <xf numFmtId="0" fontId="46" fillId="55" borderId="452" applyNumberFormat="0" applyAlignment="0" applyProtection="0"/>
    <xf numFmtId="4" fontId="34" fillId="0" borderId="455">
      <alignment horizontal="right" vertical="center"/>
    </xf>
    <xf numFmtId="0" fontId="26" fillId="13" borderId="0" applyNumberFormat="0" applyBorder="0" applyAlignment="0" applyProtection="0"/>
    <xf numFmtId="0" fontId="40" fillId="58" borderId="454" applyNumberFormat="0" applyFont="0" applyAlignment="0" applyProtection="0"/>
    <xf numFmtId="0" fontId="12" fillId="21" borderId="0" applyNumberFormat="0" applyBorder="0" applyAlignment="0" applyProtection="0"/>
    <xf numFmtId="4" fontId="32" fillId="33" borderId="455">
      <alignment horizontal="right" vertical="center"/>
    </xf>
    <xf numFmtId="4" fontId="32" fillId="33" borderId="478">
      <alignment horizontal="right" vertical="center"/>
    </xf>
    <xf numFmtId="0" fontId="26" fillId="28" borderId="0" applyNumberFormat="0" applyBorder="0" applyAlignment="0" applyProtection="0"/>
    <xf numFmtId="0" fontId="1" fillId="0" borderId="0" applyNumberFormat="0" applyFill="0" applyBorder="0" applyAlignment="0" applyProtection="0"/>
    <xf numFmtId="0" fontId="26" fillId="14" borderId="0" applyNumberFormat="0" applyBorder="0" applyAlignment="0" applyProtection="0"/>
    <xf numFmtId="4" fontId="36" fillId="31" borderId="478">
      <alignment horizontal="right" vertical="center"/>
    </xf>
    <xf numFmtId="4" fontId="36" fillId="31" borderId="478">
      <alignment horizontal="right" vertical="center"/>
    </xf>
    <xf numFmtId="0" fontId="32" fillId="33" borderId="470">
      <alignment horizontal="right" vertical="center"/>
    </xf>
    <xf numFmtId="0" fontId="65" fillId="0" borderId="476" applyNumberFormat="0" applyFill="0" applyAlignment="0" applyProtection="0"/>
    <xf numFmtId="4" fontId="32" fillId="33" borderId="463">
      <alignment horizontal="right" vertical="center"/>
    </xf>
    <xf numFmtId="0" fontId="26" fillId="14" borderId="0" applyNumberFormat="0" applyBorder="0" applyAlignment="0" applyProtection="0"/>
    <xf numFmtId="49" fontId="34" fillId="0" borderId="464" applyNumberFormat="0" applyFont="0" applyFill="0" applyBorder="0" applyProtection="0">
      <alignment horizontal="left" vertical="center" indent="5"/>
    </xf>
    <xf numFmtId="0" fontId="12" fillId="15" borderId="0" applyNumberFormat="0" applyBorder="0" applyAlignment="0" applyProtection="0"/>
    <xf numFmtId="173" fontId="34" fillId="59" borderId="455" applyNumberFormat="0" applyFont="0" applyBorder="0" applyAlignment="0" applyProtection="0">
      <alignment horizontal="right" vertical="center"/>
    </xf>
    <xf numFmtId="0" fontId="32" fillId="31" borderId="478">
      <alignment horizontal="right" vertical="center"/>
    </xf>
    <xf numFmtId="4" fontId="36" fillId="31" borderId="478">
      <alignment horizontal="right" vertical="center"/>
    </xf>
    <xf numFmtId="0" fontId="45" fillId="55" borderId="460" applyNumberFormat="0" applyAlignment="0" applyProtection="0"/>
    <xf numFmtId="4" fontId="32" fillId="33" borderId="478">
      <alignment horizontal="right" vertical="center"/>
    </xf>
    <xf numFmtId="49" fontId="34" fillId="0" borderId="456" applyNumberFormat="0" applyFont="0" applyFill="0" applyBorder="0" applyProtection="0">
      <alignment horizontal="left" vertical="center" indent="5"/>
    </xf>
    <xf numFmtId="0" fontId="26" fillId="28" borderId="0" applyNumberFormat="0" applyBorder="0" applyAlignment="0" applyProtection="0"/>
    <xf numFmtId="0" fontId="34" fillId="31" borderId="456">
      <alignment horizontal="left" vertical="center"/>
    </xf>
    <xf numFmtId="49" fontId="34" fillId="0" borderId="455" applyNumberFormat="0" applyFont="0" applyFill="0" applyBorder="0" applyProtection="0">
      <alignment horizontal="left" vertical="center" indent="2"/>
    </xf>
    <xf numFmtId="49" fontId="34" fillId="0" borderId="479" applyNumberFormat="0" applyFont="0" applyFill="0" applyBorder="0" applyProtection="0">
      <alignment horizontal="left" vertical="center" indent="5"/>
    </xf>
    <xf numFmtId="0" fontId="65" fillId="0" borderId="453" applyNumberFormat="0" applyFill="0" applyAlignment="0" applyProtection="0"/>
    <xf numFmtId="0" fontId="46" fillId="55" borderId="452" applyNumberFormat="0" applyAlignment="0" applyProtection="0"/>
    <xf numFmtId="0" fontId="34" fillId="31" borderId="479">
      <alignment horizontal="left" vertical="center"/>
    </xf>
    <xf numFmtId="0" fontId="34" fillId="32" borderId="455"/>
    <xf numFmtId="0" fontId="26" fillId="26" borderId="0" applyNumberFormat="0" applyBorder="0" applyAlignment="0" applyProtection="0"/>
    <xf numFmtId="4" fontId="34" fillId="0" borderId="455">
      <alignment horizontal="right" vertical="center"/>
    </xf>
    <xf numFmtId="0" fontId="34" fillId="33" borderId="458">
      <alignment horizontal="left" vertical="center" wrapText="1" indent="2"/>
    </xf>
    <xf numFmtId="49" fontId="34" fillId="0" borderId="456" applyNumberFormat="0" applyFont="0" applyFill="0" applyBorder="0" applyProtection="0">
      <alignment horizontal="left" vertical="center" indent="5"/>
    </xf>
    <xf numFmtId="4" fontId="34" fillId="32" borderId="455"/>
    <xf numFmtId="0" fontId="12" fillId="30" borderId="0" applyNumberFormat="0" applyBorder="0" applyAlignment="0" applyProtection="0"/>
    <xf numFmtId="0" fontId="26" fillId="14" borderId="0" applyNumberFormat="0" applyBorder="0" applyAlignment="0" applyProtection="0"/>
    <xf numFmtId="49" fontId="34" fillId="0" borderId="456" applyNumberFormat="0" applyFont="0" applyFill="0" applyBorder="0" applyProtection="0">
      <alignment horizontal="left" vertical="center" indent="5"/>
    </xf>
    <xf numFmtId="0" fontId="30" fillId="0" borderId="0" applyNumberFormat="0" applyFill="0" applyBorder="0" applyAlignment="0" applyProtection="0"/>
    <xf numFmtId="0" fontId="46" fillId="55" borderId="452" applyNumberFormat="0" applyAlignment="0" applyProtection="0"/>
    <xf numFmtId="0" fontId="26" fillId="26" borderId="0" applyNumberFormat="0" applyBorder="0" applyAlignment="0" applyProtection="0"/>
    <xf numFmtId="0" fontId="32" fillId="31" borderId="455">
      <alignment horizontal="right" vertical="center"/>
    </xf>
    <xf numFmtId="0" fontId="34" fillId="0" borderId="455" applyNumberFormat="0" applyFill="0" applyAlignment="0" applyProtection="0"/>
    <xf numFmtId="0" fontId="1" fillId="0" borderId="0" applyNumberFormat="0" applyFill="0" applyBorder="0" applyAlignment="0" applyProtection="0"/>
    <xf numFmtId="0" fontId="34" fillId="32" borderId="455"/>
    <xf numFmtId="0" fontId="34" fillId="33" borderId="471">
      <alignment horizontal="left" vertical="center" wrapText="1" indent="2"/>
    </xf>
    <xf numFmtId="0" fontId="1" fillId="0" borderId="0" applyNumberFormat="0" applyFill="0" applyBorder="0" applyAlignment="0" applyProtection="0"/>
    <xf numFmtId="0" fontId="58" fillId="42" borderId="452" applyNumberFormat="0" applyAlignment="0" applyProtection="0"/>
    <xf numFmtId="0" fontId="26" fillId="19" borderId="0" applyNumberFormat="0" applyBorder="0" applyAlignment="0" applyProtection="0"/>
    <xf numFmtId="0" fontId="32" fillId="33" borderId="478">
      <alignment horizontal="right" vertical="center"/>
    </xf>
    <xf numFmtId="0" fontId="12" fillId="30" borderId="0" applyNumberFormat="0" applyBorder="0" applyAlignment="0" applyProtection="0"/>
    <xf numFmtId="0" fontId="26" fillId="29" borderId="0" applyNumberFormat="0" applyBorder="0" applyAlignment="0" applyProtection="0"/>
    <xf numFmtId="0" fontId="26" fillId="28" borderId="0" applyNumberFormat="0" applyBorder="0" applyAlignment="0" applyProtection="0"/>
    <xf numFmtId="49" fontId="34" fillId="0" borderId="478" applyNumberFormat="0" applyFont="0" applyFill="0" applyBorder="0" applyProtection="0">
      <alignment horizontal="left" vertical="center" indent="2"/>
    </xf>
    <xf numFmtId="0" fontId="50" fillId="0" borderId="453" applyNumberFormat="0" applyFill="0" applyAlignment="0" applyProtection="0"/>
    <xf numFmtId="0" fontId="46" fillId="55" borderId="452" applyNumberFormat="0" applyAlignment="0" applyProtection="0"/>
    <xf numFmtId="0" fontId="34" fillId="0" borderId="455">
      <alignment horizontal="right" vertical="center"/>
    </xf>
    <xf numFmtId="0" fontId="43" fillId="55" borderId="482" applyNumberFormat="0" applyAlignment="0" applyProtection="0"/>
    <xf numFmtId="0" fontId="65" fillId="0" borderId="476" applyNumberFormat="0" applyFill="0" applyAlignment="0" applyProtection="0"/>
    <xf numFmtId="49" fontId="33" fillId="0" borderId="455" applyNumberFormat="0" applyFill="0" applyBorder="0" applyProtection="0">
      <alignment horizontal="left" vertical="center"/>
    </xf>
    <xf numFmtId="4" fontId="32" fillId="33" borderId="468">
      <alignment horizontal="right" vertical="center"/>
    </xf>
    <xf numFmtId="0" fontId="62" fillId="55" borderId="482" applyNumberFormat="0" applyAlignment="0" applyProtection="0"/>
    <xf numFmtId="0" fontId="12" fillId="24" borderId="0" applyNumberFormat="0" applyBorder="0" applyAlignment="0" applyProtection="0"/>
    <xf numFmtId="0" fontId="46" fillId="55" borderId="452" applyNumberFormat="0" applyAlignment="0" applyProtection="0"/>
    <xf numFmtId="0" fontId="32" fillId="31" borderId="455">
      <alignment horizontal="right" vertical="center"/>
    </xf>
    <xf numFmtId="0" fontId="12" fillId="30" borderId="0" applyNumberFormat="0" applyBorder="0" applyAlignment="0" applyProtection="0"/>
    <xf numFmtId="0" fontId="46" fillId="55" borderId="452" applyNumberFormat="0" applyAlignment="0" applyProtection="0"/>
    <xf numFmtId="0" fontId="40" fillId="58" borderId="454" applyNumberFormat="0" applyFont="0" applyAlignment="0" applyProtection="0"/>
    <xf numFmtId="0" fontId="34" fillId="0" borderId="478" applyNumberFormat="0" applyFill="0" applyAlignment="0" applyProtection="0"/>
    <xf numFmtId="0" fontId="34" fillId="0" borderId="455" applyNumberFormat="0" applyFill="0" applyAlignment="0" applyProtection="0"/>
    <xf numFmtId="0" fontId="65" fillId="0" borderId="453" applyNumberFormat="0" applyFill="0" applyAlignment="0" applyProtection="0"/>
    <xf numFmtId="0" fontId="32" fillId="33" borderId="480">
      <alignment horizontal="right" vertical="center"/>
    </xf>
    <xf numFmtId="0" fontId="5" fillId="58" borderId="454" applyNumberFormat="0" applyFont="0" applyAlignment="0" applyProtection="0"/>
    <xf numFmtId="0" fontId="5" fillId="58" borderId="454" applyNumberFormat="0" applyFont="0" applyAlignment="0" applyProtection="0"/>
    <xf numFmtId="0" fontId="12" fillId="30" borderId="0" applyNumberFormat="0" applyBorder="0" applyAlignment="0" applyProtection="0"/>
    <xf numFmtId="0" fontId="62" fillId="55" borderId="451" applyNumberFormat="0" applyAlignment="0" applyProtection="0"/>
    <xf numFmtId="173" fontId="34" fillId="59" borderId="455" applyNumberFormat="0" applyFont="0" applyBorder="0" applyAlignment="0" applyProtection="0">
      <alignment horizontal="right" vertical="center"/>
    </xf>
    <xf numFmtId="0" fontId="2" fillId="0" borderId="12" applyNumberFormat="0" applyFill="0" applyAlignment="0" applyProtection="0"/>
    <xf numFmtId="0" fontId="12" fillId="15" borderId="0" applyNumberFormat="0" applyBorder="0" applyAlignment="0" applyProtection="0"/>
    <xf numFmtId="4" fontId="32" fillId="33" borderId="470">
      <alignment horizontal="right" vertical="center"/>
    </xf>
    <xf numFmtId="0" fontId="34" fillId="32" borderId="468"/>
    <xf numFmtId="0" fontId="5" fillId="58" borderId="454" applyNumberFormat="0" applyFont="0" applyAlignment="0" applyProtection="0"/>
    <xf numFmtId="0" fontId="32" fillId="33" borderId="478">
      <alignment horizontal="right" vertical="center"/>
    </xf>
    <xf numFmtId="0" fontId="12" fillId="27" borderId="0" applyNumberFormat="0" applyBorder="0" applyAlignment="0" applyProtection="0"/>
    <xf numFmtId="0" fontId="26" fillId="22" borderId="0" applyNumberFormat="0" applyBorder="0" applyAlignment="0" applyProtection="0"/>
    <xf numFmtId="0" fontId="34" fillId="0" borderId="455" applyNumberFormat="0" applyFill="0" applyAlignment="0" applyProtection="0"/>
    <xf numFmtId="0" fontId="34" fillId="0" borderId="471">
      <alignment horizontal="left" vertical="center" wrapText="1" indent="2"/>
    </xf>
    <xf numFmtId="0" fontId="12" fillId="18" borderId="0" applyNumberFormat="0" applyBorder="0" applyAlignment="0" applyProtection="0"/>
    <xf numFmtId="4" fontId="32" fillId="31" borderId="468">
      <alignment horizontal="right" vertical="center"/>
    </xf>
    <xf numFmtId="0" fontId="45" fillId="55" borderId="452" applyNumberFormat="0" applyAlignment="0" applyProtection="0"/>
    <xf numFmtId="0" fontId="12" fillId="21" borderId="0" applyNumberFormat="0" applyBorder="0" applyAlignment="0" applyProtection="0"/>
    <xf numFmtId="0" fontId="34" fillId="0" borderId="458">
      <alignment horizontal="left" vertical="center" wrapText="1" indent="2"/>
    </xf>
    <xf numFmtId="49" fontId="34" fillId="0" borderId="479" applyNumberFormat="0" applyFont="0" applyFill="0" applyBorder="0" applyProtection="0">
      <alignment horizontal="left" vertical="center" indent="5"/>
    </xf>
    <xf numFmtId="0" fontId="2" fillId="0" borderId="12" applyNumberFormat="0" applyFill="0" applyAlignment="0" applyProtection="0"/>
    <xf numFmtId="0" fontId="34" fillId="0" borderId="458">
      <alignment horizontal="left" vertical="center" wrapText="1" indent="2"/>
    </xf>
    <xf numFmtId="4" fontId="36" fillId="31" borderId="455">
      <alignment horizontal="right" vertical="center"/>
    </xf>
    <xf numFmtId="0" fontId="32" fillId="31" borderId="446">
      <alignment horizontal="right" vertical="center"/>
    </xf>
    <xf numFmtId="4" fontId="32" fillId="33" borderId="455">
      <alignment horizontal="right" vertical="center"/>
    </xf>
    <xf numFmtId="0" fontId="34" fillId="0" borderId="455">
      <alignment horizontal="right" vertical="center"/>
    </xf>
    <xf numFmtId="0" fontId="34" fillId="32" borderId="455"/>
    <xf numFmtId="0" fontId="32" fillId="33" borderId="455">
      <alignment horizontal="right" vertical="center"/>
    </xf>
    <xf numFmtId="0" fontId="34" fillId="32" borderId="455"/>
    <xf numFmtId="0" fontId="26" fillId="23" borderId="0" applyNumberFormat="0" applyBorder="0" applyAlignment="0" applyProtection="0"/>
    <xf numFmtId="0" fontId="34" fillId="32" borderId="446"/>
    <xf numFmtId="0" fontId="58" fillId="42" borderId="460" applyNumberFormat="0" applyAlignment="0" applyProtection="0"/>
    <xf numFmtId="4" fontId="34" fillId="0" borderId="478">
      <alignment horizontal="right" vertical="center"/>
    </xf>
    <xf numFmtId="0" fontId="40" fillId="58" borderId="454" applyNumberFormat="0" applyFont="0" applyAlignment="0" applyProtection="0"/>
    <xf numFmtId="0" fontId="26" fillId="25" borderId="0" applyNumberFormat="0" applyBorder="0" applyAlignment="0" applyProtection="0"/>
    <xf numFmtId="4" fontId="34" fillId="0" borderId="455">
      <alignment horizontal="right" vertical="center"/>
    </xf>
    <xf numFmtId="0" fontId="43" fillId="55" borderId="451" applyNumberFormat="0" applyAlignment="0" applyProtection="0"/>
    <xf numFmtId="0" fontId="2" fillId="0" borderId="12" applyNumberFormat="0" applyFill="0" applyAlignment="0" applyProtection="0"/>
    <xf numFmtId="0" fontId="26" fillId="14" borderId="0" applyNumberFormat="0" applyBorder="0" applyAlignment="0" applyProtection="0"/>
    <xf numFmtId="4" fontId="32" fillId="33" borderId="479">
      <alignment horizontal="right" vertical="center"/>
    </xf>
    <xf numFmtId="0" fontId="34" fillId="32" borderId="455"/>
    <xf numFmtId="0" fontId="32" fillId="33" borderId="455">
      <alignment horizontal="right" vertical="center"/>
    </xf>
    <xf numFmtId="4" fontId="32" fillId="33" borderId="456">
      <alignment horizontal="right" vertical="center"/>
    </xf>
    <xf numFmtId="4" fontId="36" fillId="31" borderId="455">
      <alignment horizontal="right" vertical="center"/>
    </xf>
    <xf numFmtId="49" fontId="33" fillId="0" borderId="478" applyNumberFormat="0" applyFill="0" applyBorder="0" applyProtection="0">
      <alignment horizontal="left" vertical="center"/>
    </xf>
    <xf numFmtId="0" fontId="45" fillId="55" borderId="475" applyNumberFormat="0" applyAlignment="0" applyProtection="0"/>
    <xf numFmtId="0" fontId="32" fillId="33" borderId="463">
      <alignment horizontal="right" vertical="center"/>
    </xf>
    <xf numFmtId="0" fontId="36" fillId="31" borderId="478">
      <alignment horizontal="right" vertical="center"/>
    </xf>
    <xf numFmtId="0" fontId="12" fillId="21" borderId="0" applyNumberFormat="0" applyBorder="0" applyAlignment="0" applyProtection="0"/>
    <xf numFmtId="0" fontId="49" fillId="42" borderId="475" applyNumberFormat="0" applyAlignment="0" applyProtection="0"/>
    <xf numFmtId="0" fontId="65" fillId="0" borderId="476" applyNumberFormat="0" applyFill="0" applyAlignment="0" applyProtection="0"/>
    <xf numFmtId="4" fontId="32" fillId="31" borderId="455">
      <alignment horizontal="right" vertical="center"/>
    </xf>
    <xf numFmtId="0" fontId="58" fillId="42" borderId="452" applyNumberFormat="0" applyAlignment="0" applyProtection="0"/>
    <xf numFmtId="0" fontId="46" fillId="55" borderId="475" applyNumberFormat="0" applyAlignment="0" applyProtection="0"/>
    <xf numFmtId="4" fontId="32" fillId="33" borderId="457">
      <alignment horizontal="right" vertical="center"/>
    </xf>
    <xf numFmtId="4" fontId="32" fillId="31" borderId="455">
      <alignment horizontal="right" vertical="center"/>
    </xf>
    <xf numFmtId="0" fontId="34" fillId="0" borderId="458">
      <alignment horizontal="left" vertical="center" wrapText="1" indent="2"/>
    </xf>
    <xf numFmtId="4" fontId="36" fillId="31" borderId="455">
      <alignment horizontal="right" vertical="center"/>
    </xf>
    <xf numFmtId="173" fontId="34" fillId="59" borderId="468" applyNumberFormat="0" applyFont="0" applyBorder="0" applyAlignment="0" applyProtection="0">
      <alignment horizontal="right" vertical="center"/>
    </xf>
    <xf numFmtId="0" fontId="26" fillId="25" borderId="0" applyNumberFormat="0" applyBorder="0" applyAlignment="0" applyProtection="0"/>
    <xf numFmtId="0" fontId="26" fillId="16" borderId="0" applyNumberFormat="0" applyBorder="0" applyAlignment="0" applyProtection="0"/>
    <xf numFmtId="0" fontId="5" fillId="58" borderId="454" applyNumberFormat="0" applyFont="0" applyAlignment="0" applyProtection="0"/>
    <xf numFmtId="0" fontId="62" fillId="55" borderId="451" applyNumberFormat="0" applyAlignment="0" applyProtection="0"/>
    <xf numFmtId="4" fontId="32" fillId="33" borderId="478">
      <alignment horizontal="right" vertical="center"/>
    </xf>
    <xf numFmtId="4" fontId="32" fillId="33" borderId="456">
      <alignment horizontal="right" vertical="center"/>
    </xf>
    <xf numFmtId="4" fontId="32" fillId="33" borderId="455">
      <alignment horizontal="right" vertical="center"/>
    </xf>
    <xf numFmtId="0" fontId="58" fillId="42" borderId="452" applyNumberFormat="0" applyAlignment="0" applyProtection="0"/>
    <xf numFmtId="0" fontId="34" fillId="33" borderId="458">
      <alignment horizontal="left" vertical="center" wrapText="1" indent="2"/>
    </xf>
    <xf numFmtId="0" fontId="1" fillId="0" borderId="0" applyNumberFormat="0" applyFill="0" applyBorder="0" applyAlignment="0" applyProtection="0"/>
    <xf numFmtId="0" fontId="45" fillId="55" borderId="452" applyNumberFormat="0" applyAlignment="0" applyProtection="0"/>
    <xf numFmtId="4" fontId="34" fillId="0" borderId="478" applyFill="0" applyBorder="0" applyProtection="0">
      <alignment horizontal="right" vertical="center"/>
    </xf>
    <xf numFmtId="0" fontId="26" fillId="28" borderId="0" applyNumberFormat="0" applyBorder="0" applyAlignment="0" applyProtection="0"/>
    <xf numFmtId="0" fontId="32" fillId="33" borderId="455">
      <alignment horizontal="right" vertical="center"/>
    </xf>
    <xf numFmtId="0" fontId="12" fillId="27" borderId="0" applyNumberFormat="0" applyBorder="0" applyAlignment="0" applyProtection="0"/>
    <xf numFmtId="0" fontId="40" fillId="58" borderId="454" applyNumberFormat="0" applyFont="0" applyAlignment="0" applyProtection="0"/>
    <xf numFmtId="4" fontId="32" fillId="33" borderId="455">
      <alignment horizontal="right" vertical="center"/>
    </xf>
    <xf numFmtId="4" fontId="32" fillId="33" borderId="480">
      <alignment horizontal="right" vertical="center"/>
    </xf>
    <xf numFmtId="49" fontId="34" fillId="0" borderId="455" applyNumberFormat="0" applyFont="0" applyFill="0" applyBorder="0" applyProtection="0">
      <alignment horizontal="left" vertical="center" indent="2"/>
    </xf>
    <xf numFmtId="0" fontId="34" fillId="33" borderId="458">
      <alignment horizontal="left" vertical="center" wrapText="1" indent="2"/>
    </xf>
    <xf numFmtId="0" fontId="40" fillId="58" borderId="454" applyNumberFormat="0" applyFont="0" applyAlignment="0" applyProtection="0"/>
    <xf numFmtId="0" fontId="26" fillId="22" borderId="0" applyNumberFormat="0" applyBorder="0" applyAlignment="0" applyProtection="0"/>
    <xf numFmtId="0" fontId="26" fillId="19" borderId="0" applyNumberFormat="0" applyBorder="0" applyAlignment="0" applyProtection="0"/>
    <xf numFmtId="0" fontId="26" fillId="25" borderId="0" applyNumberFormat="0" applyBorder="0" applyAlignment="0" applyProtection="0"/>
    <xf numFmtId="0" fontId="34" fillId="33" borderId="458">
      <alignment horizontal="left" vertical="center" wrapText="1" indent="2"/>
    </xf>
    <xf numFmtId="0" fontId="12" fillId="27" borderId="0" applyNumberFormat="0" applyBorder="0" applyAlignment="0" applyProtection="0"/>
    <xf numFmtId="0" fontId="34" fillId="0" borderId="458">
      <alignment horizontal="left" vertical="center" wrapText="1" indent="2"/>
    </xf>
    <xf numFmtId="0" fontId="58" fillId="42" borderId="460" applyNumberFormat="0" applyAlignment="0" applyProtection="0"/>
    <xf numFmtId="0" fontId="2" fillId="0" borderId="12" applyNumberFormat="0" applyFill="0" applyAlignment="0" applyProtection="0"/>
    <xf numFmtId="4" fontId="32" fillId="33" borderId="455">
      <alignment horizontal="right" vertical="center"/>
    </xf>
    <xf numFmtId="0" fontId="26" fillId="29" borderId="0" applyNumberFormat="0" applyBorder="0" applyAlignment="0" applyProtection="0"/>
    <xf numFmtId="0" fontId="65" fillId="0" borderId="453" applyNumberFormat="0" applyFill="0" applyAlignment="0" applyProtection="0"/>
    <xf numFmtId="0" fontId="65" fillId="0" borderId="453" applyNumberFormat="0" applyFill="0" applyAlignment="0" applyProtection="0"/>
    <xf numFmtId="0" fontId="34" fillId="0" borderId="458">
      <alignment horizontal="left" vertical="center" wrapText="1" indent="2"/>
    </xf>
    <xf numFmtId="0" fontId="12" fillId="15" borderId="0" applyNumberFormat="0" applyBorder="0" applyAlignment="0" applyProtection="0"/>
    <xf numFmtId="0" fontId="36" fillId="31" borderId="455">
      <alignment horizontal="right" vertical="center"/>
    </xf>
    <xf numFmtId="0" fontId="30" fillId="0" borderId="0" applyNumberFormat="0" applyFill="0" applyBorder="0" applyAlignment="0" applyProtection="0"/>
    <xf numFmtId="0" fontId="32" fillId="31" borderId="455">
      <alignment horizontal="right" vertical="center"/>
    </xf>
    <xf numFmtId="0" fontId="34" fillId="0" borderId="481">
      <alignment horizontal="left" vertical="center" wrapText="1" indent="2"/>
    </xf>
    <xf numFmtId="4" fontId="32" fillId="31" borderId="463">
      <alignment horizontal="right" vertical="center"/>
    </xf>
    <xf numFmtId="0" fontId="49" fillId="42" borderId="452" applyNumberFormat="0" applyAlignment="0" applyProtection="0"/>
    <xf numFmtId="0" fontId="32" fillId="33" borderId="456">
      <alignment horizontal="right" vertical="center"/>
    </xf>
    <xf numFmtId="0" fontId="26" fillId="20" borderId="0" applyNumberFormat="0" applyBorder="0" applyAlignment="0" applyProtection="0"/>
    <xf numFmtId="0" fontId="40" fillId="58" borderId="454" applyNumberFormat="0" applyFont="0" applyAlignment="0" applyProtection="0"/>
    <xf numFmtId="0" fontId="34" fillId="33" borderId="458">
      <alignment horizontal="left" vertical="center" wrapText="1" indent="2"/>
    </xf>
    <xf numFmtId="4" fontId="32" fillId="33" borderId="465">
      <alignment horizontal="right" vertical="center"/>
    </xf>
    <xf numFmtId="0" fontId="32" fillId="33" borderId="456">
      <alignment horizontal="right" vertical="center"/>
    </xf>
    <xf numFmtId="0" fontId="40" fillId="58" borderId="454" applyNumberFormat="0" applyFont="0" applyAlignment="0" applyProtection="0"/>
    <xf numFmtId="0" fontId="65" fillId="0" borderId="476" applyNumberFormat="0" applyFill="0" applyAlignment="0" applyProtection="0"/>
    <xf numFmtId="0" fontId="36" fillId="31" borderId="455">
      <alignment horizontal="right" vertical="center"/>
    </xf>
    <xf numFmtId="0" fontId="49" fillId="42" borderId="452" applyNumberFormat="0" applyAlignment="0" applyProtection="0"/>
    <xf numFmtId="0" fontId="26" fillId="17" borderId="0" applyNumberFormat="0" applyBorder="0" applyAlignment="0" applyProtection="0"/>
    <xf numFmtId="0" fontId="28" fillId="12" borderId="11" applyNumberFormat="0" applyAlignment="0" applyProtection="0"/>
    <xf numFmtId="0" fontId="45" fillId="55" borderId="452" applyNumberFormat="0" applyAlignment="0" applyProtection="0"/>
    <xf numFmtId="0" fontId="62" fillId="55" borderId="482" applyNumberFormat="0" applyAlignment="0" applyProtection="0"/>
    <xf numFmtId="0" fontId="12" fillId="18" borderId="0" applyNumberFormat="0" applyBorder="0" applyAlignment="0" applyProtection="0"/>
    <xf numFmtId="0" fontId="40" fillId="58" borderId="454" applyNumberFormat="0" applyFont="0" applyAlignment="0" applyProtection="0"/>
    <xf numFmtId="0" fontId="32" fillId="33" borderId="455">
      <alignment horizontal="right" vertical="center"/>
    </xf>
    <xf numFmtId="0" fontId="32" fillId="31" borderId="455">
      <alignment horizontal="right" vertical="center"/>
    </xf>
    <xf numFmtId="0" fontId="36" fillId="31" borderId="463">
      <alignment horizontal="right" vertical="center"/>
    </xf>
    <xf numFmtId="0" fontId="40" fillId="58" borderId="454" applyNumberFormat="0" applyFont="0" applyAlignment="0" applyProtection="0"/>
    <xf numFmtId="0" fontId="12" fillId="30" borderId="0" applyNumberFormat="0" applyBorder="0" applyAlignment="0" applyProtection="0"/>
    <xf numFmtId="0" fontId="28" fillId="12" borderId="11" applyNumberFormat="0" applyAlignment="0" applyProtection="0"/>
    <xf numFmtId="4" fontId="32" fillId="33" borderId="456">
      <alignment horizontal="right" vertical="center"/>
    </xf>
    <xf numFmtId="0" fontId="12" fillId="18" borderId="0" applyNumberFormat="0" applyBorder="0" applyAlignment="0" applyProtection="0"/>
    <xf numFmtId="4" fontId="32" fillId="33" borderId="478">
      <alignment horizontal="right" vertical="center"/>
    </xf>
    <xf numFmtId="0" fontId="62" fillId="55" borderId="451" applyNumberFormat="0" applyAlignment="0" applyProtection="0"/>
    <xf numFmtId="4" fontId="34" fillId="0" borderId="455" applyFill="0" applyBorder="0" applyProtection="0">
      <alignment horizontal="right" vertical="center"/>
    </xf>
    <xf numFmtId="0" fontId="2" fillId="0" borderId="12" applyNumberFormat="0" applyFill="0" applyAlignment="0" applyProtection="0"/>
    <xf numFmtId="173" fontId="34" fillId="59" borderId="478" applyNumberFormat="0" applyFont="0" applyBorder="0" applyAlignment="0" applyProtection="0">
      <alignment horizontal="right" vertical="center"/>
    </xf>
    <xf numFmtId="4" fontId="34" fillId="0" borderId="463" applyFill="0" applyBorder="0" applyProtection="0">
      <alignment horizontal="right" vertical="center"/>
    </xf>
    <xf numFmtId="0" fontId="26" fillId="29" borderId="0" applyNumberFormat="0" applyBorder="0" applyAlignment="0" applyProtection="0"/>
    <xf numFmtId="0" fontId="43" fillId="55" borderId="459" applyNumberFormat="0" applyAlignment="0" applyProtection="0"/>
    <xf numFmtId="4" fontId="32" fillId="33" borderId="456">
      <alignment horizontal="right" vertical="center"/>
    </xf>
    <xf numFmtId="4" fontId="34" fillId="0" borderId="455" applyFill="0" applyBorder="0" applyProtection="0">
      <alignment horizontal="right" vertical="center"/>
    </xf>
    <xf numFmtId="0" fontId="43" fillId="55" borderId="451" applyNumberFormat="0" applyAlignment="0" applyProtection="0"/>
    <xf numFmtId="0" fontId="26" fillId="25" borderId="0" applyNumberFormat="0" applyBorder="0" applyAlignment="0" applyProtection="0"/>
    <xf numFmtId="49" fontId="34" fillId="0" borderId="455" applyNumberFormat="0" applyFont="0" applyFill="0" applyBorder="0" applyProtection="0">
      <alignment horizontal="left" vertical="center" indent="2"/>
    </xf>
    <xf numFmtId="0" fontId="34" fillId="0" borderId="481">
      <alignment horizontal="left" vertical="center" wrapText="1" indent="2"/>
    </xf>
    <xf numFmtId="0" fontId="12" fillId="24" borderId="0" applyNumberFormat="0" applyBorder="0" applyAlignment="0" applyProtection="0"/>
    <xf numFmtId="0" fontId="34" fillId="32" borderId="478"/>
    <xf numFmtId="4" fontId="32" fillId="33" borderId="480">
      <alignment horizontal="right" vertical="center"/>
    </xf>
    <xf numFmtId="0" fontId="58" fillId="42" borderId="452" applyNumberFormat="0" applyAlignment="0" applyProtection="0"/>
    <xf numFmtId="49" fontId="33" fillId="0" borderId="478" applyNumberFormat="0" applyFill="0" applyBorder="0" applyProtection="0">
      <alignment horizontal="left" vertical="center"/>
    </xf>
    <xf numFmtId="49" fontId="34" fillId="0" borderId="456" applyNumberFormat="0" applyFont="0" applyFill="0" applyBorder="0" applyProtection="0">
      <alignment horizontal="left" vertical="center" indent="5"/>
    </xf>
    <xf numFmtId="0" fontId="34" fillId="31" borderId="456">
      <alignment horizontal="left" vertical="center"/>
    </xf>
    <xf numFmtId="0" fontId="62" fillId="55" borderId="451" applyNumberFormat="0" applyAlignment="0" applyProtection="0"/>
    <xf numFmtId="0" fontId="34" fillId="0" borderId="478">
      <alignment horizontal="right" vertical="center"/>
    </xf>
    <xf numFmtId="0" fontId="65" fillId="0" borderId="476" applyNumberFormat="0" applyFill="0" applyAlignment="0" applyProtection="0"/>
    <xf numFmtId="4" fontId="34" fillId="32" borderId="468"/>
    <xf numFmtId="0" fontId="32" fillId="33" borderId="457">
      <alignment horizontal="right" vertical="center"/>
    </xf>
    <xf numFmtId="4" fontId="34" fillId="32" borderId="455"/>
    <xf numFmtId="0" fontId="12" fillId="15" borderId="0" applyNumberFormat="0" applyBorder="0" applyAlignment="0" applyProtection="0"/>
    <xf numFmtId="0" fontId="65" fillId="0" borderId="453" applyNumberFormat="0" applyFill="0" applyAlignment="0" applyProtection="0"/>
    <xf numFmtId="0" fontId="1" fillId="0" borderId="0" applyNumberFormat="0" applyFill="0" applyBorder="0" applyAlignment="0" applyProtection="0"/>
    <xf numFmtId="0" fontId="34" fillId="32" borderId="478"/>
    <xf numFmtId="0" fontId="45" fillId="55" borderId="452" applyNumberFormat="0" applyAlignment="0" applyProtection="0"/>
    <xf numFmtId="4" fontId="32" fillId="33" borderId="478">
      <alignment horizontal="right" vertical="center"/>
    </xf>
    <xf numFmtId="4" fontId="32" fillId="33" borderId="463">
      <alignment horizontal="right" vertical="center"/>
    </xf>
    <xf numFmtId="0" fontId="26" fillId="20" borderId="0" applyNumberFormat="0" applyBorder="0" applyAlignment="0" applyProtection="0"/>
    <xf numFmtId="0" fontId="26" fillId="23" borderId="0" applyNumberFormat="0" applyBorder="0" applyAlignment="0" applyProtection="0"/>
    <xf numFmtId="0" fontId="32" fillId="33" borderId="455">
      <alignment horizontal="right" vertical="center"/>
    </xf>
    <xf numFmtId="0" fontId="46" fillId="55" borderId="452" applyNumberFormat="0" applyAlignment="0" applyProtection="0"/>
    <xf numFmtId="0" fontId="65" fillId="0" borderId="453" applyNumberFormat="0" applyFill="0" applyAlignment="0" applyProtection="0"/>
    <xf numFmtId="0" fontId="50" fillId="0" borderId="476" applyNumberFormat="0" applyFill="0" applyAlignment="0" applyProtection="0"/>
    <xf numFmtId="4" fontId="32" fillId="33" borderId="479">
      <alignment horizontal="right" vertical="center"/>
    </xf>
    <xf numFmtId="0" fontId="29" fillId="12" borderId="10" applyNumberFormat="0" applyAlignment="0" applyProtection="0"/>
    <xf numFmtId="0" fontId="32" fillId="33" borderId="455">
      <alignment horizontal="right" vertical="center"/>
    </xf>
    <xf numFmtId="0" fontId="36" fillId="31" borderId="478">
      <alignment horizontal="right" vertical="center"/>
    </xf>
    <xf numFmtId="0" fontId="40" fillId="58" borderId="454" applyNumberFormat="0" applyFont="0" applyAlignment="0" applyProtection="0"/>
    <xf numFmtId="0" fontId="46" fillId="55" borderId="452" applyNumberFormat="0" applyAlignment="0" applyProtection="0"/>
    <xf numFmtId="4" fontId="34" fillId="0" borderId="455" applyFill="0" applyBorder="0" applyProtection="0">
      <alignment horizontal="right" vertical="center"/>
    </xf>
    <xf numFmtId="0" fontId="5" fillId="58" borderId="477" applyNumberFormat="0" applyFont="0" applyAlignment="0" applyProtection="0"/>
    <xf numFmtId="49" fontId="34" fillId="0" borderId="455" applyNumberFormat="0" applyFont="0" applyFill="0" applyBorder="0" applyProtection="0">
      <alignment horizontal="left" vertical="center" indent="2"/>
    </xf>
    <xf numFmtId="0" fontId="58" fillId="42" borderId="452" applyNumberFormat="0" applyAlignment="0" applyProtection="0"/>
    <xf numFmtId="0" fontId="50" fillId="0" borderId="453" applyNumberFormat="0" applyFill="0" applyAlignment="0" applyProtection="0"/>
    <xf numFmtId="0" fontId="34" fillId="32" borderId="478"/>
    <xf numFmtId="0" fontId="28" fillId="12" borderId="11" applyNumberFormat="0" applyAlignment="0" applyProtection="0"/>
    <xf numFmtId="173" fontId="34" fillId="59" borderId="463" applyNumberFormat="0" applyFont="0" applyBorder="0" applyAlignment="0" applyProtection="0">
      <alignment horizontal="right" vertical="center"/>
    </xf>
    <xf numFmtId="0" fontId="49" fillId="42" borderId="475" applyNumberFormat="0" applyAlignment="0" applyProtection="0"/>
    <xf numFmtId="4" fontId="34" fillId="0" borderId="446" applyFill="0" applyBorder="0" applyProtection="0">
      <alignment horizontal="right" vertical="center"/>
    </xf>
    <xf numFmtId="0" fontId="32" fillId="33" borderId="457">
      <alignment horizontal="right" vertical="center"/>
    </xf>
    <xf numFmtId="0" fontId="62" fillId="55" borderId="459" applyNumberFormat="0" applyAlignment="0" applyProtection="0"/>
    <xf numFmtId="0" fontId="5" fillId="58" borderId="477" applyNumberFormat="0" applyFont="0" applyAlignment="0" applyProtection="0"/>
    <xf numFmtId="0" fontId="50" fillId="0" borderId="476" applyNumberFormat="0" applyFill="0" applyAlignment="0" applyProtection="0"/>
    <xf numFmtId="0" fontId="50" fillId="0" borderId="461" applyNumberFormat="0" applyFill="0" applyAlignment="0" applyProtection="0"/>
    <xf numFmtId="4" fontId="32" fillId="31" borderId="478">
      <alignment horizontal="right" vertical="center"/>
    </xf>
    <xf numFmtId="0" fontId="45" fillId="55" borderId="452" applyNumberFormat="0" applyAlignment="0" applyProtection="0"/>
    <xf numFmtId="0" fontId="28" fillId="12" borderId="11" applyNumberFormat="0" applyAlignment="0" applyProtection="0"/>
    <xf numFmtId="0" fontId="34" fillId="0" borderId="468" applyNumberFormat="0" applyFill="0" applyAlignment="0" applyProtection="0"/>
    <xf numFmtId="4" fontId="32" fillId="31" borderId="455">
      <alignment horizontal="right" vertical="center"/>
    </xf>
    <xf numFmtId="0" fontId="32" fillId="33" borderId="457">
      <alignment horizontal="right" vertical="center"/>
    </xf>
    <xf numFmtId="0" fontId="58" fillId="42" borderId="475" applyNumberFormat="0" applyAlignment="0" applyProtection="0"/>
    <xf numFmtId="0" fontId="26" fillId="22" borderId="0" applyNumberFormat="0" applyBorder="0" applyAlignment="0" applyProtection="0"/>
    <xf numFmtId="0" fontId="32" fillId="33" borderId="478">
      <alignment horizontal="right" vertical="center"/>
    </xf>
    <xf numFmtId="0" fontId="32" fillId="33" borderId="463">
      <alignment horizontal="right" vertical="center"/>
    </xf>
    <xf numFmtId="0" fontId="50" fillId="0" borderId="476" applyNumberFormat="0" applyFill="0" applyAlignment="0" applyProtection="0"/>
    <xf numFmtId="4" fontId="32" fillId="33" borderId="478">
      <alignment horizontal="right" vertical="center"/>
    </xf>
    <xf numFmtId="0" fontId="50" fillId="0" borderId="476" applyNumberFormat="0" applyFill="0" applyAlignment="0" applyProtection="0"/>
    <xf numFmtId="0" fontId="26" fillId="14" borderId="0" applyNumberFormat="0" applyBorder="0" applyAlignment="0" applyProtection="0"/>
    <xf numFmtId="0" fontId="34" fillId="0" borderId="455">
      <alignment horizontal="right" vertical="center"/>
    </xf>
    <xf numFmtId="0" fontId="34" fillId="0" borderId="455" applyNumberFormat="0" applyFill="0" applyAlignment="0" applyProtection="0"/>
    <xf numFmtId="0" fontId="65" fillId="0" borderId="453" applyNumberFormat="0" applyFill="0" applyAlignment="0" applyProtection="0"/>
    <xf numFmtId="4" fontId="34" fillId="0" borderId="455" applyFill="0" applyBorder="0" applyProtection="0">
      <alignment horizontal="right" vertical="center"/>
    </xf>
    <xf numFmtId="0" fontId="45" fillId="55" borderId="452" applyNumberFormat="0" applyAlignment="0" applyProtection="0"/>
    <xf numFmtId="4" fontId="34" fillId="32" borderId="455"/>
    <xf numFmtId="0" fontId="65" fillId="0" borderId="453" applyNumberFormat="0" applyFill="0" applyAlignment="0" applyProtection="0"/>
    <xf numFmtId="4" fontId="36" fillId="31" borderId="463">
      <alignment horizontal="right" vertical="center"/>
    </xf>
    <xf numFmtId="49" fontId="34" fillId="0" borderId="455" applyNumberFormat="0" applyFont="0" applyFill="0" applyBorder="0" applyProtection="0">
      <alignment horizontal="left" vertical="center" indent="2"/>
    </xf>
    <xf numFmtId="0" fontId="34" fillId="32" borderId="478"/>
    <xf numFmtId="4" fontId="34" fillId="32" borderId="463"/>
    <xf numFmtId="0" fontId="45" fillId="55" borderId="452" applyNumberFormat="0" applyAlignment="0" applyProtection="0"/>
    <xf numFmtId="4" fontId="32" fillId="33" borderId="480">
      <alignment horizontal="right" vertical="center"/>
    </xf>
    <xf numFmtId="0" fontId="34" fillId="0" borderId="458">
      <alignment horizontal="left" vertical="center" wrapText="1" indent="2"/>
    </xf>
    <xf numFmtId="0" fontId="62" fillId="55" borderId="451" applyNumberFormat="0" applyAlignment="0" applyProtection="0"/>
    <xf numFmtId="0" fontId="32" fillId="33" borderId="457">
      <alignment horizontal="right" vertical="center"/>
    </xf>
    <xf numFmtId="0" fontId="49" fillId="42" borderId="452" applyNumberFormat="0" applyAlignment="0" applyProtection="0"/>
    <xf numFmtId="0" fontId="32" fillId="33" borderId="457">
      <alignment horizontal="right" vertical="center"/>
    </xf>
    <xf numFmtId="4" fontId="32" fillId="33" borderId="455">
      <alignment horizontal="right" vertical="center"/>
    </xf>
    <xf numFmtId="0" fontId="32" fillId="33" borderId="455">
      <alignment horizontal="right" vertical="center"/>
    </xf>
    <xf numFmtId="0" fontId="43" fillId="55" borderId="451" applyNumberFormat="0" applyAlignment="0" applyProtection="0"/>
    <xf numFmtId="0" fontId="45" fillId="55" borderId="452" applyNumberFormat="0" applyAlignment="0" applyProtection="0"/>
    <xf numFmtId="0" fontId="50" fillId="0" borderId="453" applyNumberFormat="0" applyFill="0" applyAlignment="0" applyProtection="0"/>
    <xf numFmtId="0" fontId="34" fillId="32" borderId="455"/>
    <xf numFmtId="4" fontId="34" fillId="32" borderId="455"/>
    <xf numFmtId="4" fontId="32" fillId="33" borderId="455">
      <alignment horizontal="right" vertical="center"/>
    </xf>
    <xf numFmtId="0" fontId="36" fillId="31" borderId="455">
      <alignment horizontal="right" vertical="center"/>
    </xf>
    <xf numFmtId="0" fontId="49" fillId="42" borderId="452" applyNumberFormat="0" applyAlignment="0" applyProtection="0"/>
    <xf numFmtId="0" fontId="46" fillId="55" borderId="452" applyNumberFormat="0" applyAlignment="0" applyProtection="0"/>
    <xf numFmtId="4" fontId="34" fillId="0" borderId="455">
      <alignment horizontal="right" vertical="center"/>
    </xf>
    <xf numFmtId="0" fontId="34" fillId="33" borderId="458">
      <alignment horizontal="left" vertical="center" wrapText="1" indent="2"/>
    </xf>
    <xf numFmtId="0" fontId="34" fillId="0" borderId="458">
      <alignment horizontal="left" vertical="center" wrapText="1" indent="2"/>
    </xf>
    <xf numFmtId="0" fontId="62" fillId="55" borderId="451" applyNumberFormat="0" applyAlignment="0" applyProtection="0"/>
    <xf numFmtId="0" fontId="58" fillId="42" borderId="452" applyNumberFormat="0" applyAlignment="0" applyProtection="0"/>
    <xf numFmtId="0" fontId="45" fillId="55" borderId="452" applyNumberFormat="0" applyAlignment="0" applyProtection="0"/>
    <xf numFmtId="0" fontId="43" fillId="55" borderId="451" applyNumberFormat="0" applyAlignment="0" applyProtection="0"/>
    <xf numFmtId="0" fontId="32" fillId="33" borderId="457">
      <alignment horizontal="right" vertical="center"/>
    </xf>
    <xf numFmtId="0" fontId="36" fillId="31" borderId="455">
      <alignment horizontal="right" vertical="center"/>
    </xf>
    <xf numFmtId="4" fontId="32" fillId="31" borderId="455">
      <alignment horizontal="right" vertical="center"/>
    </xf>
    <xf numFmtId="4" fontId="32" fillId="33" borderId="455">
      <alignment horizontal="right" vertical="center"/>
    </xf>
    <xf numFmtId="49" fontId="34" fillId="0" borderId="456" applyNumberFormat="0" applyFont="0" applyFill="0" applyBorder="0" applyProtection="0">
      <alignment horizontal="left" vertical="center" indent="5"/>
    </xf>
    <xf numFmtId="4" fontId="34" fillId="0" borderId="455" applyFill="0" applyBorder="0" applyProtection="0">
      <alignment horizontal="right" vertical="center"/>
    </xf>
    <xf numFmtId="4" fontId="32" fillId="31" borderId="455">
      <alignment horizontal="right" vertical="center"/>
    </xf>
    <xf numFmtId="0" fontId="58" fillId="42" borderId="452" applyNumberFormat="0" applyAlignment="0" applyProtection="0"/>
    <xf numFmtId="0" fontId="49" fillId="42" borderId="452" applyNumberFormat="0" applyAlignment="0" applyProtection="0"/>
    <xf numFmtId="0" fontId="45" fillId="55" borderId="452" applyNumberFormat="0" applyAlignment="0" applyProtection="0"/>
    <xf numFmtId="0" fontId="34" fillId="33" borderId="458">
      <alignment horizontal="left" vertical="center" wrapText="1" indent="2"/>
    </xf>
    <xf numFmtId="0" fontId="34" fillId="0" borderId="458">
      <alignment horizontal="left" vertical="center" wrapText="1" indent="2"/>
    </xf>
    <xf numFmtId="0" fontId="34" fillId="33" borderId="458">
      <alignment horizontal="left" vertical="center" wrapText="1" indent="2"/>
    </xf>
    <xf numFmtId="0" fontId="12" fillId="15" borderId="0" applyNumberFormat="0" applyBorder="0" applyAlignment="0" applyProtection="0"/>
    <xf numFmtId="0" fontId="32" fillId="33" borderId="480">
      <alignment horizontal="right" vertical="center"/>
    </xf>
    <xf numFmtId="0" fontId="34" fillId="0" borderId="478">
      <alignment horizontal="right" vertical="center"/>
    </xf>
    <xf numFmtId="0" fontId="34" fillId="33" borderId="466">
      <alignment horizontal="left" vertical="center" wrapText="1" indent="2"/>
    </xf>
    <xf numFmtId="0" fontId="34" fillId="0" borderId="466">
      <alignment horizontal="left" vertical="center" wrapText="1" indent="2"/>
    </xf>
    <xf numFmtId="0" fontId="34" fillId="0" borderId="478" applyNumberFormat="0" applyFill="0" applyAlignment="0" applyProtection="0"/>
    <xf numFmtId="0" fontId="34" fillId="33" borderId="481">
      <alignment horizontal="left" vertical="center" wrapText="1" indent="2"/>
    </xf>
    <xf numFmtId="0" fontId="2" fillId="0" borderId="12" applyNumberFormat="0" applyFill="0" applyAlignment="0" applyProtection="0"/>
    <xf numFmtId="0" fontId="40" fillId="58" borderId="467" applyNumberFormat="0" applyFont="0" applyAlignment="0" applyProtection="0"/>
    <xf numFmtId="4" fontId="34" fillId="0" borderId="478" applyFill="0" applyBorder="0" applyProtection="0">
      <alignment horizontal="right" vertical="center"/>
    </xf>
    <xf numFmtId="0" fontId="5" fillId="58" borderId="467" applyNumberFormat="0" applyFont="0" applyAlignment="0" applyProtection="0"/>
    <xf numFmtId="0" fontId="43" fillId="55" borderId="482" applyNumberFormat="0" applyAlignment="0" applyProtection="0"/>
    <xf numFmtId="4" fontId="32" fillId="33" borderId="478">
      <alignment horizontal="right" vertical="center"/>
    </xf>
    <xf numFmtId="4" fontId="36" fillId="31" borderId="478">
      <alignment horizontal="right" vertical="center"/>
    </xf>
    <xf numFmtId="0" fontId="65" fillId="0" borderId="476" applyNumberFormat="0" applyFill="0" applyAlignment="0" applyProtection="0"/>
    <xf numFmtId="4" fontId="36" fillId="31" borderId="478">
      <alignment horizontal="right" vertical="center"/>
    </xf>
    <xf numFmtId="0" fontId="34" fillId="33" borderId="481">
      <alignment horizontal="left" vertical="center" wrapText="1" indent="2"/>
    </xf>
    <xf numFmtId="0" fontId="34" fillId="0" borderId="478">
      <alignment horizontal="right" vertical="center"/>
    </xf>
    <xf numFmtId="0" fontId="26" fillId="17" borderId="0" applyNumberFormat="0" applyBorder="0" applyAlignment="0" applyProtection="0"/>
    <xf numFmtId="0" fontId="46" fillId="55" borderId="475" applyNumberFormat="0" applyAlignment="0" applyProtection="0"/>
    <xf numFmtId="0" fontId="26" fillId="25" borderId="0" applyNumberFormat="0" applyBorder="0" applyAlignment="0" applyProtection="0"/>
    <xf numFmtId="0" fontId="40" fillId="58" borderId="477" applyNumberFormat="0" applyFont="0" applyAlignment="0" applyProtection="0"/>
    <xf numFmtId="49" fontId="33" fillId="0" borderId="478" applyNumberFormat="0" applyFill="0" applyBorder="0" applyProtection="0">
      <alignment horizontal="left" vertical="center"/>
    </xf>
    <xf numFmtId="0" fontId="40" fillId="58" borderId="477" applyNumberFormat="0" applyFont="0" applyAlignment="0" applyProtection="0"/>
    <xf numFmtId="0" fontId="46" fillId="55" borderId="475" applyNumberFormat="0" applyAlignment="0" applyProtection="0"/>
    <xf numFmtId="0" fontId="58" fillId="42" borderId="475" applyNumberFormat="0" applyAlignment="0" applyProtection="0"/>
    <xf numFmtId="173" fontId="34" fillId="59" borderId="478" applyNumberFormat="0" applyFont="0" applyBorder="0" applyAlignment="0" applyProtection="0">
      <alignment horizontal="right" vertical="center"/>
    </xf>
    <xf numFmtId="0" fontId="65" fillId="0" borderId="476" applyNumberFormat="0" applyFill="0" applyAlignment="0" applyProtection="0"/>
    <xf numFmtId="0" fontId="62" fillId="55" borderId="482" applyNumberFormat="0" applyAlignment="0" applyProtection="0"/>
    <xf numFmtId="0" fontId="26" fillId="20" borderId="0" applyNumberFormat="0" applyBorder="0" applyAlignment="0" applyProtection="0"/>
    <xf numFmtId="0" fontId="28" fillId="12" borderId="11" applyNumberFormat="0" applyAlignment="0" applyProtection="0"/>
    <xf numFmtId="0" fontId="46" fillId="55" borderId="475" applyNumberFormat="0" applyAlignment="0" applyProtection="0"/>
    <xf numFmtId="173" fontId="34" fillId="59" borderId="478" applyNumberFormat="0" applyFont="0" applyBorder="0" applyAlignment="0" applyProtection="0">
      <alignment horizontal="right" vertical="center"/>
    </xf>
    <xf numFmtId="0" fontId="32" fillId="33" borderId="479">
      <alignment horizontal="right" vertical="center"/>
    </xf>
    <xf numFmtId="0" fontId="34" fillId="0" borderId="478" applyNumberFormat="0" applyFill="0" applyAlignment="0" applyProtection="0"/>
    <xf numFmtId="0" fontId="58" fillId="42" borderId="475" applyNumberFormat="0" applyAlignment="0" applyProtection="0"/>
    <xf numFmtId="0" fontId="12" fillId="27" borderId="0" applyNumberFormat="0" applyBorder="0" applyAlignment="0" applyProtection="0"/>
    <xf numFmtId="0" fontId="26" fillId="25" borderId="0" applyNumberFormat="0" applyBorder="0" applyAlignment="0" applyProtection="0"/>
    <xf numFmtId="0" fontId="26" fillId="22" borderId="0" applyNumberFormat="0" applyBorder="0" applyAlignment="0" applyProtection="0"/>
    <xf numFmtId="0" fontId="26" fillId="20" borderId="0" applyNumberFormat="0" applyBorder="0" applyAlignment="0" applyProtection="0"/>
    <xf numFmtId="0" fontId="26" fillId="14" borderId="0" applyNumberFormat="0" applyBorder="0" applyAlignment="0" applyProtection="0"/>
    <xf numFmtId="0" fontId="34" fillId="0" borderId="481">
      <alignment horizontal="left" vertical="center" wrapText="1" indent="2"/>
    </xf>
    <xf numFmtId="4" fontId="32" fillId="33" borderId="469">
      <alignment horizontal="right" vertical="center"/>
    </xf>
    <xf numFmtId="4" fontId="32" fillId="33" borderId="468">
      <alignment horizontal="right" vertical="center"/>
    </xf>
    <xf numFmtId="0" fontId="34" fillId="31" borderId="479">
      <alignment horizontal="left" vertical="center"/>
    </xf>
    <xf numFmtId="4" fontId="32" fillId="33" borderId="463">
      <alignment horizontal="right" vertical="center"/>
    </xf>
    <xf numFmtId="0" fontId="34" fillId="32" borderId="463"/>
    <xf numFmtId="0" fontId="45" fillId="55" borderId="460" applyNumberFormat="0" applyAlignment="0" applyProtection="0"/>
    <xf numFmtId="0" fontId="32" fillId="31" borderId="463">
      <alignment horizontal="right" vertical="center"/>
    </xf>
    <xf numFmtId="0" fontId="34" fillId="0" borderId="463">
      <alignment horizontal="right" vertical="center"/>
    </xf>
    <xf numFmtId="0" fontId="65" fillId="0" borderId="461" applyNumberFormat="0" applyFill="0" applyAlignment="0" applyProtection="0"/>
    <xf numFmtId="0" fontId="34" fillId="31" borderId="464">
      <alignment horizontal="left" vertical="center"/>
    </xf>
    <xf numFmtId="0" fontId="58" fillId="42" borderId="460" applyNumberFormat="0" applyAlignment="0" applyProtection="0"/>
    <xf numFmtId="173" fontId="34" fillId="59" borderId="463" applyNumberFormat="0" applyFont="0" applyBorder="0" applyAlignment="0" applyProtection="0">
      <alignment horizontal="right" vertical="center"/>
    </xf>
    <xf numFmtId="0" fontId="40" fillId="58" borderId="462" applyNumberFormat="0" applyFont="0" applyAlignment="0" applyProtection="0"/>
    <xf numFmtId="0" fontId="34" fillId="0" borderId="466">
      <alignment horizontal="left" vertical="center" wrapText="1" indent="2"/>
    </xf>
    <xf numFmtId="4" fontId="34" fillId="32" borderId="463"/>
    <xf numFmtId="49" fontId="33" fillId="0" borderId="463" applyNumberFormat="0" applyFill="0" applyBorder="0" applyProtection="0">
      <alignment horizontal="left" vertical="center"/>
    </xf>
    <xf numFmtId="0" fontId="34" fillId="0" borderId="463">
      <alignment horizontal="right" vertical="center"/>
    </xf>
    <xf numFmtId="4" fontId="32" fillId="33" borderId="465">
      <alignment horizontal="right" vertical="center"/>
    </xf>
    <xf numFmtId="4" fontId="32" fillId="33" borderId="463">
      <alignment horizontal="right" vertical="center"/>
    </xf>
    <xf numFmtId="4" fontId="32" fillId="33" borderId="463">
      <alignment horizontal="right" vertical="center"/>
    </xf>
    <xf numFmtId="0" fontId="36" fillId="31" borderId="463">
      <alignment horizontal="right" vertical="center"/>
    </xf>
    <xf numFmtId="0" fontId="32" fillId="31" borderId="463">
      <alignment horizontal="right" vertical="center"/>
    </xf>
    <xf numFmtId="49" fontId="34" fillId="0" borderId="463" applyNumberFormat="0" applyFont="0" applyFill="0" applyBorder="0" applyProtection="0">
      <alignment horizontal="left" vertical="center" indent="2"/>
    </xf>
    <xf numFmtId="0" fontId="58" fillId="42" borderId="460" applyNumberFormat="0" applyAlignment="0" applyProtection="0"/>
    <xf numFmtId="0" fontId="43" fillId="55" borderId="459" applyNumberFormat="0" applyAlignment="0" applyProtection="0"/>
    <xf numFmtId="49" fontId="34" fillId="0" borderId="463" applyNumberFormat="0" applyFont="0" applyFill="0" applyBorder="0" applyProtection="0">
      <alignment horizontal="left" vertical="center" indent="2"/>
    </xf>
    <xf numFmtId="0" fontId="49" fillId="42" borderId="460" applyNumberFormat="0" applyAlignment="0" applyProtection="0"/>
    <xf numFmtId="4" fontId="34" fillId="0" borderId="463" applyFill="0" applyBorder="0" applyProtection="0">
      <alignment horizontal="right" vertical="center"/>
    </xf>
    <xf numFmtId="0" fontId="46" fillId="55" borderId="460" applyNumberFormat="0" applyAlignment="0" applyProtection="0"/>
    <xf numFmtId="0" fontId="65" fillId="0" borderId="461" applyNumberFormat="0" applyFill="0" applyAlignment="0" applyProtection="0"/>
    <xf numFmtId="0" fontId="62" fillId="55" borderId="459" applyNumberFormat="0" applyAlignment="0" applyProtection="0"/>
    <xf numFmtId="0" fontId="34" fillId="0" borderId="463" applyNumberFormat="0" applyFill="0" applyAlignment="0" applyProtection="0"/>
    <xf numFmtId="4" fontId="34" fillId="0" borderId="463">
      <alignment horizontal="right" vertical="center"/>
    </xf>
    <xf numFmtId="0" fontId="34" fillId="0" borderId="463">
      <alignment horizontal="right" vertical="center"/>
    </xf>
    <xf numFmtId="0" fontId="58" fillId="42" borderId="460" applyNumberFormat="0" applyAlignment="0" applyProtection="0"/>
    <xf numFmtId="0" fontId="43" fillId="55" borderId="459" applyNumberFormat="0" applyAlignment="0" applyProtection="0"/>
    <xf numFmtId="0" fontId="45" fillId="55" borderId="460" applyNumberFormat="0" applyAlignment="0" applyProtection="0"/>
    <xf numFmtId="0" fontId="34" fillId="33" borderId="466">
      <alignment horizontal="left" vertical="center" wrapText="1" indent="2"/>
    </xf>
    <xf numFmtId="0" fontId="46" fillId="55" borderId="460" applyNumberFormat="0" applyAlignment="0" applyProtection="0"/>
    <xf numFmtId="0" fontId="46" fillId="55" borderId="460" applyNumberFormat="0" applyAlignment="0" applyProtection="0"/>
    <xf numFmtId="4" fontId="32" fillId="33" borderId="464">
      <alignment horizontal="right" vertical="center"/>
    </xf>
    <xf numFmtId="0" fontId="32" fillId="33" borderId="464">
      <alignment horizontal="right" vertical="center"/>
    </xf>
    <xf numFmtId="0" fontId="32" fillId="33" borderId="463">
      <alignment horizontal="right" vertical="center"/>
    </xf>
    <xf numFmtId="4" fontId="36" fillId="31" borderId="463">
      <alignment horizontal="right" vertical="center"/>
    </xf>
    <xf numFmtId="0" fontId="49" fillId="42" borderId="460" applyNumberFormat="0" applyAlignment="0" applyProtection="0"/>
    <xf numFmtId="0" fontId="50" fillId="0" borderId="461" applyNumberFormat="0" applyFill="0" applyAlignment="0" applyProtection="0"/>
    <xf numFmtId="0" fontId="65" fillId="0" borderId="461" applyNumberFormat="0" applyFill="0" applyAlignment="0" applyProtection="0"/>
    <xf numFmtId="0" fontId="40" fillId="58" borderId="462" applyNumberFormat="0" applyFont="0" applyAlignment="0" applyProtection="0"/>
    <xf numFmtId="0" fontId="58" fillId="42" borderId="460" applyNumberFormat="0" applyAlignment="0" applyProtection="0"/>
    <xf numFmtId="49" fontId="33" fillId="0" borderId="463" applyNumberFormat="0" applyFill="0" applyBorder="0" applyProtection="0">
      <alignment horizontal="left" vertical="center"/>
    </xf>
    <xf numFmtId="0" fontId="34" fillId="33" borderId="466">
      <alignment horizontal="left" vertical="center" wrapText="1" indent="2"/>
    </xf>
    <xf numFmtId="0" fontId="46" fillId="55" borderId="460" applyNumberFormat="0" applyAlignment="0" applyProtection="0"/>
    <xf numFmtId="0" fontId="34" fillId="0" borderId="466">
      <alignment horizontal="left" vertical="center" wrapText="1" indent="2"/>
    </xf>
    <xf numFmtId="0" fontId="40" fillId="58" borderId="462" applyNumberFormat="0" applyFont="0" applyAlignment="0" applyProtection="0"/>
    <xf numFmtId="0" fontId="5" fillId="58" borderId="462" applyNumberFormat="0" applyFont="0" applyAlignment="0" applyProtection="0"/>
    <xf numFmtId="0" fontId="62" fillId="55" borderId="459" applyNumberFormat="0" applyAlignment="0" applyProtection="0"/>
    <xf numFmtId="0" fontId="65" fillId="0" borderId="461" applyNumberFormat="0" applyFill="0" applyAlignment="0" applyProtection="0"/>
    <xf numFmtId="4" fontId="34" fillId="32" borderId="463"/>
    <xf numFmtId="0" fontId="32" fillId="33" borderId="463">
      <alignment horizontal="right" vertical="center"/>
    </xf>
    <xf numFmtId="0" fontId="65" fillId="0" borderId="461" applyNumberFormat="0" applyFill="0" applyAlignment="0" applyProtection="0"/>
    <xf numFmtId="4" fontId="32" fillId="33" borderId="465">
      <alignment horizontal="right" vertical="center"/>
    </xf>
    <xf numFmtId="0" fontId="45" fillId="55" borderId="460" applyNumberFormat="0" applyAlignment="0" applyProtection="0"/>
    <xf numFmtId="0" fontId="32" fillId="33" borderId="464">
      <alignment horizontal="right" vertical="center"/>
    </xf>
    <xf numFmtId="0" fontId="46" fillId="55" borderId="460" applyNumberFormat="0" applyAlignment="0" applyProtection="0"/>
    <xf numFmtId="0" fontId="50" fillId="0" borderId="461" applyNumberFormat="0" applyFill="0" applyAlignment="0" applyProtection="0"/>
    <xf numFmtId="0" fontId="40" fillId="58" borderId="462" applyNumberFormat="0" applyFont="0" applyAlignment="0" applyProtection="0"/>
    <xf numFmtId="4" fontId="32" fillId="33" borderId="464">
      <alignment horizontal="right" vertical="center"/>
    </xf>
    <xf numFmtId="0" fontId="34" fillId="33" borderId="466">
      <alignment horizontal="left" vertical="center" wrapText="1" indent="2"/>
    </xf>
    <xf numFmtId="0" fontId="34" fillId="32" borderId="463"/>
    <xf numFmtId="173" fontId="34" fillId="59" borderId="463" applyNumberFormat="0" applyFont="0" applyBorder="0" applyAlignment="0" applyProtection="0">
      <alignment horizontal="right" vertical="center"/>
    </xf>
    <xf numFmtId="0" fontId="34" fillId="0" borderId="463" applyNumberFormat="0" applyFill="0" applyAlignment="0" applyProtection="0"/>
    <xf numFmtId="4" fontId="34" fillId="0" borderId="463" applyFill="0" applyBorder="0" applyProtection="0">
      <alignment horizontal="right" vertical="center"/>
    </xf>
    <xf numFmtId="4" fontId="32" fillId="31" borderId="463">
      <alignment horizontal="right" vertical="center"/>
    </xf>
    <xf numFmtId="0" fontId="50" fillId="0" borderId="461" applyNumberFormat="0" applyFill="0" applyAlignment="0" applyProtection="0"/>
    <xf numFmtId="49" fontId="33" fillId="0" borderId="463" applyNumberFormat="0" applyFill="0" applyBorder="0" applyProtection="0">
      <alignment horizontal="left" vertical="center"/>
    </xf>
    <xf numFmtId="49" fontId="34" fillId="0" borderId="464" applyNumberFormat="0" applyFont="0" applyFill="0" applyBorder="0" applyProtection="0">
      <alignment horizontal="left" vertical="center" indent="5"/>
    </xf>
    <xf numFmtId="0" fontId="34" fillId="31" borderId="464">
      <alignment horizontal="left" vertical="center"/>
    </xf>
    <xf numFmtId="0" fontId="46" fillId="55" borderId="460" applyNumberFormat="0" applyAlignment="0" applyProtection="0"/>
    <xf numFmtId="4" fontId="32" fillId="33" borderId="465">
      <alignment horizontal="right" vertical="center"/>
    </xf>
    <xf numFmtId="0" fontId="58" fillId="42" borderId="460" applyNumberFormat="0" applyAlignment="0" applyProtection="0"/>
    <xf numFmtId="0" fontId="58" fillId="42" borderId="460" applyNumberFormat="0" applyAlignment="0" applyProtection="0"/>
    <xf numFmtId="0" fontId="40" fillId="58" borderId="462" applyNumberFormat="0" applyFont="0" applyAlignment="0" applyProtection="0"/>
    <xf numFmtId="0" fontId="62" fillId="55" borderId="459" applyNumberFormat="0" applyAlignment="0" applyProtection="0"/>
    <xf numFmtId="0" fontId="65" fillId="0" borderId="461" applyNumberFormat="0" applyFill="0" applyAlignment="0" applyProtection="0"/>
    <xf numFmtId="0" fontId="32" fillId="33" borderId="463">
      <alignment horizontal="right" vertical="center"/>
    </xf>
    <xf numFmtId="0" fontId="5" fillId="58" borderId="462" applyNumberFormat="0" applyFont="0" applyAlignment="0" applyProtection="0"/>
    <xf numFmtId="4" fontId="34" fillId="0" borderId="463">
      <alignment horizontal="right" vertical="center"/>
    </xf>
    <xf numFmtId="0" fontId="65" fillId="0" borderId="461" applyNumberFormat="0" applyFill="0" applyAlignment="0" applyProtection="0"/>
    <xf numFmtId="0" fontId="32" fillId="33" borderId="463">
      <alignment horizontal="right" vertical="center"/>
    </xf>
    <xf numFmtId="0" fontId="32" fillId="33" borderId="463">
      <alignment horizontal="right" vertical="center"/>
    </xf>
    <xf numFmtId="4" fontId="36" fillId="31" borderId="463">
      <alignment horizontal="right" vertical="center"/>
    </xf>
    <xf numFmtId="0" fontId="32" fillId="31" borderId="463">
      <alignment horizontal="right" vertical="center"/>
    </xf>
    <xf numFmtId="4" fontId="32" fillId="31" borderId="463">
      <alignment horizontal="right" vertical="center"/>
    </xf>
    <xf numFmtId="0" fontId="36" fillId="31" borderId="463">
      <alignment horizontal="right" vertical="center"/>
    </xf>
    <xf numFmtId="4" fontId="36" fillId="31" borderId="463">
      <alignment horizontal="right" vertical="center"/>
    </xf>
    <xf numFmtId="0" fontId="32" fillId="33" borderId="463">
      <alignment horizontal="right" vertical="center"/>
    </xf>
    <xf numFmtId="4" fontId="32" fillId="33" borderId="463">
      <alignment horizontal="right" vertical="center"/>
    </xf>
    <xf numFmtId="0" fontId="32" fillId="33" borderId="463">
      <alignment horizontal="right" vertical="center"/>
    </xf>
    <xf numFmtId="4" fontId="32" fillId="33" borderId="463">
      <alignment horizontal="right" vertical="center"/>
    </xf>
    <xf numFmtId="0" fontId="32" fillId="33" borderId="464">
      <alignment horizontal="right" vertical="center"/>
    </xf>
    <xf numFmtId="4" fontId="32" fillId="33" borderId="464">
      <alignment horizontal="right" vertical="center"/>
    </xf>
    <xf numFmtId="0" fontId="32" fillId="33" borderId="465">
      <alignment horizontal="right" vertical="center"/>
    </xf>
    <xf numFmtId="4" fontId="32" fillId="33" borderId="465">
      <alignment horizontal="right" vertical="center"/>
    </xf>
    <xf numFmtId="0" fontId="46" fillId="55" borderId="460" applyNumberFormat="0" applyAlignment="0" applyProtection="0"/>
    <xf numFmtId="0" fontId="34" fillId="33" borderId="466">
      <alignment horizontal="left" vertical="center" wrapText="1" indent="2"/>
    </xf>
    <xf numFmtId="0" fontId="34" fillId="0" borderId="466">
      <alignment horizontal="left" vertical="center" wrapText="1" indent="2"/>
    </xf>
    <xf numFmtId="0" fontId="34" fillId="31" borderId="464">
      <alignment horizontal="left" vertical="center"/>
    </xf>
    <xf numFmtId="0" fontId="58" fillId="42" borderId="460" applyNumberFormat="0" applyAlignment="0" applyProtection="0"/>
    <xf numFmtId="0" fontId="34" fillId="0" borderId="463">
      <alignment horizontal="right" vertical="center"/>
    </xf>
    <xf numFmtId="4" fontId="34" fillId="0" borderId="463">
      <alignment horizontal="right" vertical="center"/>
    </xf>
    <xf numFmtId="0" fontId="34" fillId="0" borderId="463" applyNumberFormat="0" applyFill="0" applyAlignment="0" applyProtection="0"/>
    <xf numFmtId="0" fontId="62" fillId="55" borderId="459" applyNumberFormat="0" applyAlignment="0" applyProtection="0"/>
    <xf numFmtId="173" fontId="34" fillId="59" borderId="463" applyNumberFormat="0" applyFont="0" applyBorder="0" applyAlignment="0" applyProtection="0">
      <alignment horizontal="right" vertical="center"/>
    </xf>
    <xf numFmtId="0" fontId="34" fillId="32" borderId="463"/>
    <xf numFmtId="4" fontId="34" fillId="32" borderId="463"/>
    <xf numFmtId="0" fontId="65" fillId="0" borderId="461" applyNumberFormat="0" applyFill="0" applyAlignment="0" applyProtection="0"/>
    <xf numFmtId="0" fontId="5" fillId="58" borderId="462" applyNumberFormat="0" applyFont="0" applyAlignment="0" applyProtection="0"/>
    <xf numFmtId="0" fontId="40" fillId="58" borderId="462" applyNumberFormat="0" applyFont="0" applyAlignment="0" applyProtection="0"/>
    <xf numFmtId="0" fontId="34" fillId="0" borderId="463" applyNumberFormat="0" applyFill="0" applyAlignment="0" applyProtection="0"/>
    <xf numFmtId="0" fontId="50" fillId="0" borderId="461" applyNumberFormat="0" applyFill="0" applyAlignment="0" applyProtection="0"/>
    <xf numFmtId="0" fontId="65" fillId="0" borderId="461" applyNumberFormat="0" applyFill="0" applyAlignment="0" applyProtection="0"/>
    <xf numFmtId="0" fontId="49" fillId="42" borderId="460" applyNumberFormat="0" applyAlignment="0" applyProtection="0"/>
    <xf numFmtId="0" fontId="46" fillId="55" borderId="460" applyNumberFormat="0" applyAlignment="0" applyProtection="0"/>
    <xf numFmtId="4" fontId="36" fillId="31" borderId="463">
      <alignment horizontal="right" vertical="center"/>
    </xf>
    <xf numFmtId="0" fontId="32" fillId="31" borderId="463">
      <alignment horizontal="right" vertical="center"/>
    </xf>
    <xf numFmtId="173" fontId="34" fillId="59" borderId="463" applyNumberFormat="0" applyFont="0" applyBorder="0" applyAlignment="0" applyProtection="0">
      <alignment horizontal="right" vertical="center"/>
    </xf>
    <xf numFmtId="0" fontId="50" fillId="0" borderId="461" applyNumberFormat="0" applyFill="0" applyAlignment="0" applyProtection="0"/>
    <xf numFmtId="49" fontId="34" fillId="0" borderId="463" applyNumberFormat="0" applyFont="0" applyFill="0" applyBorder="0" applyProtection="0">
      <alignment horizontal="left" vertical="center" indent="2"/>
    </xf>
    <xf numFmtId="49" fontId="34" fillId="0" borderId="464" applyNumberFormat="0" applyFont="0" applyFill="0" applyBorder="0" applyProtection="0">
      <alignment horizontal="left" vertical="center" indent="5"/>
    </xf>
    <xf numFmtId="49" fontId="34" fillId="0" borderId="463" applyNumberFormat="0" applyFont="0" applyFill="0" applyBorder="0" applyProtection="0">
      <alignment horizontal="left" vertical="center" indent="2"/>
    </xf>
    <xf numFmtId="4" fontId="34" fillId="0" borderId="463" applyFill="0" applyBorder="0" applyProtection="0">
      <alignment horizontal="right" vertical="center"/>
    </xf>
    <xf numFmtId="49" fontId="33" fillId="0" borderId="463" applyNumberFormat="0" applyFill="0" applyBorder="0" applyProtection="0">
      <alignment horizontal="left" vertical="center"/>
    </xf>
    <xf numFmtId="0" fontId="34" fillId="0" borderId="466">
      <alignment horizontal="left" vertical="center" wrapText="1" indent="2"/>
    </xf>
    <xf numFmtId="0" fontId="62" fillId="55" borderId="459" applyNumberFormat="0" applyAlignment="0" applyProtection="0"/>
    <xf numFmtId="0" fontId="32" fillId="33" borderId="465">
      <alignment horizontal="right" vertical="center"/>
    </xf>
    <xf numFmtId="0" fontId="49" fillId="42" borderId="460" applyNumberFormat="0" applyAlignment="0" applyProtection="0"/>
    <xf numFmtId="0" fontId="32" fillId="33" borderId="465">
      <alignment horizontal="right" vertical="center"/>
    </xf>
    <xf numFmtId="4" fontId="32" fillId="33" borderId="463">
      <alignment horizontal="right" vertical="center"/>
    </xf>
    <xf numFmtId="0" fontId="32" fillId="33" borderId="463">
      <alignment horizontal="right" vertical="center"/>
    </xf>
    <xf numFmtId="0" fontId="43" fillId="55" borderId="459" applyNumberFormat="0" applyAlignment="0" applyProtection="0"/>
    <xf numFmtId="0" fontId="45" fillId="55" borderId="460" applyNumberFormat="0" applyAlignment="0" applyProtection="0"/>
    <xf numFmtId="0" fontId="50" fillId="0" borderId="461" applyNumberFormat="0" applyFill="0" applyAlignment="0" applyProtection="0"/>
    <xf numFmtId="0" fontId="34" fillId="32" borderId="463"/>
    <xf numFmtId="4" fontId="34" fillId="32" borderId="463"/>
    <xf numFmtId="4" fontId="32" fillId="33" borderId="463">
      <alignment horizontal="right" vertical="center"/>
    </xf>
    <xf numFmtId="0" fontId="36" fillId="31" borderId="463">
      <alignment horizontal="right" vertical="center"/>
    </xf>
    <xf numFmtId="0" fontId="49" fillId="42" borderId="460" applyNumberFormat="0" applyAlignment="0" applyProtection="0"/>
    <xf numFmtId="0" fontId="46" fillId="55" borderId="460" applyNumberFormat="0" applyAlignment="0" applyProtection="0"/>
    <xf numFmtId="4" fontId="34" fillId="0" borderId="463">
      <alignment horizontal="right" vertical="center"/>
    </xf>
    <xf numFmtId="0" fontId="34" fillId="33" borderId="466">
      <alignment horizontal="left" vertical="center" wrapText="1" indent="2"/>
    </xf>
    <xf numFmtId="0" fontId="34" fillId="0" borderId="466">
      <alignment horizontal="left" vertical="center" wrapText="1" indent="2"/>
    </xf>
    <xf numFmtId="0" fontId="62" fillId="55" borderId="459" applyNumberFormat="0" applyAlignment="0" applyProtection="0"/>
    <xf numFmtId="0" fontId="58" fillId="42" borderId="460" applyNumberFormat="0" applyAlignment="0" applyProtection="0"/>
    <xf numFmtId="0" fontId="45" fillId="55" borderId="460" applyNumberFormat="0" applyAlignment="0" applyProtection="0"/>
    <xf numFmtId="0" fontId="43" fillId="55" borderId="459" applyNumberFormat="0" applyAlignment="0" applyProtection="0"/>
    <xf numFmtId="0" fontId="32" fillId="33" borderId="465">
      <alignment horizontal="right" vertical="center"/>
    </xf>
    <xf numFmtId="0" fontId="36" fillId="31" borderId="463">
      <alignment horizontal="right" vertical="center"/>
    </xf>
    <xf numFmtId="4" fontId="32" fillId="31" borderId="463">
      <alignment horizontal="right" vertical="center"/>
    </xf>
    <xf numFmtId="4" fontId="32" fillId="33" borderId="463">
      <alignment horizontal="right" vertical="center"/>
    </xf>
    <xf numFmtId="49" fontId="34" fillId="0" borderId="464" applyNumberFormat="0" applyFont="0" applyFill="0" applyBorder="0" applyProtection="0">
      <alignment horizontal="left" vertical="center" indent="5"/>
    </xf>
    <xf numFmtId="4" fontId="34" fillId="0" borderId="463" applyFill="0" applyBorder="0" applyProtection="0">
      <alignment horizontal="right" vertical="center"/>
    </xf>
    <xf numFmtId="4" fontId="32" fillId="31" borderId="463">
      <alignment horizontal="right" vertical="center"/>
    </xf>
    <xf numFmtId="4" fontId="34" fillId="0" borderId="478" applyFill="0" applyBorder="0" applyProtection="0">
      <alignment horizontal="right" vertical="center"/>
    </xf>
    <xf numFmtId="0" fontId="58" fillId="42" borderId="460" applyNumberFormat="0" applyAlignment="0" applyProtection="0"/>
    <xf numFmtId="0" fontId="49" fillId="42" borderId="460" applyNumberFormat="0" applyAlignment="0" applyProtection="0"/>
    <xf numFmtId="0" fontId="45" fillId="55" borderId="460" applyNumberFormat="0" applyAlignment="0" applyProtection="0"/>
    <xf numFmtId="0" fontId="34" fillId="33" borderId="466">
      <alignment horizontal="left" vertical="center" wrapText="1" indent="2"/>
    </xf>
    <xf numFmtId="0" fontId="34" fillId="0" borderId="466">
      <alignment horizontal="left" vertical="center" wrapText="1" indent="2"/>
    </xf>
    <xf numFmtId="0" fontId="34" fillId="33" borderId="466">
      <alignment horizontal="left" vertical="center" wrapText="1" indent="2"/>
    </xf>
    <xf numFmtId="0" fontId="34" fillId="0" borderId="466">
      <alignment horizontal="left" vertical="center" wrapText="1" indent="2"/>
    </xf>
    <xf numFmtId="0" fontId="43" fillId="55" borderId="459" applyNumberFormat="0" applyAlignment="0" applyProtection="0"/>
    <xf numFmtId="0" fontId="45" fillId="55" borderId="460" applyNumberFormat="0" applyAlignment="0" applyProtection="0"/>
    <xf numFmtId="0" fontId="46" fillId="55" borderId="460" applyNumberFormat="0" applyAlignment="0" applyProtection="0"/>
    <xf numFmtId="0" fontId="49" fillId="42" borderId="460" applyNumberFormat="0" applyAlignment="0" applyProtection="0"/>
    <xf numFmtId="0" fontId="50" fillId="0" borderId="461" applyNumberFormat="0" applyFill="0" applyAlignment="0" applyProtection="0"/>
    <xf numFmtId="0" fontId="58" fillId="42" borderId="460" applyNumberFormat="0" applyAlignment="0" applyProtection="0"/>
    <xf numFmtId="0" fontId="40" fillId="58" borderId="462" applyNumberFormat="0" applyFont="0" applyAlignment="0" applyProtection="0"/>
    <xf numFmtId="0" fontId="5" fillId="58" borderId="462" applyNumberFormat="0" applyFont="0" applyAlignment="0" applyProtection="0"/>
    <xf numFmtId="0" fontId="62" fillId="55" borderId="459" applyNumberFormat="0" applyAlignment="0" applyProtection="0"/>
    <xf numFmtId="0" fontId="65" fillId="0" borderId="461" applyNumberFormat="0" applyFill="0" applyAlignment="0" applyProtection="0"/>
    <xf numFmtId="0" fontId="46" fillId="55" borderId="460" applyNumberFormat="0" applyAlignment="0" applyProtection="0"/>
    <xf numFmtId="0" fontId="58" fillId="42" borderId="460" applyNumberFormat="0" applyAlignment="0" applyProtection="0"/>
    <xf numFmtId="0" fontId="40" fillId="58" borderId="462" applyNumberFormat="0" applyFont="0" applyAlignment="0" applyProtection="0"/>
    <xf numFmtId="0" fontId="62" fillId="55" borderId="459" applyNumberFormat="0" applyAlignment="0" applyProtection="0"/>
    <xf numFmtId="0" fontId="65" fillId="0" borderId="461" applyNumberFormat="0" applyFill="0" applyAlignment="0" applyProtection="0"/>
    <xf numFmtId="0" fontId="26" fillId="16" borderId="0" applyNumberFormat="0" applyBorder="0" applyAlignment="0" applyProtection="0"/>
    <xf numFmtId="0" fontId="46" fillId="55" borderId="460" applyNumberFormat="0" applyAlignment="0" applyProtection="0"/>
    <xf numFmtId="0" fontId="32" fillId="33" borderId="469">
      <alignment horizontal="right" vertical="center"/>
    </xf>
    <xf numFmtId="4" fontId="36" fillId="31" borderId="468">
      <alignment horizontal="right" vertical="center"/>
    </xf>
    <xf numFmtId="0" fontId="58" fillId="42" borderId="460" applyNumberFormat="0" applyAlignment="0" applyProtection="0"/>
    <xf numFmtId="0" fontId="62" fillId="55" borderId="459" applyNumberFormat="0" applyAlignment="0" applyProtection="0"/>
    <xf numFmtId="0" fontId="65" fillId="0" borderId="461" applyNumberFormat="0" applyFill="0" applyAlignment="0" applyProtection="0"/>
    <xf numFmtId="0" fontId="32" fillId="33" borderId="478">
      <alignment horizontal="right" vertical="center"/>
    </xf>
    <xf numFmtId="0" fontId="43" fillId="55" borderId="459" applyNumberFormat="0" applyAlignment="0" applyProtection="0"/>
    <xf numFmtId="0" fontId="45" fillId="55" borderId="460" applyNumberFormat="0" applyAlignment="0" applyProtection="0"/>
    <xf numFmtId="0" fontId="50" fillId="0" borderId="461" applyNumberFormat="0" applyFill="0" applyAlignment="0" applyProtection="0"/>
    <xf numFmtId="49" fontId="34" fillId="0" borderId="463" applyNumberFormat="0" applyFont="0" applyFill="0" applyBorder="0" applyProtection="0">
      <alignment horizontal="left" vertical="center" indent="2"/>
    </xf>
    <xf numFmtId="0" fontId="32" fillId="31" borderId="463">
      <alignment horizontal="right" vertical="center"/>
    </xf>
    <xf numFmtId="4" fontId="32" fillId="31" borderId="463">
      <alignment horizontal="right" vertical="center"/>
    </xf>
    <xf numFmtId="0" fontId="36" fillId="31" borderId="463">
      <alignment horizontal="right" vertical="center"/>
    </xf>
    <xf numFmtId="4" fontId="36" fillId="31" borderId="463">
      <alignment horizontal="right" vertical="center"/>
    </xf>
    <xf numFmtId="0" fontId="32" fillId="33" borderId="463">
      <alignment horizontal="right" vertical="center"/>
    </xf>
    <xf numFmtId="4" fontId="32" fillId="33" borderId="463">
      <alignment horizontal="right" vertical="center"/>
    </xf>
    <xf numFmtId="0" fontId="32" fillId="33" borderId="463">
      <alignment horizontal="right" vertical="center"/>
    </xf>
    <xf numFmtId="4" fontId="32" fillId="33" borderId="463">
      <alignment horizontal="right" vertical="center"/>
    </xf>
    <xf numFmtId="0" fontId="49" fillId="42" borderId="460" applyNumberFormat="0" applyAlignment="0" applyProtection="0"/>
    <xf numFmtId="0" fontId="34" fillId="0" borderId="463">
      <alignment horizontal="right" vertical="center"/>
    </xf>
    <xf numFmtId="4" fontId="34" fillId="0" borderId="463">
      <alignment horizontal="right" vertical="center"/>
    </xf>
    <xf numFmtId="4" fontId="34" fillId="0" borderId="463" applyFill="0" applyBorder="0" applyProtection="0">
      <alignment horizontal="right" vertical="center"/>
    </xf>
    <xf numFmtId="49" fontId="33" fillId="0" borderId="463" applyNumberFormat="0" applyFill="0" applyBorder="0" applyProtection="0">
      <alignment horizontal="left" vertical="center"/>
    </xf>
    <xf numFmtId="0" fontId="34" fillId="0" borderId="463" applyNumberFormat="0" applyFill="0" applyAlignment="0" applyProtection="0"/>
    <xf numFmtId="173" fontId="34" fillId="59" borderId="463" applyNumberFormat="0" applyFont="0" applyBorder="0" applyAlignment="0" applyProtection="0">
      <alignment horizontal="right" vertical="center"/>
    </xf>
    <xf numFmtId="0" fontId="34" fillId="32" borderId="463"/>
    <xf numFmtId="4" fontId="34" fillId="32" borderId="463"/>
    <xf numFmtId="4" fontId="32" fillId="33" borderId="463">
      <alignment horizontal="right" vertical="center"/>
    </xf>
    <xf numFmtId="0" fontId="34" fillId="32" borderId="463"/>
    <xf numFmtId="0" fontId="45" fillId="55" borderId="460" applyNumberFormat="0" applyAlignment="0" applyProtection="0"/>
    <xf numFmtId="0" fontId="32" fillId="31" borderId="463">
      <alignment horizontal="right" vertical="center"/>
    </xf>
    <xf numFmtId="0" fontId="34" fillId="0" borderId="463">
      <alignment horizontal="right" vertical="center"/>
    </xf>
    <xf numFmtId="0" fontId="65" fillId="0" borderId="461" applyNumberFormat="0" applyFill="0" applyAlignment="0" applyProtection="0"/>
    <xf numFmtId="0" fontId="34" fillId="31" borderId="464">
      <alignment horizontal="left" vertical="center"/>
    </xf>
    <xf numFmtId="0" fontId="58" fillId="42" borderId="460" applyNumberFormat="0" applyAlignment="0" applyProtection="0"/>
    <xf numFmtId="173" fontId="34" fillId="59" borderId="463" applyNumberFormat="0" applyFont="0" applyBorder="0" applyAlignment="0" applyProtection="0">
      <alignment horizontal="right" vertical="center"/>
    </xf>
    <xf numFmtId="0" fontId="40" fillId="58" borderId="462" applyNumberFormat="0" applyFont="0" applyAlignment="0" applyProtection="0"/>
    <xf numFmtId="0" fontId="34" fillId="0" borderId="466">
      <alignment horizontal="left" vertical="center" wrapText="1" indent="2"/>
    </xf>
    <xf numFmtId="4" fontId="34" fillId="32" borderId="463"/>
    <xf numFmtId="49" fontId="33" fillId="0" borderId="463" applyNumberFormat="0" applyFill="0" applyBorder="0" applyProtection="0">
      <alignment horizontal="left" vertical="center"/>
    </xf>
    <xf numFmtId="0" fontId="34" fillId="0" borderId="463">
      <alignment horizontal="right" vertical="center"/>
    </xf>
    <xf numFmtId="4" fontId="32" fillId="33" borderId="465">
      <alignment horizontal="right" vertical="center"/>
    </xf>
    <xf numFmtId="4" fontId="32" fillId="33" borderId="463">
      <alignment horizontal="right" vertical="center"/>
    </xf>
    <xf numFmtId="4" fontId="32" fillId="33" borderId="463">
      <alignment horizontal="right" vertical="center"/>
    </xf>
    <xf numFmtId="0" fontId="36" fillId="31" borderId="463">
      <alignment horizontal="right" vertical="center"/>
    </xf>
    <xf numFmtId="0" fontId="32" fillId="31" borderId="463">
      <alignment horizontal="right" vertical="center"/>
    </xf>
    <xf numFmtId="49" fontId="34" fillId="0" borderId="463" applyNumberFormat="0" applyFont="0" applyFill="0" applyBorder="0" applyProtection="0">
      <alignment horizontal="left" vertical="center" indent="2"/>
    </xf>
    <xf numFmtId="0" fontId="58" fillId="42" borderId="460" applyNumberFormat="0" applyAlignment="0" applyProtection="0"/>
    <xf numFmtId="0" fontId="43" fillId="55" borderId="459" applyNumberFormat="0" applyAlignment="0" applyProtection="0"/>
    <xf numFmtId="49" fontId="34" fillId="0" borderId="463" applyNumberFormat="0" applyFont="0" applyFill="0" applyBorder="0" applyProtection="0">
      <alignment horizontal="left" vertical="center" indent="2"/>
    </xf>
    <xf numFmtId="0" fontId="49" fillId="42" borderId="460" applyNumberFormat="0" applyAlignment="0" applyProtection="0"/>
    <xf numFmtId="4" fontId="34" fillId="0" borderId="463" applyFill="0" applyBorder="0" applyProtection="0">
      <alignment horizontal="right" vertical="center"/>
    </xf>
    <xf numFmtId="0" fontId="46" fillId="55" borderId="460" applyNumberFormat="0" applyAlignment="0" applyProtection="0"/>
    <xf numFmtId="0" fontId="65" fillId="0" borderId="461" applyNumberFormat="0" applyFill="0" applyAlignment="0" applyProtection="0"/>
    <xf numFmtId="0" fontId="62" fillId="55" borderId="459" applyNumberFormat="0" applyAlignment="0" applyProtection="0"/>
    <xf numFmtId="0" fontId="34" fillId="0" borderId="463" applyNumberFormat="0" applyFill="0" applyAlignment="0" applyProtection="0"/>
    <xf numFmtId="4" fontId="34" fillId="0" borderId="463">
      <alignment horizontal="right" vertical="center"/>
    </xf>
    <xf numFmtId="0" fontId="34" fillId="0" borderId="463">
      <alignment horizontal="right" vertical="center"/>
    </xf>
    <xf numFmtId="0" fontId="58" fillId="42" borderId="460" applyNumberFormat="0" applyAlignment="0" applyProtection="0"/>
    <xf numFmtId="0" fontId="43" fillId="55" borderId="459" applyNumberFormat="0" applyAlignment="0" applyProtection="0"/>
    <xf numFmtId="0" fontId="45" fillId="55" borderId="460" applyNumberFormat="0" applyAlignment="0" applyProtection="0"/>
    <xf numFmtId="0" fontId="34" fillId="33" borderId="466">
      <alignment horizontal="left" vertical="center" wrapText="1" indent="2"/>
    </xf>
    <xf numFmtId="0" fontId="46" fillId="55" borderId="460" applyNumberFormat="0" applyAlignment="0" applyProtection="0"/>
    <xf numFmtId="0" fontId="46" fillId="55" borderId="460" applyNumberFormat="0" applyAlignment="0" applyProtection="0"/>
    <xf numFmtId="4" fontId="32" fillId="33" borderId="464">
      <alignment horizontal="right" vertical="center"/>
    </xf>
    <xf numFmtId="0" fontId="32" fillId="33" borderId="464">
      <alignment horizontal="right" vertical="center"/>
    </xf>
    <xf numFmtId="0" fontId="32" fillId="33" borderId="463">
      <alignment horizontal="right" vertical="center"/>
    </xf>
    <xf numFmtId="4" fontId="36" fillId="31" borderId="463">
      <alignment horizontal="right" vertical="center"/>
    </xf>
    <xf numFmtId="0" fontId="49" fillId="42" borderId="460" applyNumberFormat="0" applyAlignment="0" applyProtection="0"/>
    <xf numFmtId="0" fontId="50" fillId="0" borderId="461" applyNumberFormat="0" applyFill="0" applyAlignment="0" applyProtection="0"/>
    <xf numFmtId="0" fontId="65" fillId="0" borderId="461" applyNumberFormat="0" applyFill="0" applyAlignment="0" applyProtection="0"/>
    <xf numFmtId="0" fontId="40" fillId="58" borderId="462" applyNumberFormat="0" applyFont="0" applyAlignment="0" applyProtection="0"/>
    <xf numFmtId="0" fontId="58" fillId="42" borderId="460" applyNumberFormat="0" applyAlignment="0" applyProtection="0"/>
    <xf numFmtId="49" fontId="33" fillId="0" borderId="463" applyNumberFormat="0" applyFill="0" applyBorder="0" applyProtection="0">
      <alignment horizontal="left" vertical="center"/>
    </xf>
    <xf numFmtId="0" fontId="34" fillId="33" borderId="466">
      <alignment horizontal="left" vertical="center" wrapText="1" indent="2"/>
    </xf>
    <xf numFmtId="0" fontId="46" fillId="55" borderId="460" applyNumberFormat="0" applyAlignment="0" applyProtection="0"/>
    <xf numFmtId="0" fontId="34" fillId="0" borderId="466">
      <alignment horizontal="left" vertical="center" wrapText="1" indent="2"/>
    </xf>
    <xf numFmtId="0" fontId="40" fillId="58" borderId="462" applyNumberFormat="0" applyFont="0" applyAlignment="0" applyProtection="0"/>
    <xf numFmtId="0" fontId="5" fillId="58" borderId="462" applyNumberFormat="0" applyFont="0" applyAlignment="0" applyProtection="0"/>
    <xf numFmtId="0" fontId="62" fillId="55" borderId="459" applyNumberFormat="0" applyAlignment="0" applyProtection="0"/>
    <xf numFmtId="0" fontId="65" fillId="0" borderId="461" applyNumberFormat="0" applyFill="0" applyAlignment="0" applyProtection="0"/>
    <xf numFmtId="4" fontId="34" fillId="32" borderId="463"/>
    <xf numFmtId="0" fontId="32" fillId="33" borderId="463">
      <alignment horizontal="right" vertical="center"/>
    </xf>
    <xf numFmtId="0" fontId="65" fillId="0" borderId="461" applyNumberFormat="0" applyFill="0" applyAlignment="0" applyProtection="0"/>
    <xf numFmtId="4" fontId="32" fillId="33" borderId="465">
      <alignment horizontal="right" vertical="center"/>
    </xf>
    <xf numFmtId="0" fontId="45" fillId="55" borderId="460" applyNumberFormat="0" applyAlignment="0" applyProtection="0"/>
    <xf numFmtId="0" fontId="32" fillId="33" borderId="464">
      <alignment horizontal="right" vertical="center"/>
    </xf>
    <xf numFmtId="0" fontId="46" fillId="55" borderId="460" applyNumberFormat="0" applyAlignment="0" applyProtection="0"/>
    <xf numFmtId="0" fontId="50" fillId="0" borderId="461" applyNumberFormat="0" applyFill="0" applyAlignment="0" applyProtection="0"/>
    <xf numFmtId="0" fontId="40" fillId="58" borderId="462" applyNumberFormat="0" applyFont="0" applyAlignment="0" applyProtection="0"/>
    <xf numFmtId="4" fontId="32" fillId="33" borderId="464">
      <alignment horizontal="right" vertical="center"/>
    </xf>
    <xf numFmtId="0" fontId="34" fillId="33" borderId="466">
      <alignment horizontal="left" vertical="center" wrapText="1" indent="2"/>
    </xf>
    <xf numFmtId="0" fontId="34" fillId="32" borderId="463"/>
    <xf numFmtId="173" fontId="34" fillId="59" borderId="463" applyNumberFormat="0" applyFont="0" applyBorder="0" applyAlignment="0" applyProtection="0">
      <alignment horizontal="right" vertical="center"/>
    </xf>
    <xf numFmtId="0" fontId="34" fillId="0" borderId="463" applyNumberFormat="0" applyFill="0" applyAlignment="0" applyProtection="0"/>
    <xf numFmtId="4" fontId="34" fillId="0" borderId="463" applyFill="0" applyBorder="0" applyProtection="0">
      <alignment horizontal="right" vertical="center"/>
    </xf>
    <xf numFmtId="4" fontId="32" fillId="31" borderId="463">
      <alignment horizontal="right" vertical="center"/>
    </xf>
    <xf numFmtId="0" fontId="50" fillId="0" borderId="461" applyNumberFormat="0" applyFill="0" applyAlignment="0" applyProtection="0"/>
    <xf numFmtId="49" fontId="33" fillId="0" borderId="463" applyNumberFormat="0" applyFill="0" applyBorder="0" applyProtection="0">
      <alignment horizontal="left" vertical="center"/>
    </xf>
    <xf numFmtId="49" fontId="34" fillId="0" borderId="464" applyNumberFormat="0" applyFont="0" applyFill="0" applyBorder="0" applyProtection="0">
      <alignment horizontal="left" vertical="center" indent="5"/>
    </xf>
    <xf numFmtId="0" fontId="34" fillId="31" borderId="464">
      <alignment horizontal="left" vertical="center"/>
    </xf>
    <xf numFmtId="0" fontId="46" fillId="55" borderId="460" applyNumberFormat="0" applyAlignment="0" applyProtection="0"/>
    <xf numFmtId="4" fontId="32" fillId="33" borderId="465">
      <alignment horizontal="right" vertical="center"/>
    </xf>
    <xf numFmtId="0" fontId="58" fillId="42" borderId="460" applyNumberFormat="0" applyAlignment="0" applyProtection="0"/>
    <xf numFmtId="0" fontId="58" fillId="42" borderId="460" applyNumberFormat="0" applyAlignment="0" applyProtection="0"/>
    <xf numFmtId="0" fontId="40" fillId="58" borderId="462" applyNumberFormat="0" applyFont="0" applyAlignment="0" applyProtection="0"/>
    <xf numFmtId="0" fontId="62" fillId="55" borderId="459" applyNumberFormat="0" applyAlignment="0" applyProtection="0"/>
    <xf numFmtId="0" fontId="65" fillId="0" borderId="461" applyNumberFormat="0" applyFill="0" applyAlignment="0" applyProtection="0"/>
    <xf numFmtId="0" fontId="32" fillId="33" borderId="463">
      <alignment horizontal="right" vertical="center"/>
    </xf>
    <xf numFmtId="0" fontId="5" fillId="58" borderId="462" applyNumberFormat="0" applyFont="0" applyAlignment="0" applyProtection="0"/>
    <xf numFmtId="4" fontId="34" fillId="0" borderId="463">
      <alignment horizontal="right" vertical="center"/>
    </xf>
    <xf numFmtId="0" fontId="65" fillId="0" borderId="461" applyNumberFormat="0" applyFill="0" applyAlignment="0" applyProtection="0"/>
    <xf numFmtId="0" fontId="32" fillId="33" borderId="463">
      <alignment horizontal="right" vertical="center"/>
    </xf>
    <xf numFmtId="0" fontId="32" fillId="33" borderId="463">
      <alignment horizontal="right" vertical="center"/>
    </xf>
    <xf numFmtId="4" fontId="36" fillId="31" borderId="463">
      <alignment horizontal="right" vertical="center"/>
    </xf>
    <xf numFmtId="0" fontId="32" fillId="31" borderId="463">
      <alignment horizontal="right" vertical="center"/>
    </xf>
    <xf numFmtId="4" fontId="32" fillId="31" borderId="463">
      <alignment horizontal="right" vertical="center"/>
    </xf>
    <xf numFmtId="0" fontId="36" fillId="31" borderId="463">
      <alignment horizontal="right" vertical="center"/>
    </xf>
    <xf numFmtId="4" fontId="36" fillId="31" borderId="463">
      <alignment horizontal="right" vertical="center"/>
    </xf>
    <xf numFmtId="0" fontId="32" fillId="33" borderId="463">
      <alignment horizontal="right" vertical="center"/>
    </xf>
    <xf numFmtId="4" fontId="32" fillId="33" borderId="463">
      <alignment horizontal="right" vertical="center"/>
    </xf>
    <xf numFmtId="0" fontId="32" fillId="33" borderId="463">
      <alignment horizontal="right" vertical="center"/>
    </xf>
    <xf numFmtId="4" fontId="32" fillId="33" borderId="463">
      <alignment horizontal="right" vertical="center"/>
    </xf>
    <xf numFmtId="0" fontId="32" fillId="33" borderId="464">
      <alignment horizontal="right" vertical="center"/>
    </xf>
    <xf numFmtId="4" fontId="32" fillId="33" borderId="464">
      <alignment horizontal="right" vertical="center"/>
    </xf>
    <xf numFmtId="0" fontId="32" fillId="33" borderId="465">
      <alignment horizontal="right" vertical="center"/>
    </xf>
    <xf numFmtId="4" fontId="32" fillId="33" borderId="465">
      <alignment horizontal="right" vertical="center"/>
    </xf>
    <xf numFmtId="0" fontId="46" fillId="55" borderId="460" applyNumberFormat="0" applyAlignment="0" applyProtection="0"/>
    <xf numFmtId="0" fontId="34" fillId="33" borderId="466">
      <alignment horizontal="left" vertical="center" wrapText="1" indent="2"/>
    </xf>
    <xf numFmtId="0" fontId="34" fillId="0" borderId="466">
      <alignment horizontal="left" vertical="center" wrapText="1" indent="2"/>
    </xf>
    <xf numFmtId="0" fontId="34" fillId="31" borderId="464">
      <alignment horizontal="left" vertical="center"/>
    </xf>
    <xf numFmtId="0" fontId="58" fillId="42" borderId="460" applyNumberFormat="0" applyAlignment="0" applyProtection="0"/>
    <xf numFmtId="0" fontId="34" fillId="0" borderId="463">
      <alignment horizontal="right" vertical="center"/>
    </xf>
    <xf numFmtId="4" fontId="34" fillId="0" borderId="463">
      <alignment horizontal="right" vertical="center"/>
    </xf>
    <xf numFmtId="0" fontId="34" fillId="0" borderId="463" applyNumberFormat="0" applyFill="0" applyAlignment="0" applyProtection="0"/>
    <xf numFmtId="0" fontId="62" fillId="55" borderId="459" applyNumberFormat="0" applyAlignment="0" applyProtection="0"/>
    <xf numFmtId="173" fontId="34" fillId="59" borderId="463" applyNumberFormat="0" applyFont="0" applyBorder="0" applyAlignment="0" applyProtection="0">
      <alignment horizontal="right" vertical="center"/>
    </xf>
    <xf numFmtId="0" fontId="34" fillId="32" borderId="463"/>
    <xf numFmtId="4" fontId="34" fillId="32" borderId="463"/>
    <xf numFmtId="0" fontId="65" fillId="0" borderId="461" applyNumberFormat="0" applyFill="0" applyAlignment="0" applyProtection="0"/>
    <xf numFmtId="0" fontId="5" fillId="58" borderId="462" applyNumberFormat="0" applyFont="0" applyAlignment="0" applyProtection="0"/>
    <xf numFmtId="0" fontId="40" fillId="58" borderId="462" applyNumberFormat="0" applyFont="0" applyAlignment="0" applyProtection="0"/>
    <xf numFmtId="0" fontId="34" fillId="0" borderId="463" applyNumberFormat="0" applyFill="0" applyAlignment="0" applyProtection="0"/>
    <xf numFmtId="0" fontId="50" fillId="0" borderId="461" applyNumberFormat="0" applyFill="0" applyAlignment="0" applyProtection="0"/>
    <xf numFmtId="0" fontId="65" fillId="0" borderId="461" applyNumberFormat="0" applyFill="0" applyAlignment="0" applyProtection="0"/>
    <xf numFmtId="0" fontId="49" fillId="42" borderId="460" applyNumberFormat="0" applyAlignment="0" applyProtection="0"/>
    <xf numFmtId="0" fontId="46" fillId="55" borderId="460" applyNumberFormat="0" applyAlignment="0" applyProtection="0"/>
    <xf numFmtId="4" fontId="36" fillId="31" borderId="463">
      <alignment horizontal="right" vertical="center"/>
    </xf>
    <xf numFmtId="0" fontId="32" fillId="31" borderId="463">
      <alignment horizontal="right" vertical="center"/>
    </xf>
    <xf numFmtId="173" fontId="34" fillId="59" borderId="463" applyNumberFormat="0" applyFont="0" applyBorder="0" applyAlignment="0" applyProtection="0">
      <alignment horizontal="right" vertical="center"/>
    </xf>
    <xf numFmtId="0" fontId="50" fillId="0" borderId="461" applyNumberFormat="0" applyFill="0" applyAlignment="0" applyProtection="0"/>
    <xf numFmtId="49" fontId="34" fillId="0" borderId="463" applyNumberFormat="0" applyFont="0" applyFill="0" applyBorder="0" applyProtection="0">
      <alignment horizontal="left" vertical="center" indent="2"/>
    </xf>
    <xf numFmtId="49" fontId="34" fillId="0" borderId="464" applyNumberFormat="0" applyFont="0" applyFill="0" applyBorder="0" applyProtection="0">
      <alignment horizontal="left" vertical="center" indent="5"/>
    </xf>
    <xf numFmtId="49" fontId="34" fillId="0" borderId="463" applyNumberFormat="0" applyFont="0" applyFill="0" applyBorder="0" applyProtection="0">
      <alignment horizontal="left" vertical="center" indent="2"/>
    </xf>
    <xf numFmtId="4" fontId="34" fillId="0" borderId="463" applyFill="0" applyBorder="0" applyProtection="0">
      <alignment horizontal="right" vertical="center"/>
    </xf>
    <xf numFmtId="49" fontId="33" fillId="0" borderId="463" applyNumberFormat="0" applyFill="0" applyBorder="0" applyProtection="0">
      <alignment horizontal="left" vertical="center"/>
    </xf>
    <xf numFmtId="0" fontId="34" fillId="0" borderId="466">
      <alignment horizontal="left" vertical="center" wrapText="1" indent="2"/>
    </xf>
    <xf numFmtId="0" fontId="62" fillId="55" borderId="459" applyNumberFormat="0" applyAlignment="0" applyProtection="0"/>
    <xf numFmtId="0" fontId="32" fillId="33" borderId="465">
      <alignment horizontal="right" vertical="center"/>
    </xf>
    <xf numFmtId="0" fontId="49" fillId="42" borderId="460" applyNumberFormat="0" applyAlignment="0" applyProtection="0"/>
    <xf numFmtId="0" fontId="32" fillId="33" borderId="465">
      <alignment horizontal="right" vertical="center"/>
    </xf>
    <xf numFmtId="4" fontId="32" fillId="33" borderId="463">
      <alignment horizontal="right" vertical="center"/>
    </xf>
    <xf numFmtId="0" fontId="32" fillId="33" borderId="463">
      <alignment horizontal="right" vertical="center"/>
    </xf>
    <xf numFmtId="0" fontId="43" fillId="55" borderId="459" applyNumberFormat="0" applyAlignment="0" applyProtection="0"/>
    <xf numFmtId="0" fontId="45" fillId="55" borderId="460" applyNumberFormat="0" applyAlignment="0" applyProtection="0"/>
    <xf numFmtId="0" fontId="50" fillId="0" borderId="461" applyNumberFormat="0" applyFill="0" applyAlignment="0" applyProtection="0"/>
    <xf numFmtId="0" fontId="34" fillId="32" borderId="463"/>
    <xf numFmtId="4" fontId="34" fillId="32" borderId="463"/>
    <xf numFmtId="4" fontId="32" fillId="33" borderId="463">
      <alignment horizontal="right" vertical="center"/>
    </xf>
    <xf numFmtId="0" fontId="36" fillId="31" borderId="463">
      <alignment horizontal="right" vertical="center"/>
    </xf>
    <xf numFmtId="0" fontId="49" fillId="42" borderId="460" applyNumberFormat="0" applyAlignment="0" applyProtection="0"/>
    <xf numFmtId="0" fontId="46" fillId="55" borderId="460" applyNumberFormat="0" applyAlignment="0" applyProtection="0"/>
    <xf numFmtId="4" fontId="34" fillId="0" borderId="463">
      <alignment horizontal="right" vertical="center"/>
    </xf>
    <xf numFmtId="0" fontId="34" fillId="33" borderId="466">
      <alignment horizontal="left" vertical="center" wrapText="1" indent="2"/>
    </xf>
    <xf numFmtId="0" fontId="34" fillId="0" borderId="466">
      <alignment horizontal="left" vertical="center" wrapText="1" indent="2"/>
    </xf>
    <xf numFmtId="0" fontId="62" fillId="55" borderId="459" applyNumberFormat="0" applyAlignment="0" applyProtection="0"/>
    <xf numFmtId="0" fontId="58" fillId="42" borderId="460" applyNumberFormat="0" applyAlignment="0" applyProtection="0"/>
    <xf numFmtId="0" fontId="45" fillId="55" borderId="460" applyNumberFormat="0" applyAlignment="0" applyProtection="0"/>
    <xf numFmtId="0" fontId="43" fillId="55" borderId="459" applyNumberFormat="0" applyAlignment="0" applyProtection="0"/>
    <xf numFmtId="0" fontId="32" fillId="33" borderId="465">
      <alignment horizontal="right" vertical="center"/>
    </xf>
    <xf numFmtId="0" fontId="36" fillId="31" borderId="463">
      <alignment horizontal="right" vertical="center"/>
    </xf>
    <xf numFmtId="4" fontId="32" fillId="31" borderId="463">
      <alignment horizontal="right" vertical="center"/>
    </xf>
    <xf numFmtId="4" fontId="32" fillId="33" borderId="463">
      <alignment horizontal="right" vertical="center"/>
    </xf>
    <xf numFmtId="49" fontId="34" fillId="0" borderId="464" applyNumberFormat="0" applyFont="0" applyFill="0" applyBorder="0" applyProtection="0">
      <alignment horizontal="left" vertical="center" indent="5"/>
    </xf>
    <xf numFmtId="4" fontId="34" fillId="0" borderId="463" applyFill="0" applyBorder="0" applyProtection="0">
      <alignment horizontal="right" vertical="center"/>
    </xf>
    <xf numFmtId="4" fontId="32" fillId="31" borderId="463">
      <alignment horizontal="right" vertical="center"/>
    </xf>
    <xf numFmtId="0" fontId="58" fillId="42" borderId="460" applyNumberFormat="0" applyAlignment="0" applyProtection="0"/>
    <xf numFmtId="0" fontId="49" fillId="42" borderId="460" applyNumberFormat="0" applyAlignment="0" applyProtection="0"/>
    <xf numFmtId="0" fontId="45" fillId="55" borderId="460" applyNumberFormat="0" applyAlignment="0" applyProtection="0"/>
    <xf numFmtId="0" fontId="34" fillId="33" borderId="466">
      <alignment horizontal="left" vertical="center" wrapText="1" indent="2"/>
    </xf>
    <xf numFmtId="0" fontId="34" fillId="0" borderId="466">
      <alignment horizontal="left" vertical="center" wrapText="1" indent="2"/>
    </xf>
    <xf numFmtId="0" fontId="34" fillId="33" borderId="466">
      <alignment horizontal="left" vertical="center" wrapText="1" indent="2"/>
    </xf>
    <xf numFmtId="0" fontId="32" fillId="33" borderId="468">
      <alignment horizontal="right" vertical="center"/>
    </xf>
    <xf numFmtId="0" fontId="26" fillId="14" borderId="0" applyNumberFormat="0" applyBorder="0" applyAlignment="0" applyProtection="0"/>
    <xf numFmtId="49" fontId="33" fillId="0" borderId="478" applyNumberFormat="0" applyFill="0" applyBorder="0" applyProtection="0">
      <alignment horizontal="left" vertical="center"/>
    </xf>
    <xf numFmtId="173" fontId="34" fillId="59" borderId="478" applyNumberFormat="0" applyFont="0" applyBorder="0" applyAlignment="0" applyProtection="0">
      <alignment horizontal="right" vertical="center"/>
    </xf>
    <xf numFmtId="0" fontId="45" fillId="55" borderId="475" applyNumberFormat="0" applyAlignment="0" applyProtection="0"/>
    <xf numFmtId="0" fontId="34" fillId="32" borderId="478"/>
    <xf numFmtId="0" fontId="43" fillId="55" borderId="482" applyNumberFormat="0" applyAlignment="0" applyProtection="0"/>
    <xf numFmtId="0" fontId="46" fillId="55" borderId="475" applyNumberFormat="0" applyAlignment="0" applyProtection="0"/>
    <xf numFmtId="0" fontId="34" fillId="0" borderId="478">
      <alignment horizontal="right" vertical="center"/>
    </xf>
    <xf numFmtId="0" fontId="65" fillId="0" borderId="476" applyNumberFormat="0" applyFill="0" applyAlignment="0" applyProtection="0"/>
    <xf numFmtId="4" fontId="32" fillId="33" borderId="479">
      <alignment horizontal="right" vertical="center"/>
    </xf>
    <xf numFmtId="49" fontId="33" fillId="0" borderId="478" applyNumberFormat="0" applyFill="0" applyBorder="0" applyProtection="0">
      <alignment horizontal="left" vertical="center"/>
    </xf>
    <xf numFmtId="0" fontId="46" fillId="55" borderId="475" applyNumberFormat="0" applyAlignment="0" applyProtection="0"/>
    <xf numFmtId="49" fontId="34" fillId="0" borderId="478" applyNumberFormat="0" applyFont="0" applyFill="0" applyBorder="0" applyProtection="0">
      <alignment horizontal="left" vertical="center" indent="2"/>
    </xf>
    <xf numFmtId="0" fontId="32" fillId="31" borderId="478">
      <alignment horizontal="right" vertical="center"/>
    </xf>
    <xf numFmtId="4" fontId="34" fillId="0" borderId="478">
      <alignment horizontal="right" vertical="center"/>
    </xf>
    <xf numFmtId="0" fontId="62" fillId="55" borderId="482" applyNumberFormat="0" applyAlignment="0" applyProtection="0"/>
    <xf numFmtId="0" fontId="58" fillId="42" borderId="475" applyNumberFormat="0" applyAlignment="0" applyProtection="0"/>
    <xf numFmtId="0" fontId="50" fillId="0" borderId="476" applyNumberFormat="0" applyFill="0" applyAlignment="0" applyProtection="0"/>
    <xf numFmtId="0" fontId="40" fillId="58" borderId="477" applyNumberFormat="0" applyFont="0" applyAlignment="0" applyProtection="0"/>
    <xf numFmtId="0" fontId="46" fillId="55" borderId="475" applyNumberFormat="0" applyAlignment="0" applyProtection="0"/>
    <xf numFmtId="0" fontId="45" fillId="55" borderId="475" applyNumberFormat="0" applyAlignment="0" applyProtection="0"/>
    <xf numFmtId="0" fontId="65" fillId="0" borderId="476" applyNumberFormat="0" applyFill="0" applyAlignment="0" applyProtection="0"/>
    <xf numFmtId="0" fontId="32" fillId="31" borderId="478">
      <alignment horizontal="right" vertical="center"/>
    </xf>
    <xf numFmtId="0" fontId="32" fillId="33" borderId="478">
      <alignment horizontal="right" vertical="center"/>
    </xf>
    <xf numFmtId="0" fontId="32" fillId="33" borderId="479">
      <alignment horizontal="right" vertical="center"/>
    </xf>
    <xf numFmtId="0" fontId="26" fillId="20" borderId="0" applyNumberFormat="0" applyBorder="0" applyAlignment="0" applyProtection="0"/>
    <xf numFmtId="0" fontId="36" fillId="31" borderId="478">
      <alignment horizontal="right" vertical="center"/>
    </xf>
    <xf numFmtId="0" fontId="45" fillId="55" borderId="475" applyNumberFormat="0" applyAlignment="0" applyProtection="0"/>
    <xf numFmtId="0" fontId="32" fillId="33" borderId="480">
      <alignment horizontal="right" vertical="center"/>
    </xf>
    <xf numFmtId="0" fontId="34" fillId="0" borderId="481">
      <alignment horizontal="left" vertical="center" wrapText="1" indent="2"/>
    </xf>
    <xf numFmtId="0" fontId="32" fillId="33" borderId="478">
      <alignment horizontal="right" vertical="center"/>
    </xf>
    <xf numFmtId="4" fontId="32" fillId="33" borderId="478">
      <alignment horizontal="right" vertical="center"/>
    </xf>
    <xf numFmtId="0" fontId="26" fillId="26" borderId="0" applyNumberFormat="0" applyBorder="0" applyAlignment="0" applyProtection="0"/>
    <xf numFmtId="0" fontId="26" fillId="28" borderId="0" applyNumberFormat="0" applyBorder="0" applyAlignment="0" applyProtection="0"/>
    <xf numFmtId="0" fontId="26" fillId="29" borderId="0" applyNumberFormat="0" applyBorder="0" applyAlignment="0" applyProtection="0"/>
    <xf numFmtId="0" fontId="12" fillId="27"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46" fillId="55" borderId="475" applyNumberFormat="0" applyAlignment="0" applyProtection="0"/>
    <xf numFmtId="0" fontId="26" fillId="28" borderId="0" applyNumberFormat="0" applyBorder="0" applyAlignment="0" applyProtection="0"/>
    <xf numFmtId="4" fontId="32" fillId="33" borderId="478">
      <alignment horizontal="right" vertical="center"/>
    </xf>
    <xf numFmtId="0" fontId="49" fillId="42" borderId="475" applyNumberFormat="0" applyAlignment="0" applyProtection="0"/>
    <xf numFmtId="4" fontId="32" fillId="33" borderId="468">
      <alignment horizontal="right" vertical="center"/>
    </xf>
    <xf numFmtId="0" fontId="34" fillId="32" borderId="468"/>
    <xf numFmtId="0" fontId="45" fillId="55" borderId="473" applyNumberFormat="0" applyAlignment="0" applyProtection="0"/>
    <xf numFmtId="0" fontId="32" fillId="31" borderId="468">
      <alignment horizontal="right" vertical="center"/>
    </xf>
    <xf numFmtId="0" fontId="34" fillId="0" borderId="468">
      <alignment horizontal="right" vertical="center"/>
    </xf>
    <xf numFmtId="0" fontId="65" fillId="0" borderId="474" applyNumberFormat="0" applyFill="0" applyAlignment="0" applyProtection="0"/>
    <xf numFmtId="0" fontId="34" fillId="31" borderId="469">
      <alignment horizontal="left" vertical="center"/>
    </xf>
    <xf numFmtId="0" fontId="58" fillId="42" borderId="473" applyNumberFormat="0" applyAlignment="0" applyProtection="0"/>
    <xf numFmtId="173" fontId="34" fillId="59" borderId="468" applyNumberFormat="0" applyFont="0" applyBorder="0" applyAlignment="0" applyProtection="0">
      <alignment horizontal="right" vertical="center"/>
    </xf>
    <xf numFmtId="0" fontId="40" fillId="58" borderId="467" applyNumberFormat="0" applyFont="0" applyAlignment="0" applyProtection="0"/>
    <xf numFmtId="0" fontId="34" fillId="0" borderId="471">
      <alignment horizontal="left" vertical="center" wrapText="1" indent="2"/>
    </xf>
    <xf numFmtId="4" fontId="34" fillId="32" borderId="468"/>
    <xf numFmtId="49" fontId="33" fillId="0" borderId="468" applyNumberFormat="0" applyFill="0" applyBorder="0" applyProtection="0">
      <alignment horizontal="left" vertical="center"/>
    </xf>
    <xf numFmtId="0" fontId="34" fillId="0" borderId="468">
      <alignment horizontal="right" vertical="center"/>
    </xf>
    <xf numFmtId="4" fontId="32" fillId="33" borderId="470">
      <alignment horizontal="right" vertical="center"/>
    </xf>
    <xf numFmtId="4" fontId="32" fillId="33" borderId="468">
      <alignment horizontal="right" vertical="center"/>
    </xf>
    <xf numFmtId="4" fontId="32" fillId="33" borderId="468">
      <alignment horizontal="right" vertical="center"/>
    </xf>
    <xf numFmtId="0" fontId="36" fillId="31" borderId="468">
      <alignment horizontal="right" vertical="center"/>
    </xf>
    <xf numFmtId="0" fontId="32" fillId="31" borderId="468">
      <alignment horizontal="right" vertical="center"/>
    </xf>
    <xf numFmtId="49" fontId="34" fillId="0" borderId="468" applyNumberFormat="0" applyFont="0" applyFill="0" applyBorder="0" applyProtection="0">
      <alignment horizontal="left" vertical="center" indent="2"/>
    </xf>
    <xf numFmtId="0" fontId="58" fillId="42" borderId="473" applyNumberFormat="0" applyAlignment="0" applyProtection="0"/>
    <xf numFmtId="0" fontId="43" fillId="55" borderId="472" applyNumberFormat="0" applyAlignment="0" applyProtection="0"/>
    <xf numFmtId="49" fontId="34" fillId="0" borderId="468" applyNumberFormat="0" applyFont="0" applyFill="0" applyBorder="0" applyProtection="0">
      <alignment horizontal="left" vertical="center" indent="2"/>
    </xf>
    <xf numFmtId="0" fontId="49" fillId="42" borderId="473" applyNumberFormat="0" applyAlignment="0" applyProtection="0"/>
    <xf numFmtId="4" fontId="34" fillId="0" borderId="468" applyFill="0" applyBorder="0" applyProtection="0">
      <alignment horizontal="right" vertical="center"/>
    </xf>
    <xf numFmtId="0" fontId="46" fillId="55" borderId="473" applyNumberFormat="0" applyAlignment="0" applyProtection="0"/>
    <xf numFmtId="0" fontId="65" fillId="0" borderId="474" applyNumberFormat="0" applyFill="0" applyAlignment="0" applyProtection="0"/>
    <xf numFmtId="0" fontId="62" fillId="55" borderId="472" applyNumberFormat="0" applyAlignment="0" applyProtection="0"/>
    <xf numFmtId="0" fontId="34" fillId="0" borderId="468" applyNumberFormat="0" applyFill="0" applyAlignment="0" applyProtection="0"/>
    <xf numFmtId="4" fontId="34" fillId="0" borderId="468">
      <alignment horizontal="right" vertical="center"/>
    </xf>
    <xf numFmtId="0" fontId="34" fillId="0" borderId="468">
      <alignment horizontal="right" vertical="center"/>
    </xf>
    <xf numFmtId="0" fontId="58" fillId="42" borderId="473" applyNumberFormat="0" applyAlignment="0" applyProtection="0"/>
    <xf numFmtId="0" fontId="43" fillId="55" borderId="472" applyNumberFormat="0" applyAlignment="0" applyProtection="0"/>
    <xf numFmtId="0" fontId="45" fillId="55" borderId="473" applyNumberFormat="0" applyAlignment="0" applyProtection="0"/>
    <xf numFmtId="0" fontId="34" fillId="33" borderId="471">
      <alignment horizontal="left" vertical="center" wrapText="1" indent="2"/>
    </xf>
    <xf numFmtId="0" fontId="46" fillId="55" borderId="473" applyNumberFormat="0" applyAlignment="0" applyProtection="0"/>
    <xf numFmtId="0" fontId="46" fillId="55" borderId="473" applyNumberFormat="0" applyAlignment="0" applyProtection="0"/>
    <xf numFmtId="4" fontId="32" fillId="33" borderId="469">
      <alignment horizontal="right" vertical="center"/>
    </xf>
    <xf numFmtId="0" fontId="32" fillId="33" borderId="469">
      <alignment horizontal="right" vertical="center"/>
    </xf>
    <xf numFmtId="0" fontId="32" fillId="33" borderId="468">
      <alignment horizontal="right" vertical="center"/>
    </xf>
    <xf numFmtId="4" fontId="36" fillId="31" borderId="468">
      <alignment horizontal="right" vertical="center"/>
    </xf>
    <xf numFmtId="0" fontId="49" fillId="42" borderId="473" applyNumberFormat="0" applyAlignment="0" applyProtection="0"/>
    <xf numFmtId="0" fontId="50" fillId="0" borderId="474" applyNumberFormat="0" applyFill="0" applyAlignment="0" applyProtection="0"/>
    <xf numFmtId="0" fontId="65" fillId="0" borderId="474" applyNumberFormat="0" applyFill="0" applyAlignment="0" applyProtection="0"/>
    <xf numFmtId="0" fontId="40" fillId="58" borderId="467" applyNumberFormat="0" applyFont="0" applyAlignment="0" applyProtection="0"/>
    <xf numFmtId="0" fontId="58" fillId="42" borderId="473" applyNumberFormat="0" applyAlignment="0" applyProtection="0"/>
    <xf numFmtId="49" fontId="33" fillId="0" borderId="468" applyNumberFormat="0" applyFill="0" applyBorder="0" applyProtection="0">
      <alignment horizontal="left" vertical="center"/>
    </xf>
    <xf numFmtId="0" fontId="34" fillId="33" borderId="471">
      <alignment horizontal="left" vertical="center" wrapText="1" indent="2"/>
    </xf>
    <xf numFmtId="0" fontId="46" fillId="55" borderId="473" applyNumberFormat="0" applyAlignment="0" applyProtection="0"/>
    <xf numFmtId="0" fontId="34" fillId="0" borderId="471">
      <alignment horizontal="left" vertical="center" wrapText="1" indent="2"/>
    </xf>
    <xf numFmtId="0" fontId="40" fillId="58" borderId="467" applyNumberFormat="0" applyFont="0" applyAlignment="0" applyProtection="0"/>
    <xf numFmtId="0" fontId="5" fillId="58" borderId="467" applyNumberFormat="0" applyFont="0" applyAlignment="0" applyProtection="0"/>
    <xf numFmtId="0" fontId="62" fillId="55" borderId="472" applyNumberFormat="0" applyAlignment="0" applyProtection="0"/>
    <xf numFmtId="0" fontId="65" fillId="0" borderId="474" applyNumberFormat="0" applyFill="0" applyAlignment="0" applyProtection="0"/>
    <xf numFmtId="4" fontId="34" fillId="32" borderId="468"/>
    <xf numFmtId="0" fontId="32" fillId="33" borderId="468">
      <alignment horizontal="right" vertical="center"/>
    </xf>
    <xf numFmtId="0" fontId="65" fillId="0" borderId="474" applyNumberFormat="0" applyFill="0" applyAlignment="0" applyProtection="0"/>
    <xf numFmtId="4" fontId="32" fillId="33" borderId="470">
      <alignment horizontal="right" vertical="center"/>
    </xf>
    <xf numFmtId="0" fontId="45" fillId="55" borderId="473" applyNumberFormat="0" applyAlignment="0" applyProtection="0"/>
    <xf numFmtId="0" fontId="32" fillId="33" borderId="469">
      <alignment horizontal="right" vertical="center"/>
    </xf>
    <xf numFmtId="0" fontId="46" fillId="55" borderId="473" applyNumberFormat="0" applyAlignment="0" applyProtection="0"/>
    <xf numFmtId="0" fontId="50" fillId="0" borderId="474" applyNumberFormat="0" applyFill="0" applyAlignment="0" applyProtection="0"/>
    <xf numFmtId="0" fontId="40" fillId="58" borderId="467" applyNumberFormat="0" applyFont="0" applyAlignment="0" applyProtection="0"/>
    <xf numFmtId="4" fontId="32" fillId="33" borderId="469">
      <alignment horizontal="right" vertical="center"/>
    </xf>
    <xf numFmtId="0" fontId="34" fillId="33" borderId="471">
      <alignment horizontal="left" vertical="center" wrapText="1" indent="2"/>
    </xf>
    <xf numFmtId="0" fontId="34" fillId="32" borderId="468"/>
    <xf numFmtId="173" fontId="34" fillId="59" borderId="468" applyNumberFormat="0" applyFont="0" applyBorder="0" applyAlignment="0" applyProtection="0">
      <alignment horizontal="right" vertical="center"/>
    </xf>
    <xf numFmtId="0" fontId="34" fillId="0" borderId="468" applyNumberFormat="0" applyFill="0" applyAlignment="0" applyProtection="0"/>
    <xf numFmtId="4" fontId="34" fillId="0" borderId="468" applyFill="0" applyBorder="0" applyProtection="0">
      <alignment horizontal="right" vertical="center"/>
    </xf>
    <xf numFmtId="4" fontId="32" fillId="31" borderId="468">
      <alignment horizontal="right" vertical="center"/>
    </xf>
    <xf numFmtId="0" fontId="50" fillId="0" borderId="474" applyNumberFormat="0" applyFill="0" applyAlignment="0" applyProtection="0"/>
    <xf numFmtId="49" fontId="33" fillId="0" borderId="468" applyNumberFormat="0" applyFill="0" applyBorder="0" applyProtection="0">
      <alignment horizontal="left" vertical="center"/>
    </xf>
    <xf numFmtId="49" fontId="34" fillId="0" borderId="469" applyNumberFormat="0" applyFont="0" applyFill="0" applyBorder="0" applyProtection="0">
      <alignment horizontal="left" vertical="center" indent="5"/>
    </xf>
    <xf numFmtId="0" fontId="34" fillId="31" borderId="469">
      <alignment horizontal="left" vertical="center"/>
    </xf>
    <xf numFmtId="0" fontId="46" fillId="55" borderId="473" applyNumberFormat="0" applyAlignment="0" applyProtection="0"/>
    <xf numFmtId="4" fontId="32" fillId="33" borderId="470">
      <alignment horizontal="right" vertical="center"/>
    </xf>
    <xf numFmtId="0" fontId="58" fillId="42" borderId="473" applyNumberFormat="0" applyAlignment="0" applyProtection="0"/>
    <xf numFmtId="0" fontId="58" fillId="42" borderId="473" applyNumberFormat="0" applyAlignment="0" applyProtection="0"/>
    <xf numFmtId="0" fontId="40" fillId="58" borderId="467" applyNumberFormat="0" applyFont="0" applyAlignment="0" applyProtection="0"/>
    <xf numFmtId="0" fontId="62" fillId="55" borderId="472" applyNumberFormat="0" applyAlignment="0" applyProtection="0"/>
    <xf numFmtId="0" fontId="65" fillId="0" borderId="474" applyNumberFormat="0" applyFill="0" applyAlignment="0" applyProtection="0"/>
    <xf numFmtId="0" fontId="32" fillId="33" borderId="468">
      <alignment horizontal="right" vertical="center"/>
    </xf>
    <xf numFmtId="0" fontId="5" fillId="58" borderId="467" applyNumberFormat="0" applyFont="0" applyAlignment="0" applyProtection="0"/>
    <xf numFmtId="4" fontId="34" fillId="0" borderId="468">
      <alignment horizontal="right" vertical="center"/>
    </xf>
    <xf numFmtId="0" fontId="65" fillId="0" borderId="474" applyNumberFormat="0" applyFill="0" applyAlignment="0" applyProtection="0"/>
    <xf numFmtId="0" fontId="32" fillId="33" borderId="468">
      <alignment horizontal="right" vertical="center"/>
    </xf>
    <xf numFmtId="0" fontId="32" fillId="33" borderId="468">
      <alignment horizontal="right" vertical="center"/>
    </xf>
    <xf numFmtId="4" fontId="36" fillId="31" borderId="468">
      <alignment horizontal="right" vertical="center"/>
    </xf>
    <xf numFmtId="0" fontId="32" fillId="31" borderId="468">
      <alignment horizontal="right" vertical="center"/>
    </xf>
    <xf numFmtId="4" fontId="32" fillId="31" borderId="468">
      <alignment horizontal="right" vertical="center"/>
    </xf>
    <xf numFmtId="0" fontId="36" fillId="31" borderId="468">
      <alignment horizontal="right" vertical="center"/>
    </xf>
    <xf numFmtId="4" fontId="36" fillId="31" borderId="468">
      <alignment horizontal="right" vertical="center"/>
    </xf>
    <xf numFmtId="0" fontId="32" fillId="33" borderId="468">
      <alignment horizontal="right" vertical="center"/>
    </xf>
    <xf numFmtId="4" fontId="32" fillId="33" borderId="468">
      <alignment horizontal="right" vertical="center"/>
    </xf>
    <xf numFmtId="0" fontId="32" fillId="33" borderId="468">
      <alignment horizontal="right" vertical="center"/>
    </xf>
    <xf numFmtId="4" fontId="32" fillId="33" borderId="468">
      <alignment horizontal="right" vertical="center"/>
    </xf>
    <xf numFmtId="0" fontId="32" fillId="33" borderId="469">
      <alignment horizontal="right" vertical="center"/>
    </xf>
    <xf numFmtId="4" fontId="32" fillId="33" borderId="469">
      <alignment horizontal="right" vertical="center"/>
    </xf>
    <xf numFmtId="0" fontId="32" fillId="33" borderId="470">
      <alignment horizontal="right" vertical="center"/>
    </xf>
    <xf numFmtId="4" fontId="32" fillId="33" borderId="470">
      <alignment horizontal="right" vertical="center"/>
    </xf>
    <xf numFmtId="0" fontId="46" fillId="55" borderId="473" applyNumberFormat="0" applyAlignment="0" applyProtection="0"/>
    <xf numFmtId="0" fontId="34" fillId="33" borderId="471">
      <alignment horizontal="left" vertical="center" wrapText="1" indent="2"/>
    </xf>
    <xf numFmtId="0" fontId="34" fillId="0" borderId="471">
      <alignment horizontal="left" vertical="center" wrapText="1" indent="2"/>
    </xf>
    <xf numFmtId="0" fontId="34" fillId="31" borderId="469">
      <alignment horizontal="left" vertical="center"/>
    </xf>
    <xf numFmtId="0" fontId="58" fillId="42" borderId="473" applyNumberFormat="0" applyAlignment="0" applyProtection="0"/>
    <xf numFmtId="0" fontId="34" fillId="0" borderId="468">
      <alignment horizontal="right" vertical="center"/>
    </xf>
    <xf numFmtId="4" fontId="34" fillId="0" borderId="468">
      <alignment horizontal="right" vertical="center"/>
    </xf>
    <xf numFmtId="0" fontId="34" fillId="0" borderId="468" applyNumberFormat="0" applyFill="0" applyAlignment="0" applyProtection="0"/>
    <xf numFmtId="0" fontId="62" fillId="55" borderId="472" applyNumberFormat="0" applyAlignment="0" applyProtection="0"/>
    <xf numFmtId="173" fontId="34" fillId="59" borderId="468" applyNumberFormat="0" applyFont="0" applyBorder="0" applyAlignment="0" applyProtection="0">
      <alignment horizontal="right" vertical="center"/>
    </xf>
    <xf numFmtId="0" fontId="34" fillId="32" borderId="468"/>
    <xf numFmtId="4" fontId="34" fillId="32" borderId="468"/>
    <xf numFmtId="0" fontId="65" fillId="0" borderId="474" applyNumberFormat="0" applyFill="0" applyAlignment="0" applyProtection="0"/>
    <xf numFmtId="0" fontId="5" fillId="58" borderId="467" applyNumberFormat="0" applyFont="0" applyAlignment="0" applyProtection="0"/>
    <xf numFmtId="0" fontId="40" fillId="58" borderId="467" applyNumberFormat="0" applyFont="0" applyAlignment="0" applyProtection="0"/>
    <xf numFmtId="0" fontId="34" fillId="0" borderId="468" applyNumberFormat="0" applyFill="0" applyAlignment="0" applyProtection="0"/>
    <xf numFmtId="0" fontId="50" fillId="0" borderId="474" applyNumberFormat="0" applyFill="0" applyAlignment="0" applyProtection="0"/>
    <xf numFmtId="0" fontId="65" fillId="0" borderId="474" applyNumberFormat="0" applyFill="0" applyAlignment="0" applyProtection="0"/>
    <xf numFmtId="0" fontId="49" fillId="42" borderId="473" applyNumberFormat="0" applyAlignment="0" applyProtection="0"/>
    <xf numFmtId="0" fontId="46" fillId="55" borderId="473" applyNumberFormat="0" applyAlignment="0" applyProtection="0"/>
    <xf numFmtId="4" fontId="36" fillId="31" borderId="468">
      <alignment horizontal="right" vertical="center"/>
    </xf>
    <xf numFmtId="0" fontId="32" fillId="31" borderId="468">
      <alignment horizontal="right" vertical="center"/>
    </xf>
    <xf numFmtId="173" fontId="34" fillId="59" borderId="468" applyNumberFormat="0" applyFont="0" applyBorder="0" applyAlignment="0" applyProtection="0">
      <alignment horizontal="right" vertical="center"/>
    </xf>
    <xf numFmtId="0" fontId="50" fillId="0" borderId="474" applyNumberFormat="0" applyFill="0" applyAlignment="0" applyProtection="0"/>
    <xf numFmtId="49" fontId="34" fillId="0" borderId="468" applyNumberFormat="0" applyFont="0" applyFill="0" applyBorder="0" applyProtection="0">
      <alignment horizontal="left" vertical="center" indent="2"/>
    </xf>
    <xf numFmtId="49" fontId="34" fillId="0" borderId="469" applyNumberFormat="0" applyFont="0" applyFill="0" applyBorder="0" applyProtection="0">
      <alignment horizontal="left" vertical="center" indent="5"/>
    </xf>
    <xf numFmtId="49" fontId="34" fillId="0" borderId="468" applyNumberFormat="0" applyFont="0" applyFill="0" applyBorder="0" applyProtection="0">
      <alignment horizontal="left" vertical="center" indent="2"/>
    </xf>
    <xf numFmtId="4" fontId="34" fillId="0" borderId="468" applyFill="0" applyBorder="0" applyProtection="0">
      <alignment horizontal="right" vertical="center"/>
    </xf>
    <xf numFmtId="49" fontId="33" fillId="0" borderId="468" applyNumberFormat="0" applyFill="0" applyBorder="0" applyProtection="0">
      <alignment horizontal="left" vertical="center"/>
    </xf>
    <xf numFmtId="0" fontId="34" fillId="0" borderId="471">
      <alignment horizontal="left" vertical="center" wrapText="1" indent="2"/>
    </xf>
    <xf numFmtId="0" fontId="62" fillId="55" borderId="472" applyNumberFormat="0" applyAlignment="0" applyProtection="0"/>
    <xf numFmtId="0" fontId="32" fillId="33" borderId="470">
      <alignment horizontal="right" vertical="center"/>
    </xf>
    <xf numFmtId="0" fontId="49" fillId="42" borderId="473" applyNumberFormat="0" applyAlignment="0" applyProtection="0"/>
    <xf numFmtId="0" fontId="32" fillId="33" borderId="470">
      <alignment horizontal="right" vertical="center"/>
    </xf>
    <xf numFmtId="4" fontId="32" fillId="33" borderId="468">
      <alignment horizontal="right" vertical="center"/>
    </xf>
    <xf numFmtId="0" fontId="32" fillId="33" borderId="468">
      <alignment horizontal="right" vertical="center"/>
    </xf>
    <xf numFmtId="0" fontId="43" fillId="55" borderId="472" applyNumberFormat="0" applyAlignment="0" applyProtection="0"/>
    <xf numFmtId="0" fontId="45" fillId="55" borderId="473" applyNumberFormat="0" applyAlignment="0" applyProtection="0"/>
    <xf numFmtId="0" fontId="50" fillId="0" borderId="474" applyNumberFormat="0" applyFill="0" applyAlignment="0" applyProtection="0"/>
    <xf numFmtId="0" fontId="34" fillId="32" borderId="468"/>
    <xf numFmtId="4" fontId="34" fillId="32" borderId="468"/>
    <xf numFmtId="4" fontId="32" fillId="33" borderId="468">
      <alignment horizontal="right" vertical="center"/>
    </xf>
    <xf numFmtId="0" fontId="36" fillId="31" borderId="468">
      <alignment horizontal="right" vertical="center"/>
    </xf>
    <xf numFmtId="0" fontId="49" fillId="42" borderId="473" applyNumberFormat="0" applyAlignment="0" applyProtection="0"/>
    <xf numFmtId="0" fontId="46" fillId="55" borderId="473" applyNumberFormat="0" applyAlignment="0" applyProtection="0"/>
    <xf numFmtId="4" fontId="34" fillId="0" borderId="468">
      <alignment horizontal="right" vertical="center"/>
    </xf>
    <xf numFmtId="0" fontId="34" fillId="33" borderId="471">
      <alignment horizontal="left" vertical="center" wrapText="1" indent="2"/>
    </xf>
    <xf numFmtId="0" fontId="34" fillId="0" borderId="471">
      <alignment horizontal="left" vertical="center" wrapText="1" indent="2"/>
    </xf>
    <xf numFmtId="0" fontId="62" fillId="55" borderId="472" applyNumberFormat="0" applyAlignment="0" applyProtection="0"/>
    <xf numFmtId="0" fontId="58" fillId="42" borderId="473" applyNumberFormat="0" applyAlignment="0" applyProtection="0"/>
    <xf numFmtId="0" fontId="45" fillId="55" borderId="473" applyNumberFormat="0" applyAlignment="0" applyProtection="0"/>
    <xf numFmtId="0" fontId="43" fillId="55" borderId="472" applyNumberFormat="0" applyAlignment="0" applyProtection="0"/>
    <xf numFmtId="0" fontId="32" fillId="33" borderId="470">
      <alignment horizontal="right" vertical="center"/>
    </xf>
    <xf numFmtId="0" fontId="36" fillId="31" borderId="468">
      <alignment horizontal="right" vertical="center"/>
    </xf>
    <xf numFmtId="4" fontId="32" fillId="31" borderId="468">
      <alignment horizontal="right" vertical="center"/>
    </xf>
    <xf numFmtId="4" fontId="32" fillId="33" borderId="468">
      <alignment horizontal="right" vertical="center"/>
    </xf>
    <xf numFmtId="49" fontId="34" fillId="0" borderId="469" applyNumberFormat="0" applyFont="0" applyFill="0" applyBorder="0" applyProtection="0">
      <alignment horizontal="left" vertical="center" indent="5"/>
    </xf>
    <xf numFmtId="4" fontId="34" fillId="0" borderId="468" applyFill="0" applyBorder="0" applyProtection="0">
      <alignment horizontal="right" vertical="center"/>
    </xf>
    <xf numFmtId="4" fontId="32" fillId="31" borderId="468">
      <alignment horizontal="right" vertical="center"/>
    </xf>
    <xf numFmtId="4" fontId="32" fillId="33" borderId="478">
      <alignment horizontal="right" vertical="center"/>
    </xf>
    <xf numFmtId="0" fontId="58" fillId="42" borderId="473" applyNumberFormat="0" applyAlignment="0" applyProtection="0"/>
    <xf numFmtId="0" fontId="49" fillId="42" borderId="473" applyNumberFormat="0" applyAlignment="0" applyProtection="0"/>
    <xf numFmtId="0" fontId="45" fillId="55" borderId="473" applyNumberFormat="0" applyAlignment="0" applyProtection="0"/>
    <xf numFmtId="0" fontId="34" fillId="33" borderId="471">
      <alignment horizontal="left" vertical="center" wrapText="1" indent="2"/>
    </xf>
    <xf numFmtId="0" fontId="34" fillId="0" borderId="471">
      <alignment horizontal="left" vertical="center" wrapText="1" indent="2"/>
    </xf>
    <xf numFmtId="0" fontId="34" fillId="33" borderId="471">
      <alignment horizontal="left" vertical="center" wrapText="1" indent="2"/>
    </xf>
    <xf numFmtId="0" fontId="34" fillId="0" borderId="471">
      <alignment horizontal="left" vertical="center" wrapText="1" indent="2"/>
    </xf>
    <xf numFmtId="0" fontId="43" fillId="55" borderId="472" applyNumberFormat="0" applyAlignment="0" applyProtection="0"/>
    <xf numFmtId="0" fontId="45" fillId="55" borderId="473" applyNumberFormat="0" applyAlignment="0" applyProtection="0"/>
    <xf numFmtId="0" fontId="46" fillId="55" borderId="473" applyNumberFormat="0" applyAlignment="0" applyProtection="0"/>
    <xf numFmtId="0" fontId="49" fillId="42" borderId="473" applyNumberFormat="0" applyAlignment="0" applyProtection="0"/>
    <xf numFmtId="0" fontId="50" fillId="0" borderId="474" applyNumberFormat="0" applyFill="0" applyAlignment="0" applyProtection="0"/>
    <xf numFmtId="0" fontId="58" fillId="42" borderId="473" applyNumberFormat="0" applyAlignment="0" applyProtection="0"/>
    <xf numFmtId="0" fontId="40" fillId="58" borderId="467" applyNumberFormat="0" applyFont="0" applyAlignment="0" applyProtection="0"/>
    <xf numFmtId="0" fontId="5" fillId="58" borderId="467" applyNumberFormat="0" applyFont="0" applyAlignment="0" applyProtection="0"/>
    <xf numFmtId="0" fontId="62" fillId="55" borderId="472" applyNumberFormat="0" applyAlignment="0" applyProtection="0"/>
    <xf numFmtId="0" fontId="65" fillId="0" borderId="474" applyNumberFormat="0" applyFill="0" applyAlignment="0" applyProtection="0"/>
    <xf numFmtId="0" fontId="46" fillId="55" borderId="473" applyNumberFormat="0" applyAlignment="0" applyProtection="0"/>
    <xf numFmtId="0" fontId="58" fillId="42" borderId="473" applyNumberFormat="0" applyAlignment="0" applyProtection="0"/>
    <xf numFmtId="0" fontId="40" fillId="58" borderId="467" applyNumberFormat="0" applyFont="0" applyAlignment="0" applyProtection="0"/>
    <xf numFmtId="0" fontId="62" fillId="55" borderId="472" applyNumberFormat="0" applyAlignment="0" applyProtection="0"/>
    <xf numFmtId="0" fontId="65" fillId="0" borderId="474" applyNumberFormat="0" applyFill="0" applyAlignment="0" applyProtection="0"/>
    <xf numFmtId="0" fontId="34" fillId="32" borderId="478"/>
    <xf numFmtId="0" fontId="46" fillId="55" borderId="473" applyNumberFormat="0" applyAlignment="0" applyProtection="0"/>
    <xf numFmtId="0" fontId="50" fillId="0" borderId="476" applyNumberFormat="0" applyFill="0" applyAlignment="0" applyProtection="0"/>
    <xf numFmtId="0" fontId="50" fillId="0" borderId="476" applyNumberFormat="0" applyFill="0" applyAlignment="0" applyProtection="0"/>
    <xf numFmtId="0" fontId="58" fillId="42" borderId="473" applyNumberFormat="0" applyAlignment="0" applyProtection="0"/>
    <xf numFmtId="0" fontId="62" fillId="55" borderId="472" applyNumberFormat="0" applyAlignment="0" applyProtection="0"/>
    <xf numFmtId="0" fontId="65" fillId="0" borderId="474" applyNumberFormat="0" applyFill="0" applyAlignment="0" applyProtection="0"/>
    <xf numFmtId="0" fontId="49" fillId="42" borderId="475" applyNumberFormat="0" applyAlignment="0" applyProtection="0"/>
    <xf numFmtId="0" fontId="43" fillId="55" borderId="472" applyNumberFormat="0" applyAlignment="0" applyProtection="0"/>
    <xf numFmtId="0" fontId="45" fillId="55" borderId="473" applyNumberFormat="0" applyAlignment="0" applyProtection="0"/>
    <xf numFmtId="0" fontId="50" fillId="0" borderId="474" applyNumberFormat="0" applyFill="0" applyAlignment="0" applyProtection="0"/>
    <xf numFmtId="49" fontId="34" fillId="0" borderId="468" applyNumberFormat="0" applyFont="0" applyFill="0" applyBorder="0" applyProtection="0">
      <alignment horizontal="left" vertical="center" indent="2"/>
    </xf>
    <xf numFmtId="0" fontId="32" fillId="31" borderId="468">
      <alignment horizontal="right" vertical="center"/>
    </xf>
    <xf numFmtId="4" fontId="32" fillId="31" borderId="468">
      <alignment horizontal="right" vertical="center"/>
    </xf>
    <xf numFmtId="0" fontId="36" fillId="31" borderId="468">
      <alignment horizontal="right" vertical="center"/>
    </xf>
    <xf numFmtId="4" fontId="36" fillId="31" borderId="468">
      <alignment horizontal="right" vertical="center"/>
    </xf>
    <xf numFmtId="0" fontId="32" fillId="33" borderId="468">
      <alignment horizontal="right" vertical="center"/>
    </xf>
    <xf numFmtId="4" fontId="32" fillId="33" borderId="468">
      <alignment horizontal="right" vertical="center"/>
    </xf>
    <xf numFmtId="0" fontId="32" fillId="33" borderId="468">
      <alignment horizontal="right" vertical="center"/>
    </xf>
    <xf numFmtId="4" fontId="32" fillId="33" borderId="468">
      <alignment horizontal="right" vertical="center"/>
    </xf>
    <xf numFmtId="0" fontId="49" fillId="42" borderId="473" applyNumberFormat="0" applyAlignment="0" applyProtection="0"/>
    <xf numFmtId="0" fontId="34" fillId="0" borderId="468">
      <alignment horizontal="right" vertical="center"/>
    </xf>
    <xf numFmtId="4" fontId="34" fillId="0" borderId="468">
      <alignment horizontal="right" vertical="center"/>
    </xf>
    <xf numFmtId="4" fontId="34" fillId="0" borderId="468" applyFill="0" applyBorder="0" applyProtection="0">
      <alignment horizontal="right" vertical="center"/>
    </xf>
    <xf numFmtId="49" fontId="33" fillId="0" borderId="468" applyNumberFormat="0" applyFill="0" applyBorder="0" applyProtection="0">
      <alignment horizontal="left" vertical="center"/>
    </xf>
    <xf numFmtId="0" fontId="34" fillId="0" borderId="468" applyNumberFormat="0" applyFill="0" applyAlignment="0" applyProtection="0"/>
    <xf numFmtId="173" fontId="34" fillId="59" borderId="468" applyNumberFormat="0" applyFont="0" applyBorder="0" applyAlignment="0" applyProtection="0">
      <alignment horizontal="right" vertical="center"/>
    </xf>
    <xf numFmtId="0" fontId="34" fillId="32" borderId="468"/>
    <xf numFmtId="4" fontId="34" fillId="32" borderId="468"/>
    <xf numFmtId="4" fontId="32" fillId="33" borderId="468">
      <alignment horizontal="right" vertical="center"/>
    </xf>
    <xf numFmtId="0" fontId="34" fillId="32" borderId="468"/>
    <xf numFmtId="0" fontId="45" fillId="55" borderId="473" applyNumberFormat="0" applyAlignment="0" applyProtection="0"/>
    <xf numFmtId="0" fontId="32" fillId="31" borderId="468">
      <alignment horizontal="right" vertical="center"/>
    </xf>
    <xf numFmtId="0" fontId="34" fillId="0" borderId="468">
      <alignment horizontal="right" vertical="center"/>
    </xf>
    <xf numFmtId="0" fontId="65" fillId="0" borderId="474" applyNumberFormat="0" applyFill="0" applyAlignment="0" applyProtection="0"/>
    <xf numFmtId="0" fontId="34" fillId="31" borderId="469">
      <alignment horizontal="left" vertical="center"/>
    </xf>
    <xf numFmtId="0" fontId="58" fillId="42" borderId="473" applyNumberFormat="0" applyAlignment="0" applyProtection="0"/>
    <xf numFmtId="173" fontId="34" fillId="59" borderId="468" applyNumberFormat="0" applyFont="0" applyBorder="0" applyAlignment="0" applyProtection="0">
      <alignment horizontal="right" vertical="center"/>
    </xf>
    <xf numFmtId="0" fontId="40" fillId="58" borderId="467" applyNumberFormat="0" applyFont="0" applyAlignment="0" applyProtection="0"/>
    <xf numFmtId="0" fontId="34" fillId="0" borderId="471">
      <alignment horizontal="left" vertical="center" wrapText="1" indent="2"/>
    </xf>
    <xf numFmtId="4" fontId="34" fillId="32" borderId="468"/>
    <xf numFmtId="49" fontId="33" fillId="0" borderId="468" applyNumberFormat="0" applyFill="0" applyBorder="0" applyProtection="0">
      <alignment horizontal="left" vertical="center"/>
    </xf>
    <xf numFmtId="0" fontId="34" fillId="0" borderId="468">
      <alignment horizontal="right" vertical="center"/>
    </xf>
    <xf numFmtId="4" fontId="32" fillId="33" borderId="470">
      <alignment horizontal="right" vertical="center"/>
    </xf>
    <xf numFmtId="4" fontId="32" fillId="33" borderId="468">
      <alignment horizontal="right" vertical="center"/>
    </xf>
    <xf numFmtId="4" fontId="32" fillId="33" borderId="468">
      <alignment horizontal="right" vertical="center"/>
    </xf>
    <xf numFmtId="0" fontId="36" fillId="31" borderId="468">
      <alignment horizontal="right" vertical="center"/>
    </xf>
    <xf numFmtId="0" fontId="32" fillId="31" borderId="468">
      <alignment horizontal="right" vertical="center"/>
    </xf>
    <xf numFmtId="49" fontId="34" fillId="0" borderId="468" applyNumberFormat="0" applyFont="0" applyFill="0" applyBorder="0" applyProtection="0">
      <alignment horizontal="left" vertical="center" indent="2"/>
    </xf>
    <xf numFmtId="0" fontId="58" fillId="42" borderId="473" applyNumberFormat="0" applyAlignment="0" applyProtection="0"/>
    <xf numFmtId="0" fontId="43" fillId="55" borderId="472" applyNumberFormat="0" applyAlignment="0" applyProtection="0"/>
    <xf numFmtId="49" fontId="34" fillId="0" borderId="468" applyNumberFormat="0" applyFont="0" applyFill="0" applyBorder="0" applyProtection="0">
      <alignment horizontal="left" vertical="center" indent="2"/>
    </xf>
    <xf numFmtId="0" fontId="49" fillId="42" borderId="473" applyNumberFormat="0" applyAlignment="0" applyProtection="0"/>
    <xf numFmtId="4" fontId="34" fillId="0" borderId="468" applyFill="0" applyBorder="0" applyProtection="0">
      <alignment horizontal="right" vertical="center"/>
    </xf>
    <xf numFmtId="0" fontId="46" fillId="55" borderId="473" applyNumberFormat="0" applyAlignment="0" applyProtection="0"/>
    <xf numFmtId="0" fontId="65" fillId="0" borderId="474" applyNumberFormat="0" applyFill="0" applyAlignment="0" applyProtection="0"/>
    <xf numFmtId="0" fontId="62" fillId="55" borderId="472" applyNumberFormat="0" applyAlignment="0" applyProtection="0"/>
    <xf numFmtId="0" fontId="34" fillId="0" borderId="468" applyNumberFormat="0" applyFill="0" applyAlignment="0" applyProtection="0"/>
    <xf numFmtId="4" fontId="34" fillId="0" borderId="468">
      <alignment horizontal="right" vertical="center"/>
    </xf>
    <xf numFmtId="0" fontId="34" fillId="0" borderId="468">
      <alignment horizontal="right" vertical="center"/>
    </xf>
    <xf numFmtId="0" fontId="58" fillId="42" borderId="473" applyNumberFormat="0" applyAlignment="0" applyProtection="0"/>
    <xf numFmtId="0" fontId="43" fillId="55" borderId="472" applyNumberFormat="0" applyAlignment="0" applyProtection="0"/>
    <xf numFmtId="0" fontId="45" fillId="55" borderId="473" applyNumberFormat="0" applyAlignment="0" applyProtection="0"/>
    <xf numFmtId="0" fontId="34" fillId="33" borderId="471">
      <alignment horizontal="left" vertical="center" wrapText="1" indent="2"/>
    </xf>
    <xf numFmtId="0" fontId="46" fillId="55" borderId="473" applyNumberFormat="0" applyAlignment="0" applyProtection="0"/>
    <xf numFmtId="0" fontId="46" fillId="55" borderId="473" applyNumberFormat="0" applyAlignment="0" applyProtection="0"/>
    <xf numFmtId="4" fontId="32" fillId="33" borderId="469">
      <alignment horizontal="right" vertical="center"/>
    </xf>
    <xf numFmtId="0" fontId="32" fillId="33" borderId="469">
      <alignment horizontal="right" vertical="center"/>
    </xf>
    <xf numFmtId="0" fontId="32" fillId="33" borderId="468">
      <alignment horizontal="right" vertical="center"/>
    </xf>
    <xf numFmtId="4" fontId="36" fillId="31" borderId="468">
      <alignment horizontal="right" vertical="center"/>
    </xf>
    <xf numFmtId="0" fontId="49" fillId="42" borderId="473" applyNumberFormat="0" applyAlignment="0" applyProtection="0"/>
    <xf numFmtId="0" fontId="50" fillId="0" borderId="474" applyNumberFormat="0" applyFill="0" applyAlignment="0" applyProtection="0"/>
    <xf numFmtId="0" fontId="65" fillId="0" borderId="474" applyNumberFormat="0" applyFill="0" applyAlignment="0" applyProtection="0"/>
    <xf numFmtId="0" fontId="40" fillId="58" borderId="467" applyNumberFormat="0" applyFont="0" applyAlignment="0" applyProtection="0"/>
    <xf numFmtId="0" fontId="58" fillId="42" borderId="473" applyNumberFormat="0" applyAlignment="0" applyProtection="0"/>
    <xf numFmtId="49" fontId="33" fillId="0" borderId="468" applyNumberFormat="0" applyFill="0" applyBorder="0" applyProtection="0">
      <alignment horizontal="left" vertical="center"/>
    </xf>
    <xf numFmtId="0" fontId="34" fillId="33" borderId="471">
      <alignment horizontal="left" vertical="center" wrapText="1" indent="2"/>
    </xf>
    <xf numFmtId="0" fontId="46" fillId="55" borderId="473" applyNumberFormat="0" applyAlignment="0" applyProtection="0"/>
    <xf numFmtId="0" fontId="34" fillId="0" borderId="471">
      <alignment horizontal="left" vertical="center" wrapText="1" indent="2"/>
    </xf>
    <xf numFmtId="0" fontId="40" fillId="58" borderId="467" applyNumberFormat="0" applyFont="0" applyAlignment="0" applyProtection="0"/>
    <xf numFmtId="0" fontId="5" fillId="58" borderId="467" applyNumberFormat="0" applyFont="0" applyAlignment="0" applyProtection="0"/>
    <xf numFmtId="0" fontId="62" fillId="55" borderId="472" applyNumberFormat="0" applyAlignment="0" applyProtection="0"/>
    <xf numFmtId="0" fontId="65" fillId="0" borderId="474" applyNumberFormat="0" applyFill="0" applyAlignment="0" applyProtection="0"/>
    <xf numFmtId="4" fontId="34" fillId="32" borderId="468"/>
    <xf numFmtId="0" fontId="32" fillId="33" borderId="468">
      <alignment horizontal="right" vertical="center"/>
    </xf>
    <xf numFmtId="0" fontId="65" fillId="0" borderId="474" applyNumberFormat="0" applyFill="0" applyAlignment="0" applyProtection="0"/>
    <xf numFmtId="4" fontId="32" fillId="33" borderId="470">
      <alignment horizontal="right" vertical="center"/>
    </xf>
    <xf numFmtId="0" fontId="45" fillId="55" borderId="473" applyNumberFormat="0" applyAlignment="0" applyProtection="0"/>
    <xf numFmtId="0" fontId="32" fillId="33" borderId="469">
      <alignment horizontal="right" vertical="center"/>
    </xf>
    <xf numFmtId="0" fontId="46" fillId="55" borderId="473" applyNumberFormat="0" applyAlignment="0" applyProtection="0"/>
    <xf numFmtId="0" fontId="50" fillId="0" borderId="474" applyNumberFormat="0" applyFill="0" applyAlignment="0" applyProtection="0"/>
    <xf numFmtId="0" fontId="40" fillId="58" borderId="467" applyNumberFormat="0" applyFont="0" applyAlignment="0" applyProtection="0"/>
    <xf numFmtId="4" fontId="32" fillId="33" borderId="469">
      <alignment horizontal="right" vertical="center"/>
    </xf>
    <xf numFmtId="0" fontId="34" fillId="33" borderId="471">
      <alignment horizontal="left" vertical="center" wrapText="1" indent="2"/>
    </xf>
    <xf numFmtId="0" fontId="34" fillId="32" borderId="468"/>
    <xf numFmtId="173" fontId="34" fillId="59" borderId="468" applyNumberFormat="0" applyFont="0" applyBorder="0" applyAlignment="0" applyProtection="0">
      <alignment horizontal="right" vertical="center"/>
    </xf>
    <xf numFmtId="0" fontId="34" fillId="0" borderId="468" applyNumberFormat="0" applyFill="0" applyAlignment="0" applyProtection="0"/>
    <xf numFmtId="4" fontId="34" fillId="0" borderId="468" applyFill="0" applyBorder="0" applyProtection="0">
      <alignment horizontal="right" vertical="center"/>
    </xf>
    <xf numFmtId="4" fontId="32" fillId="31" borderId="468">
      <alignment horizontal="right" vertical="center"/>
    </xf>
    <xf numFmtId="0" fontId="50" fillId="0" borderId="474" applyNumberFormat="0" applyFill="0" applyAlignment="0" applyProtection="0"/>
    <xf numFmtId="49" fontId="33" fillId="0" borderId="468" applyNumberFormat="0" applyFill="0" applyBorder="0" applyProtection="0">
      <alignment horizontal="left" vertical="center"/>
    </xf>
    <xf numFmtId="49" fontId="34" fillId="0" borderId="469" applyNumberFormat="0" applyFont="0" applyFill="0" applyBorder="0" applyProtection="0">
      <alignment horizontal="left" vertical="center" indent="5"/>
    </xf>
    <xf numFmtId="0" fontId="34" fillId="31" borderId="469">
      <alignment horizontal="left" vertical="center"/>
    </xf>
    <xf numFmtId="0" fontId="46" fillId="55" borderId="473" applyNumberFormat="0" applyAlignment="0" applyProtection="0"/>
    <xf numFmtId="4" fontId="32" fillId="33" borderId="470">
      <alignment horizontal="right" vertical="center"/>
    </xf>
    <xf numFmtId="0" fontId="58" fillId="42" borderId="473" applyNumberFormat="0" applyAlignment="0" applyProtection="0"/>
    <xf numFmtId="0" fontId="58" fillId="42" borderId="473" applyNumberFormat="0" applyAlignment="0" applyProtection="0"/>
    <xf numFmtId="0" fontId="40" fillId="58" borderId="467" applyNumberFormat="0" applyFont="0" applyAlignment="0" applyProtection="0"/>
    <xf numFmtId="0" fontId="62" fillId="55" borderId="472" applyNumberFormat="0" applyAlignment="0" applyProtection="0"/>
    <xf numFmtId="0" fontId="65" fillId="0" borderId="474" applyNumberFormat="0" applyFill="0" applyAlignment="0" applyProtection="0"/>
    <xf numFmtId="0" fontId="32" fillId="33" borderId="468">
      <alignment horizontal="right" vertical="center"/>
    </xf>
    <xf numFmtId="0" fontId="5" fillId="58" borderId="467" applyNumberFormat="0" applyFont="0" applyAlignment="0" applyProtection="0"/>
    <xf numFmtId="4" fontId="34" fillId="0" borderId="468">
      <alignment horizontal="right" vertical="center"/>
    </xf>
    <xf numFmtId="0" fontId="65" fillId="0" borderId="474" applyNumberFormat="0" applyFill="0" applyAlignment="0" applyProtection="0"/>
    <xf numFmtId="0" fontId="32" fillId="33" borderId="468">
      <alignment horizontal="right" vertical="center"/>
    </xf>
    <xf numFmtId="0" fontId="32" fillId="33" borderId="468">
      <alignment horizontal="right" vertical="center"/>
    </xf>
    <xf numFmtId="4" fontId="36" fillId="31" borderId="468">
      <alignment horizontal="right" vertical="center"/>
    </xf>
    <xf numFmtId="0" fontId="32" fillId="31" borderId="468">
      <alignment horizontal="right" vertical="center"/>
    </xf>
    <xf numFmtId="4" fontId="32" fillId="31" borderId="468">
      <alignment horizontal="right" vertical="center"/>
    </xf>
    <xf numFmtId="0" fontId="36" fillId="31" borderId="468">
      <alignment horizontal="right" vertical="center"/>
    </xf>
    <xf numFmtId="4" fontId="36" fillId="31" borderId="468">
      <alignment horizontal="right" vertical="center"/>
    </xf>
    <xf numFmtId="0" fontId="32" fillId="33" borderId="468">
      <alignment horizontal="right" vertical="center"/>
    </xf>
    <xf numFmtId="4" fontId="32" fillId="33" borderId="468">
      <alignment horizontal="right" vertical="center"/>
    </xf>
    <xf numFmtId="0" fontId="32" fillId="33" borderId="468">
      <alignment horizontal="right" vertical="center"/>
    </xf>
    <xf numFmtId="4" fontId="32" fillId="33" borderId="468">
      <alignment horizontal="right" vertical="center"/>
    </xf>
    <xf numFmtId="0" fontId="32" fillId="33" borderId="469">
      <alignment horizontal="right" vertical="center"/>
    </xf>
    <xf numFmtId="4" fontId="32" fillId="33" borderId="469">
      <alignment horizontal="right" vertical="center"/>
    </xf>
    <xf numFmtId="0" fontId="32" fillId="33" borderId="470">
      <alignment horizontal="right" vertical="center"/>
    </xf>
    <xf numFmtId="4" fontId="32" fillId="33" borderId="470">
      <alignment horizontal="right" vertical="center"/>
    </xf>
    <xf numFmtId="0" fontId="46" fillId="55" borderId="473" applyNumberFormat="0" applyAlignment="0" applyProtection="0"/>
    <xf numFmtId="0" fontId="34" fillId="33" borderId="471">
      <alignment horizontal="left" vertical="center" wrapText="1" indent="2"/>
    </xf>
    <xf numFmtId="0" fontId="34" fillId="0" borderId="471">
      <alignment horizontal="left" vertical="center" wrapText="1" indent="2"/>
    </xf>
    <xf numFmtId="0" fontId="34" fillId="31" borderId="469">
      <alignment horizontal="left" vertical="center"/>
    </xf>
    <xf numFmtId="0" fontId="58" fillId="42" borderId="473" applyNumberFormat="0" applyAlignment="0" applyProtection="0"/>
    <xf numFmtId="0" fontId="34" fillId="0" borderId="468">
      <alignment horizontal="right" vertical="center"/>
    </xf>
    <xf numFmtId="4" fontId="34" fillId="0" borderId="468">
      <alignment horizontal="right" vertical="center"/>
    </xf>
    <xf numFmtId="0" fontId="34" fillId="0" borderId="468" applyNumberFormat="0" applyFill="0" applyAlignment="0" applyProtection="0"/>
    <xf numFmtId="0" fontId="62" fillId="55" borderId="472" applyNumberFormat="0" applyAlignment="0" applyProtection="0"/>
    <xf numFmtId="173" fontId="34" fillId="59" borderId="468" applyNumberFormat="0" applyFont="0" applyBorder="0" applyAlignment="0" applyProtection="0">
      <alignment horizontal="right" vertical="center"/>
    </xf>
    <xf numFmtId="0" fontId="34" fillId="32" borderId="468"/>
    <xf numFmtId="4" fontId="34" fillId="32" borderId="468"/>
    <xf numFmtId="0" fontId="65" fillId="0" borderId="474" applyNumberFormat="0" applyFill="0" applyAlignment="0" applyProtection="0"/>
    <xf numFmtId="0" fontId="5" fillId="58" borderId="467" applyNumberFormat="0" applyFont="0" applyAlignment="0" applyProtection="0"/>
    <xf numFmtId="0" fontId="40" fillId="58" borderId="467" applyNumberFormat="0" applyFont="0" applyAlignment="0" applyProtection="0"/>
    <xf numFmtId="0" fontId="34" fillId="0" borderId="468" applyNumberFormat="0" applyFill="0" applyAlignment="0" applyProtection="0"/>
    <xf numFmtId="0" fontId="50" fillId="0" borderId="474" applyNumberFormat="0" applyFill="0" applyAlignment="0" applyProtection="0"/>
    <xf numFmtId="0" fontId="65" fillId="0" borderId="474" applyNumberFormat="0" applyFill="0" applyAlignment="0" applyProtection="0"/>
    <xf numFmtId="0" fontId="49" fillId="42" borderId="473" applyNumberFormat="0" applyAlignment="0" applyProtection="0"/>
    <xf numFmtId="0" fontId="46" fillId="55" borderId="473" applyNumberFormat="0" applyAlignment="0" applyProtection="0"/>
    <xf numFmtId="4" fontId="36" fillId="31" borderId="468">
      <alignment horizontal="right" vertical="center"/>
    </xf>
    <xf numFmtId="0" fontId="32" fillId="31" borderId="468">
      <alignment horizontal="right" vertical="center"/>
    </xf>
    <xf numFmtId="173" fontId="34" fillId="59" borderId="468" applyNumberFormat="0" applyFont="0" applyBorder="0" applyAlignment="0" applyProtection="0">
      <alignment horizontal="right" vertical="center"/>
    </xf>
    <xf numFmtId="0" fontId="50" fillId="0" borderId="474" applyNumberFormat="0" applyFill="0" applyAlignment="0" applyProtection="0"/>
    <xf numFmtId="49" fontId="34" fillId="0" borderId="468" applyNumberFormat="0" applyFont="0" applyFill="0" applyBorder="0" applyProtection="0">
      <alignment horizontal="left" vertical="center" indent="2"/>
    </xf>
    <xf numFmtId="49" fontId="34" fillId="0" borderId="469" applyNumberFormat="0" applyFont="0" applyFill="0" applyBorder="0" applyProtection="0">
      <alignment horizontal="left" vertical="center" indent="5"/>
    </xf>
    <xf numFmtId="49" fontId="34" fillId="0" borderId="468" applyNumberFormat="0" applyFont="0" applyFill="0" applyBorder="0" applyProtection="0">
      <alignment horizontal="left" vertical="center" indent="2"/>
    </xf>
    <xf numFmtId="4" fontId="34" fillId="0" borderId="468" applyFill="0" applyBorder="0" applyProtection="0">
      <alignment horizontal="right" vertical="center"/>
    </xf>
    <xf numFmtId="49" fontId="33" fillId="0" borderId="468" applyNumberFormat="0" applyFill="0" applyBorder="0" applyProtection="0">
      <alignment horizontal="left" vertical="center"/>
    </xf>
    <xf numFmtId="0" fontId="34" fillId="0" borderId="471">
      <alignment horizontal="left" vertical="center" wrapText="1" indent="2"/>
    </xf>
    <xf numFmtId="0" fontId="62" fillId="55" borderId="472" applyNumberFormat="0" applyAlignment="0" applyProtection="0"/>
    <xf numFmtId="0" fontId="32" fillId="33" borderId="470">
      <alignment horizontal="right" vertical="center"/>
    </xf>
    <xf numFmtId="0" fontId="49" fillId="42" borderId="473" applyNumberFormat="0" applyAlignment="0" applyProtection="0"/>
    <xf numFmtId="0" fontId="32" fillId="33" borderId="470">
      <alignment horizontal="right" vertical="center"/>
    </xf>
    <xf numFmtId="4" fontId="32" fillId="33" borderId="468">
      <alignment horizontal="right" vertical="center"/>
    </xf>
    <xf numFmtId="0" fontId="32" fillId="33" borderId="468">
      <alignment horizontal="right" vertical="center"/>
    </xf>
    <xf numFmtId="0" fontId="43" fillId="55" borderId="472" applyNumberFormat="0" applyAlignment="0" applyProtection="0"/>
    <xf numFmtId="0" fontId="45" fillId="55" borderId="473" applyNumberFormat="0" applyAlignment="0" applyProtection="0"/>
    <xf numFmtId="0" fontId="50" fillId="0" borderId="474" applyNumberFormat="0" applyFill="0" applyAlignment="0" applyProtection="0"/>
    <xf numFmtId="0" fontId="34" fillId="32" borderId="468"/>
    <xf numFmtId="4" fontId="34" fillId="32" borderId="468"/>
    <xf numFmtId="4" fontId="32" fillId="33" borderId="468">
      <alignment horizontal="right" vertical="center"/>
    </xf>
    <xf numFmtId="0" fontId="36" fillId="31" borderId="468">
      <alignment horizontal="right" vertical="center"/>
    </xf>
    <xf numFmtId="0" fontId="49" fillId="42" borderId="473" applyNumberFormat="0" applyAlignment="0" applyProtection="0"/>
    <xf numFmtId="0" fontId="46" fillId="55" borderId="473" applyNumberFormat="0" applyAlignment="0" applyProtection="0"/>
    <xf numFmtId="4" fontId="34" fillId="0" borderId="468">
      <alignment horizontal="right" vertical="center"/>
    </xf>
    <xf numFmtId="0" fontId="34" fillId="33" borderId="471">
      <alignment horizontal="left" vertical="center" wrapText="1" indent="2"/>
    </xf>
    <xf numFmtId="0" fontId="34" fillId="0" borderId="471">
      <alignment horizontal="left" vertical="center" wrapText="1" indent="2"/>
    </xf>
    <xf numFmtId="0" fontId="62" fillId="55" borderId="472" applyNumberFormat="0" applyAlignment="0" applyProtection="0"/>
    <xf numFmtId="0" fontId="58" fillId="42" borderId="473" applyNumberFormat="0" applyAlignment="0" applyProtection="0"/>
    <xf numFmtId="0" fontId="45" fillId="55" borderId="473" applyNumberFormat="0" applyAlignment="0" applyProtection="0"/>
    <xf numFmtId="0" fontId="43" fillId="55" borderId="472" applyNumberFormat="0" applyAlignment="0" applyProtection="0"/>
    <xf numFmtId="0" fontId="32" fillId="33" borderId="470">
      <alignment horizontal="right" vertical="center"/>
    </xf>
    <xf numFmtId="0" fontId="36" fillId="31" borderId="468">
      <alignment horizontal="right" vertical="center"/>
    </xf>
    <xf numFmtId="4" fontId="32" fillId="31" borderId="468">
      <alignment horizontal="right" vertical="center"/>
    </xf>
    <xf numFmtId="4" fontId="32" fillId="33" borderId="468">
      <alignment horizontal="right" vertical="center"/>
    </xf>
    <xf numFmtId="49" fontId="34" fillId="0" borderId="469" applyNumberFormat="0" applyFont="0" applyFill="0" applyBorder="0" applyProtection="0">
      <alignment horizontal="left" vertical="center" indent="5"/>
    </xf>
    <xf numFmtId="4" fontId="34" fillId="0" borderId="468" applyFill="0" applyBorder="0" applyProtection="0">
      <alignment horizontal="right" vertical="center"/>
    </xf>
    <xf numFmtId="4" fontId="32" fillId="31" borderId="468">
      <alignment horizontal="right" vertical="center"/>
    </xf>
    <xf numFmtId="0" fontId="58" fillId="42" borderId="473" applyNumberFormat="0" applyAlignment="0" applyProtection="0"/>
    <xf numFmtId="0" fontId="49" fillId="42" borderId="473" applyNumberFormat="0" applyAlignment="0" applyProtection="0"/>
    <xf numFmtId="0" fontId="45" fillId="55" borderId="473" applyNumberFormat="0" applyAlignment="0" applyProtection="0"/>
    <xf numFmtId="0" fontId="34" fillId="33" borderId="471">
      <alignment horizontal="left" vertical="center" wrapText="1" indent="2"/>
    </xf>
    <xf numFmtId="0" fontId="34" fillId="0" borderId="471">
      <alignment horizontal="left" vertical="center" wrapText="1" indent="2"/>
    </xf>
    <xf numFmtId="0" fontId="34" fillId="33" borderId="471">
      <alignment horizontal="left" vertical="center" wrapText="1" indent="2"/>
    </xf>
    <xf numFmtId="0" fontId="32" fillId="33" borderId="478">
      <alignment horizontal="right" vertical="center"/>
    </xf>
    <xf numFmtId="0" fontId="58" fillId="42" borderId="475" applyNumberFormat="0" applyAlignment="0" applyProtection="0"/>
    <xf numFmtId="0" fontId="12" fillId="18" borderId="0" applyNumberFormat="0" applyBorder="0" applyAlignment="0" applyProtection="0"/>
    <xf numFmtId="0" fontId="40" fillId="58" borderId="477" applyNumberFormat="0" applyFont="0" applyAlignment="0" applyProtection="0"/>
    <xf numFmtId="0" fontId="26" fillId="17" borderId="0" applyNumberFormat="0" applyBorder="0" applyAlignment="0" applyProtection="0"/>
    <xf numFmtId="0" fontId="26" fillId="13" borderId="0" applyNumberFormat="0" applyBorder="0" applyAlignment="0" applyProtection="0"/>
    <xf numFmtId="0" fontId="5" fillId="58" borderId="477" applyNumberFormat="0" applyFont="0" applyAlignment="0" applyProtection="0"/>
    <xf numFmtId="0" fontId="26" fillId="19" borderId="0" applyNumberFormat="0" applyBorder="0" applyAlignment="0" applyProtection="0"/>
    <xf numFmtId="0" fontId="12" fillId="21" borderId="0" applyNumberFormat="0" applyBorder="0" applyAlignment="0" applyProtection="0"/>
    <xf numFmtId="0" fontId="26" fillId="13" borderId="0" applyNumberFormat="0" applyBorder="0" applyAlignment="0" applyProtection="0"/>
    <xf numFmtId="0" fontId="45" fillId="55" borderId="475" applyNumberFormat="0" applyAlignment="0" applyProtection="0"/>
    <xf numFmtId="0" fontId="50" fillId="0" borderId="476" applyNumberFormat="0" applyFill="0" applyAlignment="0" applyProtection="0"/>
    <xf numFmtId="4" fontId="34" fillId="0" borderId="478" applyFill="0" applyBorder="0" applyProtection="0">
      <alignment horizontal="right" vertical="center"/>
    </xf>
    <xf numFmtId="0" fontId="26" fillId="20" borderId="0" applyNumberFormat="0" applyBorder="0" applyAlignment="0" applyProtection="0"/>
    <xf numFmtId="0" fontId="2" fillId="0" borderId="12" applyNumberFormat="0" applyFill="0" applyAlignment="0" applyProtection="0"/>
    <xf numFmtId="4" fontId="32" fillId="33" borderId="478">
      <alignment horizontal="right" vertical="center"/>
    </xf>
    <xf numFmtId="0" fontId="34" fillId="0" borderId="481">
      <alignment horizontal="left" vertical="center" wrapText="1" indent="2"/>
    </xf>
    <xf numFmtId="0" fontId="5" fillId="58" borderId="477" applyNumberFormat="0" applyFont="0" applyAlignment="0" applyProtection="0"/>
    <xf numFmtId="4" fontId="32" fillId="33" borderId="478">
      <alignment horizontal="right" vertical="center"/>
    </xf>
    <xf numFmtId="4" fontId="36" fillId="31" borderId="478">
      <alignment horizontal="right" vertical="center"/>
    </xf>
    <xf numFmtId="0" fontId="40" fillId="58" borderId="477" applyNumberFormat="0" applyFont="0" applyAlignment="0" applyProtection="0"/>
    <xf numFmtId="0" fontId="65" fillId="0" borderId="476" applyNumberFormat="0" applyFill="0" applyAlignment="0" applyProtection="0"/>
    <xf numFmtId="4" fontId="32" fillId="33" borderId="478">
      <alignment horizontal="right" vertical="center"/>
    </xf>
    <xf numFmtId="0" fontId="65" fillId="0" borderId="476" applyNumberFormat="0" applyFill="0" applyAlignment="0" applyProtection="0"/>
    <xf numFmtId="0" fontId="26" fillId="29" borderId="0" applyNumberFormat="0" applyBorder="0" applyAlignment="0" applyProtection="0"/>
    <xf numFmtId="0" fontId="65" fillId="0" borderId="476" applyNumberFormat="0" applyFill="0" applyAlignment="0" applyProtection="0"/>
    <xf numFmtId="4" fontId="34" fillId="0" borderId="478">
      <alignment horizontal="right" vertical="center"/>
    </xf>
    <xf numFmtId="0" fontId="58" fillId="42" borderId="475" applyNumberFormat="0" applyAlignment="0" applyProtection="0"/>
    <xf numFmtId="0" fontId="34" fillId="33" borderId="481">
      <alignment horizontal="left" vertical="center" wrapText="1" indent="2"/>
    </xf>
    <xf numFmtId="0" fontId="5" fillId="58" borderId="477" applyNumberFormat="0" applyFont="0" applyAlignment="0" applyProtection="0"/>
    <xf numFmtId="0" fontId="58" fillId="42" borderId="475" applyNumberFormat="0" applyAlignment="0" applyProtection="0"/>
    <xf numFmtId="49" fontId="34" fillId="0" borderId="479" applyNumberFormat="0" applyFont="0" applyFill="0" applyBorder="0" applyProtection="0">
      <alignment horizontal="left" vertical="center" indent="5"/>
    </xf>
    <xf numFmtId="0" fontId="28" fillId="12" borderId="11" applyNumberFormat="0" applyAlignment="0" applyProtection="0"/>
    <xf numFmtId="0" fontId="43" fillId="55" borderId="482" applyNumberFormat="0" applyAlignment="0" applyProtection="0"/>
    <xf numFmtId="0" fontId="26" fillId="20" borderId="0" applyNumberFormat="0" applyBorder="0" applyAlignment="0" applyProtection="0"/>
    <xf numFmtId="4" fontId="32" fillId="33" borderId="478">
      <alignment horizontal="right" vertical="center"/>
    </xf>
    <xf numFmtId="0" fontId="32" fillId="31" borderId="478">
      <alignment horizontal="right" vertical="center"/>
    </xf>
    <xf numFmtId="4" fontId="36" fillId="31" borderId="478">
      <alignment horizontal="right" vertical="center"/>
    </xf>
    <xf numFmtId="0" fontId="34" fillId="0" borderId="481">
      <alignment horizontal="left" vertical="center" wrapText="1" indent="2"/>
    </xf>
    <xf numFmtId="0" fontId="34" fillId="0" borderId="481">
      <alignment horizontal="left" vertical="center" wrapText="1" indent="2"/>
    </xf>
    <xf numFmtId="4" fontId="34" fillId="32" borderId="478"/>
    <xf numFmtId="0" fontId="30" fillId="0" borderId="0" applyNumberFormat="0" applyFill="0" applyBorder="0" applyAlignment="0" applyProtection="0"/>
    <xf numFmtId="0" fontId="2" fillId="0" borderId="12" applyNumberFormat="0" applyFill="0" applyAlignment="0" applyProtection="0"/>
    <xf numFmtId="4" fontId="34" fillId="32" borderId="478"/>
    <xf numFmtId="0" fontId="28" fillId="12" borderId="11" applyNumberFormat="0" applyAlignment="0" applyProtection="0"/>
    <xf numFmtId="0" fontId="40" fillId="58" borderId="477" applyNumberFormat="0" applyFont="0" applyAlignment="0" applyProtection="0"/>
    <xf numFmtId="49" fontId="33" fillId="0" borderId="478" applyNumberFormat="0" applyFill="0" applyBorder="0" applyProtection="0">
      <alignment horizontal="left" vertical="center"/>
    </xf>
    <xf numFmtId="0" fontId="36" fillId="31" borderId="478">
      <alignment horizontal="right" vertical="center"/>
    </xf>
    <xf numFmtId="0" fontId="12" fillId="30" borderId="0" applyNumberFormat="0" applyBorder="0" applyAlignment="0" applyProtection="0"/>
    <xf numFmtId="0" fontId="26" fillId="13" borderId="0" applyNumberFormat="0" applyBorder="0" applyAlignment="0" applyProtection="0"/>
    <xf numFmtId="4" fontId="34" fillId="0" borderId="478" applyFill="0" applyBorder="0" applyProtection="0">
      <alignment horizontal="right" vertical="center"/>
    </xf>
    <xf numFmtId="0" fontId="50" fillId="0" borderId="476" applyNumberFormat="0" applyFill="0" applyAlignment="0" applyProtection="0"/>
    <xf numFmtId="0" fontId="32" fillId="33" borderId="480">
      <alignment horizontal="right" vertical="center"/>
    </xf>
    <xf numFmtId="4" fontId="32" fillId="31" borderId="478">
      <alignment horizontal="right" vertical="center"/>
    </xf>
    <xf numFmtId="0" fontId="34" fillId="0" borderId="478" applyNumberFormat="0" applyFill="0" applyAlignment="0" applyProtection="0"/>
    <xf numFmtId="0" fontId="58" fillId="42" borderId="475" applyNumberFormat="0" applyAlignment="0" applyProtection="0"/>
    <xf numFmtId="0" fontId="45" fillId="55" borderId="475" applyNumberFormat="0" applyAlignment="0" applyProtection="0"/>
    <xf numFmtId="0" fontId="49" fillId="42" borderId="475" applyNumberFormat="0" applyAlignment="0" applyProtection="0"/>
    <xf numFmtId="4" fontId="34" fillId="0" borderId="478" applyFill="0" applyBorder="0" applyProtection="0">
      <alignment horizontal="right" vertical="center"/>
    </xf>
    <xf numFmtId="0" fontId="50" fillId="0" borderId="476" applyNumberFormat="0" applyFill="0" applyAlignment="0" applyProtection="0"/>
    <xf numFmtId="4" fontId="34" fillId="0" borderId="478">
      <alignment horizontal="right" vertical="center"/>
    </xf>
    <xf numFmtId="0" fontId="34" fillId="0" borderId="478" applyNumberFormat="0" applyFill="0" applyAlignment="0" applyProtection="0"/>
    <xf numFmtId="0" fontId="65" fillId="0" borderId="476" applyNumberFormat="0" applyFill="0" applyAlignment="0" applyProtection="0"/>
    <xf numFmtId="0" fontId="32" fillId="33" borderId="478">
      <alignment horizontal="right" vertical="center"/>
    </xf>
    <xf numFmtId="0" fontId="46" fillId="55" borderId="475" applyNumberFormat="0" applyAlignment="0" applyProtection="0"/>
    <xf numFmtId="0" fontId="26" fillId="22" borderId="0" applyNumberFormat="0" applyBorder="0" applyAlignment="0" applyProtection="0"/>
    <xf numFmtId="0" fontId="46" fillId="55" borderId="475" applyNumberFormat="0" applyAlignment="0" applyProtection="0"/>
    <xf numFmtId="0" fontId="45" fillId="55" borderId="475" applyNumberFormat="0" applyAlignment="0" applyProtection="0"/>
    <xf numFmtId="0" fontId="49" fillId="42" borderId="475" applyNumberFormat="0" applyAlignment="0" applyProtection="0"/>
    <xf numFmtId="0" fontId="1" fillId="0" borderId="0" applyNumberFormat="0" applyFill="0" applyBorder="0" applyAlignment="0" applyProtection="0"/>
    <xf numFmtId="0" fontId="32" fillId="31" borderId="478">
      <alignment horizontal="right" vertical="center"/>
    </xf>
    <xf numFmtId="0" fontId="62" fillId="55" borderId="482" applyNumberFormat="0" applyAlignment="0" applyProtection="0"/>
    <xf numFmtId="0" fontId="34" fillId="0" borderId="478">
      <alignment horizontal="right" vertical="center"/>
    </xf>
    <xf numFmtId="0" fontId="50" fillId="0" borderId="476" applyNumberFormat="0" applyFill="0" applyAlignment="0" applyProtection="0"/>
    <xf numFmtId="0" fontId="65" fillId="0" borderId="476" applyNumberFormat="0" applyFill="0" applyAlignment="0" applyProtection="0"/>
    <xf numFmtId="0" fontId="40" fillId="58" borderId="477" applyNumberFormat="0" applyFont="0" applyAlignment="0" applyProtection="0"/>
    <xf numFmtId="0" fontId="26" fillId="28" borderId="0" applyNumberFormat="0" applyBorder="0" applyAlignment="0" applyProtection="0"/>
    <xf numFmtId="0" fontId="40" fillId="58" borderId="477" applyNumberFormat="0" applyFont="0" applyAlignment="0" applyProtection="0"/>
    <xf numFmtId="4" fontId="34" fillId="0" borderId="478">
      <alignment horizontal="right" vertical="center"/>
    </xf>
    <xf numFmtId="0" fontId="36" fillId="31" borderId="478">
      <alignment horizontal="right" vertical="center"/>
    </xf>
    <xf numFmtId="0" fontId="34" fillId="33" borderId="481">
      <alignment horizontal="left" vertical="center" wrapText="1" indent="2"/>
    </xf>
    <xf numFmtId="0" fontId="34" fillId="33" borderId="481">
      <alignment horizontal="left" vertical="center" wrapText="1" indent="2"/>
    </xf>
    <xf numFmtId="0" fontId="40" fillId="58" borderId="477" applyNumberFormat="0" applyFont="0" applyAlignment="0" applyProtection="0"/>
    <xf numFmtId="0" fontId="29" fillId="12" borderId="10" applyNumberFormat="0" applyAlignment="0" applyProtection="0"/>
    <xf numFmtId="0" fontId="43" fillId="55" borderId="482" applyNumberFormat="0" applyAlignment="0" applyProtection="0"/>
    <xf numFmtId="173" fontId="34" fillId="59" borderId="478" applyNumberFormat="0" applyFont="0" applyBorder="0" applyAlignment="0" applyProtection="0">
      <alignment horizontal="right" vertical="center"/>
    </xf>
    <xf numFmtId="49" fontId="34" fillId="0" borderId="479" applyNumberFormat="0" applyFont="0" applyFill="0" applyBorder="0" applyProtection="0">
      <alignment horizontal="left" vertical="center" indent="5"/>
    </xf>
    <xf numFmtId="0" fontId="26" fillId="26" borderId="0" applyNumberFormat="0" applyBorder="0" applyAlignment="0" applyProtection="0"/>
    <xf numFmtId="0" fontId="62" fillId="55" borderId="482" applyNumberFormat="0" applyAlignment="0" applyProtection="0"/>
    <xf numFmtId="0" fontId="5" fillId="58" borderId="477" applyNumberFormat="0" applyFont="0" applyAlignment="0" applyProtection="0"/>
    <xf numFmtId="0" fontId="58" fillId="42" borderId="475" applyNumberFormat="0" applyAlignment="0" applyProtection="0"/>
    <xf numFmtId="0" fontId="62" fillId="55" borderId="482" applyNumberFormat="0" applyAlignment="0" applyProtection="0"/>
    <xf numFmtId="0" fontId="32" fillId="31" borderId="478">
      <alignment horizontal="right" vertical="center"/>
    </xf>
    <xf numFmtId="4" fontId="32" fillId="33" borderId="478">
      <alignment horizontal="right" vertical="center"/>
    </xf>
    <xf numFmtId="0" fontId="58" fillId="42" borderId="475" applyNumberFormat="0" applyAlignment="0" applyProtection="0"/>
    <xf numFmtId="0" fontId="65" fillId="0" borderId="476" applyNumberFormat="0" applyFill="0" applyAlignment="0" applyProtection="0"/>
    <xf numFmtId="0" fontId="26" fillId="26" borderId="0" applyNumberFormat="0" applyBorder="0" applyAlignment="0" applyProtection="0"/>
    <xf numFmtId="0" fontId="1" fillId="0" borderId="0" applyNumberFormat="0" applyFill="0" applyBorder="0" applyAlignment="0" applyProtection="0"/>
    <xf numFmtId="0" fontId="46" fillId="55" borderId="475" applyNumberFormat="0" applyAlignment="0" applyProtection="0"/>
    <xf numFmtId="0" fontId="26" fillId="23" borderId="0" applyNumberFormat="0" applyBorder="0" applyAlignment="0" applyProtection="0"/>
    <xf numFmtId="0" fontId="34" fillId="0" borderId="481">
      <alignment horizontal="left" vertical="center" wrapText="1" indent="2"/>
    </xf>
    <xf numFmtId="0" fontId="49" fillId="42" borderId="475" applyNumberFormat="0" applyAlignment="0" applyProtection="0"/>
    <xf numFmtId="4" fontId="32" fillId="33" borderId="480">
      <alignment horizontal="right" vertical="center"/>
    </xf>
    <xf numFmtId="0" fontId="26" fillId="17" borderId="0" applyNumberFormat="0" applyBorder="0" applyAlignment="0" applyProtection="0"/>
    <xf numFmtId="0" fontId="29" fillId="12" borderId="10" applyNumberFormat="0" applyAlignment="0" applyProtection="0"/>
    <xf numFmtId="0" fontId="34" fillId="31" borderId="479">
      <alignment horizontal="left" vertical="center"/>
    </xf>
    <xf numFmtId="0" fontId="12" fillId="27" borderId="0" applyNumberFormat="0" applyBorder="0" applyAlignment="0" applyProtection="0"/>
    <xf numFmtId="0" fontId="46" fillId="55" borderId="475" applyNumberFormat="0" applyAlignment="0" applyProtection="0"/>
    <xf numFmtId="173" fontId="34" fillId="59" borderId="478" applyNumberFormat="0" applyFont="0" applyBorder="0" applyAlignment="0" applyProtection="0">
      <alignment horizontal="right" vertical="center"/>
    </xf>
    <xf numFmtId="0" fontId="46" fillId="55" borderId="475" applyNumberFormat="0" applyAlignment="0" applyProtection="0"/>
    <xf numFmtId="0" fontId="32" fillId="33" borderId="478">
      <alignment horizontal="right" vertical="center"/>
    </xf>
    <xf numFmtId="0" fontId="34" fillId="0" borderId="478">
      <alignment horizontal="right" vertical="center"/>
    </xf>
    <xf numFmtId="0" fontId="26" fillId="19" borderId="0" applyNumberFormat="0" applyBorder="0" applyAlignment="0" applyProtection="0"/>
    <xf numFmtId="0" fontId="34" fillId="33" borderId="481">
      <alignment horizontal="left" vertical="center" wrapText="1" indent="2"/>
    </xf>
    <xf numFmtId="4" fontId="34" fillId="32" borderId="478"/>
    <xf numFmtId="0" fontId="46" fillId="55" borderId="475" applyNumberFormat="0" applyAlignment="0" applyProtection="0"/>
    <xf numFmtId="0" fontId="46" fillId="55" borderId="475" applyNumberFormat="0" applyAlignment="0" applyProtection="0"/>
    <xf numFmtId="0" fontId="32" fillId="33" borderId="479">
      <alignment horizontal="right" vertical="center"/>
    </xf>
    <xf numFmtId="0" fontId="49" fillId="42" borderId="475" applyNumberFormat="0" applyAlignment="0" applyProtection="0"/>
    <xf numFmtId="0" fontId="34" fillId="32" borderId="478"/>
    <xf numFmtId="0" fontId="40" fillId="58" borderId="477" applyNumberFormat="0" applyFont="0" applyAlignment="0" applyProtection="0"/>
    <xf numFmtId="0" fontId="46" fillId="55" borderId="475" applyNumberFormat="0" applyAlignment="0" applyProtection="0"/>
    <xf numFmtId="49" fontId="34" fillId="0" borderId="478" applyNumberFormat="0" applyFont="0" applyFill="0" applyBorder="0" applyProtection="0">
      <alignment horizontal="left" vertical="center" indent="2"/>
    </xf>
    <xf numFmtId="0" fontId="49" fillId="42" borderId="475" applyNumberFormat="0" applyAlignment="0" applyProtection="0"/>
    <xf numFmtId="0" fontId="58" fillId="42" borderId="475" applyNumberFormat="0" applyAlignment="0" applyProtection="0"/>
    <xf numFmtId="0" fontId="34" fillId="0" borderId="481">
      <alignment horizontal="left" vertical="center" wrapText="1" indent="2"/>
    </xf>
    <xf numFmtId="4" fontId="34" fillId="32" borderId="478"/>
    <xf numFmtId="0" fontId="12" fillId="15" borderId="0" applyNumberFormat="0" applyBorder="0" applyAlignment="0" applyProtection="0"/>
    <xf numFmtId="0" fontId="58" fillId="42" borderId="475" applyNumberFormat="0" applyAlignment="0" applyProtection="0"/>
    <xf numFmtId="0" fontId="26" fillId="14" borderId="0" applyNumberFormat="0" applyBorder="0" applyAlignment="0" applyProtection="0"/>
    <xf numFmtId="0" fontId="26" fillId="23" borderId="0" applyNumberFormat="0" applyBorder="0" applyAlignment="0" applyProtection="0"/>
    <xf numFmtId="0" fontId="43" fillId="55" borderId="482" applyNumberFormat="0" applyAlignment="0" applyProtection="0"/>
    <xf numFmtId="0" fontId="49" fillId="42" borderId="475" applyNumberFormat="0" applyAlignment="0" applyProtection="0"/>
    <xf numFmtId="4" fontId="34" fillId="0" borderId="478">
      <alignment horizontal="right" vertical="center"/>
    </xf>
    <xf numFmtId="0" fontId="34" fillId="0" borderId="481">
      <alignment horizontal="left" vertical="center" wrapText="1" indent="2"/>
    </xf>
    <xf numFmtId="0" fontId="26" fillId="19" borderId="0" applyNumberFormat="0" applyBorder="0" applyAlignment="0" applyProtection="0"/>
    <xf numFmtId="0" fontId="30" fillId="0" borderId="0" applyNumberFormat="0" applyFill="0" applyBorder="0" applyAlignment="0" applyProtection="0"/>
    <xf numFmtId="0" fontId="32" fillId="33" borderId="478">
      <alignment horizontal="right" vertical="center"/>
    </xf>
    <xf numFmtId="0" fontId="34" fillId="33" borderId="481">
      <alignment horizontal="left" vertical="center" wrapText="1" indent="2"/>
    </xf>
    <xf numFmtId="0" fontId="40" fillId="58" borderId="477" applyNumberFormat="0" applyFont="0" applyAlignment="0" applyProtection="0"/>
    <xf numFmtId="4" fontId="34" fillId="32" borderId="478"/>
    <xf numFmtId="0" fontId="46" fillId="55" borderId="475" applyNumberFormat="0" applyAlignment="0" applyProtection="0"/>
    <xf numFmtId="0" fontId="26" fillId="29" borderId="0" applyNumberFormat="0" applyBorder="0" applyAlignment="0" applyProtection="0"/>
    <xf numFmtId="0" fontId="50" fillId="0" borderId="476" applyNumberFormat="0" applyFill="0" applyAlignment="0" applyProtection="0"/>
    <xf numFmtId="4" fontId="34" fillId="32" borderId="478"/>
    <xf numFmtId="4" fontId="32" fillId="33" borderId="478">
      <alignment horizontal="right" vertical="center"/>
    </xf>
    <xf numFmtId="0" fontId="32" fillId="33" borderId="478">
      <alignment horizontal="right" vertical="center"/>
    </xf>
    <xf numFmtId="0" fontId="12" fillId="27" borderId="0" applyNumberFormat="0" applyBorder="0" applyAlignment="0" applyProtection="0"/>
    <xf numFmtId="0" fontId="62" fillId="55" borderId="482" applyNumberFormat="0" applyAlignment="0" applyProtection="0"/>
    <xf numFmtId="0" fontId="34" fillId="0" borderId="478" applyNumberFormat="0" applyFill="0" applyAlignment="0" applyProtection="0"/>
    <xf numFmtId="49" fontId="34" fillId="0" borderId="478" applyNumberFormat="0" applyFont="0" applyFill="0" applyBorder="0" applyProtection="0">
      <alignment horizontal="left" vertical="center" indent="2"/>
    </xf>
    <xf numFmtId="0" fontId="45" fillId="55" borderId="475" applyNumberFormat="0" applyAlignment="0" applyProtection="0"/>
    <xf numFmtId="0" fontId="65" fillId="0" borderId="476" applyNumberFormat="0" applyFill="0" applyAlignment="0" applyProtection="0"/>
    <xf numFmtId="0" fontId="34" fillId="31" borderId="479">
      <alignment horizontal="left" vertical="center"/>
    </xf>
    <xf numFmtId="49" fontId="34" fillId="0" borderId="478" applyNumberFormat="0" applyFont="0" applyFill="0" applyBorder="0" applyProtection="0">
      <alignment horizontal="left" vertical="center" indent="2"/>
    </xf>
    <xf numFmtId="0" fontId="65" fillId="0" borderId="476" applyNumberFormat="0" applyFill="0" applyAlignment="0" applyProtection="0"/>
    <xf numFmtId="0" fontId="58" fillId="42" borderId="475" applyNumberFormat="0" applyAlignment="0" applyProtection="0"/>
    <xf numFmtId="4" fontId="32" fillId="31" borderId="478">
      <alignment horizontal="right" vertical="center"/>
    </xf>
    <xf numFmtId="4" fontId="36" fillId="31" borderId="478">
      <alignment horizontal="right" vertical="center"/>
    </xf>
    <xf numFmtId="0" fontId="32" fillId="33" borderId="478">
      <alignment horizontal="right" vertical="center"/>
    </xf>
    <xf numFmtId="0" fontId="34" fillId="33" borderId="481">
      <alignment horizontal="left" vertical="center" wrapText="1" indent="2"/>
    </xf>
    <xf numFmtId="0" fontId="40" fillId="58" borderId="477" applyNumberFormat="0" applyFont="0" applyAlignment="0" applyProtection="0"/>
    <xf numFmtId="0" fontId="34" fillId="32" borderId="478"/>
    <xf numFmtId="0" fontId="26" fillId="25" borderId="0" applyNumberFormat="0" applyBorder="0" applyAlignment="0" applyProtection="0"/>
    <xf numFmtId="0" fontId="12" fillId="24" borderId="0" applyNumberFormat="0" applyBorder="0" applyAlignment="0" applyProtection="0"/>
    <xf numFmtId="0" fontId="34" fillId="0" borderId="481">
      <alignment horizontal="left" vertical="center" wrapText="1" indent="2"/>
    </xf>
    <xf numFmtId="0" fontId="58" fillId="42" borderId="475" applyNumberFormat="0" applyAlignment="0" applyProtection="0"/>
    <xf numFmtId="4" fontId="34" fillId="32" borderId="478"/>
    <xf numFmtId="4" fontId="32" fillId="31" borderId="478">
      <alignment horizontal="right" vertical="center"/>
    </xf>
    <xf numFmtId="0" fontId="26" fillId="29" borderId="0" applyNumberFormat="0" applyBorder="0" applyAlignment="0" applyProtection="0"/>
    <xf numFmtId="49" fontId="34" fillId="0" borderId="479" applyNumberFormat="0" applyFont="0" applyFill="0" applyBorder="0" applyProtection="0">
      <alignment horizontal="left" vertical="center" indent="5"/>
    </xf>
    <xf numFmtId="173" fontId="34" fillId="59" borderId="478" applyNumberFormat="0" applyFont="0" applyBorder="0" applyAlignment="0" applyProtection="0">
      <alignment horizontal="right" vertical="center"/>
    </xf>
    <xf numFmtId="0" fontId="62" fillId="55" borderId="482" applyNumberFormat="0" applyAlignment="0" applyProtection="0"/>
    <xf numFmtId="0" fontId="32" fillId="31" borderId="478">
      <alignment horizontal="right" vertical="center"/>
    </xf>
    <xf numFmtId="49" fontId="33" fillId="0" borderId="478" applyNumberFormat="0" applyFill="0" applyBorder="0" applyProtection="0">
      <alignment horizontal="left" vertical="center"/>
    </xf>
    <xf numFmtId="0" fontId="34" fillId="31" borderId="479">
      <alignment horizontal="left" vertical="center"/>
    </xf>
    <xf numFmtId="0" fontId="43" fillId="55" borderId="482" applyNumberFormat="0" applyAlignment="0" applyProtection="0"/>
    <xf numFmtId="4" fontId="32" fillId="31" borderId="478">
      <alignment horizontal="right" vertical="center"/>
    </xf>
    <xf numFmtId="0" fontId="46" fillId="55" borderId="475" applyNumberFormat="0" applyAlignment="0" applyProtection="0"/>
    <xf numFmtId="49" fontId="34" fillId="0" borderId="478" applyNumberFormat="0" applyFont="0" applyFill="0" applyBorder="0" applyProtection="0">
      <alignment horizontal="left" vertical="center" indent="2"/>
    </xf>
    <xf numFmtId="0" fontId="45" fillId="55" borderId="475" applyNumberFormat="0" applyAlignment="0" applyProtection="0"/>
    <xf numFmtId="0" fontId="34" fillId="0" borderId="478">
      <alignment horizontal="right" vertical="center"/>
    </xf>
    <xf numFmtId="0" fontId="40" fillId="58" borderId="477" applyNumberFormat="0" applyFont="0" applyAlignment="0" applyProtection="0"/>
    <xf numFmtId="0" fontId="62" fillId="55" borderId="482" applyNumberFormat="0" applyAlignment="0" applyProtection="0"/>
    <xf numFmtId="4" fontId="36" fillId="31" borderId="478">
      <alignment horizontal="right" vertical="center"/>
    </xf>
    <xf numFmtId="0" fontId="46" fillId="55" borderId="475" applyNumberFormat="0" applyAlignment="0" applyProtection="0"/>
    <xf numFmtId="0" fontId="26" fillId="26" borderId="0" applyNumberFormat="0" applyBorder="0" applyAlignment="0" applyProtection="0"/>
    <xf numFmtId="0" fontId="12" fillId="24" borderId="0" applyNumberFormat="0" applyBorder="0" applyAlignment="0" applyProtection="0"/>
    <xf numFmtId="4" fontId="32" fillId="33" borderId="480">
      <alignment horizontal="right" vertical="center"/>
    </xf>
    <xf numFmtId="0" fontId="12" fillId="21" borderId="0" applyNumberFormat="0" applyBorder="0" applyAlignment="0" applyProtection="0"/>
    <xf numFmtId="0" fontId="26" fillId="22" borderId="0" applyNumberFormat="0" applyBorder="0" applyAlignment="0" applyProtection="0"/>
    <xf numFmtId="0" fontId="36" fillId="31" borderId="478">
      <alignment horizontal="right" vertical="center"/>
    </xf>
    <xf numFmtId="0" fontId="58" fillId="42" borderId="475" applyNumberFormat="0" applyAlignment="0" applyProtection="0"/>
    <xf numFmtId="0" fontId="49" fillId="42" borderId="475" applyNumberFormat="0" applyAlignment="0" applyProtection="0"/>
    <xf numFmtId="0" fontId="12" fillId="18" borderId="0" applyNumberFormat="0" applyBorder="0" applyAlignment="0" applyProtection="0"/>
    <xf numFmtId="0" fontId="34" fillId="0" borderId="478" applyNumberFormat="0" applyFill="0" applyAlignment="0" applyProtection="0"/>
    <xf numFmtId="0" fontId="62" fillId="55" borderId="482" applyNumberFormat="0" applyAlignment="0" applyProtection="0"/>
    <xf numFmtId="0" fontId="5" fillId="58" borderId="477" applyNumberFormat="0" applyFont="0" applyAlignment="0" applyProtection="0"/>
    <xf numFmtId="0" fontId="29" fillId="12" borderId="10" applyNumberFormat="0" applyAlignment="0" applyProtection="0"/>
    <xf numFmtId="0" fontId="12" fillId="24" borderId="0" applyNumberFormat="0" applyBorder="0" applyAlignment="0" applyProtection="0"/>
    <xf numFmtId="0" fontId="58" fillId="42" borderId="475" applyNumberFormat="0" applyAlignment="0" applyProtection="0"/>
    <xf numFmtId="0" fontId="5" fillId="58" borderId="477" applyNumberFormat="0" applyFont="0" applyAlignment="0" applyProtection="0"/>
    <xf numFmtId="4" fontId="32" fillId="33" borderId="478">
      <alignment horizontal="right" vertical="center"/>
    </xf>
    <xf numFmtId="0" fontId="45" fillId="55" borderId="475" applyNumberFormat="0" applyAlignment="0" applyProtection="0"/>
    <xf numFmtId="4" fontId="32" fillId="33" borderId="479">
      <alignment horizontal="right" vertical="center"/>
    </xf>
    <xf numFmtId="0" fontId="65" fillId="0" borderId="476" applyNumberFormat="0" applyFill="0" applyAlignment="0" applyProtection="0"/>
    <xf numFmtId="0" fontId="28" fillId="12" borderId="11" applyNumberFormat="0" applyAlignment="0" applyProtection="0"/>
    <xf numFmtId="0" fontId="32" fillId="33" borderId="478">
      <alignment horizontal="right" vertical="center"/>
    </xf>
    <xf numFmtId="0" fontId="65" fillId="0" borderId="476" applyNumberFormat="0" applyFill="0" applyAlignment="0" applyProtection="0"/>
    <xf numFmtId="0" fontId="58" fillId="42" borderId="475" applyNumberFormat="0" applyAlignment="0" applyProtection="0"/>
    <xf numFmtId="49" fontId="34" fillId="0" borderId="478" applyNumberFormat="0" applyFont="0" applyFill="0" applyBorder="0" applyProtection="0">
      <alignment horizontal="left" vertical="center" indent="2"/>
    </xf>
    <xf numFmtId="0" fontId="26" fillId="28" borderId="0" applyNumberFormat="0" applyBorder="0" applyAlignment="0" applyProtection="0"/>
    <xf numFmtId="0" fontId="65" fillId="0" borderId="476" applyNumberFormat="0" applyFill="0" applyAlignment="0" applyProtection="0"/>
    <xf numFmtId="0" fontId="40" fillId="58" borderId="477" applyNumberFormat="0" applyFont="0" applyAlignment="0" applyProtection="0"/>
    <xf numFmtId="4" fontId="32" fillId="33" borderId="480">
      <alignment horizontal="right" vertical="center"/>
    </xf>
    <xf numFmtId="0" fontId="40" fillId="58" borderId="477" applyNumberFormat="0" applyFont="0" applyAlignment="0" applyProtection="0"/>
    <xf numFmtId="0" fontId="45" fillId="55" borderId="475" applyNumberFormat="0" applyAlignment="0" applyProtection="0"/>
    <xf numFmtId="0" fontId="32" fillId="33" borderId="480">
      <alignment horizontal="right" vertical="center"/>
    </xf>
    <xf numFmtId="4" fontId="32" fillId="33" borderId="480">
      <alignment horizontal="right" vertical="center"/>
    </xf>
    <xf numFmtId="0" fontId="34" fillId="0" borderId="478">
      <alignment horizontal="right" vertical="center"/>
    </xf>
    <xf numFmtId="0" fontId="26" fillId="22" borderId="0" applyNumberFormat="0" applyBorder="0" applyAlignment="0" applyProtection="0"/>
    <xf numFmtId="0" fontId="28" fillId="12" borderId="11" applyNumberFormat="0" applyAlignment="0" applyProtection="0"/>
    <xf numFmtId="4" fontId="34" fillId="0" borderId="478" applyFill="0" applyBorder="0" applyProtection="0">
      <alignment horizontal="right" vertical="center"/>
    </xf>
    <xf numFmtId="0" fontId="26" fillId="22" borderId="0" applyNumberFormat="0" applyBorder="0" applyAlignment="0" applyProtection="0"/>
    <xf numFmtId="0" fontId="43" fillId="55" borderId="482" applyNumberFormat="0" applyAlignment="0" applyProtection="0"/>
    <xf numFmtId="0" fontId="32" fillId="33" borderId="480">
      <alignment horizontal="right" vertical="center"/>
    </xf>
    <xf numFmtId="0" fontId="36" fillId="31" borderId="478">
      <alignment horizontal="right" vertical="center"/>
    </xf>
    <xf numFmtId="4" fontId="32" fillId="31" borderId="478">
      <alignment horizontal="right" vertical="center"/>
    </xf>
    <xf numFmtId="4" fontId="32" fillId="33" borderId="478">
      <alignment horizontal="right" vertical="center"/>
    </xf>
    <xf numFmtId="49" fontId="34" fillId="0" borderId="479" applyNumberFormat="0" applyFont="0" applyFill="0" applyBorder="0" applyProtection="0">
      <alignment horizontal="left" vertical="center" indent="5"/>
    </xf>
    <xf numFmtId="4" fontId="34" fillId="0" borderId="478" applyFill="0" applyBorder="0" applyProtection="0">
      <alignment horizontal="right" vertical="center"/>
    </xf>
    <xf numFmtId="4" fontId="32" fillId="31" borderId="478">
      <alignment horizontal="right" vertical="center"/>
    </xf>
    <xf numFmtId="0" fontId="58" fillId="42" borderId="475" applyNumberFormat="0" applyAlignment="0" applyProtection="0"/>
    <xf numFmtId="0" fontId="49" fillId="42" borderId="475" applyNumberFormat="0" applyAlignment="0" applyProtection="0"/>
    <xf numFmtId="0" fontId="45" fillId="55" borderId="475" applyNumberFormat="0" applyAlignment="0" applyProtection="0"/>
    <xf numFmtId="0" fontId="34" fillId="33" borderId="481">
      <alignment horizontal="left" vertical="center" wrapText="1" indent="2"/>
    </xf>
    <xf numFmtId="0" fontId="34" fillId="0" borderId="481">
      <alignment horizontal="left" vertical="center" wrapText="1" indent="2"/>
    </xf>
    <xf numFmtId="0" fontId="34" fillId="33" borderId="481">
      <alignment horizontal="left" vertical="center" wrapText="1" indent="2"/>
    </xf>
    <xf numFmtId="0" fontId="34" fillId="0" borderId="481">
      <alignment horizontal="left" vertical="center" wrapText="1" indent="2"/>
    </xf>
    <xf numFmtId="0" fontId="29" fillId="12" borderId="10" applyNumberFormat="0" applyAlignment="0" applyProtection="0"/>
    <xf numFmtId="0" fontId="26" fillId="14" borderId="0" applyNumberFormat="0" applyBorder="0" applyAlignment="0" applyProtection="0"/>
    <xf numFmtId="0" fontId="26" fillId="29" borderId="0" applyNumberFormat="0" applyBorder="0" applyAlignment="0" applyProtection="0"/>
    <xf numFmtId="0" fontId="12" fillId="18" borderId="0" applyNumberFormat="0" applyBorder="0" applyAlignment="0" applyProtection="0"/>
    <xf numFmtId="0" fontId="26" fillId="26" borderId="0" applyNumberFormat="0" applyBorder="0" applyAlignment="0" applyProtection="0"/>
    <xf numFmtId="0" fontId="26" fillId="17" borderId="0" applyNumberFormat="0" applyBorder="0" applyAlignment="0" applyProtection="0"/>
    <xf numFmtId="0" fontId="26" fillId="20" borderId="0" applyNumberFormat="0" applyBorder="0" applyAlignment="0" applyProtection="0"/>
    <xf numFmtId="0" fontId="2" fillId="0" borderId="12" applyNumberFormat="0" applyFill="0" applyAlignment="0" applyProtection="0"/>
    <xf numFmtId="0" fontId="26" fillId="23" borderId="0" applyNumberFormat="0" applyBorder="0" applyAlignment="0" applyProtection="0"/>
    <xf numFmtId="0" fontId="12" fillId="27" borderId="0" applyNumberFormat="0" applyBorder="0" applyAlignment="0" applyProtection="0"/>
    <xf numFmtId="0" fontId="26" fillId="16" borderId="0" applyNumberFormat="0" applyBorder="0" applyAlignment="0" applyProtection="0"/>
    <xf numFmtId="0" fontId="26" fillId="13" borderId="0" applyNumberFormat="0" applyBorder="0" applyAlignment="0" applyProtection="0"/>
    <xf numFmtId="0" fontId="26" fillId="20" borderId="0" applyNumberFormat="0" applyBorder="0" applyAlignment="0" applyProtection="0"/>
    <xf numFmtId="0" fontId="26" fillId="25" borderId="0" applyNumberFormat="0" applyBorder="0" applyAlignment="0" applyProtection="0"/>
    <xf numFmtId="0" fontId="30" fillId="0" borderId="0" applyNumberFormat="0" applyFill="0" applyBorder="0" applyAlignment="0" applyProtection="0"/>
    <xf numFmtId="0" fontId="12" fillId="30" borderId="0" applyNumberFormat="0" applyBorder="0" applyAlignment="0" applyProtection="0"/>
    <xf numFmtId="0" fontId="12" fillId="27" borderId="0" applyNumberFormat="0" applyBorder="0" applyAlignment="0" applyProtection="0"/>
    <xf numFmtId="0" fontId="26" fillId="28" borderId="0" applyNumberFormat="0" applyBorder="0" applyAlignment="0" applyProtection="0"/>
    <xf numFmtId="0" fontId="26" fillId="19" borderId="0" applyNumberFormat="0" applyBorder="0" applyAlignment="0" applyProtection="0"/>
    <xf numFmtId="0" fontId="26" fillId="26" borderId="0" applyNumberFormat="0" applyBorder="0" applyAlignment="0" applyProtection="0"/>
    <xf numFmtId="0" fontId="26" fillId="28" borderId="0" applyNumberFormat="0" applyBorder="0" applyAlignment="0" applyProtection="0"/>
    <xf numFmtId="0" fontId="1" fillId="0" borderId="0" applyNumberFormat="0" applyFill="0" applyBorder="0" applyAlignment="0" applyProtection="0"/>
    <xf numFmtId="0" fontId="29" fillId="12" borderId="10" applyNumberFormat="0" applyAlignment="0" applyProtection="0"/>
    <xf numFmtId="0" fontId="26" fillId="23" borderId="0" applyNumberFormat="0" applyBorder="0" applyAlignment="0" applyProtection="0"/>
    <xf numFmtId="0" fontId="12" fillId="27" borderId="0" applyNumberFormat="0" applyBorder="0" applyAlignment="0" applyProtection="0"/>
    <xf numFmtId="0" fontId="26" fillId="23" borderId="0" applyNumberFormat="0" applyBorder="0" applyAlignment="0" applyProtection="0"/>
    <xf numFmtId="0" fontId="12" fillId="27" borderId="0" applyNumberFormat="0" applyBorder="0" applyAlignment="0" applyProtection="0"/>
    <xf numFmtId="0" fontId="26" fillId="16" borderId="0" applyNumberFormat="0" applyBorder="0" applyAlignment="0" applyProtection="0"/>
    <xf numFmtId="0" fontId="12" fillId="24" borderId="0" applyNumberFormat="0" applyBorder="0" applyAlignment="0" applyProtection="0"/>
    <xf numFmtId="0" fontId="26" fillId="23" borderId="0" applyNumberFormat="0" applyBorder="0" applyAlignment="0" applyProtection="0"/>
    <xf numFmtId="0" fontId="26" fillId="19" borderId="0" applyNumberFormat="0" applyBorder="0" applyAlignment="0" applyProtection="0"/>
    <xf numFmtId="0" fontId="30" fillId="0" borderId="0" applyNumberFormat="0" applyFill="0" applyBorder="0" applyAlignment="0" applyProtection="0"/>
    <xf numFmtId="0" fontId="2" fillId="0" borderId="12" applyNumberFormat="0" applyFill="0" applyAlignment="0" applyProtection="0"/>
    <xf numFmtId="0" fontId="26" fillId="20" borderId="0" applyNumberFormat="0" applyBorder="0" applyAlignment="0" applyProtection="0"/>
    <xf numFmtId="0" fontId="26" fillId="28" borderId="0" applyNumberFormat="0" applyBorder="0" applyAlignment="0" applyProtection="0"/>
    <xf numFmtId="0" fontId="12" fillId="30" borderId="0" applyNumberFormat="0" applyBorder="0" applyAlignment="0" applyProtection="0"/>
    <xf numFmtId="0" fontId="26" fillId="25" borderId="0" applyNumberFormat="0" applyBorder="0" applyAlignment="0" applyProtection="0"/>
    <xf numFmtId="0" fontId="12" fillId="24" borderId="0" applyNumberFormat="0" applyBorder="0" applyAlignment="0" applyProtection="0"/>
    <xf numFmtId="0" fontId="26" fillId="29" borderId="0" applyNumberFormat="0" applyBorder="0" applyAlignment="0" applyProtection="0"/>
    <xf numFmtId="0" fontId="12" fillId="21" borderId="0" applyNumberFormat="0" applyBorder="0" applyAlignment="0" applyProtection="0"/>
    <xf numFmtId="0" fontId="26" fillId="19" borderId="0" applyNumberFormat="0" applyBorder="0" applyAlignment="0" applyProtection="0"/>
    <xf numFmtId="0" fontId="12" fillId="18" borderId="0" applyNumberFormat="0" applyBorder="0" applyAlignment="0" applyProtection="0"/>
    <xf numFmtId="0" fontId="26" fillId="16" borderId="0" applyNumberFormat="0" applyBorder="0" applyAlignment="0" applyProtection="0"/>
    <xf numFmtId="0" fontId="12" fillId="21" borderId="0" applyNumberFormat="0" applyBorder="0" applyAlignment="0" applyProtection="0"/>
    <xf numFmtId="0" fontId="12" fillId="18" borderId="0" applyNumberFormat="0" applyBorder="0" applyAlignment="0" applyProtection="0"/>
    <xf numFmtId="0" fontId="28" fillId="12" borderId="11" applyNumberFormat="0" applyAlignment="0" applyProtection="0"/>
    <xf numFmtId="0" fontId="12" fillId="15" borderId="0" applyNumberFormat="0" applyBorder="0" applyAlignment="0" applyProtection="0"/>
    <xf numFmtId="0" fontId="12" fillId="15" borderId="0" applyNumberFormat="0" applyBorder="0" applyAlignment="0" applyProtection="0"/>
    <xf numFmtId="0" fontId="65" fillId="0" borderId="540" applyNumberFormat="0" applyFill="0" applyAlignment="0" applyProtection="0"/>
    <xf numFmtId="0" fontId="12" fillId="18" borderId="0" applyNumberFormat="0" applyBorder="0" applyAlignment="0" applyProtection="0"/>
    <xf numFmtId="0" fontId="34" fillId="0" borderId="503">
      <alignment horizontal="left" vertical="center" wrapText="1" indent="2"/>
    </xf>
    <xf numFmtId="0" fontId="50" fillId="0" borderId="506" applyNumberFormat="0" applyFill="0" applyAlignment="0" applyProtection="0"/>
    <xf numFmtId="0" fontId="50" fillId="0" borderId="506" applyNumberFormat="0" applyFill="0" applyAlignment="0" applyProtection="0"/>
    <xf numFmtId="0" fontId="45" fillId="55" borderId="505" applyNumberFormat="0" applyAlignment="0" applyProtection="0"/>
    <xf numFmtId="0" fontId="26" fillId="14" borderId="0" applyNumberFormat="0" applyBorder="0" applyAlignment="0" applyProtection="0"/>
    <xf numFmtId="0" fontId="65" fillId="0" borderId="506" applyNumberFormat="0" applyFill="0" applyAlignment="0" applyProtection="0"/>
    <xf numFmtId="0" fontId="40" fillId="58" borderId="499" applyNumberFormat="0" applyFont="0" applyAlignment="0" applyProtection="0"/>
    <xf numFmtId="0" fontId="65" fillId="0" borderId="506" applyNumberFormat="0" applyFill="0" applyAlignment="0" applyProtection="0"/>
    <xf numFmtId="0" fontId="43" fillId="55" borderId="531" applyNumberFormat="0" applyAlignment="0" applyProtection="0"/>
    <xf numFmtId="0" fontId="40" fillId="58" borderId="493" applyNumberFormat="0" applyFont="0" applyAlignment="0" applyProtection="0"/>
    <xf numFmtId="173" fontId="34" fillId="59" borderId="494" applyNumberFormat="0" applyFont="0" applyBorder="0" applyAlignment="0" applyProtection="0">
      <alignment horizontal="right" vertical="center"/>
    </xf>
    <xf numFmtId="0" fontId="50" fillId="0" borderId="533" applyNumberFormat="0" applyFill="0" applyAlignment="0" applyProtection="0"/>
    <xf numFmtId="173" fontId="34" fillId="59" borderId="500" applyNumberFormat="0" applyFont="0" applyBorder="0" applyAlignment="0" applyProtection="0">
      <alignment horizontal="right" vertical="center"/>
    </xf>
    <xf numFmtId="4" fontId="32" fillId="33" borderId="496">
      <alignment horizontal="right" vertical="center"/>
    </xf>
    <xf numFmtId="0" fontId="5" fillId="58" borderId="499" applyNumberFormat="0" applyFont="0" applyAlignment="0" applyProtection="0"/>
    <xf numFmtId="0" fontId="46" fillId="55" borderId="505" applyNumberFormat="0" applyAlignment="0" applyProtection="0"/>
    <xf numFmtId="0" fontId="32" fillId="31" borderId="510">
      <alignment horizontal="right" vertical="center"/>
    </xf>
    <xf numFmtId="0" fontId="58" fillId="42" borderId="507" applyNumberFormat="0" applyAlignment="0" applyProtection="0"/>
    <xf numFmtId="49" fontId="34" fillId="0" borderId="517" applyNumberFormat="0" applyFont="0" applyFill="0" applyBorder="0" applyProtection="0">
      <alignment horizontal="left" vertical="center" indent="5"/>
    </xf>
    <xf numFmtId="173" fontId="34" fillId="59" borderId="500" applyNumberFormat="0" applyFont="0" applyBorder="0" applyAlignment="0" applyProtection="0">
      <alignment horizontal="right" vertical="center"/>
    </xf>
    <xf numFmtId="4" fontId="34" fillId="0" borderId="494">
      <alignment horizontal="right" vertical="center"/>
    </xf>
    <xf numFmtId="0" fontId="34" fillId="32" borderId="494"/>
    <xf numFmtId="0" fontId="34" fillId="0" borderId="494">
      <alignment horizontal="right" vertical="center"/>
    </xf>
    <xf numFmtId="0" fontId="32" fillId="33" borderId="501">
      <alignment horizontal="right" vertical="center"/>
    </xf>
    <xf numFmtId="0" fontId="40" fillId="58" borderId="499" applyNumberFormat="0" applyFont="0" applyAlignment="0" applyProtection="0"/>
    <xf numFmtId="0" fontId="46" fillId="55" borderId="505" applyNumberFormat="0" applyAlignment="0" applyProtection="0"/>
    <xf numFmtId="0" fontId="34" fillId="32" borderId="500"/>
    <xf numFmtId="0" fontId="40" fillId="58" borderId="499" applyNumberFormat="0" applyFont="0" applyAlignment="0" applyProtection="0"/>
    <xf numFmtId="0" fontId="28" fillId="12" borderId="11" applyNumberFormat="0" applyAlignment="0" applyProtection="0"/>
    <xf numFmtId="0" fontId="34" fillId="0" borderId="535">
      <alignment horizontal="right" vertical="center"/>
    </xf>
    <xf numFmtId="0" fontId="34" fillId="0" borderId="535" applyNumberFormat="0" applyFill="0" applyAlignment="0" applyProtection="0"/>
    <xf numFmtId="0" fontId="65" fillId="0" borderId="508" applyNumberFormat="0" applyFill="0" applyAlignment="0" applyProtection="0"/>
    <xf numFmtId="0" fontId="32" fillId="33" borderId="502">
      <alignment horizontal="right" vertical="center"/>
    </xf>
    <xf numFmtId="4" fontId="32" fillId="33" borderId="500">
      <alignment horizontal="right" vertical="center"/>
    </xf>
    <xf numFmtId="4" fontId="32" fillId="33" borderId="494">
      <alignment horizontal="right" vertical="center"/>
    </xf>
    <xf numFmtId="0" fontId="29" fillId="12" borderId="10" applyNumberFormat="0" applyAlignment="0" applyProtection="0"/>
    <xf numFmtId="0" fontId="46" fillId="55" borderId="505" applyNumberFormat="0" applyAlignment="0" applyProtection="0"/>
    <xf numFmtId="0" fontId="58" fillId="42" borderId="524" applyNumberFormat="0" applyAlignment="0" applyProtection="0"/>
    <xf numFmtId="4" fontId="32" fillId="33" borderId="500">
      <alignment horizontal="right" vertical="center"/>
    </xf>
    <xf numFmtId="0" fontId="58" fillId="42" borderId="532" applyNumberFormat="0" applyAlignment="0" applyProtection="0"/>
    <xf numFmtId="4" fontId="32" fillId="33" borderId="536">
      <alignment horizontal="right" vertical="center"/>
    </xf>
    <xf numFmtId="0" fontId="32" fillId="33" borderId="535">
      <alignment horizontal="right" vertical="center"/>
    </xf>
    <xf numFmtId="0" fontId="28" fillId="12" borderId="11" applyNumberFormat="0" applyAlignment="0" applyProtection="0"/>
    <xf numFmtId="0" fontId="29" fillId="12" borderId="10" applyNumberFormat="0" applyAlignment="0" applyProtection="0"/>
    <xf numFmtId="4" fontId="32" fillId="33" borderId="500">
      <alignment horizontal="right" vertical="center"/>
    </xf>
    <xf numFmtId="4" fontId="36" fillId="31" borderId="535">
      <alignment horizontal="right" vertical="center"/>
    </xf>
    <xf numFmtId="0" fontId="1" fillId="0" borderId="0" applyNumberFormat="0" applyFill="0" applyBorder="0" applyAlignment="0" applyProtection="0"/>
    <xf numFmtId="173" fontId="34" fillId="59" borderId="500" applyNumberFormat="0" applyFont="0" applyBorder="0" applyAlignment="0" applyProtection="0">
      <alignment horizontal="right" vertical="center"/>
    </xf>
    <xf numFmtId="0" fontId="30" fillId="0" borderId="0" applyNumberFormat="0" applyFill="0" applyBorder="0" applyAlignment="0" applyProtection="0"/>
    <xf numFmtId="0" fontId="2" fillId="0" borderId="12" applyNumberFormat="0" applyFill="0" applyAlignment="0" applyProtection="0"/>
    <xf numFmtId="0" fontId="28" fillId="12" borderId="11" applyNumberFormat="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46" fillId="55" borderId="507" applyNumberFormat="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32" fillId="33" borderId="500">
      <alignment horizontal="right" vertical="center"/>
    </xf>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34" fillId="31" borderId="536">
      <alignment horizontal="left" vertical="center"/>
    </xf>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50" fillId="0" borderId="506" applyNumberFormat="0" applyFill="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4" fontId="32" fillId="31" borderId="500">
      <alignment horizontal="right" vertical="center"/>
    </xf>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478" applyNumberFormat="0" applyFill="0" applyAlignment="0" applyProtection="0"/>
    <xf numFmtId="0" fontId="32" fillId="33" borderId="478">
      <alignment horizontal="right" vertical="center"/>
    </xf>
    <xf numFmtId="0" fontId="32" fillId="33" borderId="478">
      <alignment horizontal="right" vertical="center"/>
    </xf>
    <xf numFmtId="0" fontId="26" fillId="14" borderId="0" applyNumberFormat="0" applyBorder="0" applyAlignment="0" applyProtection="0"/>
    <xf numFmtId="0" fontId="32" fillId="33" borderId="441">
      <alignment horizontal="right" vertical="center"/>
    </xf>
    <xf numFmtId="0" fontId="34" fillId="0" borderId="478">
      <alignment horizontal="right" vertical="center"/>
    </xf>
    <xf numFmtId="0" fontId="36" fillId="31" borderId="478">
      <alignment horizontal="right" vertical="center"/>
    </xf>
    <xf numFmtId="0" fontId="34" fillId="32" borderId="478"/>
    <xf numFmtId="0" fontId="32" fillId="31" borderId="478">
      <alignment horizontal="right" vertical="center"/>
    </xf>
    <xf numFmtId="0" fontId="46" fillId="55" borderId="491" applyNumberFormat="0" applyAlignment="0" applyProtection="0"/>
    <xf numFmtId="0" fontId="40" fillId="58" borderId="499" applyNumberFormat="0" applyFont="0" applyAlignment="0" applyProtection="0"/>
    <xf numFmtId="0" fontId="32" fillId="31" borderId="500">
      <alignment horizontal="right" vertical="center"/>
    </xf>
    <xf numFmtId="4" fontId="32" fillId="33" borderId="500">
      <alignment horizontal="right" vertical="center"/>
    </xf>
    <xf numFmtId="4" fontId="32" fillId="33" borderId="501">
      <alignment horizontal="right" vertical="center"/>
    </xf>
    <xf numFmtId="0" fontId="45" fillId="55" borderId="491" applyNumberFormat="0" applyAlignment="0" applyProtection="0"/>
    <xf numFmtId="0" fontId="32" fillId="33" borderId="500">
      <alignment horizontal="right" vertical="center"/>
    </xf>
    <xf numFmtId="4" fontId="34" fillId="32" borderId="500"/>
    <xf numFmtId="4" fontId="32" fillId="33" borderId="501">
      <alignment horizontal="right" vertical="center"/>
    </xf>
    <xf numFmtId="0" fontId="49" fillId="42" borderId="505" applyNumberFormat="0" applyAlignment="0" applyProtection="0"/>
    <xf numFmtId="4" fontId="32" fillId="33" borderId="535">
      <alignment horizontal="right" vertical="center"/>
    </xf>
    <xf numFmtId="0" fontId="28" fillId="12" borderId="11" applyNumberFormat="0" applyAlignment="0" applyProtection="0"/>
    <xf numFmtId="0" fontId="29" fillId="12" borderId="10" applyNumberFormat="0" applyAlignment="0" applyProtection="0"/>
    <xf numFmtId="49" fontId="33" fillId="0" borderId="494" applyNumberFormat="0" applyFill="0" applyBorder="0" applyProtection="0">
      <alignment horizontal="left" vertical="center"/>
    </xf>
    <xf numFmtId="0" fontId="26" fillId="29" borderId="0" applyNumberFormat="0" applyBorder="0" applyAlignment="0" applyProtection="0"/>
    <xf numFmtId="0" fontId="12" fillId="24" borderId="0" applyNumberFormat="0" applyBorder="0" applyAlignment="0" applyProtection="0"/>
    <xf numFmtId="0" fontId="43" fillId="55" borderId="504" applyNumberFormat="0" applyAlignment="0" applyProtection="0"/>
    <xf numFmtId="0" fontId="26" fillId="29" borderId="0" applyNumberFormat="0" applyBorder="0" applyAlignment="0" applyProtection="0"/>
    <xf numFmtId="49" fontId="34" fillId="0" borderId="500" applyNumberFormat="0" applyFont="0" applyFill="0" applyBorder="0" applyProtection="0">
      <alignment horizontal="left" vertical="center" indent="2"/>
    </xf>
    <xf numFmtId="4" fontId="34" fillId="0" borderId="500" applyFill="0" applyBorder="0" applyProtection="0">
      <alignment horizontal="right" vertical="center"/>
    </xf>
    <xf numFmtId="0" fontId="34" fillId="33" borderId="503">
      <alignment horizontal="left" vertical="center" wrapText="1" indent="2"/>
    </xf>
    <xf numFmtId="0" fontId="34" fillId="0" borderId="503">
      <alignment horizontal="left" vertical="center" wrapText="1" indent="2"/>
    </xf>
    <xf numFmtId="0" fontId="43" fillId="55" borderId="504" applyNumberFormat="0" applyAlignment="0" applyProtection="0"/>
    <xf numFmtId="0" fontId="46" fillId="55" borderId="524" applyNumberFormat="0" applyAlignment="0" applyProtection="0"/>
    <xf numFmtId="0" fontId="58" fillId="42" borderId="505" applyNumberFormat="0" applyAlignment="0" applyProtection="0"/>
    <xf numFmtId="0" fontId="1" fillId="0" borderId="0" applyNumberFormat="0" applyFill="0" applyBorder="0" applyAlignment="0" applyProtection="0"/>
    <xf numFmtId="0" fontId="26" fillId="26" borderId="0" applyNumberFormat="0" applyBorder="0" applyAlignment="0" applyProtection="0"/>
    <xf numFmtId="0" fontId="12" fillId="30" borderId="0" applyNumberFormat="0" applyBorder="0" applyAlignment="0" applyProtection="0"/>
    <xf numFmtId="4" fontId="32" fillId="33" borderId="516">
      <alignment horizontal="right" vertical="center"/>
    </xf>
    <xf numFmtId="0" fontId="58" fillId="42" borderId="505" applyNumberFormat="0" applyAlignment="0" applyProtection="0"/>
    <xf numFmtId="0" fontId="65" fillId="0" borderId="506" applyNumberFormat="0" applyFill="0" applyAlignment="0" applyProtection="0"/>
    <xf numFmtId="0" fontId="12" fillId="24" borderId="0" applyNumberFormat="0" applyBorder="0" applyAlignment="0" applyProtection="0"/>
    <xf numFmtId="0" fontId="45" fillId="55" borderId="507" applyNumberFormat="0" applyAlignment="0" applyProtection="0"/>
    <xf numFmtId="0" fontId="65" fillId="0" borderId="533" applyNumberFormat="0" applyFill="0" applyAlignment="0" applyProtection="0"/>
    <xf numFmtId="0" fontId="34" fillId="0" borderId="500" applyNumberFormat="0" applyFill="0" applyAlignment="0" applyProtection="0"/>
    <xf numFmtId="4" fontId="32" fillId="31" borderId="535">
      <alignment horizontal="right" vertical="center"/>
    </xf>
    <xf numFmtId="0" fontId="26" fillId="22" borderId="0" applyNumberFormat="0" applyBorder="0" applyAlignment="0" applyProtection="0"/>
    <xf numFmtId="0" fontId="58" fillId="42" borderId="491" applyNumberFormat="0" applyAlignment="0" applyProtection="0"/>
    <xf numFmtId="0" fontId="32" fillId="33" borderId="496">
      <alignment horizontal="right" vertical="center"/>
    </xf>
    <xf numFmtId="0" fontId="32" fillId="33" borderId="494">
      <alignment horizontal="right" vertical="center"/>
    </xf>
    <xf numFmtId="4" fontId="32" fillId="33" borderId="494">
      <alignment horizontal="right" vertical="center"/>
    </xf>
    <xf numFmtId="0" fontId="32" fillId="33" borderId="494">
      <alignment horizontal="right" vertical="center"/>
    </xf>
    <xf numFmtId="4" fontId="36" fillId="31" borderId="494">
      <alignment horizontal="right" vertical="center"/>
    </xf>
    <xf numFmtId="0" fontId="36" fillId="31" borderId="494">
      <alignment horizontal="right" vertical="center"/>
    </xf>
    <xf numFmtId="4" fontId="32" fillId="31" borderId="494">
      <alignment horizontal="right" vertical="center"/>
    </xf>
    <xf numFmtId="0" fontId="32" fillId="31" borderId="494">
      <alignment horizontal="right" vertical="center"/>
    </xf>
    <xf numFmtId="0" fontId="46" fillId="55" borderId="505" applyNumberFormat="0" applyAlignment="0" applyProtection="0"/>
    <xf numFmtId="0" fontId="46" fillId="55" borderId="484" applyNumberFormat="0" applyAlignment="0" applyProtection="0"/>
    <xf numFmtId="0" fontId="65" fillId="0" borderId="506" applyNumberFormat="0" applyFill="0" applyAlignment="0" applyProtection="0"/>
    <xf numFmtId="43" fontId="37" fillId="0" borderId="0" applyFont="0" applyFill="0" applyBorder="0" applyAlignment="0" applyProtection="0"/>
    <xf numFmtId="0" fontId="28" fillId="12" borderId="11" applyNumberFormat="0" applyAlignment="0" applyProtection="0"/>
    <xf numFmtId="43" fontId="37" fillId="0" borderId="0" applyFont="0" applyFill="0" applyBorder="0" applyAlignment="0" applyProtection="0"/>
    <xf numFmtId="0" fontId="32" fillId="33" borderId="537">
      <alignment horizontal="right" vertical="center"/>
    </xf>
    <xf numFmtId="0" fontId="65" fillId="0" borderId="492" applyNumberFormat="0" applyFill="0" applyAlignment="0" applyProtection="0"/>
    <xf numFmtId="0" fontId="12" fillId="15" borderId="0" applyNumberFormat="0" applyBorder="0" applyAlignment="0" applyProtection="0"/>
    <xf numFmtId="0" fontId="12" fillId="30" borderId="0" applyNumberFormat="0" applyBorder="0" applyAlignment="0" applyProtection="0"/>
    <xf numFmtId="4" fontId="34" fillId="0" borderId="535" applyFill="0" applyBorder="0" applyProtection="0">
      <alignment horizontal="right" vertical="center"/>
    </xf>
    <xf numFmtId="0" fontId="46" fillId="55" borderId="491" applyNumberFormat="0" applyAlignment="0" applyProtection="0"/>
    <xf numFmtId="0" fontId="45" fillId="55" borderId="532" applyNumberFormat="0" applyAlignment="0" applyProtection="0"/>
    <xf numFmtId="4" fontId="34" fillId="0" borderId="535" applyFill="0" applyBorder="0" applyProtection="0">
      <alignment horizontal="right" vertical="center"/>
    </xf>
    <xf numFmtId="4" fontId="32" fillId="33" borderId="500">
      <alignment horizontal="right" vertical="center"/>
    </xf>
    <xf numFmtId="0" fontId="58" fillId="42" borderId="484" applyNumberFormat="0" applyAlignment="0" applyProtection="0"/>
    <xf numFmtId="49" fontId="34" fillId="0" borderId="501" applyNumberFormat="0" applyFont="0" applyFill="0" applyBorder="0" applyProtection="0">
      <alignment horizontal="left" vertical="center" indent="5"/>
    </xf>
    <xf numFmtId="0" fontId="58" fillId="42" borderId="505" applyNumberFormat="0" applyAlignment="0" applyProtection="0"/>
    <xf numFmtId="0" fontId="32" fillId="33" borderId="535">
      <alignment horizontal="right" vertical="center"/>
    </xf>
    <xf numFmtId="4" fontId="34" fillId="0" borderId="535" applyFill="0" applyBorder="0" applyProtection="0">
      <alignment horizontal="right" vertical="center"/>
    </xf>
    <xf numFmtId="4" fontId="34" fillId="32" borderId="535"/>
    <xf numFmtId="0" fontId="65" fillId="0" borderId="533" applyNumberFormat="0" applyFill="0" applyAlignment="0" applyProtection="0"/>
    <xf numFmtId="173" fontId="34" fillId="59" borderId="535" applyNumberFormat="0" applyFont="0" applyBorder="0" applyAlignment="0" applyProtection="0">
      <alignment horizontal="right" vertical="center"/>
    </xf>
    <xf numFmtId="0" fontId="5" fillId="58" borderId="493" applyNumberFormat="0" applyFont="0" applyAlignment="0" applyProtection="0"/>
    <xf numFmtId="0" fontId="40" fillId="58" borderId="493" applyNumberFormat="0" applyFont="0" applyAlignment="0" applyProtection="0"/>
    <xf numFmtId="4" fontId="36" fillId="31" borderId="535">
      <alignment horizontal="right" vertical="center"/>
    </xf>
    <xf numFmtId="0" fontId="26" fillId="20" borderId="0" applyNumberFormat="0" applyBorder="0" applyAlignment="0" applyProtection="0"/>
    <xf numFmtId="4" fontId="32" fillId="33" borderId="537">
      <alignment horizontal="right" vertical="center"/>
    </xf>
    <xf numFmtId="4" fontId="34" fillId="0" borderId="478" applyFill="0" applyBorder="0" applyProtection="0">
      <alignment horizontal="right" vertical="center"/>
    </xf>
    <xf numFmtId="0" fontId="32" fillId="33" borderId="535">
      <alignment horizontal="right" vertical="center"/>
    </xf>
    <xf numFmtId="0" fontId="32" fillId="33" borderId="500">
      <alignment horizontal="right" vertical="center"/>
    </xf>
    <xf numFmtId="0" fontId="34" fillId="0" borderId="500">
      <alignment horizontal="right" vertical="center"/>
    </xf>
    <xf numFmtId="0" fontId="58" fillId="42" borderId="532" applyNumberFormat="0" applyAlignment="0" applyProtection="0"/>
    <xf numFmtId="0" fontId="32" fillId="33" borderId="535">
      <alignment horizontal="right" vertical="center"/>
    </xf>
    <xf numFmtId="0" fontId="40" fillId="58" borderId="486" applyNumberFormat="0" applyFont="0" applyAlignment="0" applyProtection="0"/>
    <xf numFmtId="0" fontId="5" fillId="58" borderId="486" applyNumberFormat="0" applyFont="0" applyAlignment="0" applyProtection="0"/>
    <xf numFmtId="0" fontId="62" fillId="55" borderId="483" applyNumberFormat="0" applyAlignment="0" applyProtection="0"/>
    <xf numFmtId="0" fontId="36" fillId="31" borderId="500">
      <alignment horizontal="right" vertical="center"/>
    </xf>
    <xf numFmtId="0" fontId="1" fillId="0" borderId="0" applyNumberFormat="0" applyFill="0" applyBorder="0" applyAlignment="0" applyProtection="0"/>
    <xf numFmtId="4" fontId="34" fillId="32" borderId="527"/>
    <xf numFmtId="0" fontId="32" fillId="31" borderId="500">
      <alignment horizontal="right" vertical="center"/>
    </xf>
    <xf numFmtId="4" fontId="32" fillId="33" borderId="544">
      <alignment horizontal="right" vertical="center"/>
    </xf>
    <xf numFmtId="0" fontId="32" fillId="33" borderId="500">
      <alignment horizontal="right" vertical="center"/>
    </xf>
    <xf numFmtId="0" fontId="65" fillId="0" borderId="485" applyNumberFormat="0" applyFill="0" applyAlignment="0" applyProtection="0"/>
    <xf numFmtId="0" fontId="65" fillId="0" borderId="533" applyNumberFormat="0" applyFill="0" applyAlignment="0" applyProtection="0"/>
    <xf numFmtId="49" fontId="34" fillId="0" borderId="543" applyNumberFormat="0" applyFont="0" applyFill="0" applyBorder="0" applyProtection="0">
      <alignment horizontal="left" vertical="center" indent="5"/>
    </xf>
    <xf numFmtId="0" fontId="34" fillId="32" borderId="500"/>
    <xf numFmtId="0" fontId="45" fillId="55" borderId="505" applyNumberFormat="0" applyAlignment="0" applyProtection="0"/>
    <xf numFmtId="0" fontId="46" fillId="55" borderId="505" applyNumberFormat="0" applyAlignment="0" applyProtection="0"/>
    <xf numFmtId="0" fontId="34" fillId="33" borderId="503">
      <alignment horizontal="left" vertical="center" wrapText="1" indent="2"/>
    </xf>
    <xf numFmtId="0" fontId="49" fillId="42" borderId="505" applyNumberFormat="0" applyAlignment="0" applyProtection="0"/>
    <xf numFmtId="0" fontId="46" fillId="55" borderId="532" applyNumberFormat="0" applyAlignment="0" applyProtection="0"/>
    <xf numFmtId="0" fontId="34" fillId="33" borderId="503">
      <alignment horizontal="left" vertical="center" wrapText="1" indent="2"/>
    </xf>
    <xf numFmtId="0" fontId="46" fillId="55" borderId="505" applyNumberFormat="0" applyAlignment="0" applyProtection="0"/>
    <xf numFmtId="0" fontId="32" fillId="33" borderId="542">
      <alignment horizontal="right" vertical="center"/>
    </xf>
    <xf numFmtId="49" fontId="34" fillId="0" borderId="500" applyNumberFormat="0" applyFont="0" applyFill="0" applyBorder="0" applyProtection="0">
      <alignment horizontal="left" vertical="center" indent="2"/>
    </xf>
    <xf numFmtId="0" fontId="32" fillId="33" borderId="510">
      <alignment horizontal="right" vertical="center"/>
    </xf>
    <xf numFmtId="0" fontId="58" fillId="42" borderId="505" applyNumberFormat="0" applyAlignment="0" applyProtection="0"/>
    <xf numFmtId="0" fontId="58" fillId="42" borderId="505" applyNumberFormat="0" applyAlignment="0" applyProtection="0"/>
    <xf numFmtId="0" fontId="58" fillId="42" borderId="524" applyNumberFormat="0" applyAlignment="0" applyProtection="0"/>
    <xf numFmtId="173" fontId="34" fillId="59" borderId="500" applyNumberFormat="0" applyFont="0" applyBorder="0" applyAlignment="0" applyProtection="0">
      <alignment horizontal="right" vertical="center"/>
    </xf>
    <xf numFmtId="4" fontId="34" fillId="32" borderId="500"/>
    <xf numFmtId="0" fontId="65" fillId="0" borderId="506" applyNumberFormat="0" applyFill="0" applyAlignment="0" applyProtection="0"/>
    <xf numFmtId="0" fontId="50" fillId="0" borderId="492" applyNumberFormat="0" applyFill="0" applyAlignment="0" applyProtection="0"/>
    <xf numFmtId="0" fontId="29" fillId="12" borderId="10" applyNumberFormat="0" applyAlignment="0" applyProtection="0"/>
    <xf numFmtId="0" fontId="40" fillId="58" borderId="499" applyNumberFormat="0" applyFont="0" applyAlignment="0" applyProtection="0"/>
    <xf numFmtId="0" fontId="49" fillId="42" borderId="505" applyNumberFormat="0" applyAlignment="0" applyProtection="0"/>
    <xf numFmtId="0" fontId="62" fillId="55" borderId="504" applyNumberFormat="0" applyAlignment="0" applyProtection="0"/>
    <xf numFmtId="0" fontId="5" fillId="58" borderId="509" applyNumberFormat="0" applyFont="0" applyAlignment="0" applyProtection="0"/>
    <xf numFmtId="49" fontId="34" fillId="0" borderId="516" applyNumberFormat="0" applyFont="0" applyFill="0" applyBorder="0" applyProtection="0">
      <alignment horizontal="left" vertical="center" indent="2"/>
    </xf>
    <xf numFmtId="4" fontId="34" fillId="0" borderId="494" applyFill="0" applyBorder="0" applyProtection="0">
      <alignment horizontal="right" vertical="center"/>
    </xf>
    <xf numFmtId="0" fontId="12" fillId="27" borderId="0" applyNumberFormat="0" applyBorder="0" applyAlignment="0" applyProtection="0"/>
    <xf numFmtId="0" fontId="32" fillId="31" borderId="500">
      <alignment horizontal="right" vertical="center"/>
    </xf>
    <xf numFmtId="0" fontId="34" fillId="32" borderId="535"/>
    <xf numFmtId="0" fontId="40" fillId="58" borderId="499" applyNumberFormat="0" applyFont="0" applyAlignment="0" applyProtection="0"/>
    <xf numFmtId="0" fontId="50" fillId="0" borderId="506" applyNumberFormat="0" applyFill="0" applyAlignment="0" applyProtection="0"/>
    <xf numFmtId="4" fontId="32" fillId="33" borderId="501">
      <alignment horizontal="right" vertical="center"/>
    </xf>
    <xf numFmtId="0" fontId="43" fillId="55" borderId="504" applyNumberFormat="0" applyAlignment="0" applyProtection="0"/>
    <xf numFmtId="0" fontId="65" fillId="0" borderId="533" applyNumberFormat="0" applyFill="0" applyAlignment="0" applyProtection="0"/>
    <xf numFmtId="0" fontId="65" fillId="0" borderId="533" applyNumberFormat="0" applyFill="0" applyAlignment="0" applyProtection="0"/>
    <xf numFmtId="0" fontId="2" fillId="0" borderId="12" applyNumberFormat="0" applyFill="0" applyAlignment="0" applyProtection="0"/>
    <xf numFmtId="49" fontId="33" fillId="0" borderId="510" applyNumberFormat="0" applyFill="0" applyBorder="0" applyProtection="0">
      <alignment horizontal="left" vertical="center"/>
    </xf>
    <xf numFmtId="0" fontId="46" fillId="55" borderId="505" applyNumberFormat="0" applyAlignment="0" applyProtection="0"/>
    <xf numFmtId="0" fontId="32" fillId="33" borderId="500">
      <alignment horizontal="right" vertical="center"/>
    </xf>
    <xf numFmtId="0" fontId="46" fillId="55" borderId="484" applyNumberFormat="0" applyAlignment="0" applyProtection="0"/>
    <xf numFmtId="4" fontId="32" fillId="33" borderId="502">
      <alignment horizontal="right" vertical="center"/>
    </xf>
    <xf numFmtId="4" fontId="32" fillId="33" borderId="500">
      <alignment horizontal="right" vertical="center"/>
    </xf>
    <xf numFmtId="0" fontId="45" fillId="55" borderId="532" applyNumberFormat="0" applyAlignment="0" applyProtection="0"/>
    <xf numFmtId="0" fontId="45" fillId="55" borderId="505" applyNumberFormat="0" applyAlignment="0" applyProtection="0"/>
    <xf numFmtId="0" fontId="58" fillId="42" borderId="484" applyNumberFormat="0" applyAlignment="0" applyProtection="0"/>
    <xf numFmtId="4" fontId="34" fillId="0" borderId="535">
      <alignment horizontal="right" vertical="center"/>
    </xf>
    <xf numFmtId="0" fontId="29" fillId="12" borderId="10" applyNumberFormat="0" applyAlignment="0" applyProtection="0"/>
    <xf numFmtId="0" fontId="40" fillId="58" borderId="486" applyNumberFormat="0" applyFont="0" applyAlignment="0" applyProtection="0"/>
    <xf numFmtId="0" fontId="62" fillId="55" borderId="483" applyNumberFormat="0" applyAlignment="0" applyProtection="0"/>
    <xf numFmtId="0" fontId="34" fillId="32" borderId="516"/>
    <xf numFmtId="0" fontId="65" fillId="0" borderId="485" applyNumberFormat="0" applyFill="0" applyAlignment="0" applyProtection="0"/>
    <xf numFmtId="4" fontId="34" fillId="0" borderId="500" applyFill="0" applyBorder="0" applyProtection="0">
      <alignment horizontal="right" vertical="center"/>
    </xf>
    <xf numFmtId="0" fontId="32" fillId="33" borderId="516">
      <alignment horizontal="right" vertical="center"/>
    </xf>
    <xf numFmtId="0" fontId="62" fillId="55" borderId="531" applyNumberFormat="0" applyAlignment="0" applyProtection="0"/>
    <xf numFmtId="173" fontId="34" fillId="59" borderId="542" applyNumberFormat="0" applyFont="0" applyBorder="0" applyAlignment="0" applyProtection="0">
      <alignment horizontal="right" vertical="center"/>
    </xf>
    <xf numFmtId="0" fontId="62" fillId="55" borderId="531" applyNumberFormat="0" applyAlignment="0" applyProtection="0"/>
    <xf numFmtId="0" fontId="26" fillId="28" borderId="0" applyNumberFormat="0" applyBorder="0" applyAlignment="0" applyProtection="0"/>
    <xf numFmtId="4" fontId="34" fillId="32" borderId="516"/>
    <xf numFmtId="0" fontId="29" fillId="12" borderId="10" applyNumberFormat="0" applyAlignment="0" applyProtection="0"/>
    <xf numFmtId="0" fontId="34" fillId="0" borderId="500">
      <alignment horizontal="right" vertical="center"/>
    </xf>
    <xf numFmtId="4" fontId="32" fillId="33" borderId="500">
      <alignment horizontal="right" vertical="center"/>
    </xf>
    <xf numFmtId="4" fontId="32" fillId="33" borderId="501">
      <alignment horizontal="right" vertical="center"/>
    </xf>
    <xf numFmtId="0" fontId="26" fillId="17" borderId="0" applyNumberFormat="0" applyBorder="0" applyAlignment="0" applyProtection="0"/>
    <xf numFmtId="49" fontId="34" fillId="0" borderId="495" applyNumberFormat="0" applyFont="0" applyFill="0" applyBorder="0" applyProtection="0">
      <alignment horizontal="left" vertical="center" indent="5"/>
    </xf>
    <xf numFmtId="0" fontId="26" fillId="20" borderId="0" applyNumberFormat="0" applyBorder="0" applyAlignment="0" applyProtection="0"/>
    <xf numFmtId="0" fontId="62" fillId="55" borderId="531" applyNumberFormat="0" applyAlignment="0" applyProtection="0"/>
    <xf numFmtId="0" fontId="34" fillId="33" borderId="538">
      <alignment horizontal="left" vertical="center" wrapText="1" indent="2"/>
    </xf>
    <xf numFmtId="0" fontId="12" fillId="24" borderId="0" applyNumberFormat="0" applyBorder="0" applyAlignment="0" applyProtection="0"/>
    <xf numFmtId="0" fontId="32" fillId="31" borderId="487">
      <alignment horizontal="right" vertical="center"/>
    </xf>
    <xf numFmtId="4" fontId="32" fillId="31" borderId="487">
      <alignment horizontal="right" vertical="center"/>
    </xf>
    <xf numFmtId="0" fontId="36" fillId="31" borderId="487">
      <alignment horizontal="right" vertical="center"/>
    </xf>
    <xf numFmtId="4" fontId="36" fillId="31" borderId="487">
      <alignment horizontal="right" vertical="center"/>
    </xf>
    <xf numFmtId="0" fontId="32" fillId="33" borderId="487">
      <alignment horizontal="right" vertical="center"/>
    </xf>
    <xf numFmtId="4" fontId="32" fillId="33" borderId="487">
      <alignment horizontal="right" vertical="center"/>
    </xf>
    <xf numFmtId="0" fontId="32" fillId="33" borderId="487">
      <alignment horizontal="right" vertical="center"/>
    </xf>
    <xf numFmtId="4" fontId="32" fillId="33" borderId="487">
      <alignment horizontal="right" vertical="center"/>
    </xf>
    <xf numFmtId="0" fontId="32" fillId="33" borderId="488">
      <alignment horizontal="right" vertical="center"/>
    </xf>
    <xf numFmtId="4" fontId="32" fillId="33" borderId="488">
      <alignment horizontal="right" vertical="center"/>
    </xf>
    <xf numFmtId="0" fontId="32" fillId="33" borderId="489">
      <alignment horizontal="right" vertical="center"/>
    </xf>
    <xf numFmtId="4" fontId="32" fillId="33" borderId="489">
      <alignment horizontal="right" vertical="center"/>
    </xf>
    <xf numFmtId="0" fontId="46" fillId="55" borderId="484" applyNumberFormat="0" applyAlignment="0" applyProtection="0"/>
    <xf numFmtId="0" fontId="34" fillId="33" borderId="490">
      <alignment horizontal="left" vertical="center" wrapText="1" indent="2"/>
    </xf>
    <xf numFmtId="0" fontId="34" fillId="0" borderId="490">
      <alignment horizontal="left" vertical="center" wrapText="1" indent="2"/>
    </xf>
    <xf numFmtId="0" fontId="34" fillId="31" borderId="488">
      <alignment horizontal="left" vertical="center"/>
    </xf>
    <xf numFmtId="0" fontId="12" fillId="18" borderId="0" applyNumberFormat="0" applyBorder="0" applyAlignment="0" applyProtection="0"/>
    <xf numFmtId="0" fontId="58" fillId="42" borderId="484" applyNumberFormat="0" applyAlignment="0" applyProtection="0"/>
    <xf numFmtId="0" fontId="34" fillId="0" borderId="487">
      <alignment horizontal="right" vertical="center"/>
    </xf>
    <xf numFmtId="4" fontId="34" fillId="0" borderId="487">
      <alignment horizontal="right" vertical="center"/>
    </xf>
    <xf numFmtId="4" fontId="34" fillId="0" borderId="500">
      <alignment horizontal="right" vertical="center"/>
    </xf>
    <xf numFmtId="0" fontId="34" fillId="0" borderId="487" applyNumberFormat="0" applyFill="0" applyAlignment="0" applyProtection="0"/>
    <xf numFmtId="0" fontId="62" fillId="55" borderId="483" applyNumberFormat="0" applyAlignment="0" applyProtection="0"/>
    <xf numFmtId="173" fontId="34" fillId="59" borderId="487" applyNumberFormat="0" applyFont="0" applyBorder="0" applyAlignment="0" applyProtection="0">
      <alignment horizontal="right" vertical="center"/>
    </xf>
    <xf numFmtId="0" fontId="34" fillId="32" borderId="487"/>
    <xf numFmtId="4" fontId="34" fillId="32" borderId="487"/>
    <xf numFmtId="0" fontId="65" fillId="0" borderId="485" applyNumberFormat="0" applyFill="0" applyAlignment="0" applyProtection="0"/>
    <xf numFmtId="4" fontId="36" fillId="31" borderId="500">
      <alignment horizontal="right" vertical="center"/>
    </xf>
    <xf numFmtId="0" fontId="34" fillId="33" borderId="513">
      <alignment horizontal="left" vertical="center" wrapText="1" indent="2"/>
    </xf>
    <xf numFmtId="49" fontId="34" fillId="0" borderId="511" applyNumberFormat="0" applyFont="0" applyFill="0" applyBorder="0" applyProtection="0">
      <alignment horizontal="left" vertical="center" indent="5"/>
    </xf>
    <xf numFmtId="0" fontId="43" fillId="55" borderId="504" applyNumberFormat="0" applyAlignment="0" applyProtection="0"/>
    <xf numFmtId="0" fontId="32" fillId="33" borderId="500">
      <alignment horizontal="right" vertical="center"/>
    </xf>
    <xf numFmtId="0" fontId="34" fillId="0" borderId="500">
      <alignment horizontal="right" vertical="center"/>
    </xf>
    <xf numFmtId="0" fontId="26" fillId="20" borderId="0" applyNumberFormat="0" applyBorder="0" applyAlignment="0" applyProtection="0"/>
    <xf numFmtId="0" fontId="5" fillId="58" borderId="499" applyNumberFormat="0" applyFont="0" applyAlignment="0" applyProtection="0"/>
    <xf numFmtId="0" fontId="32" fillId="33" borderId="500">
      <alignment horizontal="right" vertical="center"/>
    </xf>
    <xf numFmtId="0" fontId="49" fillId="42" borderId="505" applyNumberFormat="0" applyAlignment="0" applyProtection="0"/>
    <xf numFmtId="0" fontId="62" fillId="55" borderId="531" applyNumberFormat="0" applyAlignment="0" applyProtection="0"/>
    <xf numFmtId="49" fontId="34" fillId="0" borderId="510" applyNumberFormat="0" applyFont="0" applyFill="0" applyBorder="0" applyProtection="0">
      <alignment horizontal="left" vertical="center" indent="2"/>
    </xf>
    <xf numFmtId="0" fontId="2" fillId="0" borderId="12" applyNumberFormat="0" applyFill="0" applyAlignment="0" applyProtection="0"/>
    <xf numFmtId="0" fontId="34" fillId="0" borderId="503">
      <alignment horizontal="left" vertical="center" wrapText="1" indent="2"/>
    </xf>
    <xf numFmtId="4" fontId="32" fillId="33" borderId="535">
      <alignment horizontal="right" vertical="center"/>
    </xf>
    <xf numFmtId="4" fontId="32" fillId="33" borderId="527">
      <alignment horizontal="right" vertical="center"/>
    </xf>
    <xf numFmtId="0" fontId="1" fillId="0" borderId="0" applyNumberFormat="0" applyFill="0" applyBorder="0" applyAlignment="0" applyProtection="0"/>
    <xf numFmtId="0" fontId="32" fillId="33" borderId="500">
      <alignment horizontal="right" vertical="center"/>
    </xf>
    <xf numFmtId="0" fontId="65" fillId="0" borderId="506" applyNumberFormat="0" applyFill="0" applyAlignment="0" applyProtection="0"/>
    <xf numFmtId="0" fontId="26" fillId="14" borderId="0" applyNumberFormat="0" applyBorder="0" applyAlignment="0" applyProtection="0"/>
    <xf numFmtId="0" fontId="12" fillId="27" borderId="0" applyNumberFormat="0" applyBorder="0" applyAlignment="0" applyProtection="0"/>
    <xf numFmtId="0" fontId="32" fillId="33" borderId="502">
      <alignment horizontal="right" vertical="center"/>
    </xf>
    <xf numFmtId="0" fontId="26" fillId="19" borderId="0" applyNumberFormat="0" applyBorder="0" applyAlignment="0" applyProtection="0"/>
    <xf numFmtId="0" fontId="49" fillId="42" borderId="505" applyNumberFormat="0" applyAlignment="0" applyProtection="0"/>
    <xf numFmtId="0" fontId="62" fillId="55" borderId="531" applyNumberFormat="0" applyAlignment="0" applyProtection="0"/>
    <xf numFmtId="0" fontId="26" fillId="14" borderId="0" applyNumberFormat="0" applyBorder="0" applyAlignment="0" applyProtection="0"/>
    <xf numFmtId="0" fontId="1" fillId="0" borderId="0" applyNumberFormat="0" applyFill="0" applyBorder="0" applyAlignment="0" applyProtection="0"/>
    <xf numFmtId="4" fontId="36" fillId="31" borderId="535">
      <alignment horizontal="right" vertical="center"/>
    </xf>
    <xf numFmtId="4" fontId="34" fillId="0" borderId="535">
      <alignment horizontal="right" vertical="center"/>
    </xf>
    <xf numFmtId="0" fontId="65" fillId="0" borderId="506" applyNumberFormat="0" applyFill="0" applyAlignment="0" applyProtection="0"/>
    <xf numFmtId="0" fontId="26" fillId="28" borderId="0" applyNumberFormat="0" applyBorder="0" applyAlignment="0" applyProtection="0"/>
    <xf numFmtId="0" fontId="49" fillId="42" borderId="532" applyNumberFormat="0" applyAlignment="0" applyProtection="0"/>
    <xf numFmtId="0" fontId="1" fillId="0" borderId="0" applyNumberFormat="0" applyFill="0" applyBorder="0" applyAlignment="0" applyProtection="0"/>
    <xf numFmtId="4" fontId="32" fillId="33" borderId="510">
      <alignment horizontal="right" vertical="center"/>
    </xf>
    <xf numFmtId="0" fontId="32" fillId="33" borderId="502">
      <alignment horizontal="right" vertical="center"/>
    </xf>
    <xf numFmtId="0" fontId="32" fillId="31" borderId="500">
      <alignment horizontal="right" vertical="center"/>
    </xf>
    <xf numFmtId="0" fontId="43" fillId="55" borderId="504" applyNumberFormat="0" applyAlignment="0" applyProtection="0"/>
    <xf numFmtId="0" fontId="32" fillId="33" borderId="535">
      <alignment horizontal="right" vertical="center"/>
    </xf>
    <xf numFmtId="0" fontId="30" fillId="0" borderId="0" applyNumberFormat="0" applyFill="0" applyBorder="0" applyAlignment="0" applyProtection="0"/>
    <xf numFmtId="0" fontId="12" fillId="24" borderId="0" applyNumberFormat="0" applyBorder="0" applyAlignment="0" applyProtection="0"/>
    <xf numFmtId="0" fontId="26" fillId="29" borderId="0" applyNumberFormat="0" applyBorder="0" applyAlignment="0" applyProtection="0"/>
    <xf numFmtId="0" fontId="40" fillId="58" borderId="509" applyNumberFormat="0" applyFont="0" applyAlignment="0" applyProtection="0"/>
    <xf numFmtId="0" fontId="26" fillId="26" borderId="0" applyNumberFormat="0" applyBorder="0" applyAlignment="0" applyProtection="0"/>
    <xf numFmtId="0" fontId="26" fillId="16" borderId="0" applyNumberFormat="0" applyBorder="0" applyAlignment="0" applyProtection="0"/>
    <xf numFmtId="0" fontId="26" fillId="13" borderId="0" applyNumberFormat="0" applyBorder="0" applyAlignment="0" applyProtection="0"/>
    <xf numFmtId="4" fontId="34" fillId="32" borderId="500"/>
    <xf numFmtId="4" fontId="34" fillId="0" borderId="500">
      <alignment horizontal="right" vertical="center"/>
    </xf>
    <xf numFmtId="0" fontId="32" fillId="33" borderId="535">
      <alignment horizontal="right" vertical="center"/>
    </xf>
    <xf numFmtId="0" fontId="50" fillId="0" borderId="506" applyNumberFormat="0" applyFill="0" applyAlignment="0" applyProtection="0"/>
    <xf numFmtId="0" fontId="46" fillId="55" borderId="505" applyNumberFormat="0" applyAlignment="0" applyProtection="0"/>
    <xf numFmtId="0" fontId="1" fillId="0" borderId="0" applyNumberFormat="0" applyFill="0" applyBorder="0" applyAlignment="0" applyProtection="0"/>
    <xf numFmtId="49" fontId="34" fillId="0" borderId="487" applyNumberFormat="0" applyFont="0" applyFill="0" applyBorder="0" applyProtection="0">
      <alignment horizontal="left" vertical="center" indent="2"/>
    </xf>
    <xf numFmtId="49" fontId="34" fillId="0" borderId="488" applyNumberFormat="0" applyFont="0" applyFill="0" applyBorder="0" applyProtection="0">
      <alignment horizontal="left" vertical="center" indent="5"/>
    </xf>
    <xf numFmtId="0" fontId="26" fillId="22" borderId="0" applyNumberFormat="0" applyBorder="0" applyAlignment="0" applyProtection="0"/>
    <xf numFmtId="0" fontId="34" fillId="0" borderId="500">
      <alignment horizontal="right" vertical="center"/>
    </xf>
    <xf numFmtId="0" fontId="26" fillId="22" borderId="0" applyNumberFormat="0" applyBorder="0" applyAlignment="0" applyProtection="0"/>
    <xf numFmtId="0" fontId="26" fillId="13" borderId="0" applyNumberFormat="0" applyBorder="0" applyAlignment="0" applyProtection="0"/>
    <xf numFmtId="4" fontId="36" fillId="31" borderId="500">
      <alignment horizontal="right" vertical="center"/>
    </xf>
    <xf numFmtId="0" fontId="62" fillId="55" borderId="504" applyNumberFormat="0" applyAlignment="0" applyProtection="0"/>
    <xf numFmtId="4" fontId="32" fillId="33" borderId="500">
      <alignment horizontal="right" vertical="center"/>
    </xf>
    <xf numFmtId="0" fontId="65" fillId="0" borderId="506" applyNumberFormat="0" applyFill="0" applyAlignment="0" applyProtection="0"/>
    <xf numFmtId="4" fontId="34" fillId="0" borderId="487" applyFill="0" applyBorder="0" applyProtection="0">
      <alignment horizontal="right" vertical="center"/>
    </xf>
    <xf numFmtId="49" fontId="33" fillId="0" borderId="487" applyNumberFormat="0" applyFill="0" applyBorder="0" applyProtection="0">
      <alignment horizontal="left" vertical="center"/>
    </xf>
    <xf numFmtId="0" fontId="40" fillId="58" borderId="499" applyNumberFormat="0" applyFont="0" applyAlignment="0" applyProtection="0"/>
    <xf numFmtId="0" fontId="34" fillId="33" borderId="503">
      <alignment horizontal="left" vertical="center" wrapText="1" indent="2"/>
    </xf>
    <xf numFmtId="0" fontId="65" fillId="0" borderId="506" applyNumberFormat="0" applyFill="0" applyAlignment="0" applyProtection="0"/>
    <xf numFmtId="0" fontId="32" fillId="33" borderId="501">
      <alignment horizontal="right" vertical="center"/>
    </xf>
    <xf numFmtId="0" fontId="34" fillId="32" borderId="535"/>
    <xf numFmtId="0" fontId="32" fillId="33" borderId="502">
      <alignment horizontal="right" vertical="center"/>
    </xf>
    <xf numFmtId="4" fontId="34" fillId="32" borderId="535"/>
    <xf numFmtId="4" fontId="32" fillId="33" borderId="517">
      <alignment horizontal="right" vertical="center"/>
    </xf>
    <xf numFmtId="4" fontId="34" fillId="0" borderId="500">
      <alignment horizontal="right" vertical="center"/>
    </xf>
    <xf numFmtId="0" fontId="26" fillId="20" borderId="0" applyNumberFormat="0" applyBorder="0" applyAlignment="0" applyProtection="0"/>
    <xf numFmtId="0" fontId="32" fillId="33" borderId="527">
      <alignment horizontal="right" vertical="center"/>
    </xf>
    <xf numFmtId="4" fontId="36" fillId="31" borderId="500">
      <alignment horizontal="right" vertical="center"/>
    </xf>
    <xf numFmtId="0" fontId="34" fillId="0" borderId="510">
      <alignment horizontal="right" vertical="center"/>
    </xf>
    <xf numFmtId="0" fontId="49" fillId="42" borderId="507" applyNumberFormat="0" applyAlignment="0" applyProtection="0"/>
    <xf numFmtId="0" fontId="46" fillId="55" borderId="532" applyNumberFormat="0" applyAlignment="0" applyProtection="0"/>
    <xf numFmtId="0" fontId="29" fillId="12" borderId="10" applyNumberFormat="0" applyAlignment="0" applyProtection="0"/>
    <xf numFmtId="0" fontId="34" fillId="0" borderId="527" applyNumberFormat="0" applyFill="0" applyAlignment="0" applyProtection="0"/>
    <xf numFmtId="4" fontId="32" fillId="33" borderId="501">
      <alignment horizontal="right" vertical="center"/>
    </xf>
    <xf numFmtId="0" fontId="65" fillId="0" borderId="533" applyNumberFormat="0" applyFill="0" applyAlignment="0" applyProtection="0"/>
    <xf numFmtId="0" fontId="30" fillId="0" borderId="0" applyNumberFormat="0" applyFill="0" applyBorder="0" applyAlignment="0" applyProtection="0"/>
    <xf numFmtId="49" fontId="34" fillId="0" borderId="494" applyNumberFormat="0" applyFont="0" applyFill="0" applyBorder="0" applyProtection="0">
      <alignment horizontal="left" vertical="center" indent="2"/>
    </xf>
    <xf numFmtId="0" fontId="65" fillId="0" borderId="506" applyNumberFormat="0" applyFill="0" applyAlignment="0" applyProtection="0"/>
    <xf numFmtId="0" fontId="34" fillId="0" borderId="519">
      <alignment horizontal="left" vertical="center" wrapText="1" indent="2"/>
    </xf>
    <xf numFmtId="0" fontId="43" fillId="55" borderId="483" applyNumberFormat="0" applyAlignment="0" applyProtection="0"/>
    <xf numFmtId="0" fontId="45" fillId="55" borderId="484" applyNumberFormat="0" applyAlignment="0" applyProtection="0"/>
    <xf numFmtId="0" fontId="50" fillId="0" borderId="485" applyNumberFormat="0" applyFill="0" applyAlignment="0" applyProtection="0"/>
    <xf numFmtId="0" fontId="58" fillId="42" borderId="491" applyNumberFormat="0" applyAlignment="0" applyProtection="0"/>
    <xf numFmtId="0" fontId="32" fillId="33" borderId="500">
      <alignment horizontal="right" vertical="center"/>
    </xf>
    <xf numFmtId="0" fontId="65" fillId="0" borderId="508" applyNumberFormat="0" applyFill="0" applyAlignment="0" applyProtection="0"/>
    <xf numFmtId="0" fontId="34" fillId="33" borderId="503">
      <alignment horizontal="left" vertical="center" wrapText="1" indent="2"/>
    </xf>
    <xf numFmtId="4" fontId="34" fillId="32" borderId="500"/>
    <xf numFmtId="0" fontId="43" fillId="55" borderId="504" applyNumberFormat="0" applyAlignment="0" applyProtection="0"/>
    <xf numFmtId="0" fontId="12" fillId="27" borderId="0" applyNumberFormat="0" applyBorder="0" applyAlignment="0" applyProtection="0"/>
    <xf numFmtId="4" fontId="34" fillId="0" borderId="500">
      <alignment horizontal="right" vertical="center"/>
    </xf>
    <xf numFmtId="0" fontId="34" fillId="0" borderId="500" applyNumberFormat="0" applyFill="0" applyAlignment="0" applyProtection="0"/>
    <xf numFmtId="0" fontId="26" fillId="29" borderId="0" applyNumberFormat="0" applyBorder="0" applyAlignment="0" applyProtection="0"/>
    <xf numFmtId="4" fontId="34" fillId="32" borderId="494"/>
    <xf numFmtId="0" fontId="65" fillId="0" borderId="492" applyNumberFormat="0" applyFill="0" applyAlignment="0" applyProtection="0"/>
    <xf numFmtId="0" fontId="40" fillId="58" borderId="515" applyNumberFormat="0" applyFont="0" applyAlignment="0" applyProtection="0"/>
    <xf numFmtId="0" fontId="34" fillId="0" borderId="494" applyNumberFormat="0" applyFill="0" applyAlignment="0" applyProtection="0"/>
    <xf numFmtId="0" fontId="34" fillId="0" borderId="497">
      <alignment horizontal="left" vertical="center" wrapText="1" indent="2"/>
    </xf>
    <xf numFmtId="4" fontId="32" fillId="33" borderId="502">
      <alignment horizontal="right" vertical="center"/>
    </xf>
    <xf numFmtId="0" fontId="32" fillId="33" borderId="495">
      <alignment horizontal="right" vertical="center"/>
    </xf>
    <xf numFmtId="4" fontId="32" fillId="33" borderId="495">
      <alignment horizontal="right" vertical="center"/>
    </xf>
    <xf numFmtId="0" fontId="36" fillId="31" borderId="527">
      <alignment horizontal="right" vertical="center"/>
    </xf>
    <xf numFmtId="0" fontId="34" fillId="31" borderId="501">
      <alignment horizontal="left" vertical="center"/>
    </xf>
    <xf numFmtId="4" fontId="34" fillId="0" borderId="500">
      <alignment horizontal="right" vertical="center"/>
    </xf>
    <xf numFmtId="0" fontId="34" fillId="31" borderId="517">
      <alignment horizontal="left" vertical="center"/>
    </xf>
    <xf numFmtId="0" fontId="49" fillId="42" borderId="484" applyNumberFormat="0" applyAlignment="0" applyProtection="0"/>
    <xf numFmtId="0" fontId="32" fillId="31" borderId="542">
      <alignment horizontal="right" vertical="center"/>
    </xf>
    <xf numFmtId="0" fontId="26" fillId="16" borderId="0" applyNumberFormat="0" applyBorder="0" applyAlignment="0" applyProtection="0"/>
    <xf numFmtId="0" fontId="65" fillId="0" borderId="492" applyNumberFormat="0" applyFill="0" applyAlignment="0" applyProtection="0"/>
    <xf numFmtId="0" fontId="26" fillId="20" borderId="0" applyNumberFormat="0" applyBorder="0" applyAlignment="0" applyProtection="0"/>
    <xf numFmtId="4" fontId="34" fillId="0" borderId="510">
      <alignment horizontal="right" vertical="center"/>
    </xf>
    <xf numFmtId="0" fontId="58" fillId="42" borderId="532" applyNumberFormat="0" applyAlignment="0" applyProtection="0"/>
    <xf numFmtId="0" fontId="34" fillId="0" borderId="538">
      <alignment horizontal="left" vertical="center" wrapText="1" indent="2"/>
    </xf>
    <xf numFmtId="49" fontId="33" fillId="0" borderId="500" applyNumberFormat="0" applyFill="0" applyBorder="0" applyProtection="0">
      <alignment horizontal="left" vertical="center"/>
    </xf>
    <xf numFmtId="0" fontId="26" fillId="22" borderId="0" applyNumberFormat="0" applyBorder="0" applyAlignment="0" applyProtection="0"/>
    <xf numFmtId="0" fontId="65" fillId="0" borderId="506" applyNumberFormat="0" applyFill="0" applyAlignment="0" applyProtection="0"/>
    <xf numFmtId="0" fontId="28" fillId="12" borderId="11" applyNumberFormat="0" applyAlignment="0" applyProtection="0"/>
    <xf numFmtId="0" fontId="46" fillId="55" borderId="532" applyNumberFormat="0" applyAlignment="0" applyProtection="0"/>
    <xf numFmtId="0" fontId="32" fillId="33" borderId="528">
      <alignment horizontal="right" vertical="center"/>
    </xf>
    <xf numFmtId="0" fontId="32" fillId="33" borderId="501">
      <alignment horizontal="right" vertical="center"/>
    </xf>
    <xf numFmtId="49" fontId="34" fillId="0" borderId="527" applyNumberFormat="0" applyFont="0" applyFill="0" applyBorder="0" applyProtection="0">
      <alignment horizontal="left" vertical="center" indent="2"/>
    </xf>
    <xf numFmtId="0" fontId="58" fillId="42" borderId="532" applyNumberFormat="0" applyAlignment="0" applyProtection="0"/>
    <xf numFmtId="0" fontId="34" fillId="33" borderId="490">
      <alignment horizontal="left" vertical="center" wrapText="1" indent="2"/>
    </xf>
    <xf numFmtId="0" fontId="34" fillId="0" borderId="490">
      <alignment horizontal="left" vertical="center" wrapText="1" indent="2"/>
    </xf>
    <xf numFmtId="0" fontId="26" fillId="14" borderId="0" applyNumberFormat="0" applyBorder="0" applyAlignment="0" applyProtection="0"/>
    <xf numFmtId="0" fontId="62" fillId="55" borderId="504" applyNumberFormat="0" applyAlignment="0" applyProtection="0"/>
    <xf numFmtId="0" fontId="32" fillId="33" borderId="500">
      <alignment horizontal="right" vertical="center"/>
    </xf>
    <xf numFmtId="0" fontId="46" fillId="55" borderId="539" applyNumberFormat="0" applyAlignment="0" applyProtection="0"/>
    <xf numFmtId="0" fontId="26" fillId="13" borderId="0" applyNumberFormat="0" applyBorder="0" applyAlignment="0" applyProtection="0"/>
    <xf numFmtId="0" fontId="30" fillId="0" borderId="0" applyNumberFormat="0" applyFill="0" applyBorder="0" applyAlignment="0" applyProtection="0"/>
    <xf numFmtId="0" fontId="32" fillId="33" borderId="537">
      <alignment horizontal="right" vertical="center"/>
    </xf>
    <xf numFmtId="0" fontId="34" fillId="32" borderId="500"/>
    <xf numFmtId="4" fontId="36" fillId="31" borderId="500">
      <alignment horizontal="right" vertical="center"/>
    </xf>
    <xf numFmtId="0" fontId="49" fillId="42" borderId="532" applyNumberFormat="0" applyAlignment="0" applyProtection="0"/>
    <xf numFmtId="0" fontId="32" fillId="33" borderId="500">
      <alignment horizontal="right" vertical="center"/>
    </xf>
    <xf numFmtId="0" fontId="62" fillId="55" borderId="504" applyNumberFormat="0" applyAlignment="0" applyProtection="0"/>
    <xf numFmtId="0" fontId="58" fillId="42" borderId="491" applyNumberFormat="0" applyAlignment="0" applyProtection="0"/>
    <xf numFmtId="0" fontId="50" fillId="0" borderId="506" applyNumberFormat="0" applyFill="0" applyAlignment="0" applyProtection="0"/>
    <xf numFmtId="4" fontId="34" fillId="32" borderId="500"/>
    <xf numFmtId="0" fontId="34" fillId="33" borderId="503">
      <alignment horizontal="left" vertical="center" wrapText="1" indent="2"/>
    </xf>
    <xf numFmtId="0" fontId="46" fillId="55" borderId="491" applyNumberFormat="0" applyAlignment="0" applyProtection="0"/>
    <xf numFmtId="0" fontId="36" fillId="31" borderId="535">
      <alignment horizontal="right" vertical="center"/>
    </xf>
    <xf numFmtId="0" fontId="46" fillId="55" borderId="505" applyNumberFormat="0" applyAlignment="0" applyProtection="0"/>
    <xf numFmtId="4" fontId="32" fillId="33" borderId="535">
      <alignment horizontal="right" vertical="center"/>
    </xf>
    <xf numFmtId="0" fontId="2" fillId="0" borderId="12" applyNumberFormat="0" applyFill="0" applyAlignment="0" applyProtection="0"/>
    <xf numFmtId="0" fontId="34" fillId="31" borderId="501">
      <alignment horizontal="left" vertical="center"/>
    </xf>
    <xf numFmtId="0" fontId="5" fillId="58" borderId="499" applyNumberFormat="0" applyFont="0" applyAlignment="0" applyProtection="0"/>
    <xf numFmtId="0" fontId="34" fillId="32" borderId="500"/>
    <xf numFmtId="0" fontId="34" fillId="0" borderId="535">
      <alignment horizontal="right" vertical="center"/>
    </xf>
    <xf numFmtId="0" fontId="50" fillId="0" borderId="533" applyNumberFormat="0" applyFill="0" applyAlignment="0" applyProtection="0"/>
    <xf numFmtId="0" fontId="12" fillId="21" borderId="0" applyNumberFormat="0" applyBorder="0" applyAlignment="0" applyProtection="0"/>
    <xf numFmtId="0" fontId="32" fillId="33" borderId="501">
      <alignment horizontal="right" vertical="center"/>
    </xf>
    <xf numFmtId="0" fontId="46" fillId="55" borderId="505" applyNumberFormat="0" applyAlignment="0" applyProtection="0"/>
    <xf numFmtId="0" fontId="12" fillId="18" borderId="0" applyNumberFormat="0" applyBorder="0" applyAlignment="0" applyProtection="0"/>
    <xf numFmtId="0" fontId="43" fillId="55" borderId="523" applyNumberFormat="0" applyAlignment="0" applyProtection="0"/>
    <xf numFmtId="173" fontId="34" fillId="59" borderId="500" applyNumberFormat="0" applyFont="0" applyBorder="0" applyAlignment="0" applyProtection="0">
      <alignment horizontal="right" vertical="center"/>
    </xf>
    <xf numFmtId="0" fontId="32" fillId="33" borderId="500">
      <alignment horizontal="right" vertical="center"/>
    </xf>
    <xf numFmtId="0" fontId="26" fillId="14" borderId="0" applyNumberFormat="0" applyBorder="0" applyAlignment="0" applyProtection="0"/>
    <xf numFmtId="0" fontId="26" fillId="25" borderId="0" applyNumberFormat="0" applyBorder="0" applyAlignment="0" applyProtection="0"/>
    <xf numFmtId="0" fontId="26" fillId="16" borderId="0" applyNumberFormat="0" applyBorder="0" applyAlignment="0" applyProtection="0"/>
    <xf numFmtId="0" fontId="32" fillId="31" borderId="500">
      <alignment horizontal="right" vertical="center"/>
    </xf>
    <xf numFmtId="0" fontId="46" fillId="55" borderId="532" applyNumberFormat="0" applyAlignment="0" applyProtection="0"/>
    <xf numFmtId="0" fontId="34" fillId="0" borderId="538">
      <alignment horizontal="left" vertical="center" wrapText="1" indent="2"/>
    </xf>
    <xf numFmtId="0" fontId="58" fillId="42" borderId="505" applyNumberFormat="0" applyAlignment="0" applyProtection="0"/>
    <xf numFmtId="0" fontId="12" fillId="21" borderId="0" applyNumberFormat="0" applyBorder="0" applyAlignment="0" applyProtection="0"/>
    <xf numFmtId="4" fontId="32" fillId="33" borderId="500">
      <alignment horizontal="right" vertical="center"/>
    </xf>
    <xf numFmtId="0" fontId="12" fillId="30" borderId="0" applyNumberFormat="0" applyBorder="0" applyAlignment="0" applyProtection="0"/>
    <xf numFmtId="0" fontId="49" fillId="42" borderId="524" applyNumberFormat="0" applyAlignment="0" applyProtection="0"/>
    <xf numFmtId="0" fontId="26" fillId="28" borderId="0" applyNumberFormat="0" applyBorder="0" applyAlignment="0" applyProtection="0"/>
    <xf numFmtId="0" fontId="26" fillId="25" borderId="0" applyNumberFormat="0" applyBorder="0" applyAlignment="0" applyProtection="0"/>
    <xf numFmtId="0" fontId="26" fillId="23" borderId="0" applyNumberFormat="0" applyBorder="0" applyAlignment="0" applyProtection="0"/>
    <xf numFmtId="0" fontId="34" fillId="0" borderId="538">
      <alignment horizontal="left" vertical="center" wrapText="1" indent="2"/>
    </xf>
    <xf numFmtId="0" fontId="12" fillId="15"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36" fillId="31" borderId="535">
      <alignment horizontal="right" vertical="center"/>
    </xf>
    <xf numFmtId="0" fontId="2" fillId="0" borderId="12" applyNumberFormat="0" applyFill="0" applyAlignment="0" applyProtection="0"/>
    <xf numFmtId="0" fontId="32" fillId="33" borderId="535">
      <alignment horizontal="right" vertical="center"/>
    </xf>
    <xf numFmtId="0" fontId="36" fillId="31" borderId="500">
      <alignment horizontal="right" vertical="center"/>
    </xf>
    <xf numFmtId="0" fontId="26" fillId="28" borderId="0" applyNumberFormat="0" applyBorder="0" applyAlignment="0" applyProtection="0"/>
    <xf numFmtId="0" fontId="34" fillId="33" borderId="503">
      <alignment horizontal="left" vertical="center" wrapText="1" indent="2"/>
    </xf>
    <xf numFmtId="0" fontId="34" fillId="0" borderId="503">
      <alignment horizontal="left" vertical="center" wrapText="1" indent="2"/>
    </xf>
    <xf numFmtId="0" fontId="45" fillId="55" borderId="505" applyNumberFormat="0" applyAlignment="0" applyProtection="0"/>
    <xf numFmtId="4" fontId="32" fillId="33" borderId="487">
      <alignment horizontal="right" vertical="center"/>
    </xf>
    <xf numFmtId="0" fontId="34" fillId="32" borderId="487"/>
    <xf numFmtId="0" fontId="45" fillId="55" borderId="484" applyNumberFormat="0" applyAlignment="0" applyProtection="0"/>
    <xf numFmtId="0" fontId="32" fillId="31" borderId="487">
      <alignment horizontal="right" vertical="center"/>
    </xf>
    <xf numFmtId="0" fontId="34" fillId="0" borderId="487">
      <alignment horizontal="right" vertical="center"/>
    </xf>
    <xf numFmtId="0" fontId="65" fillId="0" borderId="485" applyNumberFormat="0" applyFill="0" applyAlignment="0" applyProtection="0"/>
    <xf numFmtId="0" fontId="34" fillId="31" borderId="488">
      <alignment horizontal="left" vertical="center"/>
    </xf>
    <xf numFmtId="0" fontId="58" fillId="42" borderId="484" applyNumberFormat="0" applyAlignment="0" applyProtection="0"/>
    <xf numFmtId="173" fontId="34" fillId="59" borderId="487" applyNumberFormat="0" applyFont="0" applyBorder="0" applyAlignment="0" applyProtection="0">
      <alignment horizontal="right" vertical="center"/>
    </xf>
    <xf numFmtId="0" fontId="40" fillId="58" borderId="486" applyNumberFormat="0" applyFont="0" applyAlignment="0" applyProtection="0"/>
    <xf numFmtId="0" fontId="34" fillId="0" borderId="490">
      <alignment horizontal="left" vertical="center" wrapText="1" indent="2"/>
    </xf>
    <xf numFmtId="4" fontId="34" fillId="32" borderId="487"/>
    <xf numFmtId="49" fontId="33" fillId="0" borderId="487" applyNumberFormat="0" applyFill="0" applyBorder="0" applyProtection="0">
      <alignment horizontal="left" vertical="center"/>
    </xf>
    <xf numFmtId="0" fontId="34" fillId="0" borderId="487">
      <alignment horizontal="right" vertical="center"/>
    </xf>
    <xf numFmtId="4" fontId="32" fillId="33" borderId="489">
      <alignment horizontal="right" vertical="center"/>
    </xf>
    <xf numFmtId="4" fontId="32" fillId="33" borderId="487">
      <alignment horizontal="right" vertical="center"/>
    </xf>
    <xf numFmtId="4" fontId="32" fillId="33" borderId="487">
      <alignment horizontal="right" vertical="center"/>
    </xf>
    <xf numFmtId="0" fontId="36" fillId="31" borderId="487">
      <alignment horizontal="right" vertical="center"/>
    </xf>
    <xf numFmtId="0" fontId="32" fillId="31" borderId="487">
      <alignment horizontal="right" vertical="center"/>
    </xf>
    <xf numFmtId="49" fontId="34" fillId="0" borderId="487" applyNumberFormat="0" applyFont="0" applyFill="0" applyBorder="0" applyProtection="0">
      <alignment horizontal="left" vertical="center" indent="2"/>
    </xf>
    <xf numFmtId="0" fontId="58" fillId="42" borderId="484" applyNumberFormat="0" applyAlignment="0" applyProtection="0"/>
    <xf numFmtId="0" fontId="43" fillId="55" borderId="483" applyNumberFormat="0" applyAlignment="0" applyProtection="0"/>
    <xf numFmtId="49" fontId="34" fillId="0" borderId="487" applyNumberFormat="0" applyFont="0" applyFill="0" applyBorder="0" applyProtection="0">
      <alignment horizontal="left" vertical="center" indent="2"/>
    </xf>
    <xf numFmtId="0" fontId="49" fillId="42" borderId="484" applyNumberFormat="0" applyAlignment="0" applyProtection="0"/>
    <xf numFmtId="4" fontId="34" fillId="0" borderId="487" applyFill="0" applyBorder="0" applyProtection="0">
      <alignment horizontal="right" vertical="center"/>
    </xf>
    <xf numFmtId="0" fontId="46" fillId="55" borderId="484" applyNumberFormat="0" applyAlignment="0" applyProtection="0"/>
    <xf numFmtId="0" fontId="65" fillId="0" borderId="485" applyNumberFormat="0" applyFill="0" applyAlignment="0" applyProtection="0"/>
    <xf numFmtId="0" fontId="62" fillId="55" borderId="483" applyNumberFormat="0" applyAlignment="0" applyProtection="0"/>
    <xf numFmtId="0" fontId="34" fillId="0" borderId="487" applyNumberFormat="0" applyFill="0" applyAlignment="0" applyProtection="0"/>
    <xf numFmtId="4" fontId="34" fillId="0" borderId="487">
      <alignment horizontal="right" vertical="center"/>
    </xf>
    <xf numFmtId="0" fontId="34" fillId="0" borderId="487">
      <alignment horizontal="right" vertical="center"/>
    </xf>
    <xf numFmtId="0" fontId="58" fillId="42" borderId="484" applyNumberFormat="0" applyAlignment="0" applyProtection="0"/>
    <xf numFmtId="0" fontId="43" fillId="55" borderId="483" applyNumberFormat="0" applyAlignment="0" applyProtection="0"/>
    <xf numFmtId="0" fontId="45" fillId="55" borderId="484" applyNumberFormat="0" applyAlignment="0" applyProtection="0"/>
    <xf numFmtId="0" fontId="34" fillId="33" borderId="490">
      <alignment horizontal="left" vertical="center" wrapText="1" indent="2"/>
    </xf>
    <xf numFmtId="0" fontId="46" fillId="55" borderId="484" applyNumberFormat="0" applyAlignment="0" applyProtection="0"/>
    <xf numFmtId="0" fontId="46" fillId="55" borderId="484" applyNumberFormat="0" applyAlignment="0" applyProtection="0"/>
    <xf numFmtId="4" fontId="32" fillId="33" borderId="488">
      <alignment horizontal="right" vertical="center"/>
    </xf>
    <xf numFmtId="0" fontId="32" fillId="33" borderId="488">
      <alignment horizontal="right" vertical="center"/>
    </xf>
    <xf numFmtId="0" fontId="32" fillId="33" borderId="487">
      <alignment horizontal="right" vertical="center"/>
    </xf>
    <xf numFmtId="4" fontId="36" fillId="31" borderId="487">
      <alignment horizontal="right" vertical="center"/>
    </xf>
    <xf numFmtId="0" fontId="49" fillId="42" borderId="484" applyNumberFormat="0" applyAlignment="0" applyProtection="0"/>
    <xf numFmtId="0" fontId="50" fillId="0" borderId="485" applyNumberFormat="0" applyFill="0" applyAlignment="0" applyProtection="0"/>
    <xf numFmtId="0" fontId="65" fillId="0" borderId="485" applyNumberFormat="0" applyFill="0" applyAlignment="0" applyProtection="0"/>
    <xf numFmtId="0" fontId="40" fillId="58" borderId="486" applyNumberFormat="0" applyFont="0" applyAlignment="0" applyProtection="0"/>
    <xf numFmtId="0" fontId="58" fillId="42" borderId="484" applyNumberFormat="0" applyAlignment="0" applyProtection="0"/>
    <xf numFmtId="49" fontId="33" fillId="0" borderId="487" applyNumberFormat="0" applyFill="0" applyBorder="0" applyProtection="0">
      <alignment horizontal="left" vertical="center"/>
    </xf>
    <xf numFmtId="0" fontId="34" fillId="33" borderId="490">
      <alignment horizontal="left" vertical="center" wrapText="1" indent="2"/>
    </xf>
    <xf numFmtId="0" fontId="46" fillId="55" borderId="484" applyNumberFormat="0" applyAlignment="0" applyProtection="0"/>
    <xf numFmtId="0" fontId="34" fillId="0" borderId="490">
      <alignment horizontal="left" vertical="center" wrapText="1" indent="2"/>
    </xf>
    <xf numFmtId="0" fontId="40" fillId="58" borderId="486" applyNumberFormat="0" applyFont="0" applyAlignment="0" applyProtection="0"/>
    <xf numFmtId="0" fontId="5" fillId="58" borderId="486" applyNumberFormat="0" applyFont="0" applyAlignment="0" applyProtection="0"/>
    <xf numFmtId="0" fontId="62" fillId="55" borderId="483" applyNumberFormat="0" applyAlignment="0" applyProtection="0"/>
    <xf numFmtId="0" fontId="65" fillId="0" borderId="485" applyNumberFormat="0" applyFill="0" applyAlignment="0" applyProtection="0"/>
    <xf numFmtId="4" fontId="34" fillId="32" borderId="487"/>
    <xf numFmtId="0" fontId="32" fillId="33" borderId="487">
      <alignment horizontal="right" vertical="center"/>
    </xf>
    <xf numFmtId="0" fontId="65" fillId="0" borderId="485" applyNumberFormat="0" applyFill="0" applyAlignment="0" applyProtection="0"/>
    <xf numFmtId="4" fontId="32" fillId="33" borderId="489">
      <alignment horizontal="right" vertical="center"/>
    </xf>
    <xf numFmtId="0" fontId="45" fillId="55" borderId="484" applyNumberFormat="0" applyAlignment="0" applyProtection="0"/>
    <xf numFmtId="0" fontId="32" fillId="33" borderId="488">
      <alignment horizontal="right" vertical="center"/>
    </xf>
    <xf numFmtId="0" fontId="46" fillId="55" borderId="484" applyNumberFormat="0" applyAlignment="0" applyProtection="0"/>
    <xf numFmtId="0" fontId="50" fillId="0" borderId="485" applyNumberFormat="0" applyFill="0" applyAlignment="0" applyProtection="0"/>
    <xf numFmtId="0" fontId="40" fillId="58" borderId="486" applyNumberFormat="0" applyFont="0" applyAlignment="0" applyProtection="0"/>
    <xf numFmtId="4" fontId="32" fillId="33" borderId="488">
      <alignment horizontal="right" vertical="center"/>
    </xf>
    <xf numFmtId="0" fontId="34" fillId="33" borderId="490">
      <alignment horizontal="left" vertical="center" wrapText="1" indent="2"/>
    </xf>
    <xf numFmtId="0" fontId="34" fillId="32" borderId="487"/>
    <xf numFmtId="173" fontId="34" fillId="59" borderId="487" applyNumberFormat="0" applyFont="0" applyBorder="0" applyAlignment="0" applyProtection="0">
      <alignment horizontal="right" vertical="center"/>
    </xf>
    <xf numFmtId="0" fontId="34" fillId="0" borderId="487" applyNumberFormat="0" applyFill="0" applyAlignment="0" applyProtection="0"/>
    <xf numFmtId="4" fontId="34" fillId="0" borderId="487" applyFill="0" applyBorder="0" applyProtection="0">
      <alignment horizontal="right" vertical="center"/>
    </xf>
    <xf numFmtId="4" fontId="32" fillId="31" borderId="487">
      <alignment horizontal="right" vertical="center"/>
    </xf>
    <xf numFmtId="0" fontId="50" fillId="0" borderId="485" applyNumberFormat="0" applyFill="0" applyAlignment="0" applyProtection="0"/>
    <xf numFmtId="49" fontId="33" fillId="0" borderId="487" applyNumberFormat="0" applyFill="0" applyBorder="0" applyProtection="0">
      <alignment horizontal="left" vertical="center"/>
    </xf>
    <xf numFmtId="49" fontId="34" fillId="0" borderId="488" applyNumberFormat="0" applyFont="0" applyFill="0" applyBorder="0" applyProtection="0">
      <alignment horizontal="left" vertical="center" indent="5"/>
    </xf>
    <xf numFmtId="0" fontId="34" fillId="31" borderId="488">
      <alignment horizontal="left" vertical="center"/>
    </xf>
    <xf numFmtId="0" fontId="46" fillId="55" borderId="484" applyNumberFormat="0" applyAlignment="0" applyProtection="0"/>
    <xf numFmtId="4" fontId="32" fillId="33" borderId="489">
      <alignment horizontal="right" vertical="center"/>
    </xf>
    <xf numFmtId="0" fontId="58" fillId="42" borderId="484" applyNumberFormat="0" applyAlignment="0" applyProtection="0"/>
    <xf numFmtId="0" fontId="58" fillId="42" borderId="484" applyNumberFormat="0" applyAlignment="0" applyProtection="0"/>
    <xf numFmtId="0" fontId="40" fillId="58" borderId="486" applyNumberFormat="0" applyFont="0" applyAlignment="0" applyProtection="0"/>
    <xf numFmtId="0" fontId="62" fillId="55" borderId="483" applyNumberFormat="0" applyAlignment="0" applyProtection="0"/>
    <xf numFmtId="0" fontId="65" fillId="0" borderId="485" applyNumberFormat="0" applyFill="0" applyAlignment="0" applyProtection="0"/>
    <xf numFmtId="0" fontId="32" fillId="33" borderId="487">
      <alignment horizontal="right" vertical="center"/>
    </xf>
    <xf numFmtId="0" fontId="5" fillId="58" borderId="486" applyNumberFormat="0" applyFont="0" applyAlignment="0" applyProtection="0"/>
    <xf numFmtId="4" fontId="34" fillId="0" borderId="487">
      <alignment horizontal="right" vertical="center"/>
    </xf>
    <xf numFmtId="0" fontId="65" fillId="0" borderId="485" applyNumberFormat="0" applyFill="0" applyAlignment="0" applyProtection="0"/>
    <xf numFmtId="0" fontId="32" fillId="33" borderId="487">
      <alignment horizontal="right" vertical="center"/>
    </xf>
    <xf numFmtId="0" fontId="32" fillId="33" borderId="487">
      <alignment horizontal="right" vertical="center"/>
    </xf>
    <xf numFmtId="4" fontId="36" fillId="31" borderId="487">
      <alignment horizontal="right" vertical="center"/>
    </xf>
    <xf numFmtId="0" fontId="32" fillId="31" borderId="487">
      <alignment horizontal="right" vertical="center"/>
    </xf>
    <xf numFmtId="4" fontId="32" fillId="31" borderId="487">
      <alignment horizontal="right" vertical="center"/>
    </xf>
    <xf numFmtId="0" fontId="36" fillId="31" borderId="487">
      <alignment horizontal="right" vertical="center"/>
    </xf>
    <xf numFmtId="4" fontId="36" fillId="31" borderId="487">
      <alignment horizontal="right" vertical="center"/>
    </xf>
    <xf numFmtId="0" fontId="32" fillId="33" borderId="487">
      <alignment horizontal="right" vertical="center"/>
    </xf>
    <xf numFmtId="4" fontId="32" fillId="33" borderId="487">
      <alignment horizontal="right" vertical="center"/>
    </xf>
    <xf numFmtId="0" fontId="32" fillId="33" borderId="487">
      <alignment horizontal="right" vertical="center"/>
    </xf>
    <xf numFmtId="4" fontId="32" fillId="33" borderId="487">
      <alignment horizontal="right" vertical="center"/>
    </xf>
    <xf numFmtId="0" fontId="32" fillId="33" borderId="488">
      <alignment horizontal="right" vertical="center"/>
    </xf>
    <xf numFmtId="4" fontId="32" fillId="33" borderId="488">
      <alignment horizontal="right" vertical="center"/>
    </xf>
    <xf numFmtId="0" fontId="32" fillId="33" borderId="489">
      <alignment horizontal="right" vertical="center"/>
    </xf>
    <xf numFmtId="4" fontId="32" fillId="33" borderId="489">
      <alignment horizontal="right" vertical="center"/>
    </xf>
    <xf numFmtId="0" fontId="46" fillId="55" borderId="484" applyNumberFormat="0" applyAlignment="0" applyProtection="0"/>
    <xf numFmtId="0" fontId="34" fillId="33" borderId="490">
      <alignment horizontal="left" vertical="center" wrapText="1" indent="2"/>
    </xf>
    <xf numFmtId="0" fontId="34" fillId="0" borderId="490">
      <alignment horizontal="left" vertical="center" wrapText="1" indent="2"/>
    </xf>
    <xf numFmtId="0" fontId="34" fillId="31" borderId="488">
      <alignment horizontal="left" vertical="center"/>
    </xf>
    <xf numFmtId="0" fontId="58" fillId="42" borderId="484" applyNumberFormat="0" applyAlignment="0" applyProtection="0"/>
    <xf numFmtId="0" fontId="34" fillId="0" borderId="487">
      <alignment horizontal="right" vertical="center"/>
    </xf>
    <xf numFmtId="4" fontId="34" fillId="0" borderId="487">
      <alignment horizontal="right" vertical="center"/>
    </xf>
    <xf numFmtId="0" fontId="34" fillId="0" borderId="487" applyNumberFormat="0" applyFill="0" applyAlignment="0" applyProtection="0"/>
    <xf numFmtId="0" fontId="62" fillId="55" borderId="483" applyNumberFormat="0" applyAlignment="0" applyProtection="0"/>
    <xf numFmtId="173" fontId="34" fillId="59" borderId="487" applyNumberFormat="0" applyFont="0" applyBorder="0" applyAlignment="0" applyProtection="0">
      <alignment horizontal="right" vertical="center"/>
    </xf>
    <xf numFmtId="0" fontId="34" fillId="32" borderId="487"/>
    <xf numFmtId="4" fontId="34" fillId="32" borderId="487"/>
    <xf numFmtId="0" fontId="65" fillId="0" borderId="485" applyNumberFormat="0" applyFill="0" applyAlignment="0" applyProtection="0"/>
    <xf numFmtId="0" fontId="5" fillId="58" borderId="486" applyNumberFormat="0" applyFont="0" applyAlignment="0" applyProtection="0"/>
    <xf numFmtId="0" fontId="40" fillId="58" borderId="486" applyNumberFormat="0" applyFont="0" applyAlignment="0" applyProtection="0"/>
    <xf numFmtId="0" fontId="34" fillId="0" borderId="487" applyNumberFormat="0" applyFill="0" applyAlignment="0" applyProtection="0"/>
    <xf numFmtId="0" fontId="50" fillId="0" borderId="485" applyNumberFormat="0" applyFill="0" applyAlignment="0" applyProtection="0"/>
    <xf numFmtId="0" fontId="65" fillId="0" borderId="485" applyNumberFormat="0" applyFill="0" applyAlignment="0" applyProtection="0"/>
    <xf numFmtId="0" fontId="49" fillId="42" borderId="484" applyNumberFormat="0" applyAlignment="0" applyProtection="0"/>
    <xf numFmtId="0" fontId="46" fillId="55" borderId="484" applyNumberFormat="0" applyAlignment="0" applyProtection="0"/>
    <xf numFmtId="4" fontId="36" fillId="31" borderId="487">
      <alignment horizontal="right" vertical="center"/>
    </xf>
    <xf numFmtId="0" fontId="32" fillId="31" borderId="487">
      <alignment horizontal="right" vertical="center"/>
    </xf>
    <xf numFmtId="173" fontId="34" fillId="59" borderId="487" applyNumberFormat="0" applyFont="0" applyBorder="0" applyAlignment="0" applyProtection="0">
      <alignment horizontal="right" vertical="center"/>
    </xf>
    <xf numFmtId="0" fontId="50" fillId="0" borderId="485" applyNumberFormat="0" applyFill="0" applyAlignment="0" applyProtection="0"/>
    <xf numFmtId="49" fontId="34" fillId="0" borderId="487" applyNumberFormat="0" applyFont="0" applyFill="0" applyBorder="0" applyProtection="0">
      <alignment horizontal="left" vertical="center" indent="2"/>
    </xf>
    <xf numFmtId="49" fontId="34" fillId="0" borderId="488" applyNumberFormat="0" applyFont="0" applyFill="0" applyBorder="0" applyProtection="0">
      <alignment horizontal="left" vertical="center" indent="5"/>
    </xf>
    <xf numFmtId="49" fontId="34" fillId="0" borderId="487" applyNumberFormat="0" applyFont="0" applyFill="0" applyBorder="0" applyProtection="0">
      <alignment horizontal="left" vertical="center" indent="2"/>
    </xf>
    <xf numFmtId="4" fontId="34" fillId="0" borderId="487" applyFill="0" applyBorder="0" applyProtection="0">
      <alignment horizontal="right" vertical="center"/>
    </xf>
    <xf numFmtId="49" fontId="33" fillId="0" borderId="487" applyNumberFormat="0" applyFill="0" applyBorder="0" applyProtection="0">
      <alignment horizontal="left" vertical="center"/>
    </xf>
    <xf numFmtId="0" fontId="34" fillId="0" borderId="490">
      <alignment horizontal="left" vertical="center" wrapText="1" indent="2"/>
    </xf>
    <xf numFmtId="0" fontId="62" fillId="55" borderId="483" applyNumberFormat="0" applyAlignment="0" applyProtection="0"/>
    <xf numFmtId="0" fontId="32" fillId="33" borderId="489">
      <alignment horizontal="right" vertical="center"/>
    </xf>
    <xf numFmtId="0" fontId="49" fillId="42" borderId="484" applyNumberFormat="0" applyAlignment="0" applyProtection="0"/>
    <xf numFmtId="0" fontId="32" fillId="33" borderId="489">
      <alignment horizontal="right" vertical="center"/>
    </xf>
    <xf numFmtId="4" fontId="32" fillId="33" borderId="487">
      <alignment horizontal="right" vertical="center"/>
    </xf>
    <xf numFmtId="0" fontId="32" fillId="33" borderId="487">
      <alignment horizontal="right" vertical="center"/>
    </xf>
    <xf numFmtId="0" fontId="43" fillId="55" borderId="483" applyNumberFormat="0" applyAlignment="0" applyProtection="0"/>
    <xf numFmtId="0" fontId="45" fillId="55" borderId="484" applyNumberFormat="0" applyAlignment="0" applyProtection="0"/>
    <xf numFmtId="0" fontId="50" fillId="0" borderId="485" applyNumberFormat="0" applyFill="0" applyAlignment="0" applyProtection="0"/>
    <xf numFmtId="0" fontId="34" fillId="32" borderId="487"/>
    <xf numFmtId="4" fontId="34" fillId="32" borderId="487"/>
    <xf numFmtId="4" fontId="32" fillId="33" borderId="487">
      <alignment horizontal="right" vertical="center"/>
    </xf>
    <xf numFmtId="0" fontId="36" fillId="31" borderId="487">
      <alignment horizontal="right" vertical="center"/>
    </xf>
    <xf numFmtId="0" fontId="49" fillId="42" borderId="484" applyNumberFormat="0" applyAlignment="0" applyProtection="0"/>
    <xf numFmtId="0" fontId="46" fillId="55" borderId="484" applyNumberFormat="0" applyAlignment="0" applyProtection="0"/>
    <xf numFmtId="4" fontId="34" fillId="0" borderId="487">
      <alignment horizontal="right" vertical="center"/>
    </xf>
    <xf numFmtId="0" fontId="34" fillId="33" borderId="490">
      <alignment horizontal="left" vertical="center" wrapText="1" indent="2"/>
    </xf>
    <xf numFmtId="0" fontId="34" fillId="0" borderId="490">
      <alignment horizontal="left" vertical="center" wrapText="1" indent="2"/>
    </xf>
    <xf numFmtId="0" fontId="62" fillId="55" borderId="483" applyNumberFormat="0" applyAlignment="0" applyProtection="0"/>
    <xf numFmtId="0" fontId="58" fillId="42" borderId="484" applyNumberFormat="0" applyAlignment="0" applyProtection="0"/>
    <xf numFmtId="0" fontId="45" fillId="55" borderId="484" applyNumberFormat="0" applyAlignment="0" applyProtection="0"/>
    <xf numFmtId="0" fontId="43" fillId="55" borderId="483" applyNumberFormat="0" applyAlignment="0" applyProtection="0"/>
    <xf numFmtId="0" fontId="32" fillId="33" borderId="489">
      <alignment horizontal="right" vertical="center"/>
    </xf>
    <xf numFmtId="0" fontId="36" fillId="31" borderId="487">
      <alignment horizontal="right" vertical="center"/>
    </xf>
    <xf numFmtId="4" fontId="32" fillId="31" borderId="487">
      <alignment horizontal="right" vertical="center"/>
    </xf>
    <xf numFmtId="4" fontId="32" fillId="33" borderId="487">
      <alignment horizontal="right" vertical="center"/>
    </xf>
    <xf numFmtId="49" fontId="34" fillId="0" borderId="488" applyNumberFormat="0" applyFont="0" applyFill="0" applyBorder="0" applyProtection="0">
      <alignment horizontal="left" vertical="center" indent="5"/>
    </xf>
    <xf numFmtId="4" fontId="34" fillId="0" borderId="487" applyFill="0" applyBorder="0" applyProtection="0">
      <alignment horizontal="right" vertical="center"/>
    </xf>
    <xf numFmtId="4" fontId="32" fillId="31" borderId="487">
      <alignment horizontal="right" vertical="center"/>
    </xf>
    <xf numFmtId="0" fontId="34" fillId="31" borderId="501">
      <alignment horizontal="left" vertical="center"/>
    </xf>
    <xf numFmtId="0" fontId="58" fillId="42" borderId="484" applyNumberFormat="0" applyAlignment="0" applyProtection="0"/>
    <xf numFmtId="0" fontId="49" fillId="42" borderId="484" applyNumberFormat="0" applyAlignment="0" applyProtection="0"/>
    <xf numFmtId="0" fontId="45" fillId="55" borderId="484" applyNumberFormat="0" applyAlignment="0" applyProtection="0"/>
    <xf numFmtId="0" fontId="34" fillId="33" borderId="490">
      <alignment horizontal="left" vertical="center" wrapText="1" indent="2"/>
    </xf>
    <xf numFmtId="0" fontId="34" fillId="0" borderId="490">
      <alignment horizontal="left" vertical="center" wrapText="1" indent="2"/>
    </xf>
    <xf numFmtId="0" fontId="34" fillId="33" borderId="490">
      <alignment horizontal="left" vertical="center" wrapText="1" indent="2"/>
    </xf>
    <xf numFmtId="0" fontId="34" fillId="0" borderId="490">
      <alignment horizontal="left" vertical="center" wrapText="1" indent="2"/>
    </xf>
    <xf numFmtId="0" fontId="43" fillId="55" borderId="483" applyNumberFormat="0" applyAlignment="0" applyProtection="0"/>
    <xf numFmtId="0" fontId="45" fillId="55" borderId="484" applyNumberFormat="0" applyAlignment="0" applyProtection="0"/>
    <xf numFmtId="0" fontId="46" fillId="55" borderId="484" applyNumberFormat="0" applyAlignment="0" applyProtection="0"/>
    <xf numFmtId="0" fontId="49" fillId="42" borderId="484" applyNumberFormat="0" applyAlignment="0" applyProtection="0"/>
    <xf numFmtId="0" fontId="50" fillId="0" borderId="485" applyNumberFormat="0" applyFill="0" applyAlignment="0" applyProtection="0"/>
    <xf numFmtId="0" fontId="58" fillId="42" borderId="484" applyNumberFormat="0" applyAlignment="0" applyProtection="0"/>
    <xf numFmtId="0" fontId="40" fillId="58" borderId="486" applyNumberFormat="0" applyFont="0" applyAlignment="0" applyProtection="0"/>
    <xf numFmtId="0" fontId="5" fillId="58" borderId="486" applyNumberFormat="0" applyFont="0" applyAlignment="0" applyProtection="0"/>
    <xf numFmtId="0" fontId="62" fillId="55" borderId="483" applyNumberFormat="0" applyAlignment="0" applyProtection="0"/>
    <xf numFmtId="0" fontId="65" fillId="0" borderId="485" applyNumberFormat="0" applyFill="0" applyAlignment="0" applyProtection="0"/>
    <xf numFmtId="0" fontId="46" fillId="55" borderId="484" applyNumberFormat="0" applyAlignment="0" applyProtection="0"/>
    <xf numFmtId="0" fontId="58" fillId="42" borderId="484" applyNumberFormat="0" applyAlignment="0" applyProtection="0"/>
    <xf numFmtId="0" fontId="40" fillId="58" borderId="486" applyNumberFormat="0" applyFont="0" applyAlignment="0" applyProtection="0"/>
    <xf numFmtId="0" fontId="62" fillId="55" borderId="483" applyNumberFormat="0" applyAlignment="0" applyProtection="0"/>
    <xf numFmtId="0" fontId="65" fillId="0" borderId="485" applyNumberFormat="0" applyFill="0" applyAlignment="0" applyProtection="0"/>
    <xf numFmtId="0" fontId="34" fillId="33" borderId="497">
      <alignment horizontal="left" vertical="center" wrapText="1" indent="2"/>
    </xf>
    <xf numFmtId="0" fontId="34" fillId="31" borderId="495">
      <alignment horizontal="left" vertical="center"/>
    </xf>
    <xf numFmtId="0" fontId="32" fillId="33" borderId="441">
      <alignment horizontal="right" vertical="center"/>
    </xf>
    <xf numFmtId="4" fontId="32" fillId="33" borderId="441">
      <alignment horizontal="right" vertical="center"/>
    </xf>
    <xf numFmtId="0" fontId="46" fillId="55" borderId="484" applyNumberFormat="0" applyAlignment="0" applyProtection="0"/>
    <xf numFmtId="4" fontId="34" fillId="32" borderId="500"/>
    <xf numFmtId="0" fontId="34" fillId="31" borderId="501">
      <alignment horizontal="left" vertical="center"/>
    </xf>
    <xf numFmtId="49" fontId="34" fillId="0" borderId="528" applyNumberFormat="0" applyFont="0" applyFill="0" applyBorder="0" applyProtection="0">
      <alignment horizontal="left" vertical="center" indent="5"/>
    </xf>
    <xf numFmtId="0" fontId="58" fillId="42" borderId="484" applyNumberFormat="0" applyAlignment="0" applyProtection="0"/>
    <xf numFmtId="0" fontId="62" fillId="55" borderId="483" applyNumberFormat="0" applyAlignment="0" applyProtection="0"/>
    <xf numFmtId="0" fontId="65" fillId="0" borderId="485" applyNumberFormat="0" applyFill="0" applyAlignment="0" applyProtection="0"/>
    <xf numFmtId="0" fontId="34" fillId="32" borderId="542"/>
    <xf numFmtId="0" fontId="43" fillId="55" borderId="483" applyNumberFormat="0" applyAlignment="0" applyProtection="0"/>
    <xf numFmtId="0" fontId="45" fillId="55" borderId="484" applyNumberFormat="0" applyAlignment="0" applyProtection="0"/>
    <xf numFmtId="0" fontId="50" fillId="0" borderId="485" applyNumberFormat="0" applyFill="0" applyAlignment="0" applyProtection="0"/>
    <xf numFmtId="49" fontId="34" fillId="0" borderId="487" applyNumberFormat="0" applyFont="0" applyFill="0" applyBorder="0" applyProtection="0">
      <alignment horizontal="left" vertical="center" indent="2"/>
    </xf>
    <xf numFmtId="0" fontId="32" fillId="31" borderId="487">
      <alignment horizontal="right" vertical="center"/>
    </xf>
    <xf numFmtId="4" fontId="32" fillId="31" borderId="487">
      <alignment horizontal="right" vertical="center"/>
    </xf>
    <xf numFmtId="0" fontId="36" fillId="31" borderId="487">
      <alignment horizontal="right" vertical="center"/>
    </xf>
    <xf numFmtId="4" fontId="36" fillId="31" borderId="487">
      <alignment horizontal="right" vertical="center"/>
    </xf>
    <xf numFmtId="0" fontId="32" fillId="33" borderId="487">
      <alignment horizontal="right" vertical="center"/>
    </xf>
    <xf numFmtId="4" fontId="32" fillId="33" borderId="487">
      <alignment horizontal="right" vertical="center"/>
    </xf>
    <xf numFmtId="0" fontId="32" fillId="33" borderId="487">
      <alignment horizontal="right" vertical="center"/>
    </xf>
    <xf numFmtId="4" fontId="32" fillId="33" borderId="487">
      <alignment horizontal="right" vertical="center"/>
    </xf>
    <xf numFmtId="0" fontId="49" fillId="42" borderId="484" applyNumberFormat="0" applyAlignment="0" applyProtection="0"/>
    <xf numFmtId="0" fontId="34" fillId="0" borderId="487">
      <alignment horizontal="right" vertical="center"/>
    </xf>
    <xf numFmtId="4" fontId="34" fillId="0" borderId="487">
      <alignment horizontal="right" vertical="center"/>
    </xf>
    <xf numFmtId="4" fontId="34" fillId="0" borderId="487" applyFill="0" applyBorder="0" applyProtection="0">
      <alignment horizontal="right" vertical="center"/>
    </xf>
    <xf numFmtId="49" fontId="33" fillId="0" borderId="487" applyNumberFormat="0" applyFill="0" applyBorder="0" applyProtection="0">
      <alignment horizontal="left" vertical="center"/>
    </xf>
    <xf numFmtId="0" fontId="34" fillId="0" borderId="487" applyNumberFormat="0" applyFill="0" applyAlignment="0" applyProtection="0"/>
    <xf numFmtId="173" fontId="34" fillId="59" borderId="487" applyNumberFormat="0" applyFont="0" applyBorder="0" applyAlignment="0" applyProtection="0">
      <alignment horizontal="right" vertical="center"/>
    </xf>
    <xf numFmtId="0" fontId="34" fillId="32" borderId="487"/>
    <xf numFmtId="4" fontId="34" fillId="32" borderId="487"/>
    <xf numFmtId="4" fontId="32" fillId="33" borderId="487">
      <alignment horizontal="right" vertical="center"/>
    </xf>
    <xf numFmtId="0" fontId="34" fillId="32" borderId="487"/>
    <xf numFmtId="0" fontId="45" fillId="55" borderId="484" applyNumberFormat="0" applyAlignment="0" applyProtection="0"/>
    <xf numFmtId="0" fontId="32" fillId="31" borderId="487">
      <alignment horizontal="right" vertical="center"/>
    </xf>
    <xf numFmtId="0" fontId="34" fillId="0" borderId="487">
      <alignment horizontal="right" vertical="center"/>
    </xf>
    <xf numFmtId="0" fontId="65" fillId="0" borderId="485" applyNumberFormat="0" applyFill="0" applyAlignment="0" applyProtection="0"/>
    <xf numFmtId="0" fontId="34" fillId="31" borderId="488">
      <alignment horizontal="left" vertical="center"/>
    </xf>
    <xf numFmtId="0" fontId="58" fillId="42" borderId="484" applyNumberFormat="0" applyAlignment="0" applyProtection="0"/>
    <xf numFmtId="173" fontId="34" fillId="59" borderId="487" applyNumberFormat="0" applyFont="0" applyBorder="0" applyAlignment="0" applyProtection="0">
      <alignment horizontal="right" vertical="center"/>
    </xf>
    <xf numFmtId="0" fontId="40" fillId="58" borderId="486" applyNumberFormat="0" applyFont="0" applyAlignment="0" applyProtection="0"/>
    <xf numFmtId="0" fontId="34" fillId="0" borderId="490">
      <alignment horizontal="left" vertical="center" wrapText="1" indent="2"/>
    </xf>
    <xf numFmtId="4" fontId="34" fillId="32" borderId="487"/>
    <xf numFmtId="49" fontId="33" fillId="0" borderId="487" applyNumberFormat="0" applyFill="0" applyBorder="0" applyProtection="0">
      <alignment horizontal="left" vertical="center"/>
    </xf>
    <xf numFmtId="0" fontId="34" fillId="0" borderId="487">
      <alignment horizontal="right" vertical="center"/>
    </xf>
    <xf numFmtId="4" fontId="32" fillId="33" borderId="489">
      <alignment horizontal="right" vertical="center"/>
    </xf>
    <xf numFmtId="4" fontId="32" fillId="33" borderId="487">
      <alignment horizontal="right" vertical="center"/>
    </xf>
    <xf numFmtId="4" fontId="32" fillId="33" borderId="487">
      <alignment horizontal="right" vertical="center"/>
    </xf>
    <xf numFmtId="0" fontId="36" fillId="31" borderId="487">
      <alignment horizontal="right" vertical="center"/>
    </xf>
    <xf numFmtId="0" fontId="32" fillId="31" borderId="487">
      <alignment horizontal="right" vertical="center"/>
    </xf>
    <xf numFmtId="49" fontId="34" fillId="0" borderId="487" applyNumberFormat="0" applyFont="0" applyFill="0" applyBorder="0" applyProtection="0">
      <alignment horizontal="left" vertical="center" indent="2"/>
    </xf>
    <xf numFmtId="0" fontId="58" fillId="42" borderId="484" applyNumberFormat="0" applyAlignment="0" applyProtection="0"/>
    <xf numFmtId="0" fontId="43" fillId="55" borderId="483" applyNumberFormat="0" applyAlignment="0" applyProtection="0"/>
    <xf numFmtId="49" fontId="34" fillId="0" borderId="487" applyNumberFormat="0" applyFont="0" applyFill="0" applyBorder="0" applyProtection="0">
      <alignment horizontal="left" vertical="center" indent="2"/>
    </xf>
    <xf numFmtId="0" fontId="49" fillId="42" borderId="484" applyNumberFormat="0" applyAlignment="0" applyProtection="0"/>
    <xf numFmtId="4" fontId="34" fillId="0" borderId="487" applyFill="0" applyBorder="0" applyProtection="0">
      <alignment horizontal="right" vertical="center"/>
    </xf>
    <xf numFmtId="0" fontId="46" fillId="55" borderId="484" applyNumberFormat="0" applyAlignment="0" applyProtection="0"/>
    <xf numFmtId="0" fontId="65" fillId="0" borderId="485" applyNumberFormat="0" applyFill="0" applyAlignment="0" applyProtection="0"/>
    <xf numFmtId="0" fontId="62" fillId="55" borderId="483" applyNumberFormat="0" applyAlignment="0" applyProtection="0"/>
    <xf numFmtId="0" fontId="34" fillId="0" borderId="487" applyNumberFormat="0" applyFill="0" applyAlignment="0" applyProtection="0"/>
    <xf numFmtId="4" fontId="34" fillId="0" borderId="487">
      <alignment horizontal="right" vertical="center"/>
    </xf>
    <xf numFmtId="0" fontId="34" fillId="0" borderId="487">
      <alignment horizontal="right" vertical="center"/>
    </xf>
    <xf numFmtId="0" fontId="58" fillId="42" borderId="484" applyNumberFormat="0" applyAlignment="0" applyProtection="0"/>
    <xf numFmtId="0" fontId="43" fillId="55" borderId="483" applyNumberFormat="0" applyAlignment="0" applyProtection="0"/>
    <xf numFmtId="0" fontId="45" fillId="55" borderId="484" applyNumberFormat="0" applyAlignment="0" applyProtection="0"/>
    <xf numFmtId="0" fontId="34" fillId="33" borderId="490">
      <alignment horizontal="left" vertical="center" wrapText="1" indent="2"/>
    </xf>
    <xf numFmtId="0" fontId="46" fillId="55" borderId="484" applyNumberFormat="0" applyAlignment="0" applyProtection="0"/>
    <xf numFmtId="0" fontId="46" fillId="55" borderId="484" applyNumberFormat="0" applyAlignment="0" applyProtection="0"/>
    <xf numFmtId="4" fontId="32" fillId="33" borderId="488">
      <alignment horizontal="right" vertical="center"/>
    </xf>
    <xf numFmtId="0" fontId="32" fillId="33" borderId="488">
      <alignment horizontal="right" vertical="center"/>
    </xf>
    <xf numFmtId="0" fontId="32" fillId="33" borderId="487">
      <alignment horizontal="right" vertical="center"/>
    </xf>
    <xf numFmtId="4" fontId="36" fillId="31" borderId="487">
      <alignment horizontal="right" vertical="center"/>
    </xf>
    <xf numFmtId="0" fontId="49" fillId="42" borderId="484" applyNumberFormat="0" applyAlignment="0" applyProtection="0"/>
    <xf numFmtId="0" fontId="50" fillId="0" borderId="485" applyNumberFormat="0" applyFill="0" applyAlignment="0" applyProtection="0"/>
    <xf numFmtId="0" fontId="65" fillId="0" borderId="485" applyNumberFormat="0" applyFill="0" applyAlignment="0" applyProtection="0"/>
    <xf numFmtId="0" fontId="40" fillId="58" borderId="486" applyNumberFormat="0" applyFont="0" applyAlignment="0" applyProtection="0"/>
    <xf numFmtId="0" fontId="58" fillId="42" borderId="484" applyNumberFormat="0" applyAlignment="0" applyProtection="0"/>
    <xf numFmtId="49" fontId="33" fillId="0" borderId="487" applyNumberFormat="0" applyFill="0" applyBorder="0" applyProtection="0">
      <alignment horizontal="left" vertical="center"/>
    </xf>
    <xf numFmtId="0" fontId="34" fillId="33" borderId="490">
      <alignment horizontal="left" vertical="center" wrapText="1" indent="2"/>
    </xf>
    <xf numFmtId="0" fontId="46" fillId="55" borderId="484" applyNumberFormat="0" applyAlignment="0" applyProtection="0"/>
    <xf numFmtId="0" fontId="34" fillId="0" borderId="490">
      <alignment horizontal="left" vertical="center" wrapText="1" indent="2"/>
    </xf>
    <xf numFmtId="0" fontId="40" fillId="58" borderId="486" applyNumberFormat="0" applyFont="0" applyAlignment="0" applyProtection="0"/>
    <xf numFmtId="0" fontId="5" fillId="58" borderId="486" applyNumberFormat="0" applyFont="0" applyAlignment="0" applyProtection="0"/>
    <xf numFmtId="0" fontId="62" fillId="55" borderId="483" applyNumberFormat="0" applyAlignment="0" applyProtection="0"/>
    <xf numFmtId="0" fontId="65" fillId="0" borderId="485" applyNumberFormat="0" applyFill="0" applyAlignment="0" applyProtection="0"/>
    <xf numFmtId="4" fontId="34" fillId="32" borderId="487"/>
    <xf numFmtId="0" fontId="32" fillId="33" borderId="487">
      <alignment horizontal="right" vertical="center"/>
    </xf>
    <xf numFmtId="0" fontId="65" fillId="0" borderId="485" applyNumberFormat="0" applyFill="0" applyAlignment="0" applyProtection="0"/>
    <xf numFmtId="4" fontId="32" fillId="33" borderId="489">
      <alignment horizontal="right" vertical="center"/>
    </xf>
    <xf numFmtId="0" fontId="45" fillId="55" borderId="484" applyNumberFormat="0" applyAlignment="0" applyProtection="0"/>
    <xf numFmtId="0" fontId="32" fillId="33" borderId="488">
      <alignment horizontal="right" vertical="center"/>
    </xf>
    <xf numFmtId="0" fontId="46" fillId="55" borderId="484" applyNumberFormat="0" applyAlignment="0" applyProtection="0"/>
    <xf numFmtId="0" fontId="50" fillId="0" borderId="485" applyNumberFormat="0" applyFill="0" applyAlignment="0" applyProtection="0"/>
    <xf numFmtId="0" fontId="40" fillId="58" borderId="486" applyNumberFormat="0" applyFont="0" applyAlignment="0" applyProtection="0"/>
    <xf numFmtId="4" fontId="32" fillId="33" borderId="488">
      <alignment horizontal="right" vertical="center"/>
    </xf>
    <xf numFmtId="0" fontId="34" fillId="33" borderId="490">
      <alignment horizontal="left" vertical="center" wrapText="1" indent="2"/>
    </xf>
    <xf numFmtId="0" fontId="34" fillId="32" borderId="487"/>
    <xf numFmtId="173" fontId="34" fillId="59" borderId="487" applyNumberFormat="0" applyFont="0" applyBorder="0" applyAlignment="0" applyProtection="0">
      <alignment horizontal="right" vertical="center"/>
    </xf>
    <xf numFmtId="0" fontId="34" fillId="0" borderId="487" applyNumberFormat="0" applyFill="0" applyAlignment="0" applyProtection="0"/>
    <xf numFmtId="4" fontId="34" fillId="0" borderId="487" applyFill="0" applyBorder="0" applyProtection="0">
      <alignment horizontal="right" vertical="center"/>
    </xf>
    <xf numFmtId="4" fontId="32" fillId="31" borderId="487">
      <alignment horizontal="right" vertical="center"/>
    </xf>
    <xf numFmtId="0" fontId="50" fillId="0" borderId="485" applyNumberFormat="0" applyFill="0" applyAlignment="0" applyProtection="0"/>
    <xf numFmtId="49" fontId="33" fillId="0" borderId="487" applyNumberFormat="0" applyFill="0" applyBorder="0" applyProtection="0">
      <alignment horizontal="left" vertical="center"/>
    </xf>
    <xf numFmtId="49" fontId="34" fillId="0" borderId="488" applyNumberFormat="0" applyFont="0" applyFill="0" applyBorder="0" applyProtection="0">
      <alignment horizontal="left" vertical="center" indent="5"/>
    </xf>
    <xf numFmtId="0" fontId="34" fillId="31" borderId="488">
      <alignment horizontal="left" vertical="center"/>
    </xf>
    <xf numFmtId="0" fontId="46" fillId="55" borderId="484" applyNumberFormat="0" applyAlignment="0" applyProtection="0"/>
    <xf numFmtId="4" fontId="32" fillId="33" borderId="489">
      <alignment horizontal="right" vertical="center"/>
    </xf>
    <xf numFmtId="0" fontId="58" fillId="42" borderId="484" applyNumberFormat="0" applyAlignment="0" applyProtection="0"/>
    <xf numFmtId="0" fontId="58" fillId="42" borderId="484" applyNumberFormat="0" applyAlignment="0" applyProtection="0"/>
    <xf numFmtId="0" fontId="40" fillId="58" borderId="486" applyNumberFormat="0" applyFont="0" applyAlignment="0" applyProtection="0"/>
    <xf numFmtId="0" fontId="62" fillId="55" borderId="483" applyNumberFormat="0" applyAlignment="0" applyProtection="0"/>
    <xf numFmtId="0" fontId="65" fillId="0" borderId="485" applyNumberFormat="0" applyFill="0" applyAlignment="0" applyProtection="0"/>
    <xf numFmtId="0" fontId="32" fillId="33" borderId="487">
      <alignment horizontal="right" vertical="center"/>
    </xf>
    <xf numFmtId="0" fontId="5" fillId="58" borderId="486" applyNumberFormat="0" applyFont="0" applyAlignment="0" applyProtection="0"/>
    <xf numFmtId="4" fontId="34" fillId="0" borderId="487">
      <alignment horizontal="right" vertical="center"/>
    </xf>
    <xf numFmtId="0" fontId="65" fillId="0" borderId="485" applyNumberFormat="0" applyFill="0" applyAlignment="0" applyProtection="0"/>
    <xf numFmtId="0" fontId="32" fillId="33" borderId="487">
      <alignment horizontal="right" vertical="center"/>
    </xf>
    <xf numFmtId="0" fontId="32" fillId="33" borderId="487">
      <alignment horizontal="right" vertical="center"/>
    </xf>
    <xf numFmtId="4" fontId="36" fillId="31" borderId="487">
      <alignment horizontal="right" vertical="center"/>
    </xf>
    <xf numFmtId="0" fontId="32" fillId="31" borderId="487">
      <alignment horizontal="right" vertical="center"/>
    </xf>
    <xf numFmtId="4" fontId="32" fillId="31" borderId="487">
      <alignment horizontal="right" vertical="center"/>
    </xf>
    <xf numFmtId="0" fontId="36" fillId="31" borderId="487">
      <alignment horizontal="right" vertical="center"/>
    </xf>
    <xf numFmtId="4" fontId="36" fillId="31" borderId="487">
      <alignment horizontal="right" vertical="center"/>
    </xf>
    <xf numFmtId="0" fontId="32" fillId="33" borderId="487">
      <alignment horizontal="right" vertical="center"/>
    </xf>
    <xf numFmtId="4" fontId="32" fillId="33" borderId="487">
      <alignment horizontal="right" vertical="center"/>
    </xf>
    <xf numFmtId="0" fontId="32" fillId="33" borderId="487">
      <alignment horizontal="right" vertical="center"/>
    </xf>
    <xf numFmtId="4" fontId="32" fillId="33" borderId="487">
      <alignment horizontal="right" vertical="center"/>
    </xf>
    <xf numFmtId="0" fontId="32" fillId="33" borderId="488">
      <alignment horizontal="right" vertical="center"/>
    </xf>
    <xf numFmtId="4" fontId="32" fillId="33" borderId="488">
      <alignment horizontal="right" vertical="center"/>
    </xf>
    <xf numFmtId="0" fontId="32" fillId="33" borderId="489">
      <alignment horizontal="right" vertical="center"/>
    </xf>
    <xf numFmtId="4" fontId="32" fillId="33" borderId="489">
      <alignment horizontal="right" vertical="center"/>
    </xf>
    <xf numFmtId="0" fontId="46" fillId="55" borderId="484" applyNumberFormat="0" applyAlignment="0" applyProtection="0"/>
    <xf numFmtId="0" fontId="34" fillId="33" borderId="490">
      <alignment horizontal="left" vertical="center" wrapText="1" indent="2"/>
    </xf>
    <xf numFmtId="0" fontId="34" fillId="0" borderId="490">
      <alignment horizontal="left" vertical="center" wrapText="1" indent="2"/>
    </xf>
    <xf numFmtId="0" fontId="34" fillId="31" borderId="488">
      <alignment horizontal="left" vertical="center"/>
    </xf>
    <xf numFmtId="0" fontId="58" fillId="42" borderId="484" applyNumberFormat="0" applyAlignment="0" applyProtection="0"/>
    <xf numFmtId="0" fontId="34" fillId="0" borderId="487">
      <alignment horizontal="right" vertical="center"/>
    </xf>
    <xf numFmtId="4" fontId="34" fillId="0" borderId="487">
      <alignment horizontal="right" vertical="center"/>
    </xf>
    <xf numFmtId="0" fontId="34" fillId="0" borderId="487" applyNumberFormat="0" applyFill="0" applyAlignment="0" applyProtection="0"/>
    <xf numFmtId="0" fontId="62" fillId="55" borderId="483" applyNumberFormat="0" applyAlignment="0" applyProtection="0"/>
    <xf numFmtId="173" fontId="34" fillId="59" borderId="487" applyNumberFormat="0" applyFont="0" applyBorder="0" applyAlignment="0" applyProtection="0">
      <alignment horizontal="right" vertical="center"/>
    </xf>
    <xf numFmtId="0" fontId="34" fillId="32" borderId="487"/>
    <xf numFmtId="4" fontId="34" fillId="32" borderId="487"/>
    <xf numFmtId="0" fontId="65" fillId="0" borderId="485" applyNumberFormat="0" applyFill="0" applyAlignment="0" applyProtection="0"/>
    <xf numFmtId="0" fontId="5" fillId="58" borderId="486" applyNumberFormat="0" applyFont="0" applyAlignment="0" applyProtection="0"/>
    <xf numFmtId="0" fontId="40" fillId="58" borderId="486" applyNumberFormat="0" applyFont="0" applyAlignment="0" applyProtection="0"/>
    <xf numFmtId="0" fontId="34" fillId="0" borderId="487" applyNumberFormat="0" applyFill="0" applyAlignment="0" applyProtection="0"/>
    <xf numFmtId="0" fontId="50" fillId="0" borderId="485" applyNumberFormat="0" applyFill="0" applyAlignment="0" applyProtection="0"/>
    <xf numFmtId="0" fontId="65" fillId="0" borderId="485" applyNumberFormat="0" applyFill="0" applyAlignment="0" applyProtection="0"/>
    <xf numFmtId="0" fontId="49" fillId="42" borderId="484" applyNumberFormat="0" applyAlignment="0" applyProtection="0"/>
    <xf numFmtId="0" fontId="46" fillId="55" borderId="484" applyNumberFormat="0" applyAlignment="0" applyProtection="0"/>
    <xf numFmtId="4" fontId="36" fillId="31" borderId="487">
      <alignment horizontal="right" vertical="center"/>
    </xf>
    <xf numFmtId="0" fontId="32" fillId="31" borderId="487">
      <alignment horizontal="right" vertical="center"/>
    </xf>
    <xf numFmtId="173" fontId="34" fillId="59" borderId="487" applyNumberFormat="0" applyFont="0" applyBorder="0" applyAlignment="0" applyProtection="0">
      <alignment horizontal="right" vertical="center"/>
    </xf>
    <xf numFmtId="0" fontId="50" fillId="0" borderId="485" applyNumberFormat="0" applyFill="0" applyAlignment="0" applyProtection="0"/>
    <xf numFmtId="49" fontId="34" fillId="0" borderId="487" applyNumberFormat="0" applyFont="0" applyFill="0" applyBorder="0" applyProtection="0">
      <alignment horizontal="left" vertical="center" indent="2"/>
    </xf>
    <xf numFmtId="49" fontId="34" fillId="0" borderId="488" applyNumberFormat="0" applyFont="0" applyFill="0" applyBorder="0" applyProtection="0">
      <alignment horizontal="left" vertical="center" indent="5"/>
    </xf>
    <xf numFmtId="49" fontId="34" fillId="0" borderId="487" applyNumberFormat="0" applyFont="0" applyFill="0" applyBorder="0" applyProtection="0">
      <alignment horizontal="left" vertical="center" indent="2"/>
    </xf>
    <xf numFmtId="4" fontId="34" fillId="0" borderId="487" applyFill="0" applyBorder="0" applyProtection="0">
      <alignment horizontal="right" vertical="center"/>
    </xf>
    <xf numFmtId="49" fontId="33" fillId="0" borderId="487" applyNumberFormat="0" applyFill="0" applyBorder="0" applyProtection="0">
      <alignment horizontal="left" vertical="center"/>
    </xf>
    <xf numFmtId="0" fontId="34" fillId="0" borderId="490">
      <alignment horizontal="left" vertical="center" wrapText="1" indent="2"/>
    </xf>
    <xf numFmtId="0" fontId="62" fillId="55" borderId="483" applyNumberFormat="0" applyAlignment="0" applyProtection="0"/>
    <xf numFmtId="0" fontId="32" fillId="33" borderId="489">
      <alignment horizontal="right" vertical="center"/>
    </xf>
    <xf numFmtId="0" fontId="49" fillId="42" borderId="484" applyNumberFormat="0" applyAlignment="0" applyProtection="0"/>
    <xf numFmtId="0" fontId="32" fillId="33" borderId="489">
      <alignment horizontal="right" vertical="center"/>
    </xf>
    <xf numFmtId="4" fontId="32" fillId="33" borderId="487">
      <alignment horizontal="right" vertical="center"/>
    </xf>
    <xf numFmtId="0" fontId="32" fillId="33" borderId="487">
      <alignment horizontal="right" vertical="center"/>
    </xf>
    <xf numFmtId="0" fontId="43" fillId="55" borderId="483" applyNumberFormat="0" applyAlignment="0" applyProtection="0"/>
    <xf numFmtId="0" fontId="45" fillId="55" borderId="484" applyNumberFormat="0" applyAlignment="0" applyProtection="0"/>
    <xf numFmtId="0" fontId="50" fillId="0" borderId="485" applyNumberFormat="0" applyFill="0" applyAlignment="0" applyProtection="0"/>
    <xf numFmtId="0" fontId="34" fillId="32" borderId="487"/>
    <xf numFmtId="4" fontId="34" fillId="32" borderId="487"/>
    <xf numFmtId="4" fontId="32" fillId="33" borderId="487">
      <alignment horizontal="right" vertical="center"/>
    </xf>
    <xf numFmtId="0" fontId="36" fillId="31" borderId="487">
      <alignment horizontal="right" vertical="center"/>
    </xf>
    <xf numFmtId="0" fontId="49" fillId="42" borderId="484" applyNumberFormat="0" applyAlignment="0" applyProtection="0"/>
    <xf numFmtId="0" fontId="46" fillId="55" borderId="484" applyNumberFormat="0" applyAlignment="0" applyProtection="0"/>
    <xf numFmtId="4" fontId="34" fillId="0" borderId="487">
      <alignment horizontal="right" vertical="center"/>
    </xf>
    <xf numFmtId="0" fontId="34" fillId="33" borderId="490">
      <alignment horizontal="left" vertical="center" wrapText="1" indent="2"/>
    </xf>
    <xf numFmtId="0" fontId="34" fillId="0" borderId="490">
      <alignment horizontal="left" vertical="center" wrapText="1" indent="2"/>
    </xf>
    <xf numFmtId="0" fontId="62" fillId="55" borderId="483" applyNumberFormat="0" applyAlignment="0" applyProtection="0"/>
    <xf numFmtId="0" fontId="58" fillId="42" borderId="484" applyNumberFormat="0" applyAlignment="0" applyProtection="0"/>
    <xf numFmtId="0" fontId="45" fillId="55" borderId="484" applyNumberFormat="0" applyAlignment="0" applyProtection="0"/>
    <xf numFmtId="0" fontId="43" fillId="55" borderId="483" applyNumberFormat="0" applyAlignment="0" applyProtection="0"/>
    <xf numFmtId="0" fontId="32" fillId="33" borderId="489">
      <alignment horizontal="right" vertical="center"/>
    </xf>
    <xf numFmtId="0" fontId="36" fillId="31" borderId="487">
      <alignment horizontal="right" vertical="center"/>
    </xf>
    <xf numFmtId="4" fontId="32" fillId="31" borderId="487">
      <alignment horizontal="right" vertical="center"/>
    </xf>
    <xf numFmtId="4" fontId="32" fillId="33" borderId="487">
      <alignment horizontal="right" vertical="center"/>
    </xf>
    <xf numFmtId="49" fontId="34" fillId="0" borderId="488" applyNumberFormat="0" applyFont="0" applyFill="0" applyBorder="0" applyProtection="0">
      <alignment horizontal="left" vertical="center" indent="5"/>
    </xf>
    <xf numFmtId="4" fontId="34" fillId="0" borderId="487" applyFill="0" applyBorder="0" applyProtection="0">
      <alignment horizontal="right" vertical="center"/>
    </xf>
    <xf numFmtId="4" fontId="32" fillId="31" borderId="487">
      <alignment horizontal="right" vertical="center"/>
    </xf>
    <xf numFmtId="0" fontId="58" fillId="42" borderId="484" applyNumberFormat="0" applyAlignment="0" applyProtection="0"/>
    <xf numFmtId="0" fontId="49" fillId="42" borderId="484" applyNumberFormat="0" applyAlignment="0" applyProtection="0"/>
    <xf numFmtId="0" fontId="45" fillId="55" borderId="484" applyNumberFormat="0" applyAlignment="0" applyProtection="0"/>
    <xf numFmtId="0" fontId="34" fillId="33" borderId="490">
      <alignment horizontal="left" vertical="center" wrapText="1" indent="2"/>
    </xf>
    <xf numFmtId="0" fontId="34" fillId="0" borderId="490">
      <alignment horizontal="left" vertical="center" wrapText="1" indent="2"/>
    </xf>
    <xf numFmtId="0" fontId="34" fillId="33" borderId="490">
      <alignment horizontal="left" vertical="center" wrapText="1" indent="2"/>
    </xf>
    <xf numFmtId="0" fontId="32" fillId="33" borderId="501">
      <alignment horizontal="right" vertical="center"/>
    </xf>
    <xf numFmtId="49" fontId="34" fillId="0" borderId="536" applyNumberFormat="0" applyFont="0" applyFill="0" applyBorder="0" applyProtection="0">
      <alignment horizontal="left" vertical="center" indent="5"/>
    </xf>
    <xf numFmtId="4" fontId="32" fillId="33" borderId="502">
      <alignment horizontal="right" vertical="center"/>
    </xf>
    <xf numFmtId="0" fontId="32" fillId="33" borderId="502">
      <alignment horizontal="right" vertical="center"/>
    </xf>
    <xf numFmtId="0" fontId="32" fillId="33" borderId="500">
      <alignment horizontal="right" vertical="center"/>
    </xf>
    <xf numFmtId="0" fontId="49" fillId="42" borderId="491" applyNumberFormat="0" applyAlignment="0" applyProtection="0"/>
    <xf numFmtId="0" fontId="45" fillId="55" borderId="505" applyNumberFormat="0" applyAlignment="0" applyProtection="0"/>
    <xf numFmtId="0" fontId="34" fillId="0" borderId="500">
      <alignment horizontal="right" vertical="center"/>
    </xf>
    <xf numFmtId="4" fontId="32" fillId="33" borderId="535">
      <alignment horizontal="right" vertical="center"/>
    </xf>
    <xf numFmtId="4" fontId="32" fillId="33" borderId="536">
      <alignment horizontal="right" vertical="center"/>
    </xf>
    <xf numFmtId="4" fontId="36" fillId="31" borderId="500">
      <alignment horizontal="right" vertical="center"/>
    </xf>
    <xf numFmtId="0" fontId="26" fillId="16" borderId="0" applyNumberFormat="0" applyBorder="0" applyAlignment="0" applyProtection="0"/>
    <xf numFmtId="0" fontId="26" fillId="17" borderId="0" applyNumberFormat="0" applyBorder="0" applyAlignment="0" applyProtection="0"/>
    <xf numFmtId="0" fontId="2" fillId="0" borderId="12" applyNumberFormat="0" applyFill="0" applyAlignment="0" applyProtection="0"/>
    <xf numFmtId="4" fontId="36" fillId="31" borderId="510">
      <alignment horizontal="right" vertical="center"/>
    </xf>
    <xf numFmtId="0" fontId="28" fillId="12" borderId="11" applyNumberFormat="0" applyAlignment="0" applyProtection="0"/>
    <xf numFmtId="0" fontId="58" fillId="42" borderId="524" applyNumberFormat="0" applyAlignment="0" applyProtection="0"/>
    <xf numFmtId="0" fontId="36" fillId="31" borderId="500">
      <alignment horizontal="right" vertical="center"/>
    </xf>
    <xf numFmtId="0" fontId="58" fillId="42" borderId="505" applyNumberFormat="0" applyAlignment="0" applyProtection="0"/>
    <xf numFmtId="0" fontId="36" fillId="31" borderId="500">
      <alignment horizontal="right" vertical="center"/>
    </xf>
    <xf numFmtId="0" fontId="50" fillId="0" borderId="506" applyNumberFormat="0" applyFill="0" applyAlignment="0" applyProtection="0"/>
    <xf numFmtId="0" fontId="34" fillId="33" borderId="497">
      <alignment horizontal="left" vertical="center" wrapText="1" indent="2"/>
    </xf>
    <xf numFmtId="0" fontId="34" fillId="0" borderId="497">
      <alignment horizontal="left" vertical="center" wrapText="1" indent="2"/>
    </xf>
    <xf numFmtId="4" fontId="36" fillId="31" borderId="500">
      <alignment horizontal="right" vertical="center"/>
    </xf>
    <xf numFmtId="49" fontId="34" fillId="0" borderId="500" applyNumberFormat="0" applyFont="0" applyFill="0" applyBorder="0" applyProtection="0">
      <alignment horizontal="left" vertical="center" indent="2"/>
    </xf>
    <xf numFmtId="0" fontId="28" fillId="12" borderId="11" applyNumberFormat="0" applyAlignment="0" applyProtection="0"/>
    <xf numFmtId="0" fontId="34" fillId="0" borderId="535">
      <alignment horizontal="right" vertical="center"/>
    </xf>
    <xf numFmtId="49" fontId="34" fillId="0" borderId="536" applyNumberFormat="0" applyFont="0" applyFill="0" applyBorder="0" applyProtection="0">
      <alignment horizontal="left" vertical="center" indent="5"/>
    </xf>
    <xf numFmtId="0" fontId="26" fillId="17" borderId="0" applyNumberFormat="0" applyBorder="0" applyAlignment="0" applyProtection="0"/>
    <xf numFmtId="0" fontId="12" fillId="15" borderId="0" applyNumberFormat="0" applyBorder="0" applyAlignment="0" applyProtection="0"/>
    <xf numFmtId="0" fontId="26" fillId="20" borderId="0" applyNumberFormat="0" applyBorder="0" applyAlignment="0" applyProtection="0"/>
    <xf numFmtId="0" fontId="40" fillId="58" borderId="526" applyNumberFormat="0" applyFont="0" applyAlignment="0" applyProtection="0"/>
    <xf numFmtId="4" fontId="34" fillId="32" borderId="535"/>
    <xf numFmtId="0" fontId="65" fillId="0" borderId="533" applyNumberFormat="0" applyFill="0" applyAlignment="0" applyProtection="0"/>
    <xf numFmtId="0" fontId="58" fillId="42" borderId="507" applyNumberFormat="0" applyAlignment="0" applyProtection="0"/>
    <xf numFmtId="4" fontId="34" fillId="0" borderId="535">
      <alignment horizontal="right" vertical="center"/>
    </xf>
    <xf numFmtId="0" fontId="26" fillId="23" borderId="0" applyNumberFormat="0" applyBorder="0" applyAlignment="0" applyProtection="0"/>
    <xf numFmtId="4" fontId="32" fillId="33" borderId="537">
      <alignment horizontal="right" vertical="center"/>
    </xf>
    <xf numFmtId="0" fontId="32" fillId="33" borderId="537">
      <alignment horizontal="right" vertical="center"/>
    </xf>
    <xf numFmtId="0" fontId="32" fillId="33" borderId="535">
      <alignment horizontal="right" vertical="center"/>
    </xf>
    <xf numFmtId="0" fontId="32" fillId="33" borderId="501">
      <alignment horizontal="right" vertical="center"/>
    </xf>
    <xf numFmtId="0" fontId="26" fillId="29" borderId="0" applyNumberFormat="0" applyBorder="0" applyAlignment="0" applyProtection="0"/>
    <xf numFmtId="0" fontId="50" fillId="0" borderId="533" applyNumberFormat="0" applyFill="0" applyAlignment="0" applyProtection="0"/>
    <xf numFmtId="0" fontId="32" fillId="31" borderId="535">
      <alignment horizontal="right" vertical="center"/>
    </xf>
    <xf numFmtId="0" fontId="34" fillId="31" borderId="511">
      <alignment horizontal="left" vertical="center"/>
    </xf>
    <xf numFmtId="0" fontId="26" fillId="16" borderId="0" applyNumberFormat="0" applyBorder="0" applyAlignment="0" applyProtection="0"/>
    <xf numFmtId="4" fontId="32" fillId="33" borderId="502">
      <alignment horizontal="right" vertical="center"/>
    </xf>
    <xf numFmtId="0" fontId="45" fillId="55" borderId="505" applyNumberFormat="0" applyAlignment="0" applyProtection="0"/>
    <xf numFmtId="0" fontId="46" fillId="55" borderId="505" applyNumberFormat="0" applyAlignment="0" applyProtection="0"/>
    <xf numFmtId="0" fontId="62" fillId="55" borderId="531" applyNumberFormat="0" applyAlignment="0" applyProtection="0"/>
    <xf numFmtId="0" fontId="34" fillId="32" borderId="500"/>
    <xf numFmtId="4" fontId="32" fillId="31" borderId="500">
      <alignment horizontal="right" vertical="center"/>
    </xf>
    <xf numFmtId="0" fontId="45" fillId="55" borderId="505" applyNumberFormat="0" applyAlignment="0" applyProtection="0"/>
    <xf numFmtId="49" fontId="34" fillId="0" borderId="500" applyNumberFormat="0" applyFont="0" applyFill="0" applyBorder="0" applyProtection="0">
      <alignment horizontal="left" vertical="center" indent="2"/>
    </xf>
    <xf numFmtId="4" fontId="32" fillId="33" borderId="502">
      <alignment horizontal="right" vertical="center"/>
    </xf>
    <xf numFmtId="49" fontId="34" fillId="0" borderId="500" applyNumberFormat="0" applyFont="0" applyFill="0" applyBorder="0" applyProtection="0">
      <alignment horizontal="left" vertical="center" indent="2"/>
    </xf>
    <xf numFmtId="49" fontId="33" fillId="0" borderId="500" applyNumberFormat="0" applyFill="0" applyBorder="0" applyProtection="0">
      <alignment horizontal="left" vertical="center"/>
    </xf>
    <xf numFmtId="4" fontId="36" fillId="31" borderId="500">
      <alignment horizontal="right" vertical="center"/>
    </xf>
    <xf numFmtId="4" fontId="32" fillId="33" borderId="501">
      <alignment horizontal="right" vertical="center"/>
    </xf>
    <xf numFmtId="0" fontId="40" fillId="58" borderId="499" applyNumberFormat="0" applyFont="0" applyAlignment="0" applyProtection="0"/>
    <xf numFmtId="4" fontId="32" fillId="33" borderId="502">
      <alignment horizontal="right" vertical="center"/>
    </xf>
    <xf numFmtId="0" fontId="62" fillId="55" borderId="504" applyNumberFormat="0" applyAlignment="0" applyProtection="0"/>
    <xf numFmtId="0" fontId="58" fillId="42" borderId="505" applyNumberFormat="0" applyAlignment="0" applyProtection="0"/>
    <xf numFmtId="0" fontId="5" fillId="58" borderId="499" applyNumberFormat="0" applyFont="0" applyAlignment="0" applyProtection="0"/>
    <xf numFmtId="0" fontId="32" fillId="33" borderId="500">
      <alignment horizontal="right" vertical="center"/>
    </xf>
    <xf numFmtId="0" fontId="36" fillId="31" borderId="500">
      <alignment horizontal="right" vertical="center"/>
    </xf>
    <xf numFmtId="0" fontId="26" fillId="19" borderId="0" applyNumberFormat="0" applyBorder="0" applyAlignment="0" applyProtection="0"/>
    <xf numFmtId="0" fontId="5" fillId="58" borderId="499" applyNumberFormat="0" applyFont="0" applyAlignment="0" applyProtection="0"/>
    <xf numFmtId="0" fontId="34" fillId="33" borderId="530">
      <alignment horizontal="left" vertical="center" wrapText="1" indent="2"/>
    </xf>
    <xf numFmtId="49" fontId="34" fillId="0" borderId="501" applyNumberFormat="0" applyFont="0" applyFill="0" applyBorder="0" applyProtection="0">
      <alignment horizontal="left" vertical="center" indent="5"/>
    </xf>
    <xf numFmtId="0" fontId="50" fillId="0" borderId="506" applyNumberFormat="0" applyFill="0" applyAlignment="0" applyProtection="0"/>
    <xf numFmtId="0" fontId="34" fillId="0" borderId="503">
      <alignment horizontal="left" vertical="center" wrapText="1" indent="2"/>
    </xf>
    <xf numFmtId="0" fontId="49" fillId="42" borderId="505" applyNumberFormat="0" applyAlignment="0" applyProtection="0"/>
    <xf numFmtId="173" fontId="34" fillId="59" borderId="527" applyNumberFormat="0" applyFont="0" applyBorder="0" applyAlignment="0" applyProtection="0">
      <alignment horizontal="right" vertical="center"/>
    </xf>
    <xf numFmtId="0" fontId="34" fillId="32" borderId="500"/>
    <xf numFmtId="4" fontId="34" fillId="0" borderId="500">
      <alignment horizontal="right" vertical="center"/>
    </xf>
    <xf numFmtId="0" fontId="26" fillId="25" borderId="0" applyNumberFormat="0" applyBorder="0" applyAlignment="0" applyProtection="0"/>
    <xf numFmtId="0" fontId="26" fillId="28" borderId="0" applyNumberFormat="0" applyBorder="0" applyAlignment="0" applyProtection="0"/>
    <xf numFmtId="0" fontId="26" fillId="26"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1" borderId="0" applyNumberFormat="0" applyBorder="0" applyAlignment="0" applyProtection="0"/>
    <xf numFmtId="0" fontId="12" fillId="15" borderId="0" applyNumberFormat="0" applyBorder="0" applyAlignment="0" applyProtection="0"/>
    <xf numFmtId="0" fontId="65" fillId="0" borderId="506" applyNumberFormat="0" applyFill="0" applyAlignment="0" applyProtection="0"/>
    <xf numFmtId="0" fontId="46" fillId="55" borderId="505" applyNumberFormat="0" applyAlignment="0" applyProtection="0"/>
    <xf numFmtId="0" fontId="32" fillId="33" borderId="502">
      <alignment horizontal="right" vertical="center"/>
    </xf>
    <xf numFmtId="4" fontId="32" fillId="33" borderId="511">
      <alignment horizontal="right" vertical="center"/>
    </xf>
    <xf numFmtId="49" fontId="34" fillId="0" borderId="500" applyNumberFormat="0" applyFont="0" applyFill="0" applyBorder="0" applyProtection="0">
      <alignment horizontal="left" vertical="center" indent="2"/>
    </xf>
    <xf numFmtId="4" fontId="32" fillId="33" borderId="494">
      <alignment horizontal="right" vertical="center"/>
    </xf>
    <xf numFmtId="0" fontId="34" fillId="32" borderId="494"/>
    <xf numFmtId="0" fontId="45" fillId="55" borderId="491" applyNumberFormat="0" applyAlignment="0" applyProtection="0"/>
    <xf numFmtId="0" fontId="32" fillId="31" borderId="494">
      <alignment horizontal="right" vertical="center"/>
    </xf>
    <xf numFmtId="0" fontId="34" fillId="0" borderId="494">
      <alignment horizontal="right" vertical="center"/>
    </xf>
    <xf numFmtId="0" fontId="65" fillId="0" borderId="492" applyNumberFormat="0" applyFill="0" applyAlignment="0" applyProtection="0"/>
    <xf numFmtId="0" fontId="34" fillId="31" borderId="495">
      <alignment horizontal="left" vertical="center"/>
    </xf>
    <xf numFmtId="0" fontId="58" fillId="42" borderId="491" applyNumberFormat="0" applyAlignment="0" applyProtection="0"/>
    <xf numFmtId="173" fontId="34" fillId="59" borderId="494" applyNumberFormat="0" applyFont="0" applyBorder="0" applyAlignment="0" applyProtection="0">
      <alignment horizontal="right" vertical="center"/>
    </xf>
    <xf numFmtId="0" fontId="40" fillId="58" borderId="493" applyNumberFormat="0" applyFont="0" applyAlignment="0" applyProtection="0"/>
    <xf numFmtId="0" fontId="34" fillId="0" borderId="497">
      <alignment horizontal="left" vertical="center" wrapText="1" indent="2"/>
    </xf>
    <xf numFmtId="4" fontId="34" fillId="32" borderId="494"/>
    <xf numFmtId="49" fontId="33" fillId="0" borderId="494" applyNumberFormat="0" applyFill="0" applyBorder="0" applyProtection="0">
      <alignment horizontal="left" vertical="center"/>
    </xf>
    <xf numFmtId="0" fontId="34" fillId="0" borderId="494">
      <alignment horizontal="right" vertical="center"/>
    </xf>
    <xf numFmtId="4" fontId="32" fillId="33" borderId="496">
      <alignment horizontal="right" vertical="center"/>
    </xf>
    <xf numFmtId="4" fontId="32" fillId="33" borderId="494">
      <alignment horizontal="right" vertical="center"/>
    </xf>
    <xf numFmtId="4" fontId="32" fillId="33" borderId="494">
      <alignment horizontal="right" vertical="center"/>
    </xf>
    <xf numFmtId="0" fontId="36" fillId="31" borderId="494">
      <alignment horizontal="right" vertical="center"/>
    </xf>
    <xf numFmtId="0" fontId="32" fillId="31" borderId="494">
      <alignment horizontal="right" vertical="center"/>
    </xf>
    <xf numFmtId="49" fontId="34" fillId="0" borderId="494" applyNumberFormat="0" applyFont="0" applyFill="0" applyBorder="0" applyProtection="0">
      <alignment horizontal="left" vertical="center" indent="2"/>
    </xf>
    <xf numFmtId="0" fontId="58" fillId="42" borderId="491" applyNumberFormat="0" applyAlignment="0" applyProtection="0"/>
    <xf numFmtId="0" fontId="43" fillId="55" borderId="498" applyNumberFormat="0" applyAlignment="0" applyProtection="0"/>
    <xf numFmtId="49" fontId="34" fillId="0" borderId="494" applyNumberFormat="0" applyFont="0" applyFill="0" applyBorder="0" applyProtection="0">
      <alignment horizontal="left" vertical="center" indent="2"/>
    </xf>
    <xf numFmtId="0" fontId="49" fillId="42" borderId="491" applyNumberFormat="0" applyAlignment="0" applyProtection="0"/>
    <xf numFmtId="4" fontId="34" fillId="0" borderId="494" applyFill="0" applyBorder="0" applyProtection="0">
      <alignment horizontal="right" vertical="center"/>
    </xf>
    <xf numFmtId="0" fontId="46" fillId="55" borderId="491" applyNumberFormat="0" applyAlignment="0" applyProtection="0"/>
    <xf numFmtId="0" fontId="65" fillId="0" borderId="492" applyNumberFormat="0" applyFill="0" applyAlignment="0" applyProtection="0"/>
    <xf numFmtId="0" fontId="62" fillId="55" borderId="498" applyNumberFormat="0" applyAlignment="0" applyProtection="0"/>
    <xf numFmtId="0" fontId="34" fillId="0" borderId="494" applyNumberFormat="0" applyFill="0" applyAlignment="0" applyProtection="0"/>
    <xf numFmtId="4" fontId="34" fillId="0" borderId="494">
      <alignment horizontal="right" vertical="center"/>
    </xf>
    <xf numFmtId="0" fontId="34" fillId="0" borderId="494">
      <alignment horizontal="right" vertical="center"/>
    </xf>
    <xf numFmtId="0" fontId="58" fillId="42" borderId="491" applyNumberFormat="0" applyAlignment="0" applyProtection="0"/>
    <xf numFmtId="0" fontId="43" fillId="55" borderId="498" applyNumberFormat="0" applyAlignment="0" applyProtection="0"/>
    <xf numFmtId="0" fontId="45" fillId="55" borderId="491" applyNumberFormat="0" applyAlignment="0" applyProtection="0"/>
    <xf numFmtId="0" fontId="34" fillId="33" borderId="497">
      <alignment horizontal="left" vertical="center" wrapText="1" indent="2"/>
    </xf>
    <xf numFmtId="0" fontId="46" fillId="55" borderId="491" applyNumberFormat="0" applyAlignment="0" applyProtection="0"/>
    <xf numFmtId="0" fontId="46" fillId="55" borderId="491" applyNumberFormat="0" applyAlignment="0" applyProtection="0"/>
    <xf numFmtId="4" fontId="32" fillId="33" borderId="495">
      <alignment horizontal="right" vertical="center"/>
    </xf>
    <xf numFmtId="0" fontId="32" fillId="33" borderId="495">
      <alignment horizontal="right" vertical="center"/>
    </xf>
    <xf numFmtId="0" fontId="32" fillId="33" borderId="494">
      <alignment horizontal="right" vertical="center"/>
    </xf>
    <xf numFmtId="4" fontId="36" fillId="31" borderId="494">
      <alignment horizontal="right" vertical="center"/>
    </xf>
    <xf numFmtId="0" fontId="49" fillId="42" borderId="491" applyNumberFormat="0" applyAlignment="0" applyProtection="0"/>
    <xf numFmtId="0" fontId="50" fillId="0" borderId="492" applyNumberFormat="0" applyFill="0" applyAlignment="0" applyProtection="0"/>
    <xf numFmtId="0" fontId="65" fillId="0" borderId="492" applyNumberFormat="0" applyFill="0" applyAlignment="0" applyProtection="0"/>
    <xf numFmtId="0" fontId="40" fillId="58" borderId="493" applyNumberFormat="0" applyFont="0" applyAlignment="0" applyProtection="0"/>
    <xf numFmtId="0" fontId="58" fillId="42" borderId="491" applyNumberFormat="0" applyAlignment="0" applyProtection="0"/>
    <xf numFmtId="49" fontId="33" fillId="0" borderId="494" applyNumberFormat="0" applyFill="0" applyBorder="0" applyProtection="0">
      <alignment horizontal="left" vertical="center"/>
    </xf>
    <xf numFmtId="0" fontId="34" fillId="33" borderId="497">
      <alignment horizontal="left" vertical="center" wrapText="1" indent="2"/>
    </xf>
    <xf numFmtId="0" fontId="46" fillId="55" borderId="491" applyNumberFormat="0" applyAlignment="0" applyProtection="0"/>
    <xf numFmtId="0" fontId="34" fillId="0" borderId="497">
      <alignment horizontal="left" vertical="center" wrapText="1" indent="2"/>
    </xf>
    <xf numFmtId="0" fontId="40" fillId="58" borderId="493" applyNumberFormat="0" applyFont="0" applyAlignment="0" applyProtection="0"/>
    <xf numFmtId="0" fontId="5" fillId="58" borderId="493" applyNumberFormat="0" applyFont="0" applyAlignment="0" applyProtection="0"/>
    <xf numFmtId="0" fontId="62" fillId="55" borderId="498" applyNumberFormat="0" applyAlignment="0" applyProtection="0"/>
    <xf numFmtId="0" fontId="65" fillId="0" borderId="492" applyNumberFormat="0" applyFill="0" applyAlignment="0" applyProtection="0"/>
    <xf numFmtId="4" fontId="34" fillId="32" borderId="494"/>
    <xf numFmtId="0" fontId="32" fillId="33" borderId="494">
      <alignment horizontal="right" vertical="center"/>
    </xf>
    <xf numFmtId="0" fontId="65" fillId="0" borderId="492" applyNumberFormat="0" applyFill="0" applyAlignment="0" applyProtection="0"/>
    <xf numFmtId="4" fontId="32" fillId="33" borderId="496">
      <alignment horizontal="right" vertical="center"/>
    </xf>
    <xf numFmtId="0" fontId="45" fillId="55" borderId="491" applyNumberFormat="0" applyAlignment="0" applyProtection="0"/>
    <xf numFmtId="0" fontId="32" fillId="33" borderId="495">
      <alignment horizontal="right" vertical="center"/>
    </xf>
    <xf numFmtId="0" fontId="46" fillId="55" borderId="491" applyNumberFormat="0" applyAlignment="0" applyProtection="0"/>
    <xf numFmtId="0" fontId="50" fillId="0" borderId="492" applyNumberFormat="0" applyFill="0" applyAlignment="0" applyProtection="0"/>
    <xf numFmtId="0" fontId="40" fillId="58" borderId="493" applyNumberFormat="0" applyFont="0" applyAlignment="0" applyProtection="0"/>
    <xf numFmtId="4" fontId="32" fillId="33" borderId="495">
      <alignment horizontal="right" vertical="center"/>
    </xf>
    <xf numFmtId="0" fontId="34" fillId="33" borderId="497">
      <alignment horizontal="left" vertical="center" wrapText="1" indent="2"/>
    </xf>
    <xf numFmtId="0" fontId="34" fillId="32" borderId="494"/>
    <xf numFmtId="173" fontId="34" fillId="59" borderId="494" applyNumberFormat="0" applyFont="0" applyBorder="0" applyAlignment="0" applyProtection="0">
      <alignment horizontal="right" vertical="center"/>
    </xf>
    <xf numFmtId="0" fontId="34" fillId="0" borderId="494" applyNumberFormat="0" applyFill="0" applyAlignment="0" applyProtection="0"/>
    <xf numFmtId="4" fontId="34" fillId="0" borderId="494" applyFill="0" applyBorder="0" applyProtection="0">
      <alignment horizontal="right" vertical="center"/>
    </xf>
    <xf numFmtId="4" fontId="32" fillId="31" borderId="494">
      <alignment horizontal="right" vertical="center"/>
    </xf>
    <xf numFmtId="0" fontId="50" fillId="0" borderId="492" applyNumberFormat="0" applyFill="0" applyAlignment="0" applyProtection="0"/>
    <xf numFmtId="49" fontId="33" fillId="0" borderId="494" applyNumberFormat="0" applyFill="0" applyBorder="0" applyProtection="0">
      <alignment horizontal="left" vertical="center"/>
    </xf>
    <xf numFmtId="49" fontId="34" fillId="0" borderId="495" applyNumberFormat="0" applyFont="0" applyFill="0" applyBorder="0" applyProtection="0">
      <alignment horizontal="left" vertical="center" indent="5"/>
    </xf>
    <xf numFmtId="0" fontId="34" fillId="31" borderId="495">
      <alignment horizontal="left" vertical="center"/>
    </xf>
    <xf numFmtId="0" fontId="46" fillId="55" borderId="491" applyNumberFormat="0" applyAlignment="0" applyProtection="0"/>
    <xf numFmtId="4" fontId="32" fillId="33" borderId="496">
      <alignment horizontal="right" vertical="center"/>
    </xf>
    <xf numFmtId="0" fontId="58" fillId="42" borderId="491" applyNumberFormat="0" applyAlignment="0" applyProtection="0"/>
    <xf numFmtId="0" fontId="58" fillId="42" borderId="491" applyNumberFormat="0" applyAlignment="0" applyProtection="0"/>
    <xf numFmtId="0" fontId="40" fillId="58" borderId="493" applyNumberFormat="0" applyFont="0" applyAlignment="0" applyProtection="0"/>
    <xf numFmtId="0" fontId="62" fillId="55" borderId="498" applyNumberFormat="0" applyAlignment="0" applyProtection="0"/>
    <xf numFmtId="0" fontId="65" fillId="0" borderId="492" applyNumberFormat="0" applyFill="0" applyAlignment="0" applyProtection="0"/>
    <xf numFmtId="0" fontId="32" fillId="33" borderId="494">
      <alignment horizontal="right" vertical="center"/>
    </xf>
    <xf numFmtId="0" fontId="5" fillId="58" borderId="493" applyNumberFormat="0" applyFont="0" applyAlignment="0" applyProtection="0"/>
    <xf numFmtId="4" fontId="34" fillId="0" borderId="494">
      <alignment horizontal="right" vertical="center"/>
    </xf>
    <xf numFmtId="0" fontId="65" fillId="0" borderId="492" applyNumberFormat="0" applyFill="0" applyAlignment="0" applyProtection="0"/>
    <xf numFmtId="0" fontId="32" fillId="33" borderId="494">
      <alignment horizontal="right" vertical="center"/>
    </xf>
    <xf numFmtId="0" fontId="32" fillId="33" borderId="494">
      <alignment horizontal="right" vertical="center"/>
    </xf>
    <xf numFmtId="4" fontId="36" fillId="31" borderId="494">
      <alignment horizontal="right" vertical="center"/>
    </xf>
    <xf numFmtId="0" fontId="32" fillId="31" borderId="494">
      <alignment horizontal="right" vertical="center"/>
    </xf>
    <xf numFmtId="4" fontId="32" fillId="31" borderId="494">
      <alignment horizontal="right" vertical="center"/>
    </xf>
    <xf numFmtId="0" fontId="36" fillId="31" borderId="494">
      <alignment horizontal="right" vertical="center"/>
    </xf>
    <xf numFmtId="4" fontId="36" fillId="31" borderId="494">
      <alignment horizontal="right" vertical="center"/>
    </xf>
    <xf numFmtId="0" fontId="32" fillId="33" borderId="494">
      <alignment horizontal="right" vertical="center"/>
    </xf>
    <xf numFmtId="4" fontId="32" fillId="33" borderId="494">
      <alignment horizontal="right" vertical="center"/>
    </xf>
    <xf numFmtId="0" fontId="32" fillId="33" borderId="494">
      <alignment horizontal="right" vertical="center"/>
    </xf>
    <xf numFmtId="4" fontId="32" fillId="33" borderId="494">
      <alignment horizontal="right" vertical="center"/>
    </xf>
    <xf numFmtId="0" fontId="32" fillId="33" borderId="495">
      <alignment horizontal="right" vertical="center"/>
    </xf>
    <xf numFmtId="4" fontId="32" fillId="33" borderId="495">
      <alignment horizontal="right" vertical="center"/>
    </xf>
    <xf numFmtId="0" fontId="32" fillId="33" borderId="496">
      <alignment horizontal="right" vertical="center"/>
    </xf>
    <xf numFmtId="4" fontId="32" fillId="33" borderId="496">
      <alignment horizontal="right" vertical="center"/>
    </xf>
    <xf numFmtId="0" fontId="46" fillId="55" borderId="491" applyNumberFormat="0" applyAlignment="0" applyProtection="0"/>
    <xf numFmtId="0" fontId="34" fillId="33" borderId="497">
      <alignment horizontal="left" vertical="center" wrapText="1" indent="2"/>
    </xf>
    <xf numFmtId="0" fontId="34" fillId="0" borderId="497">
      <alignment horizontal="left" vertical="center" wrapText="1" indent="2"/>
    </xf>
    <xf numFmtId="0" fontId="34" fillId="31" borderId="495">
      <alignment horizontal="left" vertical="center"/>
    </xf>
    <xf numFmtId="0" fontId="58" fillId="42" borderId="491" applyNumberFormat="0" applyAlignment="0" applyProtection="0"/>
    <xf numFmtId="0" fontId="34" fillId="0" borderId="494">
      <alignment horizontal="right" vertical="center"/>
    </xf>
    <xf numFmtId="4" fontId="34" fillId="0" borderId="494">
      <alignment horizontal="right" vertical="center"/>
    </xf>
    <xf numFmtId="0" fontId="34" fillId="0" borderId="494" applyNumberFormat="0" applyFill="0" applyAlignment="0" applyProtection="0"/>
    <xf numFmtId="0" fontId="62" fillId="55" borderId="498" applyNumberFormat="0" applyAlignment="0" applyProtection="0"/>
    <xf numFmtId="173" fontId="34" fillId="59" borderId="494" applyNumberFormat="0" applyFont="0" applyBorder="0" applyAlignment="0" applyProtection="0">
      <alignment horizontal="right" vertical="center"/>
    </xf>
    <xf numFmtId="0" fontId="34" fillId="32" borderId="494"/>
    <xf numFmtId="4" fontId="34" fillId="32" borderId="494"/>
    <xf numFmtId="0" fontId="65" fillId="0" borderId="492" applyNumberFormat="0" applyFill="0" applyAlignment="0" applyProtection="0"/>
    <xf numFmtId="0" fontId="5" fillId="58" borderId="493" applyNumberFormat="0" applyFont="0" applyAlignment="0" applyProtection="0"/>
    <xf numFmtId="0" fontId="40" fillId="58" borderId="493" applyNumberFormat="0" applyFont="0" applyAlignment="0" applyProtection="0"/>
    <xf numFmtId="0" fontId="34" fillId="0" borderId="494" applyNumberFormat="0" applyFill="0" applyAlignment="0" applyProtection="0"/>
    <xf numFmtId="0" fontId="50" fillId="0" borderId="492" applyNumberFormat="0" applyFill="0" applyAlignment="0" applyProtection="0"/>
    <xf numFmtId="0" fontId="65" fillId="0" borderId="492" applyNumberFormat="0" applyFill="0" applyAlignment="0" applyProtection="0"/>
    <xf numFmtId="0" fontId="49" fillId="42" borderId="491" applyNumberFormat="0" applyAlignment="0" applyProtection="0"/>
    <xf numFmtId="0" fontId="46" fillId="55" borderId="491" applyNumberFormat="0" applyAlignment="0" applyProtection="0"/>
    <xf numFmtId="4" fontId="36" fillId="31" borderId="494">
      <alignment horizontal="right" vertical="center"/>
    </xf>
    <xf numFmtId="0" fontId="32" fillId="31" borderId="494">
      <alignment horizontal="right" vertical="center"/>
    </xf>
    <xf numFmtId="173" fontId="34" fillId="59" borderId="494" applyNumberFormat="0" applyFont="0" applyBorder="0" applyAlignment="0" applyProtection="0">
      <alignment horizontal="right" vertical="center"/>
    </xf>
    <xf numFmtId="0" fontId="50" fillId="0" borderId="492" applyNumberFormat="0" applyFill="0" applyAlignment="0" applyProtection="0"/>
    <xf numFmtId="49" fontId="34" fillId="0" borderId="494" applyNumberFormat="0" applyFont="0" applyFill="0" applyBorder="0" applyProtection="0">
      <alignment horizontal="left" vertical="center" indent="2"/>
    </xf>
    <xf numFmtId="49" fontId="34" fillId="0" borderId="495" applyNumberFormat="0" applyFont="0" applyFill="0" applyBorder="0" applyProtection="0">
      <alignment horizontal="left" vertical="center" indent="5"/>
    </xf>
    <xf numFmtId="49" fontId="34" fillId="0" borderId="494" applyNumberFormat="0" applyFont="0" applyFill="0" applyBorder="0" applyProtection="0">
      <alignment horizontal="left" vertical="center" indent="2"/>
    </xf>
    <xf numFmtId="4" fontId="34" fillId="0" borderId="494" applyFill="0" applyBorder="0" applyProtection="0">
      <alignment horizontal="right" vertical="center"/>
    </xf>
    <xf numFmtId="49" fontId="33" fillId="0" borderId="494" applyNumberFormat="0" applyFill="0" applyBorder="0" applyProtection="0">
      <alignment horizontal="left" vertical="center"/>
    </xf>
    <xf numFmtId="0" fontId="34" fillId="0" borderId="497">
      <alignment horizontal="left" vertical="center" wrapText="1" indent="2"/>
    </xf>
    <xf numFmtId="0" fontId="62" fillId="55" borderId="498" applyNumberFormat="0" applyAlignment="0" applyProtection="0"/>
    <xf numFmtId="0" fontId="32" fillId="33" borderId="496">
      <alignment horizontal="right" vertical="center"/>
    </xf>
    <xf numFmtId="0" fontId="49" fillId="42" borderId="491" applyNumberFormat="0" applyAlignment="0" applyProtection="0"/>
    <xf numFmtId="0" fontId="32" fillId="33" borderId="496">
      <alignment horizontal="right" vertical="center"/>
    </xf>
    <xf numFmtId="4" fontId="32" fillId="33" borderId="494">
      <alignment horizontal="right" vertical="center"/>
    </xf>
    <xf numFmtId="0" fontId="32" fillId="33" borderId="494">
      <alignment horizontal="right" vertical="center"/>
    </xf>
    <xf numFmtId="0" fontId="43" fillId="55" borderId="498" applyNumberFormat="0" applyAlignment="0" applyProtection="0"/>
    <xf numFmtId="0" fontId="45" fillId="55" borderId="491" applyNumberFormat="0" applyAlignment="0" applyProtection="0"/>
    <xf numFmtId="0" fontId="50" fillId="0" borderId="492" applyNumberFormat="0" applyFill="0" applyAlignment="0" applyProtection="0"/>
    <xf numFmtId="0" fontId="34" fillId="32" borderId="494"/>
    <xf numFmtId="4" fontId="34" fillId="32" borderId="494"/>
    <xf numFmtId="4" fontId="32" fillId="33" borderId="494">
      <alignment horizontal="right" vertical="center"/>
    </xf>
    <xf numFmtId="0" fontId="36" fillId="31" borderId="494">
      <alignment horizontal="right" vertical="center"/>
    </xf>
    <xf numFmtId="0" fontId="49" fillId="42" borderId="491" applyNumberFormat="0" applyAlignment="0" applyProtection="0"/>
    <xf numFmtId="0" fontId="46" fillId="55" borderId="491" applyNumberFormat="0" applyAlignment="0" applyProtection="0"/>
    <xf numFmtId="4" fontId="34" fillId="0" borderId="494">
      <alignment horizontal="right" vertical="center"/>
    </xf>
    <xf numFmtId="0" fontId="34" fillId="33" borderId="497">
      <alignment horizontal="left" vertical="center" wrapText="1" indent="2"/>
    </xf>
    <xf numFmtId="0" fontId="34" fillId="0" borderId="497">
      <alignment horizontal="left" vertical="center" wrapText="1" indent="2"/>
    </xf>
    <xf numFmtId="0" fontId="62" fillId="55" borderId="498" applyNumberFormat="0" applyAlignment="0" applyProtection="0"/>
    <xf numFmtId="0" fontId="58" fillId="42" borderId="491" applyNumberFormat="0" applyAlignment="0" applyProtection="0"/>
    <xf numFmtId="0" fontId="45" fillId="55" borderId="491" applyNumberFormat="0" applyAlignment="0" applyProtection="0"/>
    <xf numFmtId="0" fontId="43" fillId="55" borderId="498" applyNumberFormat="0" applyAlignment="0" applyProtection="0"/>
    <xf numFmtId="0" fontId="32" fillId="33" borderId="496">
      <alignment horizontal="right" vertical="center"/>
    </xf>
    <xf numFmtId="0" fontId="36" fillId="31" borderId="494">
      <alignment horizontal="right" vertical="center"/>
    </xf>
    <xf numFmtId="4" fontId="32" fillId="31" borderId="494">
      <alignment horizontal="right" vertical="center"/>
    </xf>
    <xf numFmtId="4" fontId="32" fillId="33" borderId="494">
      <alignment horizontal="right" vertical="center"/>
    </xf>
    <xf numFmtId="49" fontId="34" fillId="0" borderId="495" applyNumberFormat="0" applyFont="0" applyFill="0" applyBorder="0" applyProtection="0">
      <alignment horizontal="left" vertical="center" indent="5"/>
    </xf>
    <xf numFmtId="4" fontId="34" fillId="0" borderId="494" applyFill="0" applyBorder="0" applyProtection="0">
      <alignment horizontal="right" vertical="center"/>
    </xf>
    <xf numFmtId="4" fontId="32" fillId="31" borderId="494">
      <alignment horizontal="right" vertical="center"/>
    </xf>
    <xf numFmtId="49" fontId="33" fillId="0" borderId="500" applyNumberFormat="0" applyFill="0" applyBorder="0" applyProtection="0">
      <alignment horizontal="left" vertical="center"/>
    </xf>
    <xf numFmtId="0" fontId="58" fillId="42" borderId="491" applyNumberFormat="0" applyAlignment="0" applyProtection="0"/>
    <xf numFmtId="0" fontId="49" fillId="42" borderId="491" applyNumberFormat="0" applyAlignment="0" applyProtection="0"/>
    <xf numFmtId="0" fontId="45" fillId="55" borderId="491" applyNumberFormat="0" applyAlignment="0" applyProtection="0"/>
    <xf numFmtId="0" fontId="34" fillId="33" borderId="497">
      <alignment horizontal="left" vertical="center" wrapText="1" indent="2"/>
    </xf>
    <xf numFmtId="0" fontId="34" fillId="0" borderId="497">
      <alignment horizontal="left" vertical="center" wrapText="1" indent="2"/>
    </xf>
    <xf numFmtId="0" fontId="34" fillId="33" borderId="497">
      <alignment horizontal="left" vertical="center" wrapText="1" indent="2"/>
    </xf>
    <xf numFmtId="0" fontId="34" fillId="0" borderId="497">
      <alignment horizontal="left" vertical="center" wrapText="1" indent="2"/>
    </xf>
    <xf numFmtId="0" fontId="43" fillId="55" borderId="498" applyNumberFormat="0" applyAlignment="0" applyProtection="0"/>
    <xf numFmtId="0" fontId="45" fillId="55" borderId="491" applyNumberFormat="0" applyAlignment="0" applyProtection="0"/>
    <xf numFmtId="0" fontId="46" fillId="55" borderId="491" applyNumberFormat="0" applyAlignment="0" applyProtection="0"/>
    <xf numFmtId="0" fontId="49" fillId="42" borderId="491" applyNumberFormat="0" applyAlignment="0" applyProtection="0"/>
    <xf numFmtId="0" fontId="50" fillId="0" borderId="492" applyNumberFormat="0" applyFill="0" applyAlignment="0" applyProtection="0"/>
    <xf numFmtId="0" fontId="58" fillId="42" borderId="491" applyNumberFormat="0" applyAlignment="0" applyProtection="0"/>
    <xf numFmtId="0" fontId="40" fillId="58" borderId="493" applyNumberFormat="0" applyFont="0" applyAlignment="0" applyProtection="0"/>
    <xf numFmtId="0" fontId="5" fillId="58" borderId="493" applyNumberFormat="0" applyFont="0" applyAlignment="0" applyProtection="0"/>
    <xf numFmtId="0" fontId="62" fillId="55" borderId="498" applyNumberFormat="0" applyAlignment="0" applyProtection="0"/>
    <xf numFmtId="0" fontId="65" fillId="0" borderId="492" applyNumberFormat="0" applyFill="0" applyAlignment="0" applyProtection="0"/>
    <xf numFmtId="0" fontId="46" fillId="55" borderId="491" applyNumberFormat="0" applyAlignment="0" applyProtection="0"/>
    <xf numFmtId="0" fontId="58" fillId="42" borderId="491" applyNumberFormat="0" applyAlignment="0" applyProtection="0"/>
    <xf numFmtId="0" fontId="40" fillId="58" borderId="493" applyNumberFormat="0" applyFont="0" applyAlignment="0" applyProtection="0"/>
    <xf numFmtId="0" fontId="62" fillId="55" borderId="498" applyNumberFormat="0" applyAlignment="0" applyProtection="0"/>
    <xf numFmtId="0" fontId="65" fillId="0" borderId="492" applyNumberFormat="0" applyFill="0" applyAlignment="0" applyProtection="0"/>
    <xf numFmtId="0" fontId="34" fillId="0" borderId="500" applyNumberFormat="0" applyFill="0" applyAlignment="0" applyProtection="0"/>
    <xf numFmtId="4" fontId="32" fillId="33" borderId="502">
      <alignment horizontal="right" vertical="center"/>
    </xf>
    <xf numFmtId="0" fontId="62" fillId="55" borderId="523" applyNumberFormat="0" applyAlignment="0" applyProtection="0"/>
    <xf numFmtId="0" fontId="46" fillId="55" borderId="491" applyNumberFormat="0" applyAlignment="0" applyProtection="0"/>
    <xf numFmtId="4" fontId="36" fillId="31" borderId="500">
      <alignment horizontal="right" vertical="center"/>
    </xf>
    <xf numFmtId="4" fontId="32" fillId="33" borderId="500">
      <alignment horizontal="right" vertical="center"/>
    </xf>
    <xf numFmtId="4" fontId="32" fillId="33" borderId="502">
      <alignment horizontal="right" vertical="center"/>
    </xf>
    <xf numFmtId="0" fontId="58" fillId="42" borderId="491" applyNumberFormat="0" applyAlignment="0" applyProtection="0"/>
    <xf numFmtId="0" fontId="62" fillId="55" borderId="498" applyNumberFormat="0" applyAlignment="0" applyProtection="0"/>
    <xf numFmtId="0" fontId="65" fillId="0" borderId="492" applyNumberFormat="0" applyFill="0" applyAlignment="0" applyProtection="0"/>
    <xf numFmtId="0" fontId="43" fillId="55" borderId="531" applyNumberFormat="0" applyAlignment="0" applyProtection="0"/>
    <xf numFmtId="0" fontId="43" fillId="55" borderId="498" applyNumberFormat="0" applyAlignment="0" applyProtection="0"/>
    <xf numFmtId="0" fontId="45" fillId="55" borderId="491" applyNumberFormat="0" applyAlignment="0" applyProtection="0"/>
    <xf numFmtId="0" fontId="50" fillId="0" borderId="492" applyNumberFormat="0" applyFill="0" applyAlignment="0" applyProtection="0"/>
    <xf numFmtId="49" fontId="34" fillId="0" borderId="494" applyNumberFormat="0" applyFont="0" applyFill="0" applyBorder="0" applyProtection="0">
      <alignment horizontal="left" vertical="center" indent="2"/>
    </xf>
    <xf numFmtId="0" fontId="32" fillId="31" borderId="494">
      <alignment horizontal="right" vertical="center"/>
    </xf>
    <xf numFmtId="4" fontId="32" fillId="31" borderId="494">
      <alignment horizontal="right" vertical="center"/>
    </xf>
    <xf numFmtId="0" fontId="36" fillId="31" borderId="494">
      <alignment horizontal="right" vertical="center"/>
    </xf>
    <xf numFmtId="4" fontId="36" fillId="31" borderId="494">
      <alignment horizontal="right" vertical="center"/>
    </xf>
    <xf numFmtId="0" fontId="32" fillId="33" borderId="494">
      <alignment horizontal="right" vertical="center"/>
    </xf>
    <xf numFmtId="4" fontId="32" fillId="33" borderId="494">
      <alignment horizontal="right" vertical="center"/>
    </xf>
    <xf numFmtId="0" fontId="32" fillId="33" borderId="494">
      <alignment horizontal="right" vertical="center"/>
    </xf>
    <xf numFmtId="4" fontId="32" fillId="33" borderId="494">
      <alignment horizontal="right" vertical="center"/>
    </xf>
    <xf numFmtId="0" fontId="49" fillId="42" borderId="491" applyNumberFormat="0" applyAlignment="0" applyProtection="0"/>
    <xf numFmtId="0" fontId="34" fillId="0" borderId="494">
      <alignment horizontal="right" vertical="center"/>
    </xf>
    <xf numFmtId="4" fontId="34" fillId="0" borderId="494">
      <alignment horizontal="right" vertical="center"/>
    </xf>
    <xf numFmtId="4" fontId="34" fillId="0" borderId="494" applyFill="0" applyBorder="0" applyProtection="0">
      <alignment horizontal="right" vertical="center"/>
    </xf>
    <xf numFmtId="49" fontId="33" fillId="0" borderId="494" applyNumberFormat="0" applyFill="0" applyBorder="0" applyProtection="0">
      <alignment horizontal="left" vertical="center"/>
    </xf>
    <xf numFmtId="0" fontId="34" fillId="0" borderId="494" applyNumberFormat="0" applyFill="0" applyAlignment="0" applyProtection="0"/>
    <xf numFmtId="173" fontId="34" fillId="59" borderId="494" applyNumberFormat="0" applyFont="0" applyBorder="0" applyAlignment="0" applyProtection="0">
      <alignment horizontal="right" vertical="center"/>
    </xf>
    <xf numFmtId="0" fontId="34" fillId="32" borderId="494"/>
    <xf numFmtId="4" fontId="34" fillId="32" borderId="494"/>
    <xf numFmtId="4" fontId="32" fillId="33" borderId="494">
      <alignment horizontal="right" vertical="center"/>
    </xf>
    <xf numFmtId="0" fontId="34" fillId="32" borderId="494"/>
    <xf numFmtId="0" fontId="45" fillId="55" borderId="491" applyNumberFormat="0" applyAlignment="0" applyProtection="0"/>
    <xf numFmtId="0" fontId="32" fillId="31" borderId="494">
      <alignment horizontal="right" vertical="center"/>
    </xf>
    <xf numFmtId="0" fontId="34" fillId="0" borderId="494">
      <alignment horizontal="right" vertical="center"/>
    </xf>
    <xf numFmtId="0" fontId="65" fillId="0" borderId="492" applyNumberFormat="0" applyFill="0" applyAlignment="0" applyProtection="0"/>
    <xf numFmtId="0" fontId="34" fillId="31" borderId="495">
      <alignment horizontal="left" vertical="center"/>
    </xf>
    <xf numFmtId="0" fontId="58" fillId="42" borderId="491" applyNumberFormat="0" applyAlignment="0" applyProtection="0"/>
    <xf numFmtId="173" fontId="34" fillId="59" borderId="494" applyNumberFormat="0" applyFont="0" applyBorder="0" applyAlignment="0" applyProtection="0">
      <alignment horizontal="right" vertical="center"/>
    </xf>
    <xf numFmtId="0" fontId="40" fillId="58" borderId="493" applyNumberFormat="0" applyFont="0" applyAlignment="0" applyProtection="0"/>
    <xf numFmtId="0" fontId="34" fillId="0" borderId="497">
      <alignment horizontal="left" vertical="center" wrapText="1" indent="2"/>
    </xf>
    <xf numFmtId="4" fontId="34" fillId="32" borderId="494"/>
    <xf numFmtId="49" fontId="33" fillId="0" borderId="494" applyNumberFormat="0" applyFill="0" applyBorder="0" applyProtection="0">
      <alignment horizontal="left" vertical="center"/>
    </xf>
    <xf numFmtId="0" fontId="34" fillId="0" borderId="494">
      <alignment horizontal="right" vertical="center"/>
    </xf>
    <xf numFmtId="4" fontId="32" fillId="33" borderId="496">
      <alignment horizontal="right" vertical="center"/>
    </xf>
    <xf numFmtId="4" fontId="32" fillId="33" borderId="494">
      <alignment horizontal="right" vertical="center"/>
    </xf>
    <xf numFmtId="4" fontId="32" fillId="33" borderId="494">
      <alignment horizontal="right" vertical="center"/>
    </xf>
    <xf numFmtId="0" fontId="36" fillId="31" borderId="494">
      <alignment horizontal="right" vertical="center"/>
    </xf>
    <xf numFmtId="0" fontId="32" fillId="31" borderId="494">
      <alignment horizontal="right" vertical="center"/>
    </xf>
    <xf numFmtId="49" fontId="34" fillId="0" borderId="494" applyNumberFormat="0" applyFont="0" applyFill="0" applyBorder="0" applyProtection="0">
      <alignment horizontal="left" vertical="center" indent="2"/>
    </xf>
    <xf numFmtId="0" fontId="58" fillId="42" borderId="491" applyNumberFormat="0" applyAlignment="0" applyProtection="0"/>
    <xf numFmtId="0" fontId="43" fillId="55" borderId="498" applyNumberFormat="0" applyAlignment="0" applyProtection="0"/>
    <xf numFmtId="49" fontId="34" fillId="0" borderId="494" applyNumberFormat="0" applyFont="0" applyFill="0" applyBorder="0" applyProtection="0">
      <alignment horizontal="left" vertical="center" indent="2"/>
    </xf>
    <xf numFmtId="0" fontId="49" fillId="42" borderId="491" applyNumberFormat="0" applyAlignment="0" applyProtection="0"/>
    <xf numFmtId="4" fontId="34" fillId="0" borderId="494" applyFill="0" applyBorder="0" applyProtection="0">
      <alignment horizontal="right" vertical="center"/>
    </xf>
    <xf numFmtId="0" fontId="46" fillId="55" borderId="491" applyNumberFormat="0" applyAlignment="0" applyProtection="0"/>
    <xf numFmtId="0" fontId="65" fillId="0" borderId="492" applyNumberFormat="0" applyFill="0" applyAlignment="0" applyProtection="0"/>
    <xf numFmtId="0" fontId="62" fillId="55" borderId="498" applyNumberFormat="0" applyAlignment="0" applyProtection="0"/>
    <xf numFmtId="0" fontId="34" fillId="0" borderId="494" applyNumberFormat="0" applyFill="0" applyAlignment="0" applyProtection="0"/>
    <xf numFmtId="4" fontId="34" fillId="0" borderId="494">
      <alignment horizontal="right" vertical="center"/>
    </xf>
    <xf numFmtId="0" fontId="34" fillId="0" borderId="494">
      <alignment horizontal="right" vertical="center"/>
    </xf>
    <xf numFmtId="0" fontId="58" fillId="42" borderId="491" applyNumberFormat="0" applyAlignment="0" applyProtection="0"/>
    <xf numFmtId="0" fontId="43" fillId="55" borderId="498" applyNumberFormat="0" applyAlignment="0" applyProtection="0"/>
    <xf numFmtId="0" fontId="45" fillId="55" borderId="491" applyNumberFormat="0" applyAlignment="0" applyProtection="0"/>
    <xf numFmtId="0" fontId="34" fillId="33" borderId="497">
      <alignment horizontal="left" vertical="center" wrapText="1" indent="2"/>
    </xf>
    <xf numFmtId="0" fontId="46" fillId="55" borderId="491" applyNumberFormat="0" applyAlignment="0" applyProtection="0"/>
    <xf numFmtId="0" fontId="46" fillId="55" borderId="491" applyNumberFormat="0" applyAlignment="0" applyProtection="0"/>
    <xf numFmtId="4" fontId="32" fillId="33" borderId="495">
      <alignment horizontal="right" vertical="center"/>
    </xf>
    <xf numFmtId="0" fontId="32" fillId="33" borderId="495">
      <alignment horizontal="right" vertical="center"/>
    </xf>
    <xf numFmtId="0" fontId="32" fillId="33" borderId="494">
      <alignment horizontal="right" vertical="center"/>
    </xf>
    <xf numFmtId="4" fontId="36" fillId="31" borderId="494">
      <alignment horizontal="right" vertical="center"/>
    </xf>
    <xf numFmtId="0" fontId="49" fillId="42" borderId="491" applyNumberFormat="0" applyAlignment="0" applyProtection="0"/>
    <xf numFmtId="0" fontId="50" fillId="0" borderId="492" applyNumberFormat="0" applyFill="0" applyAlignment="0" applyProtection="0"/>
    <xf numFmtId="0" fontId="65" fillId="0" borderId="492" applyNumberFormat="0" applyFill="0" applyAlignment="0" applyProtection="0"/>
    <xf numFmtId="0" fontId="40" fillId="58" borderId="493" applyNumberFormat="0" applyFont="0" applyAlignment="0" applyProtection="0"/>
    <xf numFmtId="0" fontId="58" fillId="42" borderId="491" applyNumberFormat="0" applyAlignment="0" applyProtection="0"/>
    <xf numFmtId="49" fontId="33" fillId="0" borderId="494" applyNumberFormat="0" applyFill="0" applyBorder="0" applyProtection="0">
      <alignment horizontal="left" vertical="center"/>
    </xf>
    <xf numFmtId="0" fontId="34" fillId="33" borderId="497">
      <alignment horizontal="left" vertical="center" wrapText="1" indent="2"/>
    </xf>
    <xf numFmtId="0" fontId="46" fillId="55" borderId="491" applyNumberFormat="0" applyAlignment="0" applyProtection="0"/>
    <xf numFmtId="0" fontId="34" fillId="0" borderId="497">
      <alignment horizontal="left" vertical="center" wrapText="1" indent="2"/>
    </xf>
    <xf numFmtId="0" fontId="40" fillId="58" borderId="493" applyNumberFormat="0" applyFont="0" applyAlignment="0" applyProtection="0"/>
    <xf numFmtId="0" fontId="5" fillId="58" borderId="493" applyNumberFormat="0" applyFont="0" applyAlignment="0" applyProtection="0"/>
    <xf numFmtId="0" fontId="62" fillId="55" borderId="498" applyNumberFormat="0" applyAlignment="0" applyProtection="0"/>
    <xf numFmtId="0" fontId="65" fillId="0" borderId="492" applyNumberFormat="0" applyFill="0" applyAlignment="0" applyProtection="0"/>
    <xf numFmtId="4" fontId="34" fillId="32" borderId="494"/>
    <xf numFmtId="0" fontId="32" fillId="33" borderId="494">
      <alignment horizontal="right" vertical="center"/>
    </xf>
    <xf numFmtId="0" fontId="65" fillId="0" borderId="492" applyNumberFormat="0" applyFill="0" applyAlignment="0" applyProtection="0"/>
    <xf numFmtId="4" fontId="32" fillId="33" borderId="496">
      <alignment horizontal="right" vertical="center"/>
    </xf>
    <xf numFmtId="0" fontId="45" fillId="55" borderId="491" applyNumberFormat="0" applyAlignment="0" applyProtection="0"/>
    <xf numFmtId="0" fontId="32" fillId="33" borderId="495">
      <alignment horizontal="right" vertical="center"/>
    </xf>
    <xf numFmtId="0" fontId="46" fillId="55" borderId="491" applyNumberFormat="0" applyAlignment="0" applyProtection="0"/>
    <xf numFmtId="0" fontId="50" fillId="0" borderId="492" applyNumberFormat="0" applyFill="0" applyAlignment="0" applyProtection="0"/>
    <xf numFmtId="0" fontId="40" fillId="58" borderId="493" applyNumberFormat="0" applyFont="0" applyAlignment="0" applyProtection="0"/>
    <xf numFmtId="4" fontId="32" fillId="33" borderId="495">
      <alignment horizontal="right" vertical="center"/>
    </xf>
    <xf numFmtId="0" fontId="34" fillId="33" borderId="497">
      <alignment horizontal="left" vertical="center" wrapText="1" indent="2"/>
    </xf>
    <xf numFmtId="0" fontId="34" fillId="32" borderId="494"/>
    <xf numFmtId="173" fontId="34" fillId="59" borderId="494" applyNumberFormat="0" applyFont="0" applyBorder="0" applyAlignment="0" applyProtection="0">
      <alignment horizontal="right" vertical="center"/>
    </xf>
    <xf numFmtId="0" fontId="34" fillId="0" borderId="494" applyNumberFormat="0" applyFill="0" applyAlignment="0" applyProtection="0"/>
    <xf numFmtId="4" fontId="34" fillId="0" borderId="494" applyFill="0" applyBorder="0" applyProtection="0">
      <alignment horizontal="right" vertical="center"/>
    </xf>
    <xf numFmtId="4" fontId="32" fillId="31" borderId="494">
      <alignment horizontal="right" vertical="center"/>
    </xf>
    <xf numFmtId="0" fontId="50" fillId="0" borderId="492" applyNumberFormat="0" applyFill="0" applyAlignment="0" applyProtection="0"/>
    <xf numFmtId="49" fontId="33" fillId="0" borderId="494" applyNumberFormat="0" applyFill="0" applyBorder="0" applyProtection="0">
      <alignment horizontal="left" vertical="center"/>
    </xf>
    <xf numFmtId="49" fontId="34" fillId="0" borderId="495" applyNumberFormat="0" applyFont="0" applyFill="0" applyBorder="0" applyProtection="0">
      <alignment horizontal="left" vertical="center" indent="5"/>
    </xf>
    <xf numFmtId="0" fontId="34" fillId="31" borderId="495">
      <alignment horizontal="left" vertical="center"/>
    </xf>
    <xf numFmtId="0" fontId="46" fillId="55" borderId="491" applyNumberFormat="0" applyAlignment="0" applyProtection="0"/>
    <xf numFmtId="4" fontId="32" fillId="33" borderId="496">
      <alignment horizontal="right" vertical="center"/>
    </xf>
    <xf numFmtId="0" fontId="58" fillId="42" borderId="491" applyNumberFormat="0" applyAlignment="0" applyProtection="0"/>
    <xf numFmtId="0" fontId="58" fillId="42" borderId="491" applyNumberFormat="0" applyAlignment="0" applyProtection="0"/>
    <xf numFmtId="0" fontId="40" fillId="58" borderId="493" applyNumberFormat="0" applyFont="0" applyAlignment="0" applyProtection="0"/>
    <xf numFmtId="0" fontId="62" fillId="55" borderId="498" applyNumberFormat="0" applyAlignment="0" applyProtection="0"/>
    <xf numFmtId="0" fontId="65" fillId="0" borderId="492" applyNumberFormat="0" applyFill="0" applyAlignment="0" applyProtection="0"/>
    <xf numFmtId="0" fontId="32" fillId="33" borderId="494">
      <alignment horizontal="right" vertical="center"/>
    </xf>
    <xf numFmtId="0" fontId="5" fillId="58" borderId="493" applyNumberFormat="0" applyFont="0" applyAlignment="0" applyProtection="0"/>
    <xf numFmtId="4" fontId="34" fillId="0" borderId="494">
      <alignment horizontal="right" vertical="center"/>
    </xf>
    <xf numFmtId="0" fontId="65" fillId="0" borderId="492" applyNumberFormat="0" applyFill="0" applyAlignment="0" applyProtection="0"/>
    <xf numFmtId="0" fontId="32" fillId="33" borderId="494">
      <alignment horizontal="right" vertical="center"/>
    </xf>
    <xf numFmtId="0" fontId="32" fillId="33" borderId="494">
      <alignment horizontal="right" vertical="center"/>
    </xf>
    <xf numFmtId="4" fontId="36" fillId="31" borderId="494">
      <alignment horizontal="right" vertical="center"/>
    </xf>
    <xf numFmtId="0" fontId="32" fillId="31" borderId="494">
      <alignment horizontal="right" vertical="center"/>
    </xf>
    <xf numFmtId="4" fontId="32" fillId="31" borderId="494">
      <alignment horizontal="right" vertical="center"/>
    </xf>
    <xf numFmtId="0" fontId="36" fillId="31" borderId="494">
      <alignment horizontal="right" vertical="center"/>
    </xf>
    <xf numFmtId="4" fontId="36" fillId="31" borderId="494">
      <alignment horizontal="right" vertical="center"/>
    </xf>
    <xf numFmtId="0" fontId="32" fillId="33" borderId="494">
      <alignment horizontal="right" vertical="center"/>
    </xf>
    <xf numFmtId="4" fontId="32" fillId="33" borderId="494">
      <alignment horizontal="right" vertical="center"/>
    </xf>
    <xf numFmtId="0" fontId="32" fillId="33" borderId="494">
      <alignment horizontal="right" vertical="center"/>
    </xf>
    <xf numFmtId="4" fontId="32" fillId="33" borderId="494">
      <alignment horizontal="right" vertical="center"/>
    </xf>
    <xf numFmtId="0" fontId="32" fillId="33" borderId="495">
      <alignment horizontal="right" vertical="center"/>
    </xf>
    <xf numFmtId="4" fontId="32" fillId="33" borderId="495">
      <alignment horizontal="right" vertical="center"/>
    </xf>
    <xf numFmtId="0" fontId="32" fillId="33" borderId="496">
      <alignment horizontal="right" vertical="center"/>
    </xf>
    <xf numFmtId="4" fontId="32" fillId="33" borderId="496">
      <alignment horizontal="right" vertical="center"/>
    </xf>
    <xf numFmtId="0" fontId="46" fillId="55" borderId="491" applyNumberFormat="0" applyAlignment="0" applyProtection="0"/>
    <xf numFmtId="0" fontId="34" fillId="33" borderId="497">
      <alignment horizontal="left" vertical="center" wrapText="1" indent="2"/>
    </xf>
    <xf numFmtId="0" fontId="34" fillId="0" borderId="497">
      <alignment horizontal="left" vertical="center" wrapText="1" indent="2"/>
    </xf>
    <xf numFmtId="0" fontId="34" fillId="31" borderId="495">
      <alignment horizontal="left" vertical="center"/>
    </xf>
    <xf numFmtId="0" fontId="58" fillId="42" borderId="491" applyNumberFormat="0" applyAlignment="0" applyProtection="0"/>
    <xf numFmtId="0" fontId="34" fillId="0" borderId="494">
      <alignment horizontal="right" vertical="center"/>
    </xf>
    <xf numFmtId="4" fontId="34" fillId="0" borderId="494">
      <alignment horizontal="right" vertical="center"/>
    </xf>
    <xf numFmtId="0" fontId="34" fillId="0" borderId="494" applyNumberFormat="0" applyFill="0" applyAlignment="0" applyProtection="0"/>
    <xf numFmtId="0" fontId="62" fillId="55" borderId="498" applyNumberFormat="0" applyAlignment="0" applyProtection="0"/>
    <xf numFmtId="173" fontId="34" fillId="59" borderId="494" applyNumberFormat="0" applyFont="0" applyBorder="0" applyAlignment="0" applyProtection="0">
      <alignment horizontal="right" vertical="center"/>
    </xf>
    <xf numFmtId="0" fontId="34" fillId="32" borderId="494"/>
    <xf numFmtId="4" fontId="34" fillId="32" borderId="494"/>
    <xf numFmtId="0" fontId="65" fillId="0" borderId="492" applyNumberFormat="0" applyFill="0" applyAlignment="0" applyProtection="0"/>
    <xf numFmtId="0" fontId="5" fillId="58" borderId="493" applyNumberFormat="0" applyFont="0" applyAlignment="0" applyProtection="0"/>
    <xf numFmtId="0" fontId="40" fillId="58" borderId="493" applyNumberFormat="0" applyFont="0" applyAlignment="0" applyProtection="0"/>
    <xf numFmtId="0" fontId="34" fillId="0" borderId="494" applyNumberFormat="0" applyFill="0" applyAlignment="0" applyProtection="0"/>
    <xf numFmtId="0" fontId="50" fillId="0" borderId="492" applyNumberFormat="0" applyFill="0" applyAlignment="0" applyProtection="0"/>
    <xf numFmtId="0" fontId="65" fillId="0" borderId="492" applyNumberFormat="0" applyFill="0" applyAlignment="0" applyProtection="0"/>
    <xf numFmtId="0" fontId="49" fillId="42" borderId="491" applyNumberFormat="0" applyAlignment="0" applyProtection="0"/>
    <xf numFmtId="0" fontId="46" fillId="55" borderId="491" applyNumberFormat="0" applyAlignment="0" applyProtection="0"/>
    <xf numFmtId="4" fontId="36" fillId="31" borderId="494">
      <alignment horizontal="right" vertical="center"/>
    </xf>
    <xf numFmtId="0" fontId="32" fillId="31" borderId="494">
      <alignment horizontal="right" vertical="center"/>
    </xf>
    <xf numFmtId="173" fontId="34" fillId="59" borderId="494" applyNumberFormat="0" applyFont="0" applyBorder="0" applyAlignment="0" applyProtection="0">
      <alignment horizontal="right" vertical="center"/>
    </xf>
    <xf numFmtId="0" fontId="50" fillId="0" borderId="492" applyNumberFormat="0" applyFill="0" applyAlignment="0" applyProtection="0"/>
    <xf numFmtId="49" fontId="34" fillId="0" borderId="494" applyNumberFormat="0" applyFont="0" applyFill="0" applyBorder="0" applyProtection="0">
      <alignment horizontal="left" vertical="center" indent="2"/>
    </xf>
    <xf numFmtId="49" fontId="34" fillId="0" borderId="495" applyNumberFormat="0" applyFont="0" applyFill="0" applyBorder="0" applyProtection="0">
      <alignment horizontal="left" vertical="center" indent="5"/>
    </xf>
    <xf numFmtId="49" fontId="34" fillId="0" borderId="494" applyNumberFormat="0" applyFont="0" applyFill="0" applyBorder="0" applyProtection="0">
      <alignment horizontal="left" vertical="center" indent="2"/>
    </xf>
    <xf numFmtId="4" fontId="34" fillId="0" borderId="494" applyFill="0" applyBorder="0" applyProtection="0">
      <alignment horizontal="right" vertical="center"/>
    </xf>
    <xf numFmtId="49" fontId="33" fillId="0" borderId="494" applyNumberFormat="0" applyFill="0" applyBorder="0" applyProtection="0">
      <alignment horizontal="left" vertical="center"/>
    </xf>
    <xf numFmtId="0" fontId="34" fillId="0" borderId="497">
      <alignment horizontal="left" vertical="center" wrapText="1" indent="2"/>
    </xf>
    <xf numFmtId="0" fontId="62" fillId="55" borderId="498" applyNumberFormat="0" applyAlignment="0" applyProtection="0"/>
    <xf numFmtId="0" fontId="32" fillId="33" borderId="496">
      <alignment horizontal="right" vertical="center"/>
    </xf>
    <xf numFmtId="0" fontId="49" fillId="42" borderId="491" applyNumberFormat="0" applyAlignment="0" applyProtection="0"/>
    <xf numFmtId="0" fontId="32" fillId="33" borderId="496">
      <alignment horizontal="right" vertical="center"/>
    </xf>
    <xf numFmtId="4" fontId="32" fillId="33" borderId="494">
      <alignment horizontal="right" vertical="center"/>
    </xf>
    <xf numFmtId="0" fontId="32" fillId="33" borderId="494">
      <alignment horizontal="right" vertical="center"/>
    </xf>
    <xf numFmtId="0" fontId="43" fillId="55" borderId="498" applyNumberFormat="0" applyAlignment="0" applyProtection="0"/>
    <xf numFmtId="0" fontId="45" fillId="55" borderId="491" applyNumberFormat="0" applyAlignment="0" applyProtection="0"/>
    <xf numFmtId="0" fontId="50" fillId="0" borderId="492" applyNumberFormat="0" applyFill="0" applyAlignment="0" applyProtection="0"/>
    <xf numFmtId="0" fontId="34" fillId="32" borderId="494"/>
    <xf numFmtId="4" fontId="34" fillId="32" borderId="494"/>
    <xf numFmtId="4" fontId="32" fillId="33" borderId="494">
      <alignment horizontal="right" vertical="center"/>
    </xf>
    <xf numFmtId="0" fontId="36" fillId="31" borderId="494">
      <alignment horizontal="right" vertical="center"/>
    </xf>
    <xf numFmtId="0" fontId="49" fillId="42" borderId="491" applyNumberFormat="0" applyAlignment="0" applyProtection="0"/>
    <xf numFmtId="0" fontId="46" fillId="55" borderId="491" applyNumberFormat="0" applyAlignment="0" applyProtection="0"/>
    <xf numFmtId="4" fontId="34" fillId="0" borderId="494">
      <alignment horizontal="right" vertical="center"/>
    </xf>
    <xf numFmtId="0" fontId="34" fillId="33" borderId="497">
      <alignment horizontal="left" vertical="center" wrapText="1" indent="2"/>
    </xf>
    <xf numFmtId="0" fontId="34" fillId="0" borderId="497">
      <alignment horizontal="left" vertical="center" wrapText="1" indent="2"/>
    </xf>
    <xf numFmtId="0" fontId="62" fillId="55" borderId="498" applyNumberFormat="0" applyAlignment="0" applyProtection="0"/>
    <xf numFmtId="0" fontId="58" fillId="42" borderId="491" applyNumberFormat="0" applyAlignment="0" applyProtection="0"/>
    <xf numFmtId="0" fontId="45" fillId="55" borderId="491" applyNumberFormat="0" applyAlignment="0" applyProtection="0"/>
    <xf numFmtId="0" fontId="43" fillId="55" borderId="498" applyNumberFormat="0" applyAlignment="0" applyProtection="0"/>
    <xf numFmtId="0" fontId="32" fillId="33" borderId="496">
      <alignment horizontal="right" vertical="center"/>
    </xf>
    <xf numFmtId="0" fontId="36" fillId="31" borderId="494">
      <alignment horizontal="right" vertical="center"/>
    </xf>
    <xf numFmtId="4" fontId="32" fillId="31" borderId="494">
      <alignment horizontal="right" vertical="center"/>
    </xf>
    <xf numFmtId="4" fontId="32" fillId="33" borderId="494">
      <alignment horizontal="right" vertical="center"/>
    </xf>
    <xf numFmtId="49" fontId="34" fillId="0" borderId="495" applyNumberFormat="0" applyFont="0" applyFill="0" applyBorder="0" applyProtection="0">
      <alignment horizontal="left" vertical="center" indent="5"/>
    </xf>
    <xf numFmtId="4" fontId="34" fillId="0" borderId="494" applyFill="0" applyBorder="0" applyProtection="0">
      <alignment horizontal="right" vertical="center"/>
    </xf>
    <xf numFmtId="4" fontId="32" fillId="31" borderId="494">
      <alignment horizontal="right" vertical="center"/>
    </xf>
    <xf numFmtId="0" fontId="58" fillId="42" borderId="491" applyNumberFormat="0" applyAlignment="0" applyProtection="0"/>
    <xf numFmtId="0" fontId="49" fillId="42" borderId="491" applyNumberFormat="0" applyAlignment="0" applyProtection="0"/>
    <xf numFmtId="0" fontId="45" fillId="55" borderId="491" applyNumberFormat="0" applyAlignment="0" applyProtection="0"/>
    <xf numFmtId="0" fontId="34" fillId="33" borderId="497">
      <alignment horizontal="left" vertical="center" wrapText="1" indent="2"/>
    </xf>
    <xf numFmtId="0" fontId="34" fillId="0" borderId="497">
      <alignment horizontal="left" vertical="center" wrapText="1" indent="2"/>
    </xf>
    <xf numFmtId="0" fontId="34" fillId="33" borderId="497">
      <alignment horizontal="left" vertical="center" wrapText="1" indent="2"/>
    </xf>
    <xf numFmtId="0" fontId="46" fillId="55" borderId="505" applyNumberFormat="0" applyAlignment="0" applyProtection="0"/>
    <xf numFmtId="4" fontId="32" fillId="31" borderId="500">
      <alignment horizontal="right" vertical="center"/>
    </xf>
    <xf numFmtId="0" fontId="36" fillId="31" borderId="500">
      <alignment horizontal="right" vertical="center"/>
    </xf>
    <xf numFmtId="0" fontId="58" fillId="42" borderId="532" applyNumberFormat="0" applyAlignment="0" applyProtection="0"/>
    <xf numFmtId="0" fontId="26" fillId="16" borderId="0" applyNumberFormat="0" applyBorder="0" applyAlignment="0" applyProtection="0"/>
    <xf numFmtId="0" fontId="65" fillId="0" borderId="533" applyNumberFormat="0" applyFill="0" applyAlignment="0" applyProtection="0"/>
    <xf numFmtId="0" fontId="40" fillId="58" borderId="541" applyNumberFormat="0" applyFont="0" applyAlignment="0" applyProtection="0"/>
    <xf numFmtId="0" fontId="46" fillId="55" borderId="532" applyNumberFormat="0" applyAlignment="0" applyProtection="0"/>
    <xf numFmtId="0" fontId="5" fillId="58" borderId="534" applyNumberFormat="0" applyFont="0" applyAlignment="0" applyProtection="0"/>
    <xf numFmtId="0" fontId="32" fillId="31" borderId="535">
      <alignment horizontal="right" vertical="center"/>
    </xf>
    <xf numFmtId="0" fontId="34" fillId="32" borderId="535"/>
    <xf numFmtId="0" fontId="26" fillId="19" borderId="0" applyNumberFormat="0" applyBorder="0" applyAlignment="0" applyProtection="0"/>
    <xf numFmtId="173" fontId="34" fillId="59" borderId="535" applyNumberFormat="0" applyFont="0" applyBorder="0" applyAlignment="0" applyProtection="0">
      <alignment horizontal="right" vertical="center"/>
    </xf>
    <xf numFmtId="4" fontId="34" fillId="32" borderId="510"/>
    <xf numFmtId="4" fontId="32" fillId="31" borderId="527">
      <alignment horizontal="right" vertical="center"/>
    </xf>
    <xf numFmtId="0" fontId="32" fillId="33" borderId="535">
      <alignment horizontal="right" vertical="center"/>
    </xf>
    <xf numFmtId="0" fontId="65" fillId="0" borderId="540" applyNumberFormat="0" applyFill="0" applyAlignment="0" applyProtection="0"/>
    <xf numFmtId="0" fontId="34" fillId="33" borderId="519">
      <alignment horizontal="left" vertical="center" wrapText="1" indent="2"/>
    </xf>
    <xf numFmtId="0" fontId="32" fillId="33" borderId="537">
      <alignment horizontal="right" vertical="center"/>
    </xf>
    <xf numFmtId="0" fontId="50" fillId="0" borderId="508" applyNumberFormat="0" applyFill="0" applyAlignment="0" applyProtection="0"/>
    <xf numFmtId="0" fontId="32" fillId="33" borderId="535">
      <alignment horizontal="right" vertical="center"/>
    </xf>
    <xf numFmtId="0" fontId="30" fillId="0" borderId="0" applyNumberFormat="0" applyFill="0" applyBorder="0" applyAlignment="0" applyProtection="0"/>
    <xf numFmtId="0" fontId="30" fillId="0" borderId="0" applyNumberFormat="0" applyFill="0" applyBorder="0" applyAlignment="0" applyProtection="0"/>
    <xf numFmtId="173" fontId="34" fillId="59" borderId="535" applyNumberFormat="0" applyFont="0" applyBorder="0" applyAlignment="0" applyProtection="0">
      <alignment horizontal="right" vertical="center"/>
    </xf>
    <xf numFmtId="0" fontId="30" fillId="0" borderId="0" applyNumberFormat="0" applyFill="0" applyBorder="0" applyAlignment="0" applyProtection="0"/>
    <xf numFmtId="49" fontId="34" fillId="0" borderId="535" applyNumberFormat="0" applyFont="0" applyFill="0" applyBorder="0" applyProtection="0">
      <alignment horizontal="left" vertical="center" indent="2"/>
    </xf>
    <xf numFmtId="0" fontId="50" fillId="0" borderId="533" applyNumberFormat="0" applyFill="0" applyAlignment="0" applyProtection="0"/>
    <xf numFmtId="0" fontId="40" fillId="58" borderId="534" applyNumberFormat="0" applyFont="0" applyAlignment="0" applyProtection="0"/>
    <xf numFmtId="0" fontId="5" fillId="58" borderId="534" applyNumberFormat="0" applyFont="0" applyAlignment="0" applyProtection="0"/>
    <xf numFmtId="0" fontId="34" fillId="0" borderId="535">
      <alignment horizontal="right" vertical="center"/>
    </xf>
    <xf numFmtId="0" fontId="65" fillId="0" borderId="533" applyNumberFormat="0" applyFill="0" applyAlignment="0" applyProtection="0"/>
    <xf numFmtId="0" fontId="58" fillId="42" borderId="532" applyNumberFormat="0" applyAlignment="0" applyProtection="0"/>
    <xf numFmtId="0" fontId="40" fillId="58" borderId="499" applyNumberFormat="0" applyFont="0" applyAlignment="0" applyProtection="0"/>
    <xf numFmtId="4" fontId="34" fillId="32" borderId="535"/>
    <xf numFmtId="49" fontId="34" fillId="0" borderId="535" applyNumberFormat="0" applyFont="0" applyFill="0" applyBorder="0" applyProtection="0">
      <alignment horizontal="left" vertical="center" indent="2"/>
    </xf>
    <xf numFmtId="0" fontId="5" fillId="58" borderId="499" applyNumberFormat="0" applyFont="0" applyAlignment="0" applyProtection="0"/>
    <xf numFmtId="0" fontId="2" fillId="0" borderId="12" applyNumberFormat="0" applyFill="0" applyAlignment="0" applyProtection="0"/>
    <xf numFmtId="0" fontId="36" fillId="31" borderId="535">
      <alignment horizontal="right" vertical="center"/>
    </xf>
    <xf numFmtId="49" fontId="34" fillId="0" borderId="536" applyNumberFormat="0" applyFont="0" applyFill="0" applyBorder="0" applyProtection="0">
      <alignment horizontal="left" vertical="center" indent="5"/>
    </xf>
    <xf numFmtId="0" fontId="26" fillId="17" borderId="0" applyNumberFormat="0" applyBorder="0" applyAlignment="0" applyProtection="0"/>
    <xf numFmtId="0" fontId="49" fillId="42" borderId="532" applyNumberFormat="0" applyAlignment="0" applyProtection="0"/>
    <xf numFmtId="0" fontId="26" fillId="26" borderId="0" applyNumberFormat="0" applyBorder="0" applyAlignment="0" applyProtection="0"/>
    <xf numFmtId="0" fontId="58" fillId="42" borderId="505" applyNumberFormat="0" applyAlignment="0" applyProtection="0"/>
    <xf numFmtId="0" fontId="26" fillId="22" borderId="0" applyNumberFormat="0" applyBorder="0" applyAlignment="0" applyProtection="0"/>
    <xf numFmtId="0" fontId="34" fillId="33" borderId="503">
      <alignment horizontal="left" vertical="center" wrapText="1" indent="2"/>
    </xf>
    <xf numFmtId="4" fontId="36" fillId="31" borderId="500">
      <alignment horizontal="right" vertical="center"/>
    </xf>
    <xf numFmtId="0" fontId="45" fillId="55" borderId="539" applyNumberFormat="0" applyAlignment="0" applyProtection="0"/>
    <xf numFmtId="4" fontId="34" fillId="0" borderId="527">
      <alignment horizontal="right" vertical="center"/>
    </xf>
    <xf numFmtId="0" fontId="26" fillId="20" borderId="0" applyNumberFormat="0" applyBorder="0" applyAlignment="0" applyProtection="0"/>
    <xf numFmtId="0" fontId="32" fillId="33" borderId="517">
      <alignment horizontal="right" vertical="center"/>
    </xf>
    <xf numFmtId="0" fontId="12" fillId="24" borderId="0" applyNumberFormat="0" applyBorder="0" applyAlignment="0" applyProtection="0"/>
    <xf numFmtId="0" fontId="2" fillId="0" borderId="12" applyNumberFormat="0" applyFill="0" applyAlignment="0" applyProtection="0"/>
    <xf numFmtId="0" fontId="49" fillId="42" borderId="539" applyNumberFormat="0" applyAlignment="0" applyProtection="0"/>
    <xf numFmtId="4" fontId="34" fillId="0" borderId="527" applyFill="0" applyBorder="0" applyProtection="0">
      <alignment horizontal="right" vertical="center"/>
    </xf>
    <xf numFmtId="4" fontId="36" fillId="31" borderId="500">
      <alignment horizontal="right" vertical="center"/>
    </xf>
    <xf numFmtId="4" fontId="32" fillId="31" borderId="500">
      <alignment horizontal="right" vertical="center"/>
    </xf>
    <xf numFmtId="0" fontId="34" fillId="0" borderId="503">
      <alignment horizontal="left" vertical="center" wrapText="1" indent="2"/>
    </xf>
    <xf numFmtId="0" fontId="62" fillId="55" borderId="504" applyNumberFormat="0" applyAlignment="0" applyProtection="0"/>
    <xf numFmtId="0" fontId="34" fillId="0" borderId="500">
      <alignment horizontal="right" vertical="center"/>
    </xf>
    <xf numFmtId="0" fontId="65" fillId="0" borderId="506" applyNumberFormat="0" applyFill="0" applyAlignment="0" applyProtection="0"/>
    <xf numFmtId="49" fontId="33" fillId="0" borderId="500" applyNumberFormat="0" applyFill="0" applyBorder="0" applyProtection="0">
      <alignment horizontal="left" vertical="center"/>
    </xf>
    <xf numFmtId="4" fontId="34" fillId="32" borderId="500"/>
    <xf numFmtId="0" fontId="58" fillId="42" borderId="505" applyNumberFormat="0" applyAlignment="0" applyProtection="0"/>
    <xf numFmtId="0" fontId="34" fillId="31" borderId="536">
      <alignment horizontal="left" vertical="center"/>
    </xf>
    <xf numFmtId="0" fontId="34" fillId="32" borderId="527"/>
    <xf numFmtId="173" fontId="34" fillId="59" borderId="500" applyNumberFormat="0" applyFont="0" applyBorder="0" applyAlignment="0" applyProtection="0">
      <alignment horizontal="right" vertical="center"/>
    </xf>
    <xf numFmtId="0" fontId="46" fillId="55" borderId="505" applyNumberFormat="0" applyAlignment="0" applyProtection="0"/>
    <xf numFmtId="4" fontId="32" fillId="31" borderId="535">
      <alignment horizontal="right" vertical="center"/>
    </xf>
    <xf numFmtId="0" fontId="26" fillId="19" borderId="0" applyNumberFormat="0" applyBorder="0" applyAlignment="0" applyProtection="0"/>
    <xf numFmtId="0" fontId="34" fillId="32" borderId="535"/>
    <xf numFmtId="0" fontId="34" fillId="0" borderId="530">
      <alignment horizontal="left" vertical="center" wrapText="1" indent="2"/>
    </xf>
    <xf numFmtId="0" fontId="58" fillId="42" borderId="505" applyNumberFormat="0" applyAlignment="0" applyProtection="0"/>
    <xf numFmtId="0" fontId="43" fillId="55" borderId="504" applyNumberFormat="0" applyAlignment="0" applyProtection="0"/>
    <xf numFmtId="0" fontId="34" fillId="0" borderId="535" applyNumberFormat="0" applyFill="0" applyAlignment="0" applyProtection="0"/>
    <xf numFmtId="49" fontId="33" fillId="0" borderId="500" applyNumberFormat="0" applyFill="0" applyBorder="0" applyProtection="0">
      <alignment horizontal="left" vertical="center"/>
    </xf>
    <xf numFmtId="0" fontId="65" fillId="0" borderId="506" applyNumberFormat="0" applyFill="0" applyAlignment="0" applyProtection="0"/>
    <xf numFmtId="0" fontId="34" fillId="0" borderId="500">
      <alignment horizontal="right" vertical="center"/>
    </xf>
    <xf numFmtId="0" fontId="32" fillId="33" borderId="501">
      <alignment horizontal="right" vertical="center"/>
    </xf>
    <xf numFmtId="0" fontId="65" fillId="0" borderId="506" applyNumberFormat="0" applyFill="0" applyAlignment="0" applyProtection="0"/>
    <xf numFmtId="0" fontId="62" fillId="55" borderId="531" applyNumberFormat="0" applyAlignment="0" applyProtection="0"/>
    <xf numFmtId="4" fontId="34" fillId="32" borderId="542"/>
    <xf numFmtId="0" fontId="34" fillId="0" borderId="513">
      <alignment horizontal="left" vertical="center" wrapText="1" indent="2"/>
    </xf>
    <xf numFmtId="0" fontId="65" fillId="0" borderId="525" applyNumberFormat="0" applyFill="0" applyAlignment="0" applyProtection="0"/>
    <xf numFmtId="0" fontId="65" fillId="0" borderId="508" applyNumberFormat="0" applyFill="0" applyAlignment="0" applyProtection="0"/>
    <xf numFmtId="49" fontId="33" fillId="0" borderId="535" applyNumberFormat="0" applyFill="0" applyBorder="0" applyProtection="0">
      <alignment horizontal="left" vertical="center"/>
    </xf>
    <xf numFmtId="4" fontId="34" fillId="0" borderId="500" applyFill="0" applyBorder="0" applyProtection="0">
      <alignment horizontal="right" vertical="center"/>
    </xf>
    <xf numFmtId="4" fontId="32" fillId="33" borderId="535">
      <alignment horizontal="right" vertical="center"/>
    </xf>
    <xf numFmtId="4" fontId="34" fillId="32" borderId="535"/>
    <xf numFmtId="4" fontId="34" fillId="0" borderId="516" applyFill="0" applyBorder="0" applyProtection="0">
      <alignment horizontal="right" vertical="center"/>
    </xf>
    <xf numFmtId="0" fontId="45" fillId="55" borderId="524" applyNumberFormat="0" applyAlignment="0" applyProtection="0"/>
    <xf numFmtId="0" fontId="34" fillId="0" borderId="503">
      <alignment horizontal="left" vertical="center" wrapText="1" indent="2"/>
    </xf>
    <xf numFmtId="4" fontId="34" fillId="0" borderId="510" applyFill="0" applyBorder="0" applyProtection="0">
      <alignment horizontal="right" vertical="center"/>
    </xf>
    <xf numFmtId="0" fontId="65" fillId="0" borderId="506" applyNumberFormat="0" applyFill="0" applyAlignment="0" applyProtection="0"/>
    <xf numFmtId="0" fontId="43" fillId="55" borderId="504" applyNumberFormat="0" applyAlignment="0" applyProtection="0"/>
    <xf numFmtId="0" fontId="32" fillId="33" borderId="500">
      <alignment horizontal="right" vertical="center"/>
    </xf>
    <xf numFmtId="0" fontId="45" fillId="55" borderId="505" applyNumberFormat="0" applyAlignment="0" applyProtection="0"/>
    <xf numFmtId="0" fontId="34" fillId="0" borderId="510" applyNumberFormat="0" applyFill="0" applyAlignment="0" applyProtection="0"/>
    <xf numFmtId="0" fontId="34" fillId="31" borderId="501">
      <alignment horizontal="left" vertical="center"/>
    </xf>
    <xf numFmtId="0" fontId="62" fillId="55" borderId="531" applyNumberFormat="0" applyAlignment="0" applyProtection="0"/>
    <xf numFmtId="0" fontId="26" fillId="25" borderId="0" applyNumberFormat="0" applyBorder="0" applyAlignment="0" applyProtection="0"/>
    <xf numFmtId="0" fontId="26" fillId="13" borderId="0" applyNumberFormat="0" applyBorder="0" applyAlignment="0" applyProtection="0"/>
    <xf numFmtId="0" fontId="46" fillId="55" borderId="524" applyNumberFormat="0" applyAlignment="0" applyProtection="0"/>
    <xf numFmtId="0" fontId="32" fillId="31" borderId="500">
      <alignment horizontal="right" vertical="center"/>
    </xf>
    <xf numFmtId="0" fontId="46" fillId="55" borderId="507" applyNumberFormat="0" applyAlignment="0" applyProtection="0"/>
    <xf numFmtId="173" fontId="34" fillId="59" borderId="516" applyNumberFormat="0" applyFont="0" applyBorder="0" applyAlignment="0" applyProtection="0">
      <alignment horizontal="right" vertical="center"/>
    </xf>
    <xf numFmtId="0" fontId="50" fillId="0" borderId="506" applyNumberFormat="0" applyFill="0" applyAlignment="0" applyProtection="0"/>
    <xf numFmtId="0" fontId="26" fillId="14" borderId="0" applyNumberFormat="0" applyBorder="0" applyAlignment="0" applyProtection="0"/>
    <xf numFmtId="0" fontId="34" fillId="0" borderId="500">
      <alignment horizontal="right" vertical="center"/>
    </xf>
    <xf numFmtId="0" fontId="5" fillId="58" borderId="499" applyNumberFormat="0" applyFont="0" applyAlignment="0" applyProtection="0"/>
    <xf numFmtId="0" fontId="32" fillId="33" borderId="535">
      <alignment horizontal="right" vertical="center"/>
    </xf>
    <xf numFmtId="0" fontId="32" fillId="33" borderId="518">
      <alignment horizontal="right" vertical="center"/>
    </xf>
    <xf numFmtId="0" fontId="12" fillId="30" borderId="0" applyNumberFormat="0" applyBorder="0" applyAlignment="0" applyProtection="0"/>
    <xf numFmtId="0" fontId="62" fillId="55" borderId="523" applyNumberFormat="0" applyAlignment="0" applyProtection="0"/>
    <xf numFmtId="0" fontId="58" fillId="42" borderId="505" applyNumberFormat="0" applyAlignment="0" applyProtection="0"/>
    <xf numFmtId="49" fontId="34" fillId="0" borderId="501" applyNumberFormat="0" applyFont="0" applyFill="0" applyBorder="0" applyProtection="0">
      <alignment horizontal="left" vertical="center" indent="5"/>
    </xf>
    <xf numFmtId="0" fontId="34" fillId="0" borderId="500" applyNumberFormat="0" applyFill="0" applyAlignment="0" applyProtection="0"/>
    <xf numFmtId="0" fontId="50" fillId="0" borderId="506" applyNumberFormat="0" applyFill="0" applyAlignment="0" applyProtection="0"/>
    <xf numFmtId="0" fontId="62" fillId="55" borderId="504" applyNumberFormat="0" applyAlignment="0" applyProtection="0"/>
    <xf numFmtId="4" fontId="32" fillId="33" borderId="500">
      <alignment horizontal="right" vertical="center"/>
    </xf>
    <xf numFmtId="4" fontId="34" fillId="32" borderId="500"/>
    <xf numFmtId="0" fontId="65" fillId="0" borderId="506" applyNumberFormat="0" applyFill="0" applyAlignment="0" applyProtection="0"/>
    <xf numFmtId="0" fontId="34" fillId="0" borderId="513">
      <alignment horizontal="left" vertical="center" wrapText="1" indent="2"/>
    </xf>
    <xf numFmtId="0" fontId="43" fillId="55" borderId="504" applyNumberFormat="0" applyAlignment="0" applyProtection="0"/>
    <xf numFmtId="0" fontId="45" fillId="55" borderId="505" applyNumberFormat="0" applyAlignment="0" applyProtection="0"/>
    <xf numFmtId="0" fontId="46" fillId="55" borderId="505" applyNumberFormat="0" applyAlignment="0" applyProtection="0"/>
    <xf numFmtId="0" fontId="62" fillId="55" borderId="504" applyNumberFormat="0" applyAlignment="0" applyProtection="0"/>
    <xf numFmtId="0" fontId="32" fillId="33" borderId="502">
      <alignment horizontal="right" vertical="center"/>
    </xf>
    <xf numFmtId="0" fontId="34" fillId="0" borderId="500" applyNumberFormat="0" applyFill="0" applyAlignment="0" applyProtection="0"/>
    <xf numFmtId="49" fontId="34" fillId="0" borderId="501" applyNumberFormat="0" applyFont="0" applyFill="0" applyBorder="0" applyProtection="0">
      <alignment horizontal="left" vertical="center" indent="5"/>
    </xf>
    <xf numFmtId="0" fontId="65" fillId="0" borderId="506" applyNumberFormat="0" applyFill="0" applyAlignment="0" applyProtection="0"/>
    <xf numFmtId="0" fontId="34" fillId="0" borderId="500" applyNumberFormat="0" applyFill="0" applyAlignment="0" applyProtection="0"/>
    <xf numFmtId="0" fontId="26" fillId="25" borderId="0" applyNumberFormat="0" applyBorder="0" applyAlignment="0" applyProtection="0"/>
    <xf numFmtId="0" fontId="34" fillId="0" borderId="519">
      <alignment horizontal="left" vertical="center" wrapText="1" indent="2"/>
    </xf>
    <xf numFmtId="0" fontId="26" fillId="23" borderId="0" applyNumberFormat="0" applyBorder="0" applyAlignment="0" applyProtection="0"/>
    <xf numFmtId="0" fontId="34" fillId="0" borderId="538">
      <alignment horizontal="left" vertical="center" wrapText="1" indent="2"/>
    </xf>
    <xf numFmtId="0" fontId="40" fillId="58" borderId="515" applyNumberFormat="0" applyFont="0" applyAlignment="0" applyProtection="0"/>
    <xf numFmtId="0" fontId="40" fillId="58" borderId="499" applyNumberFormat="0" applyFont="0" applyAlignment="0" applyProtection="0"/>
    <xf numFmtId="0" fontId="12" fillId="15" borderId="0" applyNumberFormat="0" applyBorder="0" applyAlignment="0" applyProtection="0"/>
    <xf numFmtId="0" fontId="34" fillId="31" borderId="536">
      <alignment horizontal="left" vertical="center"/>
    </xf>
    <xf numFmtId="0" fontId="36" fillId="31" borderId="535">
      <alignment horizontal="right" vertical="center"/>
    </xf>
    <xf numFmtId="49" fontId="33" fillId="0" borderId="535" applyNumberFormat="0" applyFill="0" applyBorder="0" applyProtection="0">
      <alignment horizontal="left" vertical="center"/>
    </xf>
    <xf numFmtId="0" fontId="26" fillId="17" borderId="0" applyNumberFormat="0" applyBorder="0" applyAlignment="0" applyProtection="0"/>
    <xf numFmtId="0" fontId="26" fillId="26" borderId="0" applyNumberFormat="0" applyBorder="0" applyAlignment="0" applyProtection="0"/>
    <xf numFmtId="0" fontId="12" fillId="15" borderId="0" applyNumberFormat="0" applyBorder="0" applyAlignment="0" applyProtection="0"/>
    <xf numFmtId="0" fontId="34" fillId="0" borderId="503">
      <alignment horizontal="left" vertical="center" wrapText="1" indent="2"/>
    </xf>
    <xf numFmtId="0" fontId="58" fillId="42" borderId="532" applyNumberFormat="0" applyAlignment="0" applyProtection="0"/>
    <xf numFmtId="4" fontId="32" fillId="31" borderId="500">
      <alignment horizontal="right" vertical="center"/>
    </xf>
    <xf numFmtId="0" fontId="1" fillId="0" borderId="0" applyNumberFormat="0" applyFill="0" applyBorder="0" applyAlignment="0" applyProtection="0"/>
    <xf numFmtId="0" fontId="62" fillId="55" borderId="504" applyNumberFormat="0" applyAlignment="0" applyProtection="0"/>
    <xf numFmtId="49" fontId="34" fillId="0" borderId="501" applyNumberFormat="0" applyFont="0" applyFill="0" applyBorder="0" applyProtection="0">
      <alignment horizontal="left" vertical="center" indent="5"/>
    </xf>
    <xf numFmtId="4" fontId="34" fillId="0" borderId="500">
      <alignment horizontal="right" vertical="center"/>
    </xf>
    <xf numFmtId="0" fontId="58" fillId="42" borderId="507" applyNumberFormat="0" applyAlignment="0" applyProtection="0"/>
    <xf numFmtId="0" fontId="65" fillId="0" borderId="533" applyNumberFormat="0" applyFill="0" applyAlignment="0" applyProtection="0"/>
    <xf numFmtId="0" fontId="26" fillId="28" borderId="0" applyNumberFormat="0" applyBorder="0" applyAlignment="0" applyProtection="0"/>
    <xf numFmtId="0" fontId="50" fillId="0" borderId="506" applyNumberFormat="0" applyFill="0" applyAlignment="0" applyProtection="0"/>
    <xf numFmtId="0" fontId="34" fillId="0" borderId="535" applyNumberFormat="0" applyFill="0" applyAlignment="0" applyProtection="0"/>
    <xf numFmtId="4" fontId="32" fillId="33" borderId="502">
      <alignment horizontal="right" vertical="center"/>
    </xf>
    <xf numFmtId="4" fontId="32" fillId="33" borderId="500">
      <alignment horizontal="right" vertical="center"/>
    </xf>
    <xf numFmtId="4" fontId="32" fillId="33" borderId="500">
      <alignment horizontal="right" vertical="center"/>
    </xf>
    <xf numFmtId="0" fontId="65" fillId="0" borderId="506" applyNumberFormat="0" applyFill="0" applyAlignment="0" applyProtection="0"/>
    <xf numFmtId="0" fontId="46" fillId="55" borderId="505" applyNumberFormat="0" applyAlignment="0" applyProtection="0"/>
    <xf numFmtId="4" fontId="32" fillId="31" borderId="510">
      <alignment horizontal="right" vertical="center"/>
    </xf>
    <xf numFmtId="0" fontId="50" fillId="0" borderId="525" applyNumberFormat="0" applyFill="0" applyAlignment="0" applyProtection="0"/>
    <xf numFmtId="0" fontId="29" fillId="12" borderId="10" applyNumberFormat="0" applyAlignment="0" applyProtection="0"/>
    <xf numFmtId="49" fontId="33" fillId="0" borderId="500" applyNumberFormat="0" applyFill="0" applyBorder="0" applyProtection="0">
      <alignment horizontal="left" vertical="center"/>
    </xf>
    <xf numFmtId="0" fontId="5" fillId="58" borderId="499" applyNumberFormat="0" applyFont="0" applyAlignment="0" applyProtection="0"/>
    <xf numFmtId="4" fontId="32" fillId="33" borderId="500">
      <alignment horizontal="right" vertical="center"/>
    </xf>
    <xf numFmtId="0" fontId="26" fillId="25" borderId="0" applyNumberFormat="0" applyBorder="0" applyAlignment="0" applyProtection="0"/>
    <xf numFmtId="0" fontId="34" fillId="33" borderId="519">
      <alignment horizontal="left" vertical="center" wrapText="1" indent="2"/>
    </xf>
    <xf numFmtId="0" fontId="32" fillId="33" borderId="511">
      <alignment horizontal="right" vertical="center"/>
    </xf>
    <xf numFmtId="0" fontId="12" fillId="30" borderId="0" applyNumberFormat="0" applyBorder="0" applyAlignment="0" applyProtection="0"/>
    <xf numFmtId="49" fontId="34" fillId="0" borderId="500" applyNumberFormat="0" applyFont="0" applyFill="0" applyBorder="0" applyProtection="0">
      <alignment horizontal="left" vertical="center" indent="2"/>
    </xf>
    <xf numFmtId="0" fontId="65" fillId="0" borderId="506" applyNumberFormat="0" applyFill="0" applyAlignment="0" applyProtection="0"/>
    <xf numFmtId="4" fontId="34" fillId="0" borderId="500" applyFill="0" applyBorder="0" applyProtection="0">
      <alignment horizontal="right" vertical="center"/>
    </xf>
    <xf numFmtId="0" fontId="58" fillId="42" borderId="505" applyNumberFormat="0" applyAlignment="0" applyProtection="0"/>
    <xf numFmtId="49" fontId="33" fillId="0" borderId="500" applyNumberFormat="0" applyFill="0" applyBorder="0" applyProtection="0">
      <alignment horizontal="left" vertical="center"/>
    </xf>
    <xf numFmtId="49" fontId="34" fillId="0" borderId="500" applyNumberFormat="0" applyFont="0" applyFill="0" applyBorder="0" applyProtection="0">
      <alignment horizontal="left" vertical="center" indent="2"/>
    </xf>
    <xf numFmtId="4" fontId="34" fillId="0" borderId="500" applyFill="0" applyBorder="0" applyProtection="0">
      <alignment horizontal="right" vertical="center"/>
    </xf>
    <xf numFmtId="0" fontId="32" fillId="31" borderId="527">
      <alignment horizontal="right" vertical="center"/>
    </xf>
    <xf numFmtId="173" fontId="34" fillId="59" borderId="500" applyNumberFormat="0" applyFont="0" applyBorder="0" applyAlignment="0" applyProtection="0">
      <alignment horizontal="right" vertical="center"/>
    </xf>
    <xf numFmtId="0" fontId="34" fillId="32" borderId="510"/>
    <xf numFmtId="49" fontId="33" fillId="0" borderId="535" applyNumberFormat="0" applyFill="0" applyBorder="0" applyProtection="0">
      <alignment horizontal="left" vertical="center"/>
    </xf>
    <xf numFmtId="0" fontId="36" fillId="31" borderId="500">
      <alignment horizontal="right" vertical="center"/>
    </xf>
    <xf numFmtId="0" fontId="32" fillId="31" borderId="516">
      <alignment horizontal="right" vertical="center"/>
    </xf>
    <xf numFmtId="4" fontId="34" fillId="0" borderId="516">
      <alignment horizontal="right" vertical="center"/>
    </xf>
    <xf numFmtId="0" fontId="49" fillId="42" borderId="505" applyNumberFormat="0" applyAlignment="0" applyProtection="0"/>
    <xf numFmtId="4" fontId="32" fillId="33" borderId="500">
      <alignment horizontal="right" vertical="center"/>
    </xf>
    <xf numFmtId="0" fontId="34" fillId="31" borderId="501">
      <alignment horizontal="left" vertical="center"/>
    </xf>
    <xf numFmtId="0" fontId="12" fillId="18" borderId="0" applyNumberFormat="0" applyBorder="0" applyAlignment="0" applyProtection="0"/>
    <xf numFmtId="0" fontId="34" fillId="0" borderId="535">
      <alignment horizontal="right" vertical="center"/>
    </xf>
    <xf numFmtId="4" fontId="32" fillId="33" borderId="512">
      <alignment horizontal="right" vertical="center"/>
    </xf>
    <xf numFmtId="0" fontId="62" fillId="55" borderId="531" applyNumberFormat="0" applyAlignment="0" applyProtection="0"/>
    <xf numFmtId="0" fontId="12" fillId="27" borderId="0" applyNumberFormat="0" applyBorder="0" applyAlignment="0" applyProtection="0"/>
    <xf numFmtId="0" fontId="34" fillId="31" borderId="536">
      <alignment horizontal="left" vertical="center"/>
    </xf>
    <xf numFmtId="0" fontId="32" fillId="33" borderId="500">
      <alignment horizontal="right" vertical="center"/>
    </xf>
    <xf numFmtId="0" fontId="34" fillId="33" borderId="503">
      <alignment horizontal="left" vertical="center" wrapText="1" indent="2"/>
    </xf>
    <xf numFmtId="173" fontId="34" fillId="59" borderId="500" applyNumberFormat="0" applyFont="0" applyBorder="0" applyAlignment="0" applyProtection="0">
      <alignment horizontal="right" vertical="center"/>
    </xf>
    <xf numFmtId="0" fontId="40" fillId="58" borderId="499" applyNumberFormat="0" applyFont="0" applyAlignment="0" applyProtection="0"/>
    <xf numFmtId="49" fontId="34" fillId="0" borderId="500" applyNumberFormat="0" applyFont="0" applyFill="0" applyBorder="0" applyProtection="0">
      <alignment horizontal="left" vertical="center" indent="2"/>
    </xf>
    <xf numFmtId="49" fontId="33" fillId="0" borderId="516" applyNumberFormat="0" applyFill="0" applyBorder="0" applyProtection="0">
      <alignment horizontal="left" vertical="center"/>
    </xf>
    <xf numFmtId="0" fontId="40" fillId="58" borderId="509" applyNumberFormat="0" applyFont="0" applyAlignment="0" applyProtection="0"/>
    <xf numFmtId="0" fontId="26" fillId="13" borderId="0" applyNumberFormat="0" applyBorder="0" applyAlignment="0" applyProtection="0"/>
    <xf numFmtId="49" fontId="33" fillId="0" borderId="500" applyNumberFormat="0" applyFill="0" applyBorder="0" applyProtection="0">
      <alignment horizontal="left" vertical="center"/>
    </xf>
    <xf numFmtId="173" fontId="34" fillId="59" borderId="500" applyNumberFormat="0" applyFont="0" applyBorder="0" applyAlignment="0" applyProtection="0">
      <alignment horizontal="right" vertical="center"/>
    </xf>
    <xf numFmtId="0" fontId="62" fillId="55" borderId="504" applyNumberFormat="0" applyAlignment="0" applyProtection="0"/>
    <xf numFmtId="0" fontId="34" fillId="0" borderId="500">
      <alignment horizontal="right" vertical="center"/>
    </xf>
    <xf numFmtId="0" fontId="34" fillId="32" borderId="500"/>
    <xf numFmtId="4" fontId="32" fillId="33" borderId="500">
      <alignment horizontal="right" vertical="center"/>
    </xf>
    <xf numFmtId="0" fontId="34" fillId="32" borderId="500"/>
    <xf numFmtId="0" fontId="58" fillId="42" borderId="505" applyNumberFormat="0" applyAlignment="0" applyProtection="0"/>
    <xf numFmtId="4" fontId="32" fillId="33" borderId="510">
      <alignment horizontal="right" vertical="center"/>
    </xf>
    <xf numFmtId="0" fontId="36" fillId="31" borderId="500">
      <alignment horizontal="right" vertical="center"/>
    </xf>
    <xf numFmtId="0" fontId="34" fillId="0" borderId="503">
      <alignment horizontal="left" vertical="center" wrapText="1" indent="2"/>
    </xf>
    <xf numFmtId="0" fontId="32" fillId="31" borderId="500">
      <alignment horizontal="right" vertical="center"/>
    </xf>
    <xf numFmtId="0" fontId="49" fillId="42" borderId="505" applyNumberFormat="0" applyAlignment="0" applyProtection="0"/>
    <xf numFmtId="0" fontId="34" fillId="33" borderId="503">
      <alignment horizontal="left" vertical="center" wrapText="1" indent="2"/>
    </xf>
    <xf numFmtId="4" fontId="36" fillId="31" borderId="527">
      <alignment horizontal="right" vertical="center"/>
    </xf>
    <xf numFmtId="0" fontId="34" fillId="0" borderId="535" applyNumberFormat="0" applyFill="0" applyAlignment="0" applyProtection="0"/>
    <xf numFmtId="0" fontId="46" fillId="55" borderId="524" applyNumberFormat="0" applyAlignment="0" applyProtection="0"/>
    <xf numFmtId="0" fontId="26" fillId="23" borderId="0" applyNumberFormat="0" applyBorder="0" applyAlignment="0" applyProtection="0"/>
    <xf numFmtId="49" fontId="34" fillId="0" borderId="535" applyNumberFormat="0" applyFont="0" applyFill="0" applyBorder="0" applyProtection="0">
      <alignment horizontal="left" vertical="center" indent="2"/>
    </xf>
    <xf numFmtId="4" fontId="36" fillId="31" borderId="535">
      <alignment horizontal="right" vertical="center"/>
    </xf>
    <xf numFmtId="0" fontId="45" fillId="55" borderId="505" applyNumberFormat="0" applyAlignment="0" applyProtection="0"/>
    <xf numFmtId="0" fontId="36" fillId="31" borderId="500">
      <alignment horizontal="right" vertical="center"/>
    </xf>
    <xf numFmtId="0" fontId="26" fillId="20" borderId="0" applyNumberFormat="0" applyBorder="0" applyAlignment="0" applyProtection="0"/>
    <xf numFmtId="0" fontId="1" fillId="0" borderId="0" applyNumberFormat="0" applyFill="0" applyBorder="0" applyAlignment="0" applyProtection="0"/>
    <xf numFmtId="0" fontId="26" fillId="19" borderId="0" applyNumberFormat="0" applyBorder="0" applyAlignment="0" applyProtection="0"/>
    <xf numFmtId="0" fontId="34" fillId="31" borderId="536">
      <alignment horizontal="left" vertical="center"/>
    </xf>
    <xf numFmtId="0" fontId="30" fillId="0" borderId="0" applyNumberFormat="0" applyFill="0" applyBorder="0" applyAlignment="0" applyProtection="0"/>
    <xf numFmtId="0" fontId="34" fillId="0" borderId="535">
      <alignment horizontal="right" vertical="center"/>
    </xf>
    <xf numFmtId="0" fontId="32" fillId="33" borderId="500">
      <alignment horizontal="right" vertical="center"/>
    </xf>
    <xf numFmtId="4" fontId="34" fillId="0" borderId="500" applyFill="0" applyBorder="0" applyProtection="0">
      <alignment horizontal="right" vertical="center"/>
    </xf>
    <xf numFmtId="0" fontId="34" fillId="33" borderId="503">
      <alignment horizontal="left" vertical="center" wrapText="1" indent="2"/>
    </xf>
    <xf numFmtId="0" fontId="40" fillId="58" borderId="499" applyNumberFormat="0" applyFont="0" applyAlignment="0" applyProtection="0"/>
    <xf numFmtId="0" fontId="49" fillId="42" borderId="505" applyNumberFormat="0" applyAlignment="0" applyProtection="0"/>
    <xf numFmtId="4" fontId="34" fillId="32" borderId="500"/>
    <xf numFmtId="4" fontId="34" fillId="0" borderId="500" applyFill="0" applyBorder="0" applyProtection="0">
      <alignment horizontal="right" vertical="center"/>
    </xf>
    <xf numFmtId="0" fontId="65" fillId="0" borderId="506" applyNumberFormat="0" applyFill="0" applyAlignment="0" applyProtection="0"/>
    <xf numFmtId="0" fontId="34" fillId="31" borderId="501">
      <alignment horizontal="left" vertical="center"/>
    </xf>
    <xf numFmtId="0" fontId="34" fillId="0" borderId="503">
      <alignment horizontal="left" vertical="center" wrapText="1" indent="2"/>
    </xf>
    <xf numFmtId="0" fontId="34" fillId="0" borderId="516" applyNumberFormat="0" applyFill="0" applyAlignment="0" applyProtection="0"/>
    <xf numFmtId="0" fontId="58" fillId="42" borderId="505" applyNumberFormat="0" applyAlignment="0" applyProtection="0"/>
    <xf numFmtId="0" fontId="34" fillId="33" borderId="503">
      <alignment horizontal="left" vertical="center" wrapText="1" indent="2"/>
    </xf>
    <xf numFmtId="0" fontId="5" fillId="58" borderId="534" applyNumberFormat="0" applyFont="0" applyAlignment="0" applyProtection="0"/>
    <xf numFmtId="0" fontId="26" fillId="17" borderId="0" applyNumberFormat="0" applyBorder="0" applyAlignment="0" applyProtection="0"/>
    <xf numFmtId="0" fontId="26" fillId="16" borderId="0" applyNumberFormat="0" applyBorder="0" applyAlignment="0" applyProtection="0"/>
    <xf numFmtId="0" fontId="34" fillId="33" borderId="538">
      <alignment horizontal="left" vertical="center" wrapText="1" indent="2"/>
    </xf>
    <xf numFmtId="0" fontId="40" fillId="58" borderId="499" applyNumberFormat="0" applyFont="0" applyAlignment="0" applyProtection="0"/>
    <xf numFmtId="0" fontId="58" fillId="42" borderId="505" applyNumberFormat="0" applyAlignment="0" applyProtection="0"/>
    <xf numFmtId="4" fontId="34" fillId="32" borderId="500"/>
    <xf numFmtId="0" fontId="46" fillId="55" borderId="505" applyNumberFormat="0" applyAlignment="0" applyProtection="0"/>
    <xf numFmtId="0" fontId="58" fillId="42" borderId="505" applyNumberFormat="0" applyAlignment="0" applyProtection="0"/>
    <xf numFmtId="4" fontId="32" fillId="33" borderId="500">
      <alignment horizontal="right" vertical="center"/>
    </xf>
    <xf numFmtId="0" fontId="50" fillId="0" borderId="506" applyNumberFormat="0" applyFill="0" applyAlignment="0" applyProtection="0"/>
    <xf numFmtId="0" fontId="12" fillId="18" borderId="0" applyNumberFormat="0" applyBorder="0" applyAlignment="0" applyProtection="0"/>
    <xf numFmtId="0" fontId="34" fillId="0" borderId="538">
      <alignment horizontal="left" vertical="center" wrapText="1" indent="2"/>
    </xf>
    <xf numFmtId="0" fontId="34" fillId="33" borderId="538">
      <alignment horizontal="left" vertical="center" wrapText="1" indent="2"/>
    </xf>
    <xf numFmtId="0" fontId="26" fillId="29" borderId="0" applyNumberFormat="0" applyBorder="0" applyAlignment="0" applyProtection="0"/>
    <xf numFmtId="0" fontId="36" fillId="31" borderId="510">
      <alignment horizontal="right" vertical="center"/>
    </xf>
    <xf numFmtId="4" fontId="34" fillId="32" borderId="535"/>
    <xf numFmtId="0" fontId="49" fillId="42" borderId="505" applyNumberFormat="0" applyAlignment="0" applyProtection="0"/>
    <xf numFmtId="0" fontId="26" fillId="29" borderId="0" applyNumberFormat="0" applyBorder="0" applyAlignment="0" applyProtection="0"/>
    <xf numFmtId="0" fontId="65" fillId="0" borderId="525" applyNumberFormat="0" applyFill="0" applyAlignment="0" applyProtection="0"/>
    <xf numFmtId="4" fontId="36" fillId="31" borderId="542">
      <alignment horizontal="right" vertical="center"/>
    </xf>
    <xf numFmtId="0" fontId="32" fillId="33" borderId="535">
      <alignment horizontal="right" vertical="center"/>
    </xf>
    <xf numFmtId="0" fontId="12" fillId="27" borderId="0" applyNumberFormat="0" applyBorder="0" applyAlignment="0" applyProtection="0"/>
    <xf numFmtId="4" fontId="32" fillId="33" borderId="518">
      <alignment horizontal="right" vertical="center"/>
    </xf>
    <xf numFmtId="0" fontId="34" fillId="33" borderId="503">
      <alignment horizontal="left" vertical="center" wrapText="1" indent="2"/>
    </xf>
    <xf numFmtId="0" fontId="65" fillId="0" borderId="533" applyNumberFormat="0" applyFill="0" applyAlignment="0" applyProtection="0"/>
    <xf numFmtId="0" fontId="62" fillId="55" borderId="504" applyNumberFormat="0" applyAlignment="0" applyProtection="0"/>
    <xf numFmtId="0" fontId="58" fillId="42" borderId="505" applyNumberFormat="0" applyAlignment="0" applyProtection="0"/>
    <xf numFmtId="4" fontId="32" fillId="33" borderId="500">
      <alignment horizontal="right" vertical="center"/>
    </xf>
    <xf numFmtId="0" fontId="34" fillId="32" borderId="500"/>
    <xf numFmtId="0" fontId="32" fillId="33" borderId="536">
      <alignment horizontal="right" vertical="center"/>
    </xf>
    <xf numFmtId="0" fontId="5" fillId="58" borderId="515" applyNumberFormat="0" applyFont="0" applyAlignment="0" applyProtection="0"/>
    <xf numFmtId="0" fontId="34" fillId="0" borderId="503">
      <alignment horizontal="left" vertical="center" wrapText="1" indent="2"/>
    </xf>
    <xf numFmtId="0" fontId="50" fillId="0" borderId="533" applyNumberFormat="0" applyFill="0" applyAlignment="0" applyProtection="0"/>
    <xf numFmtId="0" fontId="65" fillId="0" borderId="525" applyNumberFormat="0" applyFill="0" applyAlignment="0" applyProtection="0"/>
    <xf numFmtId="0" fontId="12" fillId="24" borderId="0" applyNumberFormat="0" applyBorder="0" applyAlignment="0" applyProtection="0"/>
    <xf numFmtId="4" fontId="36" fillId="31" borderId="535">
      <alignment horizontal="right" vertical="center"/>
    </xf>
    <xf numFmtId="0" fontId="45" fillId="55" borderId="505" applyNumberFormat="0" applyAlignment="0" applyProtection="0"/>
    <xf numFmtId="0" fontId="40" fillId="58" borderId="534" applyNumberFormat="0" applyFont="0" applyAlignment="0" applyProtection="0"/>
    <xf numFmtId="173" fontId="34" fillId="59" borderId="510" applyNumberFormat="0" applyFont="0" applyBorder="0" applyAlignment="0" applyProtection="0">
      <alignment horizontal="right" vertical="center"/>
    </xf>
    <xf numFmtId="4" fontId="32" fillId="31" borderId="500">
      <alignment horizontal="right" vertical="center"/>
    </xf>
    <xf numFmtId="0" fontId="32" fillId="31" borderId="500">
      <alignment horizontal="right" vertical="center"/>
    </xf>
    <xf numFmtId="0" fontId="32" fillId="33" borderId="500">
      <alignment horizontal="right" vertical="center"/>
    </xf>
    <xf numFmtId="0" fontId="40" fillId="58" borderId="534" applyNumberFormat="0" applyFont="0" applyAlignment="0" applyProtection="0"/>
    <xf numFmtId="0" fontId="40" fillId="58" borderId="526" applyNumberFormat="0" applyFont="0" applyAlignment="0" applyProtection="0"/>
    <xf numFmtId="0" fontId="26" fillId="29" borderId="0" applyNumberFormat="0" applyBorder="0" applyAlignment="0" applyProtection="0"/>
    <xf numFmtId="4" fontId="32" fillId="33" borderId="537">
      <alignment horizontal="right" vertical="center"/>
    </xf>
    <xf numFmtId="0" fontId="62" fillId="55" borderId="504" applyNumberFormat="0" applyAlignment="0" applyProtection="0"/>
    <xf numFmtId="0" fontId="26" fillId="17" borderId="0" applyNumberFormat="0" applyBorder="0" applyAlignment="0" applyProtection="0"/>
    <xf numFmtId="49" fontId="34" fillId="0" borderId="500" applyNumberFormat="0" applyFont="0" applyFill="0" applyBorder="0" applyProtection="0">
      <alignment horizontal="left" vertical="center" indent="2"/>
    </xf>
    <xf numFmtId="0" fontId="40" fillId="58" borderId="499" applyNumberFormat="0" applyFont="0" applyAlignment="0" applyProtection="0"/>
    <xf numFmtId="173" fontId="34" fillId="59" borderId="500" applyNumberFormat="0" applyFont="0" applyBorder="0" applyAlignment="0" applyProtection="0">
      <alignment horizontal="right" vertical="center"/>
    </xf>
    <xf numFmtId="0" fontId="58" fillId="42" borderId="505" applyNumberFormat="0" applyAlignment="0" applyProtection="0"/>
    <xf numFmtId="0" fontId="32" fillId="33" borderId="500">
      <alignment horizontal="right" vertical="center"/>
    </xf>
    <xf numFmtId="0" fontId="34" fillId="32" borderId="500"/>
    <xf numFmtId="0" fontId="62" fillId="55" borderId="504" applyNumberFormat="0" applyAlignment="0" applyProtection="0"/>
    <xf numFmtId="0" fontId="46" fillId="55" borderId="505" applyNumberFormat="0" applyAlignment="0" applyProtection="0"/>
    <xf numFmtId="0" fontId="45" fillId="55" borderId="505" applyNumberFormat="0" applyAlignment="0" applyProtection="0"/>
    <xf numFmtId="0" fontId="49" fillId="42" borderId="505" applyNumberFormat="0" applyAlignment="0" applyProtection="0"/>
    <xf numFmtId="0" fontId="49" fillId="42" borderId="505" applyNumberFormat="0" applyAlignment="0" applyProtection="0"/>
    <xf numFmtId="0" fontId="34" fillId="0" borderId="503">
      <alignment horizontal="left" vertical="center" wrapText="1" indent="2"/>
    </xf>
    <xf numFmtId="4" fontId="32" fillId="33" borderId="501">
      <alignment horizontal="right" vertical="center"/>
    </xf>
    <xf numFmtId="4" fontId="34" fillId="0" borderId="500">
      <alignment horizontal="right" vertical="center"/>
    </xf>
    <xf numFmtId="49" fontId="33" fillId="0" borderId="500" applyNumberFormat="0" applyFill="0" applyBorder="0" applyProtection="0">
      <alignment horizontal="left" vertical="center"/>
    </xf>
    <xf numFmtId="4" fontId="34" fillId="0" borderId="500">
      <alignment horizontal="right" vertical="center"/>
    </xf>
    <xf numFmtId="0" fontId="62" fillId="55" borderId="504" applyNumberFormat="0" applyAlignment="0" applyProtection="0"/>
    <xf numFmtId="0" fontId="34" fillId="33" borderId="530">
      <alignment horizontal="left" vertical="center" wrapText="1" indent="2"/>
    </xf>
    <xf numFmtId="0" fontId="26" fillId="13" borderId="0" applyNumberFormat="0" applyBorder="0" applyAlignment="0" applyProtection="0"/>
    <xf numFmtId="0" fontId="26" fillId="23" borderId="0" applyNumberFormat="0" applyBorder="0" applyAlignment="0" applyProtection="0"/>
    <xf numFmtId="0" fontId="34" fillId="0" borderId="503">
      <alignment horizontal="left" vertical="center" wrapText="1" indent="2"/>
    </xf>
    <xf numFmtId="0" fontId="12" fillId="21" borderId="0" applyNumberFormat="0" applyBorder="0" applyAlignment="0" applyProtection="0"/>
    <xf numFmtId="49" fontId="33" fillId="0" borderId="542" applyNumberFormat="0" applyFill="0" applyBorder="0" applyProtection="0">
      <alignment horizontal="left" vertical="center"/>
    </xf>
    <xf numFmtId="0" fontId="32" fillId="33" borderId="527">
      <alignment horizontal="right" vertical="center"/>
    </xf>
    <xf numFmtId="0" fontId="65" fillId="0" borderId="540" applyNumberFormat="0" applyFill="0" applyAlignment="0" applyProtection="0"/>
    <xf numFmtId="0" fontId="34" fillId="33" borderId="513">
      <alignment horizontal="left" vertical="center" wrapText="1" indent="2"/>
    </xf>
    <xf numFmtId="0" fontId="46" fillId="55" borderId="507" applyNumberFormat="0" applyAlignment="0" applyProtection="0"/>
    <xf numFmtId="0" fontId="40" fillId="58" borderId="499" applyNumberFormat="0" applyFont="0" applyAlignment="0" applyProtection="0"/>
    <xf numFmtId="0" fontId="12" fillId="30" borderId="0" applyNumberFormat="0" applyBorder="0" applyAlignment="0" applyProtection="0"/>
    <xf numFmtId="0" fontId="32" fillId="31" borderId="500">
      <alignment horizontal="right" vertical="center"/>
    </xf>
    <xf numFmtId="0" fontId="12" fillId="18" borderId="0" applyNumberFormat="0" applyBorder="0" applyAlignment="0" applyProtection="0"/>
    <xf numFmtId="0" fontId="26" fillId="20" borderId="0" applyNumberFormat="0" applyBorder="0" applyAlignment="0" applyProtection="0"/>
    <xf numFmtId="0" fontId="34" fillId="0" borderId="500" applyNumberFormat="0" applyFill="0" applyAlignment="0" applyProtection="0"/>
    <xf numFmtId="49" fontId="33" fillId="0" borderId="500" applyNumberFormat="0" applyFill="0" applyBorder="0" applyProtection="0">
      <alignment horizontal="left" vertical="center"/>
    </xf>
    <xf numFmtId="0" fontId="34" fillId="0" borderId="500">
      <alignment horizontal="right" vertical="center"/>
    </xf>
    <xf numFmtId="0" fontId="26" fillId="26" borderId="0" applyNumberFormat="0" applyBorder="0" applyAlignment="0" applyProtection="0"/>
    <xf numFmtId="0" fontId="34" fillId="33" borderId="545">
      <alignment horizontal="left" vertical="center" wrapText="1" indent="2"/>
    </xf>
    <xf numFmtId="0" fontId="36" fillId="31" borderId="542">
      <alignment horizontal="right" vertical="center"/>
    </xf>
    <xf numFmtId="4" fontId="32" fillId="31" borderId="500">
      <alignment horizontal="right" vertical="center"/>
    </xf>
    <xf numFmtId="0" fontId="34" fillId="0" borderId="545">
      <alignment horizontal="left" vertical="center" wrapText="1" indent="2"/>
    </xf>
    <xf numFmtId="0" fontId="46" fillId="55" borderId="505" applyNumberFormat="0" applyAlignment="0" applyProtection="0"/>
    <xf numFmtId="0" fontId="32" fillId="33" borderId="502">
      <alignment horizontal="right" vertical="center"/>
    </xf>
    <xf numFmtId="4" fontId="32" fillId="31" borderId="500">
      <alignment horizontal="right" vertical="center"/>
    </xf>
    <xf numFmtId="0" fontId="32" fillId="33" borderId="500">
      <alignment horizontal="right" vertical="center"/>
    </xf>
    <xf numFmtId="0" fontId="46" fillId="55" borderId="505" applyNumberFormat="0" applyAlignment="0" applyProtection="0"/>
    <xf numFmtId="0" fontId="32" fillId="33" borderId="510">
      <alignment horizontal="right" vertical="center"/>
    </xf>
    <xf numFmtId="0" fontId="28" fillId="12" borderId="11" applyNumberFormat="0" applyAlignment="0" applyProtection="0"/>
    <xf numFmtId="4" fontId="34" fillId="0" borderId="500" applyFill="0" applyBorder="0" applyProtection="0">
      <alignment horizontal="right" vertical="center"/>
    </xf>
    <xf numFmtId="0" fontId="40" fillId="58" borderId="499" applyNumberFormat="0" applyFont="0" applyAlignment="0" applyProtection="0"/>
    <xf numFmtId="0" fontId="46" fillId="55" borderId="532" applyNumberFormat="0" applyAlignment="0" applyProtection="0"/>
    <xf numFmtId="0" fontId="34" fillId="0" borderId="538">
      <alignment horizontal="left" vertical="center" wrapText="1" indent="2"/>
    </xf>
    <xf numFmtId="0" fontId="5" fillId="58" borderId="526" applyNumberFormat="0" applyFont="0" applyAlignment="0" applyProtection="0"/>
    <xf numFmtId="0" fontId="32" fillId="31" borderId="500">
      <alignment horizontal="right" vertical="center"/>
    </xf>
    <xf numFmtId="0" fontId="50" fillId="0" borderId="506" applyNumberFormat="0" applyFill="0" applyAlignment="0" applyProtection="0"/>
    <xf numFmtId="0" fontId="34" fillId="0" borderId="500" applyNumberFormat="0" applyFill="0" applyAlignment="0" applyProtection="0"/>
    <xf numFmtId="0" fontId="50" fillId="0" borderId="506" applyNumberFormat="0" applyFill="0" applyAlignment="0" applyProtection="0"/>
    <xf numFmtId="4" fontId="34" fillId="0" borderId="500" applyFill="0" applyBorder="0" applyProtection="0">
      <alignment horizontal="right" vertical="center"/>
    </xf>
    <xf numFmtId="49" fontId="34" fillId="0" borderId="501" applyNumberFormat="0" applyFont="0" applyFill="0" applyBorder="0" applyProtection="0">
      <alignment horizontal="left" vertical="center" indent="5"/>
    </xf>
    <xf numFmtId="0" fontId="34" fillId="0" borderId="500" applyNumberFormat="0" applyFill="0" applyAlignment="0" applyProtection="0"/>
    <xf numFmtId="0" fontId="34" fillId="0" borderId="527">
      <alignment horizontal="right" vertical="center"/>
    </xf>
    <xf numFmtId="0" fontId="34" fillId="0" borderId="500" applyNumberFormat="0" applyFill="0" applyAlignment="0" applyProtection="0"/>
    <xf numFmtId="0" fontId="62" fillId="55" borderId="531" applyNumberFormat="0" applyAlignment="0" applyProtection="0"/>
    <xf numFmtId="4" fontId="34" fillId="0" borderId="535">
      <alignment horizontal="right" vertical="center"/>
    </xf>
    <xf numFmtId="4" fontId="32" fillId="33" borderId="500">
      <alignment horizontal="right" vertical="center"/>
    </xf>
    <xf numFmtId="0" fontId="32" fillId="31" borderId="535">
      <alignment horizontal="right" vertical="center"/>
    </xf>
    <xf numFmtId="0" fontId="34" fillId="0" borderId="538">
      <alignment horizontal="left" vertical="center" wrapText="1" indent="2"/>
    </xf>
    <xf numFmtId="0" fontId="12" fillId="21" borderId="0" applyNumberFormat="0" applyBorder="0" applyAlignment="0" applyProtection="0"/>
    <xf numFmtId="0" fontId="34" fillId="0" borderId="516">
      <alignment horizontal="right" vertical="center"/>
    </xf>
    <xf numFmtId="0" fontId="49" fillId="42" borderId="505" applyNumberFormat="0" applyAlignment="0" applyProtection="0"/>
    <xf numFmtId="0" fontId="46" fillId="55" borderId="505" applyNumberFormat="0" applyAlignment="0" applyProtection="0"/>
    <xf numFmtId="4" fontId="34" fillId="0" borderId="500">
      <alignment horizontal="right" vertical="center"/>
    </xf>
    <xf numFmtId="0" fontId="34" fillId="33" borderId="503">
      <alignment horizontal="left" vertical="center" wrapText="1" indent="2"/>
    </xf>
    <xf numFmtId="0" fontId="34" fillId="0" borderId="503">
      <alignment horizontal="left" vertical="center" wrapText="1" indent="2"/>
    </xf>
    <xf numFmtId="0" fontId="62" fillId="55" borderId="504" applyNumberFormat="0" applyAlignment="0" applyProtection="0"/>
    <xf numFmtId="0" fontId="58" fillId="42" borderId="505" applyNumberFormat="0" applyAlignment="0" applyProtection="0"/>
    <xf numFmtId="0" fontId="45" fillId="55" borderId="505" applyNumberFormat="0" applyAlignment="0" applyProtection="0"/>
    <xf numFmtId="0" fontId="43" fillId="55" borderId="504" applyNumberFormat="0" applyAlignment="0" applyProtection="0"/>
    <xf numFmtId="0" fontId="32" fillId="33" borderId="502">
      <alignment horizontal="right" vertical="center"/>
    </xf>
    <xf numFmtId="0" fontId="36" fillId="31" borderId="500">
      <alignment horizontal="right" vertical="center"/>
    </xf>
    <xf numFmtId="4" fontId="32" fillId="31" borderId="500">
      <alignment horizontal="right" vertical="center"/>
    </xf>
    <xf numFmtId="4" fontId="32" fillId="33" borderId="500">
      <alignment horizontal="right" vertical="center"/>
    </xf>
    <xf numFmtId="49" fontId="34" fillId="0" borderId="501" applyNumberFormat="0" applyFont="0" applyFill="0" applyBorder="0" applyProtection="0">
      <alignment horizontal="left" vertical="center" indent="5"/>
    </xf>
    <xf numFmtId="4" fontId="34" fillId="0" borderId="500" applyFill="0" applyBorder="0" applyProtection="0">
      <alignment horizontal="right" vertical="center"/>
    </xf>
    <xf numFmtId="4" fontId="32" fillId="31" borderId="500">
      <alignment horizontal="right" vertical="center"/>
    </xf>
    <xf numFmtId="0" fontId="58" fillId="42" borderId="505" applyNumberFormat="0" applyAlignment="0" applyProtection="0"/>
    <xf numFmtId="0" fontId="49" fillId="42" borderId="505" applyNumberFormat="0" applyAlignment="0" applyProtection="0"/>
    <xf numFmtId="0" fontId="45" fillId="55" borderId="505" applyNumberFormat="0" applyAlignment="0" applyProtection="0"/>
    <xf numFmtId="0" fontId="34" fillId="33" borderId="503">
      <alignment horizontal="left" vertical="center" wrapText="1" indent="2"/>
    </xf>
    <xf numFmtId="0" fontId="34" fillId="0" borderId="503">
      <alignment horizontal="left" vertical="center" wrapText="1" indent="2"/>
    </xf>
    <xf numFmtId="0" fontId="34" fillId="33" borderId="503">
      <alignment horizontal="left" vertical="center" wrapText="1" indent="2"/>
    </xf>
    <xf numFmtId="0" fontId="32" fillId="33" borderId="512">
      <alignment horizontal="right" vertical="center"/>
    </xf>
    <xf numFmtId="4" fontId="32" fillId="31" borderId="542">
      <alignment horizontal="right" vertical="center"/>
    </xf>
    <xf numFmtId="0" fontId="30" fillId="0" borderId="0" applyNumberFormat="0" applyFill="0" applyBorder="0" applyAlignment="0" applyProtection="0"/>
    <xf numFmtId="0" fontId="26" fillId="23" borderId="0" applyNumberFormat="0" applyBorder="0" applyAlignment="0" applyProtection="0"/>
    <xf numFmtId="49" fontId="33" fillId="0" borderId="527" applyNumberFormat="0" applyFill="0" applyBorder="0" applyProtection="0">
      <alignment horizontal="left" vertical="center"/>
    </xf>
    <xf numFmtId="0" fontId="49" fillId="42" borderId="532" applyNumberFormat="0" applyAlignment="0" applyProtection="0"/>
    <xf numFmtId="0" fontId="65" fillId="0" borderId="533" applyNumberFormat="0" applyFill="0" applyAlignment="0" applyProtection="0"/>
    <xf numFmtId="0" fontId="40" fillId="58" borderId="534" applyNumberFormat="0" applyFont="0" applyAlignment="0" applyProtection="0"/>
    <xf numFmtId="4" fontId="32" fillId="33" borderId="535">
      <alignment horizontal="right" vertical="center"/>
    </xf>
    <xf numFmtId="0" fontId="5" fillId="58" borderId="534" applyNumberFormat="0" applyFont="0" applyAlignment="0" applyProtection="0"/>
    <xf numFmtId="0" fontId="65" fillId="0" borderId="533" applyNumberFormat="0" applyFill="0" applyAlignment="0" applyProtection="0"/>
    <xf numFmtId="0" fontId="46" fillId="55" borderId="539" applyNumberFormat="0" applyAlignment="0" applyProtection="0"/>
    <xf numFmtId="0" fontId="26" fillId="19" borderId="0" applyNumberFormat="0" applyBorder="0" applyAlignment="0" applyProtection="0"/>
    <xf numFmtId="173" fontId="34" fillId="59" borderId="535" applyNumberFormat="0" applyFont="0" applyBorder="0" applyAlignment="0" applyProtection="0">
      <alignment horizontal="right" vertical="center"/>
    </xf>
    <xf numFmtId="0" fontId="32" fillId="33" borderId="542">
      <alignment horizontal="right" vertical="center"/>
    </xf>
    <xf numFmtId="0" fontId="65" fillId="0" borderId="533" applyNumberFormat="0" applyFill="0" applyAlignment="0" applyProtection="0"/>
    <xf numFmtId="0" fontId="40" fillId="58" borderId="534" applyNumberFormat="0" applyFont="0" applyAlignment="0" applyProtection="0"/>
    <xf numFmtId="0" fontId="43" fillId="55" borderId="531" applyNumberFormat="0" applyAlignment="0" applyProtection="0"/>
    <xf numFmtId="0" fontId="26" fillId="25" borderId="0" applyNumberFormat="0" applyBorder="0" applyAlignment="0" applyProtection="0"/>
    <xf numFmtId="0" fontId="65" fillId="0" borderId="533" applyNumberFormat="0" applyFill="0" applyAlignment="0" applyProtection="0"/>
    <xf numFmtId="0" fontId="26" fillId="28" borderId="0" applyNumberFormat="0" applyBorder="0" applyAlignment="0" applyProtection="0"/>
    <xf numFmtId="0" fontId="26" fillId="26"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1" borderId="0" applyNumberFormat="0" applyBorder="0" applyAlignment="0" applyProtection="0"/>
    <xf numFmtId="0" fontId="12" fillId="15" borderId="0" applyNumberFormat="0" applyBorder="0" applyAlignment="0" applyProtection="0"/>
    <xf numFmtId="0" fontId="32" fillId="33" borderId="536">
      <alignment horizontal="right" vertical="center"/>
    </xf>
    <xf numFmtId="4" fontId="32" fillId="33" borderId="516">
      <alignment horizontal="right" vertical="center"/>
    </xf>
    <xf numFmtId="4" fontId="36" fillId="31" borderId="516">
      <alignment horizontal="right" vertical="center"/>
    </xf>
    <xf numFmtId="4" fontId="32" fillId="33" borderId="510">
      <alignment horizontal="right" vertical="center"/>
    </xf>
    <xf numFmtId="0" fontId="34" fillId="32" borderId="510"/>
    <xf numFmtId="0" fontId="45" fillId="55" borderId="507" applyNumberFormat="0" applyAlignment="0" applyProtection="0"/>
    <xf numFmtId="0" fontId="32" fillId="31" borderId="510">
      <alignment horizontal="right" vertical="center"/>
    </xf>
    <xf numFmtId="0" fontId="34" fillId="0" borderId="510">
      <alignment horizontal="right" vertical="center"/>
    </xf>
    <xf numFmtId="0" fontId="65" fillId="0" borderId="508" applyNumberFormat="0" applyFill="0" applyAlignment="0" applyProtection="0"/>
    <xf numFmtId="0" fontId="34" fillId="31" borderId="511">
      <alignment horizontal="left" vertical="center"/>
    </xf>
    <xf numFmtId="0" fontId="58" fillId="42" borderId="507" applyNumberFormat="0" applyAlignment="0" applyProtection="0"/>
    <xf numFmtId="173" fontId="34" fillId="59" borderId="510" applyNumberFormat="0" applyFont="0" applyBorder="0" applyAlignment="0" applyProtection="0">
      <alignment horizontal="right" vertical="center"/>
    </xf>
    <xf numFmtId="0" fontId="40" fillId="58" borderId="509" applyNumberFormat="0" applyFont="0" applyAlignment="0" applyProtection="0"/>
    <xf numFmtId="0" fontId="34" fillId="0" borderId="513">
      <alignment horizontal="left" vertical="center" wrapText="1" indent="2"/>
    </xf>
    <xf numFmtId="4" fontId="34" fillId="32" borderId="510"/>
    <xf numFmtId="49" fontId="33" fillId="0" borderId="510" applyNumberFormat="0" applyFill="0" applyBorder="0" applyProtection="0">
      <alignment horizontal="left" vertical="center"/>
    </xf>
    <xf numFmtId="0" fontId="34" fillId="0" borderId="510">
      <alignment horizontal="right" vertical="center"/>
    </xf>
    <xf numFmtId="4" fontId="32" fillId="33" borderId="512">
      <alignment horizontal="right" vertical="center"/>
    </xf>
    <xf numFmtId="4" fontId="32" fillId="33" borderId="510">
      <alignment horizontal="right" vertical="center"/>
    </xf>
    <xf numFmtId="4" fontId="32" fillId="33" borderId="510">
      <alignment horizontal="right" vertical="center"/>
    </xf>
    <xf numFmtId="0" fontId="36" fillId="31" borderId="510">
      <alignment horizontal="right" vertical="center"/>
    </xf>
    <xf numFmtId="0" fontId="32" fillId="31" borderId="510">
      <alignment horizontal="right" vertical="center"/>
    </xf>
    <xf numFmtId="49" fontId="34" fillId="0" borderId="510" applyNumberFormat="0" applyFont="0" applyFill="0" applyBorder="0" applyProtection="0">
      <alignment horizontal="left" vertical="center" indent="2"/>
    </xf>
    <xf numFmtId="0" fontId="58" fillId="42" borderId="507" applyNumberFormat="0" applyAlignment="0" applyProtection="0"/>
    <xf numFmtId="0" fontId="43" fillId="55" borderId="514" applyNumberFormat="0" applyAlignment="0" applyProtection="0"/>
    <xf numFmtId="49" fontId="34" fillId="0" borderId="510" applyNumberFormat="0" applyFont="0" applyFill="0" applyBorder="0" applyProtection="0">
      <alignment horizontal="left" vertical="center" indent="2"/>
    </xf>
    <xf numFmtId="0" fontId="49" fillId="42" borderId="507" applyNumberFormat="0" applyAlignment="0" applyProtection="0"/>
    <xf numFmtId="4" fontId="34" fillId="0" borderId="510" applyFill="0" applyBorder="0" applyProtection="0">
      <alignment horizontal="right" vertical="center"/>
    </xf>
    <xf numFmtId="0" fontId="46" fillId="55" borderId="507" applyNumberFormat="0" applyAlignment="0" applyProtection="0"/>
    <xf numFmtId="0" fontId="65" fillId="0" borderId="508" applyNumberFormat="0" applyFill="0" applyAlignment="0" applyProtection="0"/>
    <xf numFmtId="0" fontId="62" fillId="55" borderId="514" applyNumberFormat="0" applyAlignment="0" applyProtection="0"/>
    <xf numFmtId="0" fontId="34" fillId="0" borderId="510" applyNumberFormat="0" applyFill="0" applyAlignment="0" applyProtection="0"/>
    <xf numFmtId="4" fontId="34" fillId="0" borderId="510">
      <alignment horizontal="right" vertical="center"/>
    </xf>
    <xf numFmtId="0" fontId="34" fillId="0" borderId="510">
      <alignment horizontal="right" vertical="center"/>
    </xf>
    <xf numFmtId="0" fontId="58" fillId="42" borderId="507" applyNumberFormat="0" applyAlignment="0" applyProtection="0"/>
    <xf numFmtId="0" fontId="43" fillId="55" borderId="514" applyNumberFormat="0" applyAlignment="0" applyProtection="0"/>
    <xf numFmtId="0" fontId="45" fillId="55" borderId="507" applyNumberFormat="0" applyAlignment="0" applyProtection="0"/>
    <xf numFmtId="0" fontId="34" fillId="33" borderId="513">
      <alignment horizontal="left" vertical="center" wrapText="1" indent="2"/>
    </xf>
    <xf numFmtId="0" fontId="46" fillId="55" borderId="507" applyNumberFormat="0" applyAlignment="0" applyProtection="0"/>
    <xf numFmtId="0" fontId="46" fillId="55" borderId="507" applyNumberFormat="0" applyAlignment="0" applyProtection="0"/>
    <xf numFmtId="4" fontId="32" fillId="33" borderId="511">
      <alignment horizontal="right" vertical="center"/>
    </xf>
    <xf numFmtId="0" fontId="32" fillId="33" borderId="511">
      <alignment horizontal="right" vertical="center"/>
    </xf>
    <xf numFmtId="0" fontId="32" fillId="33" borderId="510">
      <alignment horizontal="right" vertical="center"/>
    </xf>
    <xf numFmtId="4" fontId="36" fillId="31" borderId="510">
      <alignment horizontal="right" vertical="center"/>
    </xf>
    <xf numFmtId="0" fontId="49" fillId="42" borderId="507" applyNumberFormat="0" applyAlignment="0" applyProtection="0"/>
    <xf numFmtId="0" fontId="50" fillId="0" borderId="508" applyNumberFormat="0" applyFill="0" applyAlignment="0" applyProtection="0"/>
    <xf numFmtId="0" fontId="65" fillId="0" borderId="508" applyNumberFormat="0" applyFill="0" applyAlignment="0" applyProtection="0"/>
    <xf numFmtId="0" fontId="40" fillId="58" borderId="509" applyNumberFormat="0" applyFont="0" applyAlignment="0" applyProtection="0"/>
    <xf numFmtId="0" fontId="58" fillId="42" borderId="507" applyNumberFormat="0" applyAlignment="0" applyProtection="0"/>
    <xf numFmtId="49" fontId="33" fillId="0" borderId="510" applyNumberFormat="0" applyFill="0" applyBorder="0" applyProtection="0">
      <alignment horizontal="left" vertical="center"/>
    </xf>
    <xf numFmtId="0" fontId="34" fillId="33" borderId="513">
      <alignment horizontal="left" vertical="center" wrapText="1" indent="2"/>
    </xf>
    <xf numFmtId="0" fontId="46" fillId="55" borderId="507" applyNumberFormat="0" applyAlignment="0" applyProtection="0"/>
    <xf numFmtId="0" fontId="34" fillId="0" borderId="513">
      <alignment horizontal="left" vertical="center" wrapText="1" indent="2"/>
    </xf>
    <xf numFmtId="0" fontId="40" fillId="58" borderId="509" applyNumberFormat="0" applyFont="0" applyAlignment="0" applyProtection="0"/>
    <xf numFmtId="0" fontId="5" fillId="58" borderId="509" applyNumberFormat="0" applyFont="0" applyAlignment="0" applyProtection="0"/>
    <xf numFmtId="0" fontId="62" fillId="55" borderId="514" applyNumberFormat="0" applyAlignment="0" applyProtection="0"/>
    <xf numFmtId="0" fontId="65" fillId="0" borderId="508" applyNumberFormat="0" applyFill="0" applyAlignment="0" applyProtection="0"/>
    <xf numFmtId="4" fontId="34" fillId="32" borderId="510"/>
    <xf numFmtId="0" fontId="32" fillId="33" borderId="510">
      <alignment horizontal="right" vertical="center"/>
    </xf>
    <xf numFmtId="0" fontId="65" fillId="0" borderId="508" applyNumberFormat="0" applyFill="0" applyAlignment="0" applyProtection="0"/>
    <xf numFmtId="4" fontId="32" fillId="33" borderId="512">
      <alignment horizontal="right" vertical="center"/>
    </xf>
    <xf numFmtId="0" fontId="45" fillId="55" borderId="507" applyNumberFormat="0" applyAlignment="0" applyProtection="0"/>
    <xf numFmtId="0" fontId="32" fillId="33" borderId="511">
      <alignment horizontal="right" vertical="center"/>
    </xf>
    <xf numFmtId="0" fontId="46" fillId="55" borderId="507" applyNumberFormat="0" applyAlignment="0" applyProtection="0"/>
    <xf numFmtId="0" fontId="50" fillId="0" borderId="508" applyNumberFormat="0" applyFill="0" applyAlignment="0" applyProtection="0"/>
    <xf numFmtId="0" fontId="40" fillId="58" borderId="509" applyNumberFormat="0" applyFont="0" applyAlignment="0" applyProtection="0"/>
    <xf numFmtId="4" fontId="32" fillId="33" borderId="511">
      <alignment horizontal="right" vertical="center"/>
    </xf>
    <xf numFmtId="0" fontId="34" fillId="33" borderId="513">
      <alignment horizontal="left" vertical="center" wrapText="1" indent="2"/>
    </xf>
    <xf numFmtId="0" fontId="34" fillId="32" borderId="510"/>
    <xf numFmtId="173" fontId="34" fillId="59" borderId="510" applyNumberFormat="0" applyFont="0" applyBorder="0" applyAlignment="0" applyProtection="0">
      <alignment horizontal="right" vertical="center"/>
    </xf>
    <xf numFmtId="0" fontId="34" fillId="0" borderId="510" applyNumberFormat="0" applyFill="0" applyAlignment="0" applyProtection="0"/>
    <xf numFmtId="4" fontId="34" fillId="0" borderId="510" applyFill="0" applyBorder="0" applyProtection="0">
      <alignment horizontal="right" vertical="center"/>
    </xf>
    <xf numFmtId="4" fontId="32" fillId="31" borderId="510">
      <alignment horizontal="right" vertical="center"/>
    </xf>
    <xf numFmtId="0" fontId="50" fillId="0" borderId="508" applyNumberFormat="0" applyFill="0" applyAlignment="0" applyProtection="0"/>
    <xf numFmtId="49" fontId="33" fillId="0" borderId="510" applyNumberFormat="0" applyFill="0" applyBorder="0" applyProtection="0">
      <alignment horizontal="left" vertical="center"/>
    </xf>
    <xf numFmtId="49" fontId="34" fillId="0" borderId="511" applyNumberFormat="0" applyFont="0" applyFill="0" applyBorder="0" applyProtection="0">
      <alignment horizontal="left" vertical="center" indent="5"/>
    </xf>
    <xf numFmtId="0" fontId="34" fillId="31" borderId="511">
      <alignment horizontal="left" vertical="center"/>
    </xf>
    <xf numFmtId="0" fontId="46" fillId="55" borderId="507" applyNumberFormat="0" applyAlignment="0" applyProtection="0"/>
    <xf numFmtId="4" fontId="32" fillId="33" borderId="512">
      <alignment horizontal="right" vertical="center"/>
    </xf>
    <xf numFmtId="0" fontId="58" fillId="42" borderId="507" applyNumberFormat="0" applyAlignment="0" applyProtection="0"/>
    <xf numFmtId="0" fontId="58" fillId="42" borderId="507" applyNumberFormat="0" applyAlignment="0" applyProtection="0"/>
    <xf numFmtId="0" fontId="40" fillId="58" borderId="509" applyNumberFormat="0" applyFont="0" applyAlignment="0" applyProtection="0"/>
    <xf numFmtId="0" fontId="62" fillId="55" borderId="514" applyNumberFormat="0" applyAlignment="0" applyProtection="0"/>
    <xf numFmtId="0" fontId="65" fillId="0" borderId="508" applyNumberFormat="0" applyFill="0" applyAlignment="0" applyProtection="0"/>
    <xf numFmtId="0" fontId="32" fillId="33" borderId="510">
      <alignment horizontal="right" vertical="center"/>
    </xf>
    <xf numFmtId="0" fontId="5" fillId="58" borderId="509" applyNumberFormat="0" applyFont="0" applyAlignment="0" applyProtection="0"/>
    <xf numFmtId="4" fontId="34" fillId="0" borderId="510">
      <alignment horizontal="right" vertical="center"/>
    </xf>
    <xf numFmtId="0" fontId="65" fillId="0" borderId="508" applyNumberFormat="0" applyFill="0" applyAlignment="0" applyProtection="0"/>
    <xf numFmtId="0" fontId="32" fillId="33" borderId="510">
      <alignment horizontal="right" vertical="center"/>
    </xf>
    <xf numFmtId="0" fontId="32" fillId="33" borderId="510">
      <alignment horizontal="right" vertical="center"/>
    </xf>
    <xf numFmtId="4" fontId="36" fillId="31" borderId="510">
      <alignment horizontal="right" vertical="center"/>
    </xf>
    <xf numFmtId="0" fontId="32" fillId="31" borderId="510">
      <alignment horizontal="right" vertical="center"/>
    </xf>
    <xf numFmtId="4" fontId="32" fillId="31" borderId="510">
      <alignment horizontal="right" vertical="center"/>
    </xf>
    <xf numFmtId="0" fontId="36" fillId="31" borderId="510">
      <alignment horizontal="right" vertical="center"/>
    </xf>
    <xf numFmtId="4" fontId="36" fillId="31" borderId="510">
      <alignment horizontal="right" vertical="center"/>
    </xf>
    <xf numFmtId="0" fontId="32" fillId="33" borderId="510">
      <alignment horizontal="right" vertical="center"/>
    </xf>
    <xf numFmtId="4" fontId="32" fillId="33" borderId="510">
      <alignment horizontal="right" vertical="center"/>
    </xf>
    <xf numFmtId="0" fontId="32" fillId="33" borderId="510">
      <alignment horizontal="right" vertical="center"/>
    </xf>
    <xf numFmtId="4" fontId="32" fillId="33" borderId="510">
      <alignment horizontal="right" vertical="center"/>
    </xf>
    <xf numFmtId="0" fontId="32" fillId="33" borderId="511">
      <alignment horizontal="right" vertical="center"/>
    </xf>
    <xf numFmtId="4" fontId="32" fillId="33" borderId="511">
      <alignment horizontal="right" vertical="center"/>
    </xf>
    <xf numFmtId="0" fontId="32" fillId="33" borderId="512">
      <alignment horizontal="right" vertical="center"/>
    </xf>
    <xf numFmtId="4" fontId="32" fillId="33" borderId="512">
      <alignment horizontal="right" vertical="center"/>
    </xf>
    <xf numFmtId="0" fontId="46" fillId="55" borderId="507" applyNumberFormat="0" applyAlignment="0" applyProtection="0"/>
    <xf numFmtId="0" fontId="34" fillId="33" borderId="513">
      <alignment horizontal="left" vertical="center" wrapText="1" indent="2"/>
    </xf>
    <xf numFmtId="0" fontId="34" fillId="0" borderId="513">
      <alignment horizontal="left" vertical="center" wrapText="1" indent="2"/>
    </xf>
    <xf numFmtId="0" fontId="34" fillId="31" borderId="511">
      <alignment horizontal="left" vertical="center"/>
    </xf>
    <xf numFmtId="0" fontId="58" fillId="42" borderId="507" applyNumberFormat="0" applyAlignment="0" applyProtection="0"/>
    <xf numFmtId="0" fontId="34" fillId="0" borderId="510">
      <alignment horizontal="right" vertical="center"/>
    </xf>
    <xf numFmtId="4" fontId="34" fillId="0" borderId="510">
      <alignment horizontal="right" vertical="center"/>
    </xf>
    <xf numFmtId="0" fontId="34" fillId="0" borderId="510" applyNumberFormat="0" applyFill="0" applyAlignment="0" applyProtection="0"/>
    <xf numFmtId="0" fontId="62" fillId="55" borderId="514" applyNumberFormat="0" applyAlignment="0" applyProtection="0"/>
    <xf numFmtId="173" fontId="34" fillId="59" borderId="510" applyNumberFormat="0" applyFont="0" applyBorder="0" applyAlignment="0" applyProtection="0">
      <alignment horizontal="right" vertical="center"/>
    </xf>
    <xf numFmtId="0" fontId="34" fillId="32" borderId="510"/>
    <xf numFmtId="4" fontId="34" fillId="32" borderId="510"/>
    <xf numFmtId="0" fontId="65" fillId="0" borderId="508" applyNumberFormat="0" applyFill="0" applyAlignment="0" applyProtection="0"/>
    <xf numFmtId="0" fontId="5" fillId="58" borderId="509" applyNumberFormat="0" applyFont="0" applyAlignment="0" applyProtection="0"/>
    <xf numFmtId="0" fontId="40" fillId="58" borderId="509" applyNumberFormat="0" applyFont="0" applyAlignment="0" applyProtection="0"/>
    <xf numFmtId="0" fontId="34" fillId="0" borderId="510" applyNumberFormat="0" applyFill="0" applyAlignment="0" applyProtection="0"/>
    <xf numFmtId="0" fontId="50" fillId="0" borderId="508" applyNumberFormat="0" applyFill="0" applyAlignment="0" applyProtection="0"/>
    <xf numFmtId="0" fontId="65" fillId="0" borderId="508" applyNumberFormat="0" applyFill="0" applyAlignment="0" applyProtection="0"/>
    <xf numFmtId="0" fontId="49" fillId="42" borderId="507" applyNumberFormat="0" applyAlignment="0" applyProtection="0"/>
    <xf numFmtId="0" fontId="46" fillId="55" borderId="507" applyNumberFormat="0" applyAlignment="0" applyProtection="0"/>
    <xf numFmtId="4" fontId="36" fillId="31" borderId="510">
      <alignment horizontal="right" vertical="center"/>
    </xf>
    <xf numFmtId="0" fontId="32" fillId="31" borderId="510">
      <alignment horizontal="right" vertical="center"/>
    </xf>
    <xf numFmtId="173" fontId="34" fillId="59" borderId="510" applyNumberFormat="0" applyFont="0" applyBorder="0" applyAlignment="0" applyProtection="0">
      <alignment horizontal="right" vertical="center"/>
    </xf>
    <xf numFmtId="0" fontId="50" fillId="0" borderId="508" applyNumberFormat="0" applyFill="0" applyAlignment="0" applyProtection="0"/>
    <xf numFmtId="49" fontId="34" fillId="0" borderId="510" applyNumberFormat="0" applyFont="0" applyFill="0" applyBorder="0" applyProtection="0">
      <alignment horizontal="left" vertical="center" indent="2"/>
    </xf>
    <xf numFmtId="49" fontId="34" fillId="0" borderId="511" applyNumberFormat="0" applyFont="0" applyFill="0" applyBorder="0" applyProtection="0">
      <alignment horizontal="left" vertical="center" indent="5"/>
    </xf>
    <xf numFmtId="49" fontId="34" fillId="0" borderId="510" applyNumberFormat="0" applyFont="0" applyFill="0" applyBorder="0" applyProtection="0">
      <alignment horizontal="left" vertical="center" indent="2"/>
    </xf>
    <xf numFmtId="4" fontId="34" fillId="0" borderId="510" applyFill="0" applyBorder="0" applyProtection="0">
      <alignment horizontal="right" vertical="center"/>
    </xf>
    <xf numFmtId="49" fontId="33" fillId="0" borderId="510" applyNumberFormat="0" applyFill="0" applyBorder="0" applyProtection="0">
      <alignment horizontal="left" vertical="center"/>
    </xf>
    <xf numFmtId="0" fontId="34" fillId="0" borderId="513">
      <alignment horizontal="left" vertical="center" wrapText="1" indent="2"/>
    </xf>
    <xf numFmtId="0" fontId="62" fillId="55" borderId="514" applyNumberFormat="0" applyAlignment="0" applyProtection="0"/>
    <xf numFmtId="0" fontId="32" fillId="33" borderId="512">
      <alignment horizontal="right" vertical="center"/>
    </xf>
    <xf numFmtId="0" fontId="49" fillId="42" borderId="507" applyNumberFormat="0" applyAlignment="0" applyProtection="0"/>
    <xf numFmtId="0" fontId="32" fillId="33" borderId="512">
      <alignment horizontal="right" vertical="center"/>
    </xf>
    <xf numFmtId="4" fontId="32" fillId="33" borderId="510">
      <alignment horizontal="right" vertical="center"/>
    </xf>
    <xf numFmtId="0" fontId="32" fillId="33" borderId="510">
      <alignment horizontal="right" vertical="center"/>
    </xf>
    <xf numFmtId="0" fontId="43" fillId="55" borderId="514" applyNumberFormat="0" applyAlignment="0" applyProtection="0"/>
    <xf numFmtId="0" fontId="45" fillId="55" borderId="507" applyNumberFormat="0" applyAlignment="0" applyProtection="0"/>
    <xf numFmtId="0" fontId="50" fillId="0" borderId="508" applyNumberFormat="0" applyFill="0" applyAlignment="0" applyProtection="0"/>
    <xf numFmtId="0" fontId="34" fillId="32" borderId="510"/>
    <xf numFmtId="4" fontId="34" fillId="32" borderId="510"/>
    <xf numFmtId="4" fontId="32" fillId="33" borderId="510">
      <alignment horizontal="right" vertical="center"/>
    </xf>
    <xf numFmtId="0" fontId="36" fillId="31" borderId="510">
      <alignment horizontal="right" vertical="center"/>
    </xf>
    <xf numFmtId="0" fontId="49" fillId="42" borderId="507" applyNumberFormat="0" applyAlignment="0" applyProtection="0"/>
    <xf numFmtId="0" fontId="46" fillId="55" borderId="507" applyNumberFormat="0" applyAlignment="0" applyProtection="0"/>
    <xf numFmtId="4" fontId="34" fillId="0" borderId="510">
      <alignment horizontal="right" vertical="center"/>
    </xf>
    <xf numFmtId="0" fontId="34" fillId="33" borderId="513">
      <alignment horizontal="left" vertical="center" wrapText="1" indent="2"/>
    </xf>
    <xf numFmtId="0" fontId="34" fillId="0" borderId="513">
      <alignment horizontal="left" vertical="center" wrapText="1" indent="2"/>
    </xf>
    <xf numFmtId="0" fontId="62" fillId="55" borderId="514" applyNumberFormat="0" applyAlignment="0" applyProtection="0"/>
    <xf numFmtId="0" fontId="58" fillId="42" borderId="507" applyNumberFormat="0" applyAlignment="0" applyProtection="0"/>
    <xf numFmtId="0" fontId="45" fillId="55" borderId="507" applyNumberFormat="0" applyAlignment="0" applyProtection="0"/>
    <xf numFmtId="0" fontId="43" fillId="55" borderId="514" applyNumberFormat="0" applyAlignment="0" applyProtection="0"/>
    <xf numFmtId="0" fontId="32" fillId="33" borderId="512">
      <alignment horizontal="right" vertical="center"/>
    </xf>
    <xf numFmtId="0" fontId="36" fillId="31" borderId="510">
      <alignment horizontal="right" vertical="center"/>
    </xf>
    <xf numFmtId="4" fontId="32" fillId="31" borderId="510">
      <alignment horizontal="right" vertical="center"/>
    </xf>
    <xf numFmtId="4" fontId="32" fillId="33" borderId="510">
      <alignment horizontal="right" vertical="center"/>
    </xf>
    <xf numFmtId="49" fontId="34" fillId="0" borderId="511" applyNumberFormat="0" applyFont="0" applyFill="0" applyBorder="0" applyProtection="0">
      <alignment horizontal="left" vertical="center" indent="5"/>
    </xf>
    <xf numFmtId="4" fontId="34" fillId="0" borderId="510" applyFill="0" applyBorder="0" applyProtection="0">
      <alignment horizontal="right" vertical="center"/>
    </xf>
    <xf numFmtId="4" fontId="32" fillId="31" borderId="510">
      <alignment horizontal="right" vertical="center"/>
    </xf>
    <xf numFmtId="0" fontId="30" fillId="0" borderId="0" applyNumberFormat="0" applyFill="0" applyBorder="0" applyAlignment="0" applyProtection="0"/>
    <xf numFmtId="0" fontId="58" fillId="42" borderId="507" applyNumberFormat="0" applyAlignment="0" applyProtection="0"/>
    <xf numFmtId="0" fontId="49" fillId="42" borderId="507" applyNumberFormat="0" applyAlignment="0" applyProtection="0"/>
    <xf numFmtId="0" fontId="45" fillId="55" borderId="507" applyNumberFormat="0" applyAlignment="0" applyProtection="0"/>
    <xf numFmtId="0" fontId="34" fillId="33" borderId="513">
      <alignment horizontal="left" vertical="center" wrapText="1" indent="2"/>
    </xf>
    <xf numFmtId="0" fontId="34" fillId="0" borderId="513">
      <alignment horizontal="left" vertical="center" wrapText="1" indent="2"/>
    </xf>
    <xf numFmtId="0" fontId="34" fillId="33" borderId="513">
      <alignment horizontal="left" vertical="center" wrapText="1" indent="2"/>
    </xf>
    <xf numFmtId="0" fontId="34" fillId="0" borderId="513">
      <alignment horizontal="left" vertical="center" wrapText="1" indent="2"/>
    </xf>
    <xf numFmtId="0" fontId="43" fillId="55" borderId="514" applyNumberFormat="0" applyAlignment="0" applyProtection="0"/>
    <xf numFmtId="0" fontId="45" fillId="55" borderId="507" applyNumberFormat="0" applyAlignment="0" applyProtection="0"/>
    <xf numFmtId="0" fontId="46" fillId="55" borderId="507" applyNumberFormat="0" applyAlignment="0" applyProtection="0"/>
    <xf numFmtId="0" fontId="49" fillId="42" borderId="507" applyNumberFormat="0" applyAlignment="0" applyProtection="0"/>
    <xf numFmtId="0" fontId="50" fillId="0" borderId="508" applyNumberFormat="0" applyFill="0" applyAlignment="0" applyProtection="0"/>
    <xf numFmtId="0" fontId="58" fillId="42" borderId="507" applyNumberFormat="0" applyAlignment="0" applyProtection="0"/>
    <xf numFmtId="0" fontId="40" fillId="58" borderId="509" applyNumberFormat="0" applyFont="0" applyAlignment="0" applyProtection="0"/>
    <xf numFmtId="0" fontId="5" fillId="58" borderId="509" applyNumberFormat="0" applyFont="0" applyAlignment="0" applyProtection="0"/>
    <xf numFmtId="0" fontId="62" fillId="55" borderId="514" applyNumberFormat="0" applyAlignment="0" applyProtection="0"/>
    <xf numFmtId="0" fontId="65" fillId="0" borderId="508" applyNumberFormat="0" applyFill="0" applyAlignment="0" applyProtection="0"/>
    <xf numFmtId="0" fontId="46" fillId="55" borderId="507" applyNumberFormat="0" applyAlignment="0" applyProtection="0"/>
    <xf numFmtId="0" fontId="58" fillId="42" borderId="507" applyNumberFormat="0" applyAlignment="0" applyProtection="0"/>
    <xf numFmtId="0" fontId="40" fillId="58" borderId="509" applyNumberFormat="0" applyFont="0" applyAlignment="0" applyProtection="0"/>
    <xf numFmtId="0" fontId="62" fillId="55" borderId="514" applyNumberFormat="0" applyAlignment="0" applyProtection="0"/>
    <xf numFmtId="0" fontId="65" fillId="0" borderId="508" applyNumberFormat="0" applyFill="0" applyAlignment="0" applyProtection="0"/>
    <xf numFmtId="0" fontId="62" fillId="55" borderId="523" applyNumberFormat="0" applyAlignment="0" applyProtection="0"/>
    <xf numFmtId="0" fontId="29" fillId="12" borderId="10" applyNumberFormat="0" applyAlignment="0" applyProtection="0"/>
    <xf numFmtId="0" fontId="50" fillId="0" borderId="540" applyNumberFormat="0" applyFill="0" applyAlignment="0" applyProtection="0"/>
    <xf numFmtId="0" fontId="46" fillId="55" borderId="507" applyNumberFormat="0" applyAlignment="0" applyProtection="0"/>
    <xf numFmtId="0" fontId="32" fillId="33" borderId="516">
      <alignment horizontal="right" vertical="center"/>
    </xf>
    <xf numFmtId="4" fontId="32" fillId="31" borderId="516">
      <alignment horizontal="right" vertical="center"/>
    </xf>
    <xf numFmtId="0" fontId="49" fillId="42" borderId="532" applyNumberFormat="0" applyAlignment="0" applyProtection="0"/>
    <xf numFmtId="0" fontId="58" fillId="42" borderId="507" applyNumberFormat="0" applyAlignment="0" applyProtection="0"/>
    <xf numFmtId="0" fontId="62" fillId="55" borderId="514" applyNumberFormat="0" applyAlignment="0" applyProtection="0"/>
    <xf numFmtId="0" fontId="65" fillId="0" borderId="508" applyNumberFormat="0" applyFill="0" applyAlignment="0" applyProtection="0"/>
    <xf numFmtId="0" fontId="43" fillId="55" borderId="514" applyNumberFormat="0" applyAlignment="0" applyProtection="0"/>
    <xf numFmtId="0" fontId="45" fillId="55" borderId="507" applyNumberFormat="0" applyAlignment="0" applyProtection="0"/>
    <xf numFmtId="0" fontId="50" fillId="0" borderId="508" applyNumberFormat="0" applyFill="0" applyAlignment="0" applyProtection="0"/>
    <xf numFmtId="49" fontId="34" fillId="0" borderId="510" applyNumberFormat="0" applyFont="0" applyFill="0" applyBorder="0" applyProtection="0">
      <alignment horizontal="left" vertical="center" indent="2"/>
    </xf>
    <xf numFmtId="0" fontId="32" fillId="31" borderId="510">
      <alignment horizontal="right" vertical="center"/>
    </xf>
    <xf numFmtId="4" fontId="32" fillId="31" borderId="510">
      <alignment horizontal="right" vertical="center"/>
    </xf>
    <xf numFmtId="0" fontId="36" fillId="31" borderId="510">
      <alignment horizontal="right" vertical="center"/>
    </xf>
    <xf numFmtId="4" fontId="36" fillId="31" borderId="510">
      <alignment horizontal="right" vertical="center"/>
    </xf>
    <xf numFmtId="0" fontId="32" fillId="33" borderId="510">
      <alignment horizontal="right" vertical="center"/>
    </xf>
    <xf numFmtId="4" fontId="32" fillId="33" borderId="510">
      <alignment horizontal="right" vertical="center"/>
    </xf>
    <xf numFmtId="0" fontId="32" fillId="33" borderId="510">
      <alignment horizontal="right" vertical="center"/>
    </xf>
    <xf numFmtId="4" fontId="32" fillId="33" borderId="510">
      <alignment horizontal="right" vertical="center"/>
    </xf>
    <xf numFmtId="0" fontId="49" fillId="42" borderId="507" applyNumberFormat="0" applyAlignment="0" applyProtection="0"/>
    <xf numFmtId="0" fontId="34" fillId="0" borderId="510">
      <alignment horizontal="right" vertical="center"/>
    </xf>
    <xf numFmtId="4" fontId="34" fillId="0" borderId="510">
      <alignment horizontal="right" vertical="center"/>
    </xf>
    <xf numFmtId="4" fontId="34" fillId="0" borderId="510" applyFill="0" applyBorder="0" applyProtection="0">
      <alignment horizontal="right" vertical="center"/>
    </xf>
    <xf numFmtId="49" fontId="33" fillId="0" borderId="510" applyNumberFormat="0" applyFill="0" applyBorder="0" applyProtection="0">
      <alignment horizontal="left" vertical="center"/>
    </xf>
    <xf numFmtId="0" fontId="34" fillId="0" borderId="510" applyNumberFormat="0" applyFill="0" applyAlignment="0" applyProtection="0"/>
    <xf numFmtId="173" fontId="34" fillId="59" borderId="510" applyNumberFormat="0" applyFont="0" applyBorder="0" applyAlignment="0" applyProtection="0">
      <alignment horizontal="right" vertical="center"/>
    </xf>
    <xf numFmtId="0" fontId="34" fillId="32" borderId="510"/>
    <xf numFmtId="4" fontId="34" fillId="32" borderId="510"/>
    <xf numFmtId="4" fontId="32" fillId="33" borderId="510">
      <alignment horizontal="right" vertical="center"/>
    </xf>
    <xf numFmtId="0" fontId="34" fillId="32" borderId="510"/>
    <xf numFmtId="0" fontId="45" fillId="55" borderId="507" applyNumberFormat="0" applyAlignment="0" applyProtection="0"/>
    <xf numFmtId="0" fontId="32" fillId="31" borderId="510">
      <alignment horizontal="right" vertical="center"/>
    </xf>
    <xf numFmtId="0" fontId="34" fillId="0" borderId="510">
      <alignment horizontal="right" vertical="center"/>
    </xf>
    <xf numFmtId="0" fontId="65" fillId="0" borderId="508" applyNumberFormat="0" applyFill="0" applyAlignment="0" applyProtection="0"/>
    <xf numFmtId="0" fontId="34" fillId="31" borderId="511">
      <alignment horizontal="left" vertical="center"/>
    </xf>
    <xf numFmtId="0" fontId="58" fillId="42" borderId="507" applyNumberFormat="0" applyAlignment="0" applyProtection="0"/>
    <xf numFmtId="173" fontId="34" fillId="59" borderId="510" applyNumberFormat="0" applyFont="0" applyBorder="0" applyAlignment="0" applyProtection="0">
      <alignment horizontal="right" vertical="center"/>
    </xf>
    <xf numFmtId="0" fontId="40" fillId="58" borderId="509" applyNumberFormat="0" applyFont="0" applyAlignment="0" applyProtection="0"/>
    <xf numFmtId="0" fontId="34" fillId="0" borderId="513">
      <alignment horizontal="left" vertical="center" wrapText="1" indent="2"/>
    </xf>
    <xf numFmtId="4" fontId="34" fillId="32" borderId="510"/>
    <xf numFmtId="49" fontId="33" fillId="0" borderId="510" applyNumberFormat="0" applyFill="0" applyBorder="0" applyProtection="0">
      <alignment horizontal="left" vertical="center"/>
    </xf>
    <xf numFmtId="0" fontId="34" fillId="0" borderId="510">
      <alignment horizontal="right" vertical="center"/>
    </xf>
    <xf numFmtId="4" fontId="32" fillId="33" borderId="512">
      <alignment horizontal="right" vertical="center"/>
    </xf>
    <xf numFmtId="4" fontId="32" fillId="33" borderId="510">
      <alignment horizontal="right" vertical="center"/>
    </xf>
    <xf numFmtId="4" fontId="32" fillId="33" borderId="510">
      <alignment horizontal="right" vertical="center"/>
    </xf>
    <xf numFmtId="0" fontId="36" fillId="31" borderId="510">
      <alignment horizontal="right" vertical="center"/>
    </xf>
    <xf numFmtId="0" fontId="32" fillId="31" borderId="510">
      <alignment horizontal="right" vertical="center"/>
    </xf>
    <xf numFmtId="49" fontId="34" fillId="0" borderId="510" applyNumberFormat="0" applyFont="0" applyFill="0" applyBorder="0" applyProtection="0">
      <alignment horizontal="left" vertical="center" indent="2"/>
    </xf>
    <xf numFmtId="0" fontId="58" fillId="42" borderId="507" applyNumberFormat="0" applyAlignment="0" applyProtection="0"/>
    <xf numFmtId="0" fontId="43" fillId="55" borderId="514" applyNumberFormat="0" applyAlignment="0" applyProtection="0"/>
    <xf numFmtId="49" fontId="34" fillId="0" borderId="510" applyNumberFormat="0" applyFont="0" applyFill="0" applyBorder="0" applyProtection="0">
      <alignment horizontal="left" vertical="center" indent="2"/>
    </xf>
    <xf numFmtId="0" fontId="49" fillId="42" borderId="507" applyNumberFormat="0" applyAlignment="0" applyProtection="0"/>
    <xf numFmtId="4" fontId="34" fillId="0" borderId="510" applyFill="0" applyBorder="0" applyProtection="0">
      <alignment horizontal="right" vertical="center"/>
    </xf>
    <xf numFmtId="0" fontId="46" fillId="55" borderId="507" applyNumberFormat="0" applyAlignment="0" applyProtection="0"/>
    <xf numFmtId="0" fontId="65" fillId="0" borderId="508" applyNumberFormat="0" applyFill="0" applyAlignment="0" applyProtection="0"/>
    <xf numFmtId="0" fontId="62" fillId="55" borderId="514" applyNumberFormat="0" applyAlignment="0" applyProtection="0"/>
    <xf numFmtId="0" fontId="34" fillId="0" borderId="510" applyNumberFormat="0" applyFill="0" applyAlignment="0" applyProtection="0"/>
    <xf numFmtId="4" fontId="34" fillId="0" borderId="510">
      <alignment horizontal="right" vertical="center"/>
    </xf>
    <xf numFmtId="0" fontId="34" fillId="0" borderId="510">
      <alignment horizontal="right" vertical="center"/>
    </xf>
    <xf numFmtId="0" fontId="58" fillId="42" borderId="507" applyNumberFormat="0" applyAlignment="0" applyProtection="0"/>
    <xf numFmtId="0" fontId="43" fillId="55" borderId="514" applyNumberFormat="0" applyAlignment="0" applyProtection="0"/>
    <xf numFmtId="0" fontId="45" fillId="55" borderId="507" applyNumberFormat="0" applyAlignment="0" applyProtection="0"/>
    <xf numFmtId="0" fontId="34" fillId="33" borderId="513">
      <alignment horizontal="left" vertical="center" wrapText="1" indent="2"/>
    </xf>
    <xf numFmtId="0" fontId="46" fillId="55" borderId="507" applyNumberFormat="0" applyAlignment="0" applyProtection="0"/>
    <xf numFmtId="0" fontId="46" fillId="55" borderId="507" applyNumberFormat="0" applyAlignment="0" applyProtection="0"/>
    <xf numFmtId="4" fontId="32" fillId="33" borderId="511">
      <alignment horizontal="right" vertical="center"/>
    </xf>
    <xf numFmtId="0" fontId="32" fillId="33" borderId="511">
      <alignment horizontal="right" vertical="center"/>
    </xf>
    <xf numFmtId="0" fontId="32" fillId="33" borderId="510">
      <alignment horizontal="right" vertical="center"/>
    </xf>
    <xf numFmtId="4" fontId="36" fillId="31" borderId="510">
      <alignment horizontal="right" vertical="center"/>
    </xf>
    <xf numFmtId="0" fontId="49" fillId="42" borderId="507" applyNumberFormat="0" applyAlignment="0" applyProtection="0"/>
    <xf numFmtId="0" fontId="50" fillId="0" borderId="508" applyNumberFormat="0" applyFill="0" applyAlignment="0" applyProtection="0"/>
    <xf numFmtId="0" fontId="65" fillId="0" borderId="508" applyNumberFormat="0" applyFill="0" applyAlignment="0" applyProtection="0"/>
    <xf numFmtId="0" fontId="40" fillId="58" borderId="509" applyNumberFormat="0" applyFont="0" applyAlignment="0" applyProtection="0"/>
    <xf numFmtId="0" fontId="58" fillId="42" borderId="507" applyNumberFormat="0" applyAlignment="0" applyProtection="0"/>
    <xf numFmtId="49" fontId="33" fillId="0" borderId="510" applyNumberFormat="0" applyFill="0" applyBorder="0" applyProtection="0">
      <alignment horizontal="left" vertical="center"/>
    </xf>
    <xf numFmtId="0" fontId="34" fillId="33" borderId="513">
      <alignment horizontal="left" vertical="center" wrapText="1" indent="2"/>
    </xf>
    <xf numFmtId="0" fontId="46" fillId="55" borderId="507" applyNumberFormat="0" applyAlignment="0" applyProtection="0"/>
    <xf numFmtId="0" fontId="34" fillId="0" borderId="513">
      <alignment horizontal="left" vertical="center" wrapText="1" indent="2"/>
    </xf>
    <xf numFmtId="0" fontId="40" fillId="58" borderId="509" applyNumberFormat="0" applyFont="0" applyAlignment="0" applyProtection="0"/>
    <xf numFmtId="0" fontId="5" fillId="58" borderId="509" applyNumberFormat="0" applyFont="0" applyAlignment="0" applyProtection="0"/>
    <xf numFmtId="0" fontId="62" fillId="55" borderId="514" applyNumberFormat="0" applyAlignment="0" applyProtection="0"/>
    <xf numFmtId="0" fontId="65" fillId="0" borderId="508" applyNumberFormat="0" applyFill="0" applyAlignment="0" applyProtection="0"/>
    <xf numFmtId="4" fontId="34" fillId="32" borderId="510"/>
    <xf numFmtId="0" fontId="32" fillId="33" borderId="510">
      <alignment horizontal="right" vertical="center"/>
    </xf>
    <xf numFmtId="0" fontId="65" fillId="0" borderId="508" applyNumberFormat="0" applyFill="0" applyAlignment="0" applyProtection="0"/>
    <xf numFmtId="4" fontId="32" fillId="33" borderId="512">
      <alignment horizontal="right" vertical="center"/>
    </xf>
    <xf numFmtId="0" fontId="45" fillId="55" borderId="507" applyNumberFormat="0" applyAlignment="0" applyProtection="0"/>
    <xf numFmtId="0" fontId="32" fillId="33" borderId="511">
      <alignment horizontal="right" vertical="center"/>
    </xf>
    <xf numFmtId="0" fontId="46" fillId="55" borderId="507" applyNumberFormat="0" applyAlignment="0" applyProtection="0"/>
    <xf numFmtId="0" fontId="50" fillId="0" borderId="508" applyNumberFormat="0" applyFill="0" applyAlignment="0" applyProtection="0"/>
    <xf numFmtId="0" fontId="40" fillId="58" borderId="509" applyNumberFormat="0" applyFont="0" applyAlignment="0" applyProtection="0"/>
    <xf numFmtId="4" fontId="32" fillId="33" borderId="511">
      <alignment horizontal="right" vertical="center"/>
    </xf>
    <xf numFmtId="0" fontId="34" fillId="33" borderId="513">
      <alignment horizontal="left" vertical="center" wrapText="1" indent="2"/>
    </xf>
    <xf numFmtId="0" fontId="34" fillId="32" borderId="510"/>
    <xf numFmtId="173" fontId="34" fillId="59" borderId="510" applyNumberFormat="0" applyFont="0" applyBorder="0" applyAlignment="0" applyProtection="0">
      <alignment horizontal="right" vertical="center"/>
    </xf>
    <xf numFmtId="0" fontId="34" fillId="0" borderId="510" applyNumberFormat="0" applyFill="0" applyAlignment="0" applyProtection="0"/>
    <xf numFmtId="4" fontId="34" fillId="0" borderId="510" applyFill="0" applyBorder="0" applyProtection="0">
      <alignment horizontal="right" vertical="center"/>
    </xf>
    <xf numFmtId="4" fontId="32" fillId="31" borderId="510">
      <alignment horizontal="right" vertical="center"/>
    </xf>
    <xf numFmtId="0" fontId="50" fillId="0" borderId="508" applyNumberFormat="0" applyFill="0" applyAlignment="0" applyProtection="0"/>
    <xf numFmtId="49" fontId="33" fillId="0" borderId="510" applyNumberFormat="0" applyFill="0" applyBorder="0" applyProtection="0">
      <alignment horizontal="left" vertical="center"/>
    </xf>
    <xf numFmtId="49" fontId="34" fillId="0" borderId="511" applyNumberFormat="0" applyFont="0" applyFill="0" applyBorder="0" applyProtection="0">
      <alignment horizontal="left" vertical="center" indent="5"/>
    </xf>
    <xf numFmtId="0" fontId="34" fillId="31" borderId="511">
      <alignment horizontal="left" vertical="center"/>
    </xf>
    <xf numFmtId="0" fontId="46" fillId="55" borderId="507" applyNumberFormat="0" applyAlignment="0" applyProtection="0"/>
    <xf numFmtId="4" fontId="32" fillId="33" borderId="512">
      <alignment horizontal="right" vertical="center"/>
    </xf>
    <xf numFmtId="0" fontId="58" fillId="42" borderId="507" applyNumberFormat="0" applyAlignment="0" applyProtection="0"/>
    <xf numFmtId="0" fontId="58" fillId="42" borderId="507" applyNumberFormat="0" applyAlignment="0" applyProtection="0"/>
    <xf numFmtId="0" fontId="40" fillId="58" borderId="509" applyNumberFormat="0" applyFont="0" applyAlignment="0" applyProtection="0"/>
    <xf numFmtId="0" fontId="62" fillId="55" borderId="514" applyNumberFormat="0" applyAlignment="0" applyProtection="0"/>
    <xf numFmtId="0" fontId="65" fillId="0" borderId="508" applyNumberFormat="0" applyFill="0" applyAlignment="0" applyProtection="0"/>
    <xf numFmtId="0" fontId="32" fillId="33" borderId="510">
      <alignment horizontal="right" vertical="center"/>
    </xf>
    <xf numFmtId="0" fontId="5" fillId="58" borderId="509" applyNumberFormat="0" applyFont="0" applyAlignment="0" applyProtection="0"/>
    <xf numFmtId="4" fontId="34" fillId="0" borderId="510">
      <alignment horizontal="right" vertical="center"/>
    </xf>
    <xf numFmtId="0" fontId="65" fillId="0" borderId="508" applyNumberFormat="0" applyFill="0" applyAlignment="0" applyProtection="0"/>
    <xf numFmtId="0" fontId="32" fillId="33" borderId="510">
      <alignment horizontal="right" vertical="center"/>
    </xf>
    <xf numFmtId="0" fontId="32" fillId="33" borderId="510">
      <alignment horizontal="right" vertical="center"/>
    </xf>
    <xf numFmtId="4" fontId="36" fillId="31" borderId="510">
      <alignment horizontal="right" vertical="center"/>
    </xf>
    <xf numFmtId="0" fontId="32" fillId="31" borderId="510">
      <alignment horizontal="right" vertical="center"/>
    </xf>
    <xf numFmtId="4" fontId="32" fillId="31" borderId="510">
      <alignment horizontal="right" vertical="center"/>
    </xf>
    <xf numFmtId="0" fontId="36" fillId="31" borderId="510">
      <alignment horizontal="right" vertical="center"/>
    </xf>
    <xf numFmtId="4" fontId="36" fillId="31" borderId="510">
      <alignment horizontal="right" vertical="center"/>
    </xf>
    <xf numFmtId="0" fontId="32" fillId="33" borderId="510">
      <alignment horizontal="right" vertical="center"/>
    </xf>
    <xf numFmtId="4" fontId="32" fillId="33" borderId="510">
      <alignment horizontal="right" vertical="center"/>
    </xf>
    <xf numFmtId="0" fontId="32" fillId="33" borderId="510">
      <alignment horizontal="right" vertical="center"/>
    </xf>
    <xf numFmtId="4" fontId="32" fillId="33" borderId="510">
      <alignment horizontal="right" vertical="center"/>
    </xf>
    <xf numFmtId="0" fontId="32" fillId="33" borderId="511">
      <alignment horizontal="right" vertical="center"/>
    </xf>
    <xf numFmtId="4" fontId="32" fillId="33" borderId="511">
      <alignment horizontal="right" vertical="center"/>
    </xf>
    <xf numFmtId="0" fontId="32" fillId="33" borderId="512">
      <alignment horizontal="right" vertical="center"/>
    </xf>
    <xf numFmtId="4" fontId="32" fillId="33" borderId="512">
      <alignment horizontal="right" vertical="center"/>
    </xf>
    <xf numFmtId="0" fontId="46" fillId="55" borderId="507" applyNumberFormat="0" applyAlignment="0" applyProtection="0"/>
    <xf numFmtId="0" fontId="34" fillId="33" borderId="513">
      <alignment horizontal="left" vertical="center" wrapText="1" indent="2"/>
    </xf>
    <xf numFmtId="0" fontId="34" fillId="0" borderId="513">
      <alignment horizontal="left" vertical="center" wrapText="1" indent="2"/>
    </xf>
    <xf numFmtId="0" fontId="34" fillId="31" borderId="511">
      <alignment horizontal="left" vertical="center"/>
    </xf>
    <xf numFmtId="0" fontId="58" fillId="42" borderId="507" applyNumberFormat="0" applyAlignment="0" applyProtection="0"/>
    <xf numFmtId="0" fontId="34" fillId="0" borderId="510">
      <alignment horizontal="right" vertical="center"/>
    </xf>
    <xf numFmtId="4" fontId="34" fillId="0" borderId="510">
      <alignment horizontal="right" vertical="center"/>
    </xf>
    <xf numFmtId="0" fontId="34" fillId="0" borderId="510" applyNumberFormat="0" applyFill="0" applyAlignment="0" applyProtection="0"/>
    <xf numFmtId="0" fontId="62" fillId="55" borderId="514" applyNumberFormat="0" applyAlignment="0" applyProtection="0"/>
    <xf numFmtId="173" fontId="34" fillId="59" borderId="510" applyNumberFormat="0" applyFont="0" applyBorder="0" applyAlignment="0" applyProtection="0">
      <alignment horizontal="right" vertical="center"/>
    </xf>
    <xf numFmtId="0" fontId="34" fillId="32" borderId="510"/>
    <xf numFmtId="4" fontId="34" fillId="32" borderId="510"/>
    <xf numFmtId="0" fontId="65" fillId="0" borderId="508" applyNumberFormat="0" applyFill="0" applyAlignment="0" applyProtection="0"/>
    <xf numFmtId="0" fontId="5" fillId="58" borderId="509" applyNumberFormat="0" applyFont="0" applyAlignment="0" applyProtection="0"/>
    <xf numFmtId="0" fontId="40" fillId="58" borderId="509" applyNumberFormat="0" applyFont="0" applyAlignment="0" applyProtection="0"/>
    <xf numFmtId="0" fontId="34" fillId="0" borderId="510" applyNumberFormat="0" applyFill="0" applyAlignment="0" applyProtection="0"/>
    <xf numFmtId="0" fontId="50" fillId="0" borderId="508" applyNumberFormat="0" applyFill="0" applyAlignment="0" applyProtection="0"/>
    <xf numFmtId="0" fontId="65" fillId="0" borderId="508" applyNumberFormat="0" applyFill="0" applyAlignment="0" applyProtection="0"/>
    <xf numFmtId="0" fontId="49" fillId="42" borderId="507" applyNumberFormat="0" applyAlignment="0" applyProtection="0"/>
    <xf numFmtId="0" fontId="46" fillId="55" borderId="507" applyNumberFormat="0" applyAlignment="0" applyProtection="0"/>
    <xf numFmtId="4" fontId="36" fillId="31" borderId="510">
      <alignment horizontal="right" vertical="center"/>
    </xf>
    <xf numFmtId="0" fontId="32" fillId="31" borderId="510">
      <alignment horizontal="right" vertical="center"/>
    </xf>
    <xf numFmtId="173" fontId="34" fillId="59" borderId="510" applyNumberFormat="0" applyFont="0" applyBorder="0" applyAlignment="0" applyProtection="0">
      <alignment horizontal="right" vertical="center"/>
    </xf>
    <xf numFmtId="0" fontId="50" fillId="0" borderId="508" applyNumberFormat="0" applyFill="0" applyAlignment="0" applyProtection="0"/>
    <xf numFmtId="49" fontId="34" fillId="0" borderId="510" applyNumberFormat="0" applyFont="0" applyFill="0" applyBorder="0" applyProtection="0">
      <alignment horizontal="left" vertical="center" indent="2"/>
    </xf>
    <xf numFmtId="49" fontId="34" fillId="0" borderId="511" applyNumberFormat="0" applyFont="0" applyFill="0" applyBorder="0" applyProtection="0">
      <alignment horizontal="left" vertical="center" indent="5"/>
    </xf>
    <xf numFmtId="49" fontId="34" fillId="0" borderId="510" applyNumberFormat="0" applyFont="0" applyFill="0" applyBorder="0" applyProtection="0">
      <alignment horizontal="left" vertical="center" indent="2"/>
    </xf>
    <xf numFmtId="4" fontId="34" fillId="0" borderId="510" applyFill="0" applyBorder="0" applyProtection="0">
      <alignment horizontal="right" vertical="center"/>
    </xf>
    <xf numFmtId="49" fontId="33" fillId="0" borderId="510" applyNumberFormat="0" applyFill="0" applyBorder="0" applyProtection="0">
      <alignment horizontal="left" vertical="center"/>
    </xf>
    <xf numFmtId="0" fontId="34" fillId="0" borderId="513">
      <alignment horizontal="left" vertical="center" wrapText="1" indent="2"/>
    </xf>
    <xf numFmtId="0" fontId="62" fillId="55" borderId="514" applyNumberFormat="0" applyAlignment="0" applyProtection="0"/>
    <xf numFmtId="0" fontId="32" fillId="33" borderId="512">
      <alignment horizontal="right" vertical="center"/>
    </xf>
    <xf numFmtId="0" fontId="49" fillId="42" borderId="507" applyNumberFormat="0" applyAlignment="0" applyProtection="0"/>
    <xf numFmtId="0" fontId="32" fillId="33" borderId="512">
      <alignment horizontal="right" vertical="center"/>
    </xf>
    <xf numFmtId="4" fontId="32" fillId="33" borderId="510">
      <alignment horizontal="right" vertical="center"/>
    </xf>
    <xf numFmtId="0" fontId="32" fillId="33" borderId="510">
      <alignment horizontal="right" vertical="center"/>
    </xf>
    <xf numFmtId="0" fontId="43" fillId="55" borderId="514" applyNumberFormat="0" applyAlignment="0" applyProtection="0"/>
    <xf numFmtId="0" fontId="45" fillId="55" borderId="507" applyNumberFormat="0" applyAlignment="0" applyProtection="0"/>
    <xf numFmtId="0" fontId="50" fillId="0" borderId="508" applyNumberFormat="0" applyFill="0" applyAlignment="0" applyProtection="0"/>
    <xf numFmtId="0" fontId="34" fillId="32" borderId="510"/>
    <xf numFmtId="4" fontId="34" fillId="32" borderId="510"/>
    <xf numFmtId="4" fontId="32" fillId="33" borderId="510">
      <alignment horizontal="right" vertical="center"/>
    </xf>
    <xf numFmtId="0" fontId="36" fillId="31" borderId="510">
      <alignment horizontal="right" vertical="center"/>
    </xf>
    <xf numFmtId="0" fontId="49" fillId="42" borderId="507" applyNumberFormat="0" applyAlignment="0" applyProtection="0"/>
    <xf numFmtId="0" fontId="46" fillId="55" borderId="507" applyNumberFormat="0" applyAlignment="0" applyProtection="0"/>
    <xf numFmtId="4" fontId="34" fillId="0" borderId="510">
      <alignment horizontal="right" vertical="center"/>
    </xf>
    <xf numFmtId="0" fontId="34" fillId="33" borderId="513">
      <alignment horizontal="left" vertical="center" wrapText="1" indent="2"/>
    </xf>
    <xf numFmtId="0" fontId="34" fillId="0" borderId="513">
      <alignment horizontal="left" vertical="center" wrapText="1" indent="2"/>
    </xf>
    <xf numFmtId="0" fontId="62" fillId="55" borderId="514" applyNumberFormat="0" applyAlignment="0" applyProtection="0"/>
    <xf numFmtId="0" fontId="58" fillId="42" borderId="507" applyNumberFormat="0" applyAlignment="0" applyProtection="0"/>
    <xf numFmtId="0" fontId="45" fillId="55" borderId="507" applyNumberFormat="0" applyAlignment="0" applyProtection="0"/>
    <xf numFmtId="0" fontId="43" fillId="55" borderId="514" applyNumberFormat="0" applyAlignment="0" applyProtection="0"/>
    <xf numFmtId="0" fontId="32" fillId="33" borderId="512">
      <alignment horizontal="right" vertical="center"/>
    </xf>
    <xf numFmtId="0" fontId="36" fillId="31" borderId="510">
      <alignment horizontal="right" vertical="center"/>
    </xf>
    <xf numFmtId="4" fontId="32" fillId="31" borderId="510">
      <alignment horizontal="right" vertical="center"/>
    </xf>
    <xf numFmtId="4" fontId="32" fillId="33" borderId="510">
      <alignment horizontal="right" vertical="center"/>
    </xf>
    <xf numFmtId="49" fontId="34" fillId="0" borderId="511" applyNumberFormat="0" applyFont="0" applyFill="0" applyBorder="0" applyProtection="0">
      <alignment horizontal="left" vertical="center" indent="5"/>
    </xf>
    <xf numFmtId="4" fontId="34" fillId="0" borderId="510" applyFill="0" applyBorder="0" applyProtection="0">
      <alignment horizontal="right" vertical="center"/>
    </xf>
    <xf numFmtId="4" fontId="32" fillId="31" borderId="510">
      <alignment horizontal="right" vertical="center"/>
    </xf>
    <xf numFmtId="0" fontId="58" fillId="42" borderId="507" applyNumberFormat="0" applyAlignment="0" applyProtection="0"/>
    <xf numFmtId="0" fontId="49" fillId="42" borderId="507" applyNumberFormat="0" applyAlignment="0" applyProtection="0"/>
    <xf numFmtId="0" fontId="45" fillId="55" borderId="507" applyNumberFormat="0" applyAlignment="0" applyProtection="0"/>
    <xf numFmtId="0" fontId="34" fillId="33" borderId="513">
      <alignment horizontal="left" vertical="center" wrapText="1" indent="2"/>
    </xf>
    <xf numFmtId="0" fontId="34" fillId="0" borderId="513">
      <alignment horizontal="left" vertical="center" wrapText="1" indent="2"/>
    </xf>
    <xf numFmtId="0" fontId="34" fillId="33" borderId="513">
      <alignment horizontal="left" vertical="center" wrapText="1" indent="2"/>
    </xf>
    <xf numFmtId="0" fontId="36" fillId="31" borderId="516">
      <alignment horizontal="right" vertical="center"/>
    </xf>
    <xf numFmtId="0" fontId="34" fillId="32" borderId="535"/>
    <xf numFmtId="49" fontId="34" fillId="0" borderId="535" applyNumberFormat="0" applyFont="0" applyFill="0" applyBorder="0" applyProtection="0">
      <alignment horizontal="left" vertical="center" indent="2"/>
    </xf>
    <xf numFmtId="0" fontId="46" fillId="55" borderId="532" applyNumberFormat="0" applyAlignment="0" applyProtection="0"/>
    <xf numFmtId="49" fontId="34" fillId="0" borderId="535" applyNumberFormat="0" applyFont="0" applyFill="0" applyBorder="0" applyProtection="0">
      <alignment horizontal="left" vertical="center" indent="2"/>
    </xf>
    <xf numFmtId="49" fontId="33" fillId="0" borderId="535" applyNumberFormat="0" applyFill="0" applyBorder="0" applyProtection="0">
      <alignment horizontal="left" vertical="center"/>
    </xf>
    <xf numFmtId="0" fontId="43" fillId="55" borderId="531" applyNumberFormat="0" applyAlignment="0" applyProtection="0"/>
    <xf numFmtId="0" fontId="34" fillId="32" borderId="535"/>
    <xf numFmtId="0" fontId="1" fillId="0" borderId="0" applyNumberFormat="0" applyFill="0" applyBorder="0" applyAlignment="0" applyProtection="0"/>
    <xf numFmtId="0" fontId="34" fillId="33" borderId="538">
      <alignment horizontal="left" vertical="center" wrapText="1" indent="2"/>
    </xf>
    <xf numFmtId="4" fontId="32" fillId="33" borderId="535">
      <alignment horizontal="right" vertical="center"/>
    </xf>
    <xf numFmtId="4" fontId="34" fillId="0" borderId="535" applyFill="0" applyBorder="0" applyProtection="0">
      <alignment horizontal="right" vertical="center"/>
    </xf>
    <xf numFmtId="0" fontId="32" fillId="33" borderId="537">
      <alignment horizontal="right" vertical="center"/>
    </xf>
    <xf numFmtId="173" fontId="34" fillId="59" borderId="535" applyNumberFormat="0" applyFont="0" applyBorder="0" applyAlignment="0" applyProtection="0">
      <alignment horizontal="right" vertical="center"/>
    </xf>
    <xf numFmtId="0" fontId="34" fillId="0" borderId="542" applyNumberFormat="0" applyFill="0" applyAlignment="0" applyProtection="0"/>
    <xf numFmtId="0" fontId="12" fillId="21" borderId="0" applyNumberFormat="0" applyBorder="0" applyAlignment="0" applyProtection="0"/>
    <xf numFmtId="0" fontId="34" fillId="33" borderId="538">
      <alignment horizontal="left" vertical="center" wrapText="1" indent="2"/>
    </xf>
    <xf numFmtId="0" fontId="26" fillId="19" borderId="0" applyNumberFormat="0" applyBorder="0" applyAlignment="0" applyProtection="0"/>
    <xf numFmtId="0" fontId="34" fillId="0" borderId="535" applyNumberFormat="0" applyFill="0" applyAlignment="0" applyProtection="0"/>
    <xf numFmtId="0" fontId="12" fillId="27"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538">
      <alignment horizontal="left" vertical="center" wrapText="1" indent="2"/>
    </xf>
    <xf numFmtId="0" fontId="12" fillId="24" borderId="0" applyNumberFormat="0" applyBorder="0" applyAlignment="0" applyProtection="0"/>
    <xf numFmtId="0" fontId="26" fillId="22" borderId="0" applyNumberFormat="0" applyBorder="0" applyAlignment="0" applyProtection="0"/>
    <xf numFmtId="0" fontId="26" fillId="16" borderId="0" applyNumberFormat="0" applyBorder="0" applyAlignment="0" applyProtection="0"/>
    <xf numFmtId="4" fontId="32" fillId="33" borderId="535">
      <alignment horizontal="right" vertical="center"/>
    </xf>
    <xf numFmtId="0" fontId="34" fillId="31" borderId="528">
      <alignment horizontal="left" vertical="center"/>
    </xf>
    <xf numFmtId="4" fontId="32" fillId="33" borderId="529">
      <alignment horizontal="right" vertical="center"/>
    </xf>
    <xf numFmtId="4" fontId="32" fillId="33" borderId="542">
      <alignment horizontal="right" vertical="center"/>
    </xf>
    <xf numFmtId="4" fontId="32" fillId="33" borderId="516">
      <alignment horizontal="right" vertical="center"/>
    </xf>
    <xf numFmtId="0" fontId="34" fillId="32" borderId="516"/>
    <xf numFmtId="0" fontId="45" fillId="55" borderId="521" applyNumberFormat="0" applyAlignment="0" applyProtection="0"/>
    <xf numFmtId="0" fontId="32" fillId="31" borderId="516">
      <alignment horizontal="right" vertical="center"/>
    </xf>
    <xf numFmtId="0" fontId="34" fillId="0" borderId="516">
      <alignment horizontal="right" vertical="center"/>
    </xf>
    <xf numFmtId="0" fontId="65" fillId="0" borderId="522" applyNumberFormat="0" applyFill="0" applyAlignment="0" applyProtection="0"/>
    <xf numFmtId="0" fontId="34" fillId="31" borderId="517">
      <alignment horizontal="left" vertical="center"/>
    </xf>
    <xf numFmtId="0" fontId="58" fillId="42" borderId="521" applyNumberFormat="0" applyAlignment="0" applyProtection="0"/>
    <xf numFmtId="173" fontId="34" fillId="59" borderId="516" applyNumberFormat="0" applyFont="0" applyBorder="0" applyAlignment="0" applyProtection="0">
      <alignment horizontal="right" vertical="center"/>
    </xf>
    <xf numFmtId="0" fontId="40" fillId="58" borderId="515" applyNumberFormat="0" applyFont="0" applyAlignment="0" applyProtection="0"/>
    <xf numFmtId="0" fontId="34" fillId="0" borderId="519">
      <alignment horizontal="left" vertical="center" wrapText="1" indent="2"/>
    </xf>
    <xf numFmtId="4" fontId="34" fillId="32" borderId="516"/>
    <xf numFmtId="49" fontId="33" fillId="0" borderId="516" applyNumberFormat="0" applyFill="0" applyBorder="0" applyProtection="0">
      <alignment horizontal="left" vertical="center"/>
    </xf>
    <xf numFmtId="0" fontId="34" fillId="0" borderId="516">
      <alignment horizontal="right" vertical="center"/>
    </xf>
    <xf numFmtId="4" fontId="32" fillId="33" borderId="518">
      <alignment horizontal="right" vertical="center"/>
    </xf>
    <xf numFmtId="4" fontId="32" fillId="33" borderId="516">
      <alignment horizontal="right" vertical="center"/>
    </xf>
    <xf numFmtId="4" fontId="32" fillId="33" borderId="516">
      <alignment horizontal="right" vertical="center"/>
    </xf>
    <xf numFmtId="0" fontId="36" fillId="31" borderId="516">
      <alignment horizontal="right" vertical="center"/>
    </xf>
    <xf numFmtId="0" fontId="32" fillId="31" borderId="516">
      <alignment horizontal="right" vertical="center"/>
    </xf>
    <xf numFmtId="49" fontId="34" fillId="0" borderId="516" applyNumberFormat="0" applyFont="0" applyFill="0" applyBorder="0" applyProtection="0">
      <alignment horizontal="left" vertical="center" indent="2"/>
    </xf>
    <xf numFmtId="0" fontId="58" fillId="42" borderId="521" applyNumberFormat="0" applyAlignment="0" applyProtection="0"/>
    <xf numFmtId="0" fontId="43" fillId="55" borderId="520" applyNumberFormat="0" applyAlignment="0" applyProtection="0"/>
    <xf numFmtId="49" fontId="34" fillId="0" borderId="516" applyNumberFormat="0" applyFont="0" applyFill="0" applyBorder="0" applyProtection="0">
      <alignment horizontal="left" vertical="center" indent="2"/>
    </xf>
    <xf numFmtId="0" fontId="49" fillId="42" borderId="521" applyNumberFormat="0" applyAlignment="0" applyProtection="0"/>
    <xf numFmtId="4" fontId="34" fillId="0" borderId="516" applyFill="0" applyBorder="0" applyProtection="0">
      <alignment horizontal="right" vertical="center"/>
    </xf>
    <xf numFmtId="0" fontId="46" fillId="55" borderId="521" applyNumberFormat="0" applyAlignment="0" applyProtection="0"/>
    <xf numFmtId="0" fontId="65" fillId="0" borderId="522" applyNumberFormat="0" applyFill="0" applyAlignment="0" applyProtection="0"/>
    <xf numFmtId="0" fontId="62" fillId="55" borderId="520" applyNumberFormat="0" applyAlignment="0" applyProtection="0"/>
    <xf numFmtId="0" fontId="34" fillId="0" borderId="516" applyNumberFormat="0" applyFill="0" applyAlignment="0" applyProtection="0"/>
    <xf numFmtId="4" fontId="34" fillId="0" borderId="516">
      <alignment horizontal="right" vertical="center"/>
    </xf>
    <xf numFmtId="0" fontId="34" fillId="0" borderId="516">
      <alignment horizontal="right" vertical="center"/>
    </xf>
    <xf numFmtId="0" fontId="58" fillId="42" borderId="521" applyNumberFormat="0" applyAlignment="0" applyProtection="0"/>
    <xf numFmtId="0" fontId="43" fillId="55" borderId="520" applyNumberFormat="0" applyAlignment="0" applyProtection="0"/>
    <xf numFmtId="0" fontId="45" fillId="55" borderId="521" applyNumberFormat="0" applyAlignment="0" applyProtection="0"/>
    <xf numFmtId="0" fontId="34" fillId="33" borderId="519">
      <alignment horizontal="left" vertical="center" wrapText="1" indent="2"/>
    </xf>
    <xf numFmtId="0" fontId="46" fillId="55" borderId="521" applyNumberFormat="0" applyAlignment="0" applyProtection="0"/>
    <xf numFmtId="0" fontId="46" fillId="55" borderId="521" applyNumberFormat="0" applyAlignment="0" applyProtection="0"/>
    <xf numFmtId="4" fontId="32" fillId="33" borderId="517">
      <alignment horizontal="right" vertical="center"/>
    </xf>
    <xf numFmtId="0" fontId="32" fillId="33" borderId="517">
      <alignment horizontal="right" vertical="center"/>
    </xf>
    <xf numFmtId="0" fontId="32" fillId="33" borderId="516">
      <alignment horizontal="right" vertical="center"/>
    </xf>
    <xf numFmtId="4" fontId="36" fillId="31" borderId="516">
      <alignment horizontal="right" vertical="center"/>
    </xf>
    <xf numFmtId="0" fontId="49" fillId="42" borderId="521" applyNumberFormat="0" applyAlignment="0" applyProtection="0"/>
    <xf numFmtId="0" fontId="50" fillId="0" borderId="522" applyNumberFormat="0" applyFill="0" applyAlignment="0" applyProtection="0"/>
    <xf numFmtId="0" fontId="65" fillId="0" borderId="522" applyNumberFormat="0" applyFill="0" applyAlignment="0" applyProtection="0"/>
    <xf numFmtId="0" fontId="40" fillId="58" borderId="515" applyNumberFormat="0" applyFont="0" applyAlignment="0" applyProtection="0"/>
    <xf numFmtId="0" fontId="58" fillId="42" borderId="521" applyNumberFormat="0" applyAlignment="0" applyProtection="0"/>
    <xf numFmtId="49" fontId="33" fillId="0" borderId="516" applyNumberFormat="0" applyFill="0" applyBorder="0" applyProtection="0">
      <alignment horizontal="left" vertical="center"/>
    </xf>
    <xf numFmtId="0" fontId="34" fillId="33" borderId="519">
      <alignment horizontal="left" vertical="center" wrapText="1" indent="2"/>
    </xf>
    <xf numFmtId="0" fontId="46" fillId="55" borderId="521" applyNumberFormat="0" applyAlignment="0" applyProtection="0"/>
    <xf numFmtId="0" fontId="34" fillId="0" borderId="519">
      <alignment horizontal="left" vertical="center" wrapText="1" indent="2"/>
    </xf>
    <xf numFmtId="0" fontId="40" fillId="58" borderId="515" applyNumberFormat="0" applyFont="0" applyAlignment="0" applyProtection="0"/>
    <xf numFmtId="0" fontId="5" fillId="58" borderId="515" applyNumberFormat="0" applyFont="0" applyAlignment="0" applyProtection="0"/>
    <xf numFmtId="0" fontId="62" fillId="55" borderId="520" applyNumberFormat="0" applyAlignment="0" applyProtection="0"/>
    <xf numFmtId="0" fontId="65" fillId="0" borderId="522" applyNumberFormat="0" applyFill="0" applyAlignment="0" applyProtection="0"/>
    <xf numFmtId="4" fontId="34" fillId="32" borderId="516"/>
    <xf numFmtId="0" fontId="32" fillId="33" borderId="516">
      <alignment horizontal="right" vertical="center"/>
    </xf>
    <xf numFmtId="0" fontId="65" fillId="0" borderId="522" applyNumberFormat="0" applyFill="0" applyAlignment="0" applyProtection="0"/>
    <xf numFmtId="4" fontId="32" fillId="33" borderId="518">
      <alignment horizontal="right" vertical="center"/>
    </xf>
    <xf numFmtId="0" fontId="45" fillId="55" borderId="521" applyNumberFormat="0" applyAlignment="0" applyProtection="0"/>
    <xf numFmtId="0" fontId="32" fillId="33" borderId="517">
      <alignment horizontal="right" vertical="center"/>
    </xf>
    <xf numFmtId="0" fontId="46" fillId="55" borderId="521" applyNumberFormat="0" applyAlignment="0" applyProtection="0"/>
    <xf numFmtId="0" fontId="50" fillId="0" borderId="522" applyNumberFormat="0" applyFill="0" applyAlignment="0" applyProtection="0"/>
    <xf numFmtId="0" fontId="40" fillId="58" borderId="515" applyNumberFormat="0" applyFont="0" applyAlignment="0" applyProtection="0"/>
    <xf numFmtId="4" fontId="32" fillId="33" borderId="517">
      <alignment horizontal="right" vertical="center"/>
    </xf>
    <xf numFmtId="0" fontId="34" fillId="33" borderId="519">
      <alignment horizontal="left" vertical="center" wrapText="1" indent="2"/>
    </xf>
    <xf numFmtId="0" fontId="34" fillId="32" borderId="516"/>
    <xf numFmtId="173" fontId="34" fillId="59" borderId="516" applyNumberFormat="0" applyFont="0" applyBorder="0" applyAlignment="0" applyProtection="0">
      <alignment horizontal="right" vertical="center"/>
    </xf>
    <xf numFmtId="0" fontId="34" fillId="0" borderId="516" applyNumberFormat="0" applyFill="0" applyAlignment="0" applyProtection="0"/>
    <xf numFmtId="4" fontId="34" fillId="0" borderId="516" applyFill="0" applyBorder="0" applyProtection="0">
      <alignment horizontal="right" vertical="center"/>
    </xf>
    <xf numFmtId="4" fontId="32" fillId="31" borderId="516">
      <alignment horizontal="right" vertical="center"/>
    </xf>
    <xf numFmtId="0" fontId="50" fillId="0" borderId="522" applyNumberFormat="0" applyFill="0" applyAlignment="0" applyProtection="0"/>
    <xf numFmtId="49" fontId="33" fillId="0" borderId="516" applyNumberFormat="0" applyFill="0" applyBorder="0" applyProtection="0">
      <alignment horizontal="left" vertical="center"/>
    </xf>
    <xf numFmtId="49" fontId="34" fillId="0" borderId="517" applyNumberFormat="0" applyFont="0" applyFill="0" applyBorder="0" applyProtection="0">
      <alignment horizontal="left" vertical="center" indent="5"/>
    </xf>
    <xf numFmtId="0" fontId="34" fillId="31" borderId="517">
      <alignment horizontal="left" vertical="center"/>
    </xf>
    <xf numFmtId="0" fontId="46" fillId="55" borderId="521" applyNumberFormat="0" applyAlignment="0" applyProtection="0"/>
    <xf numFmtId="4" fontId="32" fillId="33" borderId="518">
      <alignment horizontal="right" vertical="center"/>
    </xf>
    <xf numFmtId="0" fontId="58" fillId="42" borderId="521" applyNumberFormat="0" applyAlignment="0" applyProtection="0"/>
    <xf numFmtId="0" fontId="58" fillId="42" borderId="521" applyNumberFormat="0" applyAlignment="0" applyProtection="0"/>
    <xf numFmtId="0" fontId="40" fillId="58" borderId="515" applyNumberFormat="0" applyFont="0" applyAlignment="0" applyProtection="0"/>
    <xf numFmtId="0" fontId="62" fillId="55" borderId="520" applyNumberFormat="0" applyAlignment="0" applyProtection="0"/>
    <xf numFmtId="0" fontId="65" fillId="0" borderId="522" applyNumberFormat="0" applyFill="0" applyAlignment="0" applyProtection="0"/>
    <xf numFmtId="0" fontId="32" fillId="33" borderId="516">
      <alignment horizontal="right" vertical="center"/>
    </xf>
    <xf numFmtId="0" fontId="5" fillId="58" borderId="515" applyNumberFormat="0" applyFont="0" applyAlignment="0" applyProtection="0"/>
    <xf numFmtId="4" fontId="34" fillId="0" borderId="516">
      <alignment horizontal="right" vertical="center"/>
    </xf>
    <xf numFmtId="0" fontId="65" fillId="0" borderId="522" applyNumberFormat="0" applyFill="0" applyAlignment="0" applyProtection="0"/>
    <xf numFmtId="0" fontId="32" fillId="33" borderId="516">
      <alignment horizontal="right" vertical="center"/>
    </xf>
    <xf numFmtId="0" fontId="32" fillId="33" borderId="516">
      <alignment horizontal="right" vertical="center"/>
    </xf>
    <xf numFmtId="4" fontId="36" fillId="31" borderId="516">
      <alignment horizontal="right" vertical="center"/>
    </xf>
    <xf numFmtId="0" fontId="32" fillId="31" borderId="516">
      <alignment horizontal="right" vertical="center"/>
    </xf>
    <xf numFmtId="4" fontId="32" fillId="31" borderId="516">
      <alignment horizontal="right" vertical="center"/>
    </xf>
    <xf numFmtId="0" fontId="36" fillId="31" borderId="516">
      <alignment horizontal="right" vertical="center"/>
    </xf>
    <xf numFmtId="4" fontId="36" fillId="31" borderId="516">
      <alignment horizontal="right" vertical="center"/>
    </xf>
    <xf numFmtId="0" fontId="32" fillId="33" borderId="516">
      <alignment horizontal="right" vertical="center"/>
    </xf>
    <xf numFmtId="4" fontId="32" fillId="33" borderId="516">
      <alignment horizontal="right" vertical="center"/>
    </xf>
    <xf numFmtId="0" fontId="32" fillId="33" borderId="516">
      <alignment horizontal="right" vertical="center"/>
    </xf>
    <xf numFmtId="4" fontId="32" fillId="33" borderId="516">
      <alignment horizontal="right" vertical="center"/>
    </xf>
    <xf numFmtId="0" fontId="32" fillId="33" borderId="517">
      <alignment horizontal="right" vertical="center"/>
    </xf>
    <xf numFmtId="4" fontId="32" fillId="33" borderId="517">
      <alignment horizontal="right" vertical="center"/>
    </xf>
    <xf numFmtId="0" fontId="32" fillId="33" borderId="518">
      <alignment horizontal="right" vertical="center"/>
    </xf>
    <xf numFmtId="4" fontId="32" fillId="33" borderId="518">
      <alignment horizontal="right" vertical="center"/>
    </xf>
    <xf numFmtId="0" fontId="46" fillId="55" borderId="521" applyNumberFormat="0" applyAlignment="0" applyProtection="0"/>
    <xf numFmtId="0" fontId="34" fillId="33" borderId="519">
      <alignment horizontal="left" vertical="center" wrapText="1" indent="2"/>
    </xf>
    <xf numFmtId="0" fontId="34" fillId="0" borderId="519">
      <alignment horizontal="left" vertical="center" wrapText="1" indent="2"/>
    </xf>
    <xf numFmtId="0" fontId="34" fillId="31" borderId="517">
      <alignment horizontal="left" vertical="center"/>
    </xf>
    <xf numFmtId="0" fontId="58" fillId="42" borderId="521" applyNumberFormat="0" applyAlignment="0" applyProtection="0"/>
    <xf numFmtId="0" fontId="34" fillId="0" borderId="516">
      <alignment horizontal="right" vertical="center"/>
    </xf>
    <xf numFmtId="4" fontId="34" fillId="0" borderId="516">
      <alignment horizontal="right" vertical="center"/>
    </xf>
    <xf numFmtId="0" fontId="34" fillId="0" borderId="516" applyNumberFormat="0" applyFill="0" applyAlignment="0" applyProtection="0"/>
    <xf numFmtId="0" fontId="62" fillId="55" borderId="520" applyNumberFormat="0" applyAlignment="0" applyProtection="0"/>
    <xf numFmtId="173" fontId="34" fillId="59" borderId="516" applyNumberFormat="0" applyFont="0" applyBorder="0" applyAlignment="0" applyProtection="0">
      <alignment horizontal="right" vertical="center"/>
    </xf>
    <xf numFmtId="0" fontId="34" fillId="32" borderId="516"/>
    <xf numFmtId="4" fontId="34" fillId="32" borderId="516"/>
    <xf numFmtId="0" fontId="65" fillId="0" borderId="522" applyNumberFormat="0" applyFill="0" applyAlignment="0" applyProtection="0"/>
    <xf numFmtId="0" fontId="5" fillId="58" borderId="515" applyNumberFormat="0" applyFont="0" applyAlignment="0" applyProtection="0"/>
    <xf numFmtId="0" fontId="40" fillId="58" borderId="515" applyNumberFormat="0" applyFont="0" applyAlignment="0" applyProtection="0"/>
    <xf numFmtId="0" fontId="34" fillId="0" borderId="516" applyNumberFormat="0" applyFill="0" applyAlignment="0" applyProtection="0"/>
    <xf numFmtId="0" fontId="50" fillId="0" borderId="522" applyNumberFormat="0" applyFill="0" applyAlignment="0" applyProtection="0"/>
    <xf numFmtId="0" fontId="65" fillId="0" borderId="522" applyNumberFormat="0" applyFill="0" applyAlignment="0" applyProtection="0"/>
    <xf numFmtId="0" fontId="49" fillId="42" borderId="521" applyNumberFormat="0" applyAlignment="0" applyProtection="0"/>
    <xf numFmtId="0" fontId="46" fillId="55" borderId="521" applyNumberFormat="0" applyAlignment="0" applyProtection="0"/>
    <xf numFmtId="4" fontId="36" fillId="31" borderId="516">
      <alignment horizontal="right" vertical="center"/>
    </xf>
    <xf numFmtId="0" fontId="32" fillId="31" borderId="516">
      <alignment horizontal="right" vertical="center"/>
    </xf>
    <xf numFmtId="173" fontId="34" fillId="59" borderId="516" applyNumberFormat="0" applyFont="0" applyBorder="0" applyAlignment="0" applyProtection="0">
      <alignment horizontal="right" vertical="center"/>
    </xf>
    <xf numFmtId="0" fontId="50" fillId="0" borderId="522" applyNumberFormat="0" applyFill="0" applyAlignment="0" applyProtection="0"/>
    <xf numFmtId="49" fontId="34" fillId="0" borderId="516" applyNumberFormat="0" applyFont="0" applyFill="0" applyBorder="0" applyProtection="0">
      <alignment horizontal="left" vertical="center" indent="2"/>
    </xf>
    <xf numFmtId="49" fontId="34" fillId="0" borderId="517" applyNumberFormat="0" applyFont="0" applyFill="0" applyBorder="0" applyProtection="0">
      <alignment horizontal="left" vertical="center" indent="5"/>
    </xf>
    <xf numFmtId="49" fontId="34" fillId="0" borderId="516" applyNumberFormat="0" applyFont="0" applyFill="0" applyBorder="0" applyProtection="0">
      <alignment horizontal="left" vertical="center" indent="2"/>
    </xf>
    <xf numFmtId="4" fontId="34" fillId="0" borderId="516" applyFill="0" applyBorder="0" applyProtection="0">
      <alignment horizontal="right" vertical="center"/>
    </xf>
    <xf numFmtId="49" fontId="33" fillId="0" borderId="516" applyNumberFormat="0" applyFill="0" applyBorder="0" applyProtection="0">
      <alignment horizontal="left" vertical="center"/>
    </xf>
    <xf numFmtId="0" fontId="34" fillId="0" borderId="519">
      <alignment horizontal="left" vertical="center" wrapText="1" indent="2"/>
    </xf>
    <xf numFmtId="0" fontId="62" fillId="55" borderId="520" applyNumberFormat="0" applyAlignment="0" applyProtection="0"/>
    <xf numFmtId="0" fontId="32" fillId="33" borderId="518">
      <alignment horizontal="right" vertical="center"/>
    </xf>
    <xf numFmtId="0" fontId="49" fillId="42" borderId="521" applyNumberFormat="0" applyAlignment="0" applyProtection="0"/>
    <xf numFmtId="0" fontId="32" fillId="33" borderId="518">
      <alignment horizontal="right" vertical="center"/>
    </xf>
    <xf numFmtId="4" fontId="32" fillId="33" borderId="516">
      <alignment horizontal="right" vertical="center"/>
    </xf>
    <xf numFmtId="0" fontId="32" fillId="33" borderId="516">
      <alignment horizontal="right" vertical="center"/>
    </xf>
    <xf numFmtId="0" fontId="43" fillId="55" borderId="520" applyNumberFormat="0" applyAlignment="0" applyProtection="0"/>
    <xf numFmtId="0" fontId="45" fillId="55" borderId="521" applyNumberFormat="0" applyAlignment="0" applyProtection="0"/>
    <xf numFmtId="0" fontId="50" fillId="0" borderId="522" applyNumberFormat="0" applyFill="0" applyAlignment="0" applyProtection="0"/>
    <xf numFmtId="0" fontId="34" fillId="32" borderId="516"/>
    <xf numFmtId="4" fontId="34" fillId="32" borderId="516"/>
    <xf numFmtId="4" fontId="32" fillId="33" borderId="516">
      <alignment horizontal="right" vertical="center"/>
    </xf>
    <xf numFmtId="0" fontId="36" fillId="31" borderId="516">
      <alignment horizontal="right" vertical="center"/>
    </xf>
    <xf numFmtId="0" fontId="49" fillId="42" borderId="521" applyNumberFormat="0" applyAlignment="0" applyProtection="0"/>
    <xf numFmtId="0" fontId="46" fillId="55" borderId="521" applyNumberFormat="0" applyAlignment="0" applyProtection="0"/>
    <xf numFmtId="4" fontId="34" fillId="0" borderId="516">
      <alignment horizontal="right" vertical="center"/>
    </xf>
    <xf numFmtId="0" fontId="34" fillId="33" borderId="519">
      <alignment horizontal="left" vertical="center" wrapText="1" indent="2"/>
    </xf>
    <xf numFmtId="0" fontId="34" fillId="0" borderId="519">
      <alignment horizontal="left" vertical="center" wrapText="1" indent="2"/>
    </xf>
    <xf numFmtId="0" fontId="62" fillId="55" borderId="520" applyNumberFormat="0" applyAlignment="0" applyProtection="0"/>
    <xf numFmtId="0" fontId="58" fillId="42" borderId="521" applyNumberFormat="0" applyAlignment="0" applyProtection="0"/>
    <xf numFmtId="0" fontId="45" fillId="55" borderId="521" applyNumberFormat="0" applyAlignment="0" applyProtection="0"/>
    <xf numFmtId="0" fontId="43" fillId="55" borderId="520" applyNumberFormat="0" applyAlignment="0" applyProtection="0"/>
    <xf numFmtId="0" fontId="32" fillId="33" borderId="518">
      <alignment horizontal="right" vertical="center"/>
    </xf>
    <xf numFmtId="0" fontId="36" fillId="31" borderId="516">
      <alignment horizontal="right" vertical="center"/>
    </xf>
    <xf numFmtId="4" fontId="32" fillId="31" borderId="516">
      <alignment horizontal="right" vertical="center"/>
    </xf>
    <xf numFmtId="4" fontId="32" fillId="33" borderId="516">
      <alignment horizontal="right" vertical="center"/>
    </xf>
    <xf numFmtId="49" fontId="34" fillId="0" borderId="517" applyNumberFormat="0" applyFont="0" applyFill="0" applyBorder="0" applyProtection="0">
      <alignment horizontal="left" vertical="center" indent="5"/>
    </xf>
    <xf numFmtId="4" fontId="34" fillId="0" borderId="516" applyFill="0" applyBorder="0" applyProtection="0">
      <alignment horizontal="right" vertical="center"/>
    </xf>
    <xf numFmtId="4" fontId="32" fillId="31" borderId="516">
      <alignment horizontal="right" vertical="center"/>
    </xf>
    <xf numFmtId="0" fontId="58" fillId="42" borderId="521" applyNumberFormat="0" applyAlignment="0" applyProtection="0"/>
    <xf numFmtId="0" fontId="49" fillId="42" borderId="521" applyNumberFormat="0" applyAlignment="0" applyProtection="0"/>
    <xf numFmtId="0" fontId="45" fillId="55" borderId="521" applyNumberFormat="0" applyAlignment="0" applyProtection="0"/>
    <xf numFmtId="0" fontId="34" fillId="33" borderId="519">
      <alignment horizontal="left" vertical="center" wrapText="1" indent="2"/>
    </xf>
    <xf numFmtId="0" fontId="34" fillId="0" borderId="519">
      <alignment horizontal="left" vertical="center" wrapText="1" indent="2"/>
    </xf>
    <xf numFmtId="0" fontId="34" fillId="33" borderId="519">
      <alignment horizontal="left" vertical="center" wrapText="1" indent="2"/>
    </xf>
    <xf numFmtId="0" fontId="34" fillId="0" borderId="519">
      <alignment horizontal="left" vertical="center" wrapText="1" indent="2"/>
    </xf>
    <xf numFmtId="0" fontId="43" fillId="55" borderId="520" applyNumberFormat="0" applyAlignment="0" applyProtection="0"/>
    <xf numFmtId="0" fontId="45" fillId="55" borderId="521" applyNumberFormat="0" applyAlignment="0" applyProtection="0"/>
    <xf numFmtId="0" fontId="46" fillId="55" borderId="521" applyNumberFormat="0" applyAlignment="0" applyProtection="0"/>
    <xf numFmtId="0" fontId="49" fillId="42" borderId="521" applyNumberFormat="0" applyAlignment="0" applyProtection="0"/>
    <xf numFmtId="0" fontId="50" fillId="0" borderId="522" applyNumberFormat="0" applyFill="0" applyAlignment="0" applyProtection="0"/>
    <xf numFmtId="0" fontId="58" fillId="42" borderId="521" applyNumberFormat="0" applyAlignment="0" applyProtection="0"/>
    <xf numFmtId="0" fontId="40" fillId="58" borderId="515" applyNumberFormat="0" applyFont="0" applyAlignment="0" applyProtection="0"/>
    <xf numFmtId="0" fontId="5" fillId="58" borderId="515" applyNumberFormat="0" applyFont="0" applyAlignment="0" applyProtection="0"/>
    <xf numFmtId="0" fontId="62" fillId="55" borderId="520" applyNumberFormat="0" applyAlignment="0" applyProtection="0"/>
    <xf numFmtId="0" fontId="65" fillId="0" borderId="522" applyNumberFormat="0" applyFill="0" applyAlignment="0" applyProtection="0"/>
    <xf numFmtId="0" fontId="46" fillId="55" borderId="521" applyNumberFormat="0" applyAlignment="0" applyProtection="0"/>
    <xf numFmtId="0" fontId="58" fillId="42" borderId="521" applyNumberFormat="0" applyAlignment="0" applyProtection="0"/>
    <xf numFmtId="0" fontId="40" fillId="58" borderId="515" applyNumberFormat="0" applyFont="0" applyAlignment="0" applyProtection="0"/>
    <xf numFmtId="0" fontId="62" fillId="55" borderId="520" applyNumberFormat="0" applyAlignment="0" applyProtection="0"/>
    <xf numFmtId="0" fontId="65" fillId="0" borderId="522" applyNumberFormat="0" applyFill="0" applyAlignment="0" applyProtection="0"/>
    <xf numFmtId="0" fontId="26" fillId="28" borderId="0" applyNumberFormat="0" applyBorder="0" applyAlignment="0" applyProtection="0"/>
    <xf numFmtId="0" fontId="32" fillId="33" borderId="535">
      <alignment horizontal="right" vertical="center"/>
    </xf>
    <xf numFmtId="0" fontId="46" fillId="55" borderId="521" applyNumberFormat="0" applyAlignment="0" applyProtection="0"/>
    <xf numFmtId="0" fontId="34" fillId="0" borderId="530">
      <alignment horizontal="left" vertical="center" wrapText="1" indent="2"/>
    </xf>
    <xf numFmtId="4" fontId="32" fillId="33" borderId="528">
      <alignment horizontal="right" vertical="center"/>
    </xf>
    <xf numFmtId="4" fontId="32" fillId="33" borderId="527">
      <alignment horizontal="right" vertical="center"/>
    </xf>
    <xf numFmtId="0" fontId="58" fillId="42" borderId="521" applyNumberFormat="0" applyAlignment="0" applyProtection="0"/>
    <xf numFmtId="0" fontId="62" fillId="55" borderId="520" applyNumberFormat="0" applyAlignment="0" applyProtection="0"/>
    <xf numFmtId="0" fontId="65" fillId="0" borderId="522" applyNumberFormat="0" applyFill="0" applyAlignment="0" applyProtection="0"/>
    <xf numFmtId="0" fontId="43" fillId="55" borderId="520" applyNumberFormat="0" applyAlignment="0" applyProtection="0"/>
    <xf numFmtId="0" fontId="45" fillId="55" borderId="521" applyNumberFormat="0" applyAlignment="0" applyProtection="0"/>
    <xf numFmtId="0" fontId="50" fillId="0" borderId="522" applyNumberFormat="0" applyFill="0" applyAlignment="0" applyProtection="0"/>
    <xf numFmtId="49" fontId="34" fillId="0" borderId="516" applyNumberFormat="0" applyFont="0" applyFill="0" applyBorder="0" applyProtection="0">
      <alignment horizontal="left" vertical="center" indent="2"/>
    </xf>
    <xf numFmtId="0" fontId="32" fillId="31" borderId="516">
      <alignment horizontal="right" vertical="center"/>
    </xf>
    <xf numFmtId="4" fontId="32" fillId="31" borderId="516">
      <alignment horizontal="right" vertical="center"/>
    </xf>
    <xf numFmtId="0" fontId="36" fillId="31" borderId="516">
      <alignment horizontal="right" vertical="center"/>
    </xf>
    <xf numFmtId="4" fontId="36" fillId="31" borderId="516">
      <alignment horizontal="right" vertical="center"/>
    </xf>
    <xf numFmtId="0" fontId="32" fillId="33" borderId="516">
      <alignment horizontal="right" vertical="center"/>
    </xf>
    <xf numFmtId="4" fontId="32" fillId="33" borderId="516">
      <alignment horizontal="right" vertical="center"/>
    </xf>
    <xf numFmtId="0" fontId="32" fillId="33" borderId="516">
      <alignment horizontal="right" vertical="center"/>
    </xf>
    <xf numFmtId="4" fontId="32" fillId="33" borderId="516">
      <alignment horizontal="right" vertical="center"/>
    </xf>
    <xf numFmtId="0" fontId="49" fillId="42" borderId="521" applyNumberFormat="0" applyAlignment="0" applyProtection="0"/>
    <xf numFmtId="0" fontId="34" fillId="0" borderId="516">
      <alignment horizontal="right" vertical="center"/>
    </xf>
    <xf numFmtId="4" fontId="34" fillId="0" borderId="516">
      <alignment horizontal="right" vertical="center"/>
    </xf>
    <xf numFmtId="4" fontId="34" fillId="0" borderId="516" applyFill="0" applyBorder="0" applyProtection="0">
      <alignment horizontal="right" vertical="center"/>
    </xf>
    <xf numFmtId="49" fontId="33" fillId="0" borderId="516" applyNumberFormat="0" applyFill="0" applyBorder="0" applyProtection="0">
      <alignment horizontal="left" vertical="center"/>
    </xf>
    <xf numFmtId="0" fontId="34" fillId="0" borderId="516" applyNumberFormat="0" applyFill="0" applyAlignment="0" applyProtection="0"/>
    <xf numFmtId="173" fontId="34" fillId="59" borderId="516" applyNumberFormat="0" applyFont="0" applyBorder="0" applyAlignment="0" applyProtection="0">
      <alignment horizontal="right" vertical="center"/>
    </xf>
    <xf numFmtId="0" fontId="34" fillId="32" borderId="516"/>
    <xf numFmtId="4" fontId="34" fillId="32" borderId="516"/>
    <xf numFmtId="4" fontId="32" fillId="33" borderId="516">
      <alignment horizontal="right" vertical="center"/>
    </xf>
    <xf numFmtId="0" fontId="34" fillId="32" borderId="516"/>
    <xf numFmtId="0" fontId="45" fillId="55" borderId="521" applyNumberFormat="0" applyAlignment="0" applyProtection="0"/>
    <xf numFmtId="0" fontId="32" fillId="31" borderId="516">
      <alignment horizontal="right" vertical="center"/>
    </xf>
    <xf numFmtId="0" fontId="34" fillId="0" borderId="516">
      <alignment horizontal="right" vertical="center"/>
    </xf>
    <xf numFmtId="0" fontId="65" fillId="0" borderId="522" applyNumberFormat="0" applyFill="0" applyAlignment="0" applyProtection="0"/>
    <xf numFmtId="0" fontId="34" fillId="31" borderId="517">
      <alignment horizontal="left" vertical="center"/>
    </xf>
    <xf numFmtId="0" fontId="58" fillId="42" borderId="521" applyNumberFormat="0" applyAlignment="0" applyProtection="0"/>
    <xf numFmtId="173" fontId="34" fillId="59" borderId="516" applyNumberFormat="0" applyFont="0" applyBorder="0" applyAlignment="0" applyProtection="0">
      <alignment horizontal="right" vertical="center"/>
    </xf>
    <xf numFmtId="0" fontId="40" fillId="58" borderId="515" applyNumberFormat="0" applyFont="0" applyAlignment="0" applyProtection="0"/>
    <xf numFmtId="0" fontId="34" fillId="0" borderId="519">
      <alignment horizontal="left" vertical="center" wrapText="1" indent="2"/>
    </xf>
    <xf numFmtId="4" fontId="34" fillId="32" borderId="516"/>
    <xf numFmtId="49" fontId="33" fillId="0" borderId="516" applyNumberFormat="0" applyFill="0" applyBorder="0" applyProtection="0">
      <alignment horizontal="left" vertical="center"/>
    </xf>
    <xf numFmtId="0" fontId="34" fillId="0" borderId="516">
      <alignment horizontal="right" vertical="center"/>
    </xf>
    <xf numFmtId="4" fontId="32" fillId="33" borderId="518">
      <alignment horizontal="right" vertical="center"/>
    </xf>
    <xf numFmtId="4" fontId="32" fillId="33" borderId="516">
      <alignment horizontal="right" vertical="center"/>
    </xf>
    <xf numFmtId="4" fontId="32" fillId="33" borderId="516">
      <alignment horizontal="right" vertical="center"/>
    </xf>
    <xf numFmtId="0" fontId="36" fillId="31" borderId="516">
      <alignment horizontal="right" vertical="center"/>
    </xf>
    <xf numFmtId="0" fontId="32" fillId="31" borderId="516">
      <alignment horizontal="right" vertical="center"/>
    </xf>
    <xf numFmtId="49" fontId="34" fillId="0" borderId="516" applyNumberFormat="0" applyFont="0" applyFill="0" applyBorder="0" applyProtection="0">
      <alignment horizontal="left" vertical="center" indent="2"/>
    </xf>
    <xf numFmtId="0" fontId="58" fillId="42" borderId="521" applyNumberFormat="0" applyAlignment="0" applyProtection="0"/>
    <xf numFmtId="0" fontId="43" fillId="55" borderId="520" applyNumberFormat="0" applyAlignment="0" applyProtection="0"/>
    <xf numFmtId="49" fontId="34" fillId="0" borderId="516" applyNumberFormat="0" applyFont="0" applyFill="0" applyBorder="0" applyProtection="0">
      <alignment horizontal="left" vertical="center" indent="2"/>
    </xf>
    <xf numFmtId="0" fontId="49" fillId="42" borderId="521" applyNumberFormat="0" applyAlignment="0" applyProtection="0"/>
    <xf numFmtId="4" fontId="34" fillId="0" borderId="516" applyFill="0" applyBorder="0" applyProtection="0">
      <alignment horizontal="right" vertical="center"/>
    </xf>
    <xf numFmtId="0" fontId="46" fillId="55" borderId="521" applyNumberFormat="0" applyAlignment="0" applyProtection="0"/>
    <xf numFmtId="0" fontId="65" fillId="0" borderId="522" applyNumberFormat="0" applyFill="0" applyAlignment="0" applyProtection="0"/>
    <xf numFmtId="0" fontId="62" fillId="55" borderId="520" applyNumberFormat="0" applyAlignment="0" applyProtection="0"/>
    <xf numFmtId="0" fontId="34" fillId="0" borderId="516" applyNumberFormat="0" applyFill="0" applyAlignment="0" applyProtection="0"/>
    <xf numFmtId="4" fontId="34" fillId="0" borderId="516">
      <alignment horizontal="right" vertical="center"/>
    </xf>
    <xf numFmtId="0" fontId="34" fillId="0" borderId="516">
      <alignment horizontal="right" vertical="center"/>
    </xf>
    <xf numFmtId="0" fontId="58" fillId="42" borderId="521" applyNumberFormat="0" applyAlignment="0" applyProtection="0"/>
    <xf numFmtId="0" fontId="43" fillId="55" borderId="520" applyNumberFormat="0" applyAlignment="0" applyProtection="0"/>
    <xf numFmtId="0" fontId="45" fillId="55" borderId="521" applyNumberFormat="0" applyAlignment="0" applyProtection="0"/>
    <xf numFmtId="0" fontId="34" fillId="33" borderId="519">
      <alignment horizontal="left" vertical="center" wrapText="1" indent="2"/>
    </xf>
    <xf numFmtId="0" fontId="46" fillId="55" borderId="521" applyNumberFormat="0" applyAlignment="0" applyProtection="0"/>
    <xf numFmtId="0" fontId="46" fillId="55" borderId="521" applyNumberFormat="0" applyAlignment="0" applyProtection="0"/>
    <xf numFmtId="4" fontId="32" fillId="33" borderId="517">
      <alignment horizontal="right" vertical="center"/>
    </xf>
    <xf numFmtId="0" fontId="32" fillId="33" borderId="517">
      <alignment horizontal="right" vertical="center"/>
    </xf>
    <xf numFmtId="0" fontId="32" fillId="33" borderId="516">
      <alignment horizontal="right" vertical="center"/>
    </xf>
    <xf numFmtId="4" fontId="36" fillId="31" borderId="516">
      <alignment horizontal="right" vertical="center"/>
    </xf>
    <xf numFmtId="0" fontId="49" fillId="42" borderId="521" applyNumberFormat="0" applyAlignment="0" applyProtection="0"/>
    <xf numFmtId="0" fontId="50" fillId="0" borderId="522" applyNumberFormat="0" applyFill="0" applyAlignment="0" applyProtection="0"/>
    <xf numFmtId="0" fontId="65" fillId="0" borderId="522" applyNumberFormat="0" applyFill="0" applyAlignment="0" applyProtection="0"/>
    <xf numFmtId="0" fontId="40" fillId="58" borderId="515" applyNumberFormat="0" applyFont="0" applyAlignment="0" applyProtection="0"/>
    <xf numFmtId="0" fontId="58" fillId="42" borderId="521" applyNumberFormat="0" applyAlignment="0" applyProtection="0"/>
    <xf numFmtId="49" fontId="33" fillId="0" borderId="516" applyNumberFormat="0" applyFill="0" applyBorder="0" applyProtection="0">
      <alignment horizontal="left" vertical="center"/>
    </xf>
    <xf numFmtId="0" fontId="34" fillId="33" borderId="519">
      <alignment horizontal="left" vertical="center" wrapText="1" indent="2"/>
    </xf>
    <xf numFmtId="0" fontId="46" fillId="55" borderId="521" applyNumberFormat="0" applyAlignment="0" applyProtection="0"/>
    <xf numFmtId="0" fontId="34" fillId="0" borderId="519">
      <alignment horizontal="left" vertical="center" wrapText="1" indent="2"/>
    </xf>
    <xf numFmtId="0" fontId="40" fillId="58" borderId="515" applyNumberFormat="0" applyFont="0" applyAlignment="0" applyProtection="0"/>
    <xf numFmtId="0" fontId="5" fillId="58" borderId="515" applyNumberFormat="0" applyFont="0" applyAlignment="0" applyProtection="0"/>
    <xf numFmtId="0" fontId="62" fillId="55" borderId="520" applyNumberFormat="0" applyAlignment="0" applyProtection="0"/>
    <xf numFmtId="0" fontId="65" fillId="0" borderId="522" applyNumberFormat="0" applyFill="0" applyAlignment="0" applyProtection="0"/>
    <xf numFmtId="4" fontId="34" fillId="32" borderId="516"/>
    <xf numFmtId="0" fontId="32" fillId="33" borderId="516">
      <alignment horizontal="right" vertical="center"/>
    </xf>
    <xf numFmtId="0" fontId="65" fillId="0" borderId="522" applyNumberFormat="0" applyFill="0" applyAlignment="0" applyProtection="0"/>
    <xf numFmtId="4" fontId="32" fillId="33" borderId="518">
      <alignment horizontal="right" vertical="center"/>
    </xf>
    <xf numFmtId="0" fontId="45" fillId="55" borderId="521" applyNumberFormat="0" applyAlignment="0" applyProtection="0"/>
    <xf numFmtId="0" fontId="32" fillId="33" borderId="517">
      <alignment horizontal="right" vertical="center"/>
    </xf>
    <xf numFmtId="0" fontId="46" fillId="55" borderId="521" applyNumberFormat="0" applyAlignment="0" applyProtection="0"/>
    <xf numFmtId="0" fontId="50" fillId="0" borderId="522" applyNumberFormat="0" applyFill="0" applyAlignment="0" applyProtection="0"/>
    <xf numFmtId="0" fontId="40" fillId="58" borderId="515" applyNumberFormat="0" applyFont="0" applyAlignment="0" applyProtection="0"/>
    <xf numFmtId="4" fontId="32" fillId="33" borderId="517">
      <alignment horizontal="right" vertical="center"/>
    </xf>
    <xf numFmtId="0" fontId="34" fillId="33" borderId="519">
      <alignment horizontal="left" vertical="center" wrapText="1" indent="2"/>
    </xf>
    <xf numFmtId="0" fontId="34" fillId="32" borderId="516"/>
    <xf numFmtId="173" fontId="34" fillId="59" borderId="516" applyNumberFormat="0" applyFont="0" applyBorder="0" applyAlignment="0" applyProtection="0">
      <alignment horizontal="right" vertical="center"/>
    </xf>
    <xf numFmtId="0" fontId="34" fillId="0" borderId="516" applyNumberFormat="0" applyFill="0" applyAlignment="0" applyProtection="0"/>
    <xf numFmtId="4" fontId="34" fillId="0" borderId="516" applyFill="0" applyBorder="0" applyProtection="0">
      <alignment horizontal="right" vertical="center"/>
    </xf>
    <xf numFmtId="4" fontId="32" fillId="31" borderId="516">
      <alignment horizontal="right" vertical="center"/>
    </xf>
    <xf numFmtId="0" fontId="50" fillId="0" borderId="522" applyNumberFormat="0" applyFill="0" applyAlignment="0" applyProtection="0"/>
    <xf numFmtId="49" fontId="33" fillId="0" borderId="516" applyNumberFormat="0" applyFill="0" applyBorder="0" applyProtection="0">
      <alignment horizontal="left" vertical="center"/>
    </xf>
    <xf numFmtId="49" fontId="34" fillId="0" borderId="517" applyNumberFormat="0" applyFont="0" applyFill="0" applyBorder="0" applyProtection="0">
      <alignment horizontal="left" vertical="center" indent="5"/>
    </xf>
    <xf numFmtId="0" fontId="34" fillId="31" borderId="517">
      <alignment horizontal="left" vertical="center"/>
    </xf>
    <xf numFmtId="0" fontId="46" fillId="55" borderId="521" applyNumberFormat="0" applyAlignment="0" applyProtection="0"/>
    <xf numFmtId="4" fontId="32" fillId="33" borderId="518">
      <alignment horizontal="right" vertical="center"/>
    </xf>
    <xf numFmtId="0" fontId="58" fillId="42" borderId="521" applyNumberFormat="0" applyAlignment="0" applyProtection="0"/>
    <xf numFmtId="0" fontId="58" fillId="42" borderId="521" applyNumberFormat="0" applyAlignment="0" applyProtection="0"/>
    <xf numFmtId="0" fontId="40" fillId="58" borderId="515" applyNumberFormat="0" applyFont="0" applyAlignment="0" applyProtection="0"/>
    <xf numFmtId="0" fontId="62" fillId="55" borderId="520" applyNumberFormat="0" applyAlignment="0" applyProtection="0"/>
    <xf numFmtId="0" fontId="65" fillId="0" borderId="522" applyNumberFormat="0" applyFill="0" applyAlignment="0" applyProtection="0"/>
    <xf numFmtId="0" fontId="32" fillId="33" borderId="516">
      <alignment horizontal="right" vertical="center"/>
    </xf>
    <xf numFmtId="0" fontId="5" fillId="58" borderId="515" applyNumberFormat="0" applyFont="0" applyAlignment="0" applyProtection="0"/>
    <xf numFmtId="4" fontId="34" fillId="0" borderId="516">
      <alignment horizontal="right" vertical="center"/>
    </xf>
    <xf numFmtId="0" fontId="65" fillId="0" borderId="522" applyNumberFormat="0" applyFill="0" applyAlignment="0" applyProtection="0"/>
    <xf numFmtId="0" fontId="32" fillId="33" borderId="516">
      <alignment horizontal="right" vertical="center"/>
    </xf>
    <xf numFmtId="0" fontId="32" fillId="33" borderId="516">
      <alignment horizontal="right" vertical="center"/>
    </xf>
    <xf numFmtId="4" fontId="36" fillId="31" borderId="516">
      <alignment horizontal="right" vertical="center"/>
    </xf>
    <xf numFmtId="0" fontId="32" fillId="31" borderId="516">
      <alignment horizontal="right" vertical="center"/>
    </xf>
    <xf numFmtId="4" fontId="32" fillId="31" borderId="516">
      <alignment horizontal="right" vertical="center"/>
    </xf>
    <xf numFmtId="0" fontId="36" fillId="31" borderId="516">
      <alignment horizontal="right" vertical="center"/>
    </xf>
    <xf numFmtId="4" fontId="36" fillId="31" borderId="516">
      <alignment horizontal="right" vertical="center"/>
    </xf>
    <xf numFmtId="0" fontId="32" fillId="33" borderId="516">
      <alignment horizontal="right" vertical="center"/>
    </xf>
    <xf numFmtId="4" fontId="32" fillId="33" borderId="516">
      <alignment horizontal="right" vertical="center"/>
    </xf>
    <xf numFmtId="0" fontId="32" fillId="33" borderId="516">
      <alignment horizontal="right" vertical="center"/>
    </xf>
    <xf numFmtId="4" fontId="32" fillId="33" borderId="516">
      <alignment horizontal="right" vertical="center"/>
    </xf>
    <xf numFmtId="0" fontId="32" fillId="33" borderId="517">
      <alignment horizontal="right" vertical="center"/>
    </xf>
    <xf numFmtId="4" fontId="32" fillId="33" borderId="517">
      <alignment horizontal="right" vertical="center"/>
    </xf>
    <xf numFmtId="0" fontId="32" fillId="33" borderId="518">
      <alignment horizontal="right" vertical="center"/>
    </xf>
    <xf numFmtId="4" fontId="32" fillId="33" borderId="518">
      <alignment horizontal="right" vertical="center"/>
    </xf>
    <xf numFmtId="0" fontId="46" fillId="55" borderId="521" applyNumberFormat="0" applyAlignment="0" applyProtection="0"/>
    <xf numFmtId="0" fontId="34" fillId="33" borderId="519">
      <alignment horizontal="left" vertical="center" wrapText="1" indent="2"/>
    </xf>
    <xf numFmtId="0" fontId="34" fillId="0" borderId="519">
      <alignment horizontal="left" vertical="center" wrapText="1" indent="2"/>
    </xf>
    <xf numFmtId="0" fontId="34" fillId="31" borderId="517">
      <alignment horizontal="left" vertical="center"/>
    </xf>
    <xf numFmtId="0" fontId="58" fillId="42" borderId="521" applyNumberFormat="0" applyAlignment="0" applyProtection="0"/>
    <xf numFmtId="0" fontId="34" fillId="0" borderId="516">
      <alignment horizontal="right" vertical="center"/>
    </xf>
    <xf numFmtId="4" fontId="34" fillId="0" borderId="516">
      <alignment horizontal="right" vertical="center"/>
    </xf>
    <xf numFmtId="0" fontId="34" fillId="0" borderId="516" applyNumberFormat="0" applyFill="0" applyAlignment="0" applyProtection="0"/>
    <xf numFmtId="0" fontId="62" fillId="55" borderId="520" applyNumberFormat="0" applyAlignment="0" applyProtection="0"/>
    <xf numFmtId="173" fontId="34" fillId="59" borderId="516" applyNumberFormat="0" applyFont="0" applyBorder="0" applyAlignment="0" applyProtection="0">
      <alignment horizontal="right" vertical="center"/>
    </xf>
    <xf numFmtId="0" fontId="34" fillId="32" borderId="516"/>
    <xf numFmtId="4" fontId="34" fillId="32" borderId="516"/>
    <xf numFmtId="0" fontId="65" fillId="0" borderId="522" applyNumberFormat="0" applyFill="0" applyAlignment="0" applyProtection="0"/>
    <xf numFmtId="0" fontId="5" fillId="58" borderId="515" applyNumberFormat="0" applyFont="0" applyAlignment="0" applyProtection="0"/>
    <xf numFmtId="0" fontId="40" fillId="58" borderId="515" applyNumberFormat="0" applyFont="0" applyAlignment="0" applyProtection="0"/>
    <xf numFmtId="0" fontId="34" fillId="0" borderId="516" applyNumberFormat="0" applyFill="0" applyAlignment="0" applyProtection="0"/>
    <xf numFmtId="0" fontId="50" fillId="0" borderId="522" applyNumberFormat="0" applyFill="0" applyAlignment="0" applyProtection="0"/>
    <xf numFmtId="0" fontId="65" fillId="0" borderId="522" applyNumberFormat="0" applyFill="0" applyAlignment="0" applyProtection="0"/>
    <xf numFmtId="0" fontId="49" fillId="42" borderId="521" applyNumberFormat="0" applyAlignment="0" applyProtection="0"/>
    <xf numFmtId="0" fontId="46" fillId="55" borderId="521" applyNumberFormat="0" applyAlignment="0" applyProtection="0"/>
    <xf numFmtId="4" fontId="36" fillId="31" borderId="516">
      <alignment horizontal="right" vertical="center"/>
    </xf>
    <xf numFmtId="0" fontId="32" fillId="31" borderId="516">
      <alignment horizontal="right" vertical="center"/>
    </xf>
    <xf numFmtId="173" fontId="34" fillId="59" borderId="516" applyNumberFormat="0" applyFont="0" applyBorder="0" applyAlignment="0" applyProtection="0">
      <alignment horizontal="right" vertical="center"/>
    </xf>
    <xf numFmtId="0" fontId="50" fillId="0" borderId="522" applyNumberFormat="0" applyFill="0" applyAlignment="0" applyProtection="0"/>
    <xf numFmtId="49" fontId="34" fillId="0" borderId="516" applyNumberFormat="0" applyFont="0" applyFill="0" applyBorder="0" applyProtection="0">
      <alignment horizontal="left" vertical="center" indent="2"/>
    </xf>
    <xf numFmtId="49" fontId="34" fillId="0" borderId="517" applyNumberFormat="0" applyFont="0" applyFill="0" applyBorder="0" applyProtection="0">
      <alignment horizontal="left" vertical="center" indent="5"/>
    </xf>
    <xf numFmtId="49" fontId="34" fillId="0" borderId="516" applyNumberFormat="0" applyFont="0" applyFill="0" applyBorder="0" applyProtection="0">
      <alignment horizontal="left" vertical="center" indent="2"/>
    </xf>
    <xf numFmtId="4" fontId="34" fillId="0" borderId="516" applyFill="0" applyBorder="0" applyProtection="0">
      <alignment horizontal="right" vertical="center"/>
    </xf>
    <xf numFmtId="49" fontId="33" fillId="0" borderId="516" applyNumberFormat="0" applyFill="0" applyBorder="0" applyProtection="0">
      <alignment horizontal="left" vertical="center"/>
    </xf>
    <xf numFmtId="0" fontId="34" fillId="0" borderId="519">
      <alignment horizontal="left" vertical="center" wrapText="1" indent="2"/>
    </xf>
    <xf numFmtId="0" fontId="62" fillId="55" borderId="520" applyNumberFormat="0" applyAlignment="0" applyProtection="0"/>
    <xf numFmtId="0" fontId="32" fillId="33" borderId="518">
      <alignment horizontal="right" vertical="center"/>
    </xf>
    <xf numFmtId="0" fontId="49" fillId="42" borderId="521" applyNumberFormat="0" applyAlignment="0" applyProtection="0"/>
    <xf numFmtId="0" fontId="32" fillId="33" borderId="518">
      <alignment horizontal="right" vertical="center"/>
    </xf>
    <xf numFmtId="4" fontId="32" fillId="33" borderId="516">
      <alignment horizontal="right" vertical="center"/>
    </xf>
    <xf numFmtId="0" fontId="32" fillId="33" borderId="516">
      <alignment horizontal="right" vertical="center"/>
    </xf>
    <xf numFmtId="0" fontId="43" fillId="55" borderId="520" applyNumberFormat="0" applyAlignment="0" applyProtection="0"/>
    <xf numFmtId="0" fontId="45" fillId="55" borderId="521" applyNumberFormat="0" applyAlignment="0" applyProtection="0"/>
    <xf numFmtId="0" fontId="50" fillId="0" borderId="522" applyNumberFormat="0" applyFill="0" applyAlignment="0" applyProtection="0"/>
    <xf numFmtId="0" fontId="34" fillId="32" borderId="516"/>
    <xf numFmtId="4" fontId="34" fillId="32" borderId="516"/>
    <xf numFmtId="4" fontId="32" fillId="33" borderId="516">
      <alignment horizontal="right" vertical="center"/>
    </xf>
    <xf numFmtId="0" fontId="36" fillId="31" borderId="516">
      <alignment horizontal="right" vertical="center"/>
    </xf>
    <xf numFmtId="0" fontId="49" fillId="42" borderId="521" applyNumberFormat="0" applyAlignment="0" applyProtection="0"/>
    <xf numFmtId="0" fontId="46" fillId="55" borderId="521" applyNumberFormat="0" applyAlignment="0" applyProtection="0"/>
    <xf numFmtId="4" fontId="34" fillId="0" borderId="516">
      <alignment horizontal="right" vertical="center"/>
    </xf>
    <xf numFmtId="0" fontId="34" fillId="33" borderId="519">
      <alignment horizontal="left" vertical="center" wrapText="1" indent="2"/>
    </xf>
    <xf numFmtId="0" fontId="34" fillId="0" borderId="519">
      <alignment horizontal="left" vertical="center" wrapText="1" indent="2"/>
    </xf>
    <xf numFmtId="0" fontId="62" fillId="55" borderId="520" applyNumberFormat="0" applyAlignment="0" applyProtection="0"/>
    <xf numFmtId="0" fontId="58" fillId="42" borderId="521" applyNumberFormat="0" applyAlignment="0" applyProtection="0"/>
    <xf numFmtId="0" fontId="45" fillId="55" borderId="521" applyNumberFormat="0" applyAlignment="0" applyProtection="0"/>
    <xf numFmtId="0" fontId="43" fillId="55" borderId="520" applyNumberFormat="0" applyAlignment="0" applyProtection="0"/>
    <xf numFmtId="0" fontId="32" fillId="33" borderId="518">
      <alignment horizontal="right" vertical="center"/>
    </xf>
    <xf numFmtId="0" fontId="36" fillId="31" borderId="516">
      <alignment horizontal="right" vertical="center"/>
    </xf>
    <xf numFmtId="4" fontId="32" fillId="31" borderId="516">
      <alignment horizontal="right" vertical="center"/>
    </xf>
    <xf numFmtId="4" fontId="32" fillId="33" borderId="516">
      <alignment horizontal="right" vertical="center"/>
    </xf>
    <xf numFmtId="49" fontId="34" fillId="0" borderId="517" applyNumberFormat="0" applyFont="0" applyFill="0" applyBorder="0" applyProtection="0">
      <alignment horizontal="left" vertical="center" indent="5"/>
    </xf>
    <xf numFmtId="4" fontId="34" fillId="0" borderId="516" applyFill="0" applyBorder="0" applyProtection="0">
      <alignment horizontal="right" vertical="center"/>
    </xf>
    <xf numFmtId="4" fontId="32" fillId="31" borderId="516">
      <alignment horizontal="right" vertical="center"/>
    </xf>
    <xf numFmtId="0" fontId="58" fillId="42" borderId="521" applyNumberFormat="0" applyAlignment="0" applyProtection="0"/>
    <xf numFmtId="0" fontId="49" fillId="42" borderId="521" applyNumberFormat="0" applyAlignment="0" applyProtection="0"/>
    <xf numFmtId="0" fontId="45" fillId="55" borderId="521" applyNumberFormat="0" applyAlignment="0" applyProtection="0"/>
    <xf numFmtId="0" fontId="34" fillId="33" borderId="519">
      <alignment horizontal="left" vertical="center" wrapText="1" indent="2"/>
    </xf>
    <xf numFmtId="0" fontId="34" fillId="0" borderId="519">
      <alignment horizontal="left" vertical="center" wrapText="1" indent="2"/>
    </xf>
    <xf numFmtId="0" fontId="34" fillId="33" borderId="519">
      <alignment horizontal="left" vertical="center" wrapText="1" indent="2"/>
    </xf>
    <xf numFmtId="0" fontId="32" fillId="33" borderId="529">
      <alignment horizontal="right" vertical="center"/>
    </xf>
    <xf numFmtId="0" fontId="40" fillId="58" borderId="534" applyNumberFormat="0" applyFont="0" applyAlignment="0" applyProtection="0"/>
    <xf numFmtId="0" fontId="62" fillId="55" borderId="531" applyNumberFormat="0" applyAlignment="0" applyProtection="0"/>
    <xf numFmtId="0" fontId="49" fillId="42" borderId="532" applyNumberFormat="0" applyAlignment="0" applyProtection="0"/>
    <xf numFmtId="0" fontId="45" fillId="55" borderId="532" applyNumberFormat="0" applyAlignment="0" applyProtection="0"/>
    <xf numFmtId="0" fontId="58" fillId="42" borderId="532" applyNumberFormat="0" applyAlignment="0" applyProtection="0"/>
    <xf numFmtId="49" fontId="33" fillId="0" borderId="535" applyNumberFormat="0" applyFill="0" applyBorder="0" applyProtection="0">
      <alignment horizontal="left" vertical="center"/>
    </xf>
    <xf numFmtId="173" fontId="34" fillId="59" borderId="535" applyNumberFormat="0" applyFont="0" applyBorder="0" applyAlignment="0" applyProtection="0">
      <alignment horizontal="right" vertical="center"/>
    </xf>
    <xf numFmtId="4" fontId="32" fillId="33" borderId="537">
      <alignment horizontal="right" vertical="center"/>
    </xf>
    <xf numFmtId="0" fontId="34" fillId="0" borderId="535">
      <alignment horizontal="right" vertical="center"/>
    </xf>
    <xf numFmtId="0" fontId="58" fillId="42" borderId="532" applyNumberFormat="0" applyAlignment="0" applyProtection="0"/>
    <xf numFmtId="0" fontId="50" fillId="0" borderId="533" applyNumberFormat="0" applyFill="0" applyAlignment="0" applyProtection="0"/>
    <xf numFmtId="0" fontId="46" fillId="55" borderId="532" applyNumberFormat="0" applyAlignment="0" applyProtection="0"/>
    <xf numFmtId="0" fontId="34" fillId="33" borderId="538">
      <alignment horizontal="left" vertical="center" wrapText="1" indent="2"/>
    </xf>
    <xf numFmtId="4" fontId="36" fillId="31" borderId="535">
      <alignment horizontal="right" vertical="center"/>
    </xf>
    <xf numFmtId="4" fontId="32" fillId="31" borderId="535">
      <alignment horizontal="right" vertical="center"/>
    </xf>
    <xf numFmtId="4" fontId="34" fillId="0" borderId="535" applyFill="0" applyBorder="0" applyProtection="0">
      <alignment horizontal="right" vertical="center"/>
    </xf>
    <xf numFmtId="0" fontId="46" fillId="55" borderId="532" applyNumberFormat="0" applyAlignment="0" applyProtection="0"/>
    <xf numFmtId="0" fontId="40" fillId="58" borderId="534" applyNumberFormat="0" applyFont="0" applyAlignment="0" applyProtection="0"/>
    <xf numFmtId="0" fontId="5" fillId="58" borderId="534" applyNumberFormat="0" applyFont="0" applyAlignment="0" applyProtection="0"/>
    <xf numFmtId="0" fontId="34" fillId="0" borderId="535" applyNumberFormat="0" applyFill="0" applyAlignment="0" applyProtection="0"/>
    <xf numFmtId="0" fontId="12" fillId="18" borderId="0" applyNumberFormat="0" applyBorder="0" applyAlignment="0" applyProtection="0"/>
    <xf numFmtId="0" fontId="12" fillId="30" borderId="0" applyNumberFormat="0" applyBorder="0" applyAlignment="0" applyProtection="0"/>
    <xf numFmtId="0" fontId="32" fillId="31" borderId="535">
      <alignment horizontal="right" vertical="center"/>
    </xf>
    <xf numFmtId="0" fontId="46" fillId="55" borderId="532" applyNumberFormat="0" applyAlignment="0" applyProtection="0"/>
    <xf numFmtId="4" fontId="34" fillId="0" borderId="535">
      <alignment horizontal="right" vertical="center"/>
    </xf>
    <xf numFmtId="4" fontId="32" fillId="33" borderId="537">
      <alignment horizontal="right" vertical="center"/>
    </xf>
    <xf numFmtId="0" fontId="45" fillId="55" borderId="532" applyNumberFormat="0" applyAlignment="0" applyProtection="0"/>
    <xf numFmtId="0" fontId="12" fillId="24"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0" fontId="12" fillId="21" borderId="0" applyNumberFormat="0" applyBorder="0" applyAlignment="0" applyProtection="0"/>
    <xf numFmtId="0" fontId="26" fillId="19" borderId="0" applyNumberFormat="0" applyBorder="0" applyAlignment="0" applyProtection="0"/>
    <xf numFmtId="0" fontId="26" fillId="13" borderId="0" applyNumberFormat="0" applyBorder="0" applyAlignment="0" applyProtection="0"/>
    <xf numFmtId="0" fontId="58" fillId="42" borderId="532" applyNumberFormat="0" applyAlignment="0" applyProtection="0"/>
    <xf numFmtId="0" fontId="43" fillId="55" borderId="531" applyNumberFormat="0" applyAlignment="0" applyProtection="0"/>
    <xf numFmtId="4" fontId="32" fillId="33" borderId="535">
      <alignment horizontal="right" vertical="center"/>
    </xf>
    <xf numFmtId="0" fontId="34" fillId="0" borderId="535">
      <alignment horizontal="right" vertical="center"/>
    </xf>
    <xf numFmtId="4" fontId="32" fillId="33" borderId="527">
      <alignment horizontal="right" vertical="center"/>
    </xf>
    <xf numFmtId="0" fontId="34" fillId="32" borderId="527"/>
    <xf numFmtId="0" fontId="45" fillId="55" borderId="524" applyNumberFormat="0" applyAlignment="0" applyProtection="0"/>
    <xf numFmtId="0" fontId="32" fillId="31" borderId="527">
      <alignment horizontal="right" vertical="center"/>
    </xf>
    <xf numFmtId="0" fontId="34" fillId="0" borderId="527">
      <alignment horizontal="right" vertical="center"/>
    </xf>
    <xf numFmtId="0" fontId="65" fillId="0" borderId="525" applyNumberFormat="0" applyFill="0" applyAlignment="0" applyProtection="0"/>
    <xf numFmtId="0" fontId="34" fillId="31" borderId="528">
      <alignment horizontal="left" vertical="center"/>
    </xf>
    <xf numFmtId="0" fontId="58" fillId="42" borderId="524" applyNumberFormat="0" applyAlignment="0" applyProtection="0"/>
    <xf numFmtId="173" fontId="34" fillId="59" borderId="527" applyNumberFormat="0" applyFont="0" applyBorder="0" applyAlignment="0" applyProtection="0">
      <alignment horizontal="right" vertical="center"/>
    </xf>
    <xf numFmtId="0" fontId="40" fillId="58" borderId="526" applyNumberFormat="0" applyFont="0" applyAlignment="0" applyProtection="0"/>
    <xf numFmtId="0" fontId="34" fillId="0" borderId="530">
      <alignment horizontal="left" vertical="center" wrapText="1" indent="2"/>
    </xf>
    <xf numFmtId="4" fontId="34" fillId="32" borderId="527"/>
    <xf numFmtId="49" fontId="33" fillId="0" borderId="527" applyNumberFormat="0" applyFill="0" applyBorder="0" applyProtection="0">
      <alignment horizontal="left" vertical="center"/>
    </xf>
    <xf numFmtId="0" fontId="34" fillId="0" borderId="527">
      <alignment horizontal="right" vertical="center"/>
    </xf>
    <xf numFmtId="4" fontId="32" fillId="33" borderId="529">
      <alignment horizontal="right" vertical="center"/>
    </xf>
    <xf numFmtId="4" fontId="32" fillId="33" borderId="527">
      <alignment horizontal="right" vertical="center"/>
    </xf>
    <xf numFmtId="4" fontId="32" fillId="33" borderId="527">
      <alignment horizontal="right" vertical="center"/>
    </xf>
    <xf numFmtId="0" fontId="36" fillId="31" borderId="527">
      <alignment horizontal="right" vertical="center"/>
    </xf>
    <xf numFmtId="0" fontId="32" fillId="31" borderId="527">
      <alignment horizontal="right" vertical="center"/>
    </xf>
    <xf numFmtId="49" fontId="34" fillId="0" borderId="527" applyNumberFormat="0" applyFont="0" applyFill="0" applyBorder="0" applyProtection="0">
      <alignment horizontal="left" vertical="center" indent="2"/>
    </xf>
    <xf numFmtId="0" fontId="58" fillId="42" borderId="524" applyNumberFormat="0" applyAlignment="0" applyProtection="0"/>
    <xf numFmtId="0" fontId="43" fillId="55" borderId="523" applyNumberFormat="0" applyAlignment="0" applyProtection="0"/>
    <xf numFmtId="49" fontId="34" fillId="0" borderId="527" applyNumberFormat="0" applyFont="0" applyFill="0" applyBorder="0" applyProtection="0">
      <alignment horizontal="left" vertical="center" indent="2"/>
    </xf>
    <xf numFmtId="0" fontId="49" fillId="42" borderId="524" applyNumberFormat="0" applyAlignment="0" applyProtection="0"/>
    <xf numFmtId="4" fontId="34" fillId="0" borderId="527" applyFill="0" applyBorder="0" applyProtection="0">
      <alignment horizontal="right" vertical="center"/>
    </xf>
    <xf numFmtId="0" fontId="46" fillId="55" borderId="524" applyNumberFormat="0" applyAlignment="0" applyProtection="0"/>
    <xf numFmtId="0" fontId="65" fillId="0" borderId="525" applyNumberFormat="0" applyFill="0" applyAlignment="0" applyProtection="0"/>
    <xf numFmtId="0" fontId="62" fillId="55" borderId="523" applyNumberFormat="0" applyAlignment="0" applyProtection="0"/>
    <xf numFmtId="0" fontId="34" fillId="0" borderId="527" applyNumberFormat="0" applyFill="0" applyAlignment="0" applyProtection="0"/>
    <xf numFmtId="4" fontId="34" fillId="0" borderId="527">
      <alignment horizontal="right" vertical="center"/>
    </xf>
    <xf numFmtId="0" fontId="34" fillId="0" borderId="527">
      <alignment horizontal="right" vertical="center"/>
    </xf>
    <xf numFmtId="0" fontId="58" fillId="42" borderId="524" applyNumberFormat="0" applyAlignment="0" applyProtection="0"/>
    <xf numFmtId="0" fontId="43" fillId="55" borderId="523" applyNumberFormat="0" applyAlignment="0" applyProtection="0"/>
    <xf numFmtId="0" fontId="45" fillId="55" borderId="524" applyNumberFormat="0" applyAlignment="0" applyProtection="0"/>
    <xf numFmtId="0" fontId="34" fillId="33" borderId="530">
      <alignment horizontal="left" vertical="center" wrapText="1" indent="2"/>
    </xf>
    <xf numFmtId="0" fontId="46" fillId="55" borderId="524" applyNumberFormat="0" applyAlignment="0" applyProtection="0"/>
    <xf numFmtId="0" fontId="46" fillId="55" borderId="524" applyNumberFormat="0" applyAlignment="0" applyProtection="0"/>
    <xf numFmtId="4" fontId="32" fillId="33" borderId="528">
      <alignment horizontal="right" vertical="center"/>
    </xf>
    <xf numFmtId="0" fontId="32" fillId="33" borderId="528">
      <alignment horizontal="right" vertical="center"/>
    </xf>
    <xf numFmtId="0" fontId="32" fillId="33" borderId="527">
      <alignment horizontal="right" vertical="center"/>
    </xf>
    <xf numFmtId="4" fontId="36" fillId="31" borderId="527">
      <alignment horizontal="right" vertical="center"/>
    </xf>
    <xf numFmtId="0" fontId="49" fillId="42" borderId="524" applyNumberFormat="0" applyAlignment="0" applyProtection="0"/>
    <xf numFmtId="0" fontId="50" fillId="0" borderId="525" applyNumberFormat="0" applyFill="0" applyAlignment="0" applyProtection="0"/>
    <xf numFmtId="0" fontId="65" fillId="0" borderId="525" applyNumberFormat="0" applyFill="0" applyAlignment="0" applyProtection="0"/>
    <xf numFmtId="0" fontId="40" fillId="58" borderId="526" applyNumberFormat="0" applyFont="0" applyAlignment="0" applyProtection="0"/>
    <xf numFmtId="0" fontId="58" fillId="42" borderId="524" applyNumberFormat="0" applyAlignment="0" applyProtection="0"/>
    <xf numFmtId="49" fontId="33" fillId="0" borderId="527" applyNumberFormat="0" applyFill="0" applyBorder="0" applyProtection="0">
      <alignment horizontal="left" vertical="center"/>
    </xf>
    <xf numFmtId="0" fontId="34" fillId="33" borderId="530">
      <alignment horizontal="left" vertical="center" wrapText="1" indent="2"/>
    </xf>
    <xf numFmtId="0" fontId="46" fillId="55" borderId="524" applyNumberFormat="0" applyAlignment="0" applyProtection="0"/>
    <xf numFmtId="0" fontId="34" fillId="0" borderId="530">
      <alignment horizontal="left" vertical="center" wrapText="1" indent="2"/>
    </xf>
    <xf numFmtId="0" fontId="40" fillId="58" borderId="526" applyNumberFormat="0" applyFont="0" applyAlignment="0" applyProtection="0"/>
    <xf numFmtId="0" fontId="5" fillId="58" borderId="526" applyNumberFormat="0" applyFont="0" applyAlignment="0" applyProtection="0"/>
    <xf numFmtId="0" fontId="62" fillId="55" borderId="523" applyNumberFormat="0" applyAlignment="0" applyProtection="0"/>
    <xf numFmtId="0" fontId="65" fillId="0" borderId="525" applyNumberFormat="0" applyFill="0" applyAlignment="0" applyProtection="0"/>
    <xf numFmtId="4" fontId="34" fillId="32" borderId="527"/>
    <xf numFmtId="0" fontId="32" fillId="33" borderId="527">
      <alignment horizontal="right" vertical="center"/>
    </xf>
    <xf numFmtId="0" fontId="65" fillId="0" borderId="525" applyNumberFormat="0" applyFill="0" applyAlignment="0" applyProtection="0"/>
    <xf numFmtId="4" fontId="32" fillId="33" borderId="529">
      <alignment horizontal="right" vertical="center"/>
    </xf>
    <xf numFmtId="0" fontId="45" fillId="55" borderId="524" applyNumberFormat="0" applyAlignment="0" applyProtection="0"/>
    <xf numFmtId="0" fontId="32" fillId="33" borderId="528">
      <alignment horizontal="right" vertical="center"/>
    </xf>
    <xf numFmtId="0" fontId="46" fillId="55" borderId="524" applyNumberFormat="0" applyAlignment="0" applyProtection="0"/>
    <xf numFmtId="0" fontId="50" fillId="0" borderId="525" applyNumberFormat="0" applyFill="0" applyAlignment="0" applyProtection="0"/>
    <xf numFmtId="0" fontId="40" fillId="58" borderId="526" applyNumberFormat="0" applyFont="0" applyAlignment="0" applyProtection="0"/>
    <xf numFmtId="4" fontId="32" fillId="33" borderId="528">
      <alignment horizontal="right" vertical="center"/>
    </xf>
    <xf numFmtId="0" fontId="34" fillId="33" borderId="530">
      <alignment horizontal="left" vertical="center" wrapText="1" indent="2"/>
    </xf>
    <xf numFmtId="0" fontId="34" fillId="32" borderId="527"/>
    <xf numFmtId="173" fontId="34" fillId="59" borderId="527" applyNumberFormat="0" applyFont="0" applyBorder="0" applyAlignment="0" applyProtection="0">
      <alignment horizontal="right" vertical="center"/>
    </xf>
    <xf numFmtId="0" fontId="34" fillId="0" borderId="527" applyNumberFormat="0" applyFill="0" applyAlignment="0" applyProtection="0"/>
    <xf numFmtId="4" fontId="34" fillId="0" borderId="527" applyFill="0" applyBorder="0" applyProtection="0">
      <alignment horizontal="right" vertical="center"/>
    </xf>
    <xf numFmtId="4" fontId="32" fillId="31" borderId="527">
      <alignment horizontal="right" vertical="center"/>
    </xf>
    <xf numFmtId="0" fontId="50" fillId="0" borderId="525" applyNumberFormat="0" applyFill="0" applyAlignment="0" applyProtection="0"/>
    <xf numFmtId="49" fontId="33" fillId="0" borderId="527" applyNumberFormat="0" applyFill="0" applyBorder="0" applyProtection="0">
      <alignment horizontal="left" vertical="center"/>
    </xf>
    <xf numFmtId="49" fontId="34" fillId="0" borderId="528" applyNumberFormat="0" applyFont="0" applyFill="0" applyBorder="0" applyProtection="0">
      <alignment horizontal="left" vertical="center" indent="5"/>
    </xf>
    <xf numFmtId="0" fontId="34" fillId="31" borderId="528">
      <alignment horizontal="left" vertical="center"/>
    </xf>
    <xf numFmtId="0" fontId="46" fillId="55" borderId="524" applyNumberFormat="0" applyAlignment="0" applyProtection="0"/>
    <xf numFmtId="4" fontId="32" fillId="33" borderId="529">
      <alignment horizontal="right" vertical="center"/>
    </xf>
    <xf numFmtId="0" fontId="58" fillId="42" borderId="524" applyNumberFormat="0" applyAlignment="0" applyProtection="0"/>
    <xf numFmtId="0" fontId="58" fillId="42" borderId="524" applyNumberFormat="0" applyAlignment="0" applyProtection="0"/>
    <xf numFmtId="0" fontId="40" fillId="58" borderId="526" applyNumberFormat="0" applyFont="0" applyAlignment="0" applyProtection="0"/>
    <xf numFmtId="0" fontId="62" fillId="55" borderId="523" applyNumberFormat="0" applyAlignment="0" applyProtection="0"/>
    <xf numFmtId="0" fontId="65" fillId="0" borderId="525" applyNumberFormat="0" applyFill="0" applyAlignment="0" applyProtection="0"/>
    <xf numFmtId="0" fontId="32" fillId="33" borderId="527">
      <alignment horizontal="right" vertical="center"/>
    </xf>
    <xf numFmtId="0" fontId="5" fillId="58" borderId="526" applyNumberFormat="0" applyFont="0" applyAlignment="0" applyProtection="0"/>
    <xf numFmtId="4" fontId="34" fillId="0" borderId="527">
      <alignment horizontal="right" vertical="center"/>
    </xf>
    <xf numFmtId="0" fontId="65" fillId="0" borderId="525" applyNumberFormat="0" applyFill="0" applyAlignment="0" applyProtection="0"/>
    <xf numFmtId="0" fontId="32" fillId="33" borderId="527">
      <alignment horizontal="right" vertical="center"/>
    </xf>
    <xf numFmtId="0" fontId="32" fillId="33" borderId="527">
      <alignment horizontal="right" vertical="center"/>
    </xf>
    <xf numFmtId="4" fontId="36" fillId="31" borderId="527">
      <alignment horizontal="right" vertical="center"/>
    </xf>
    <xf numFmtId="0" fontId="32" fillId="31" borderId="527">
      <alignment horizontal="right" vertical="center"/>
    </xf>
    <xf numFmtId="4" fontId="32" fillId="31" borderId="527">
      <alignment horizontal="right" vertical="center"/>
    </xf>
    <xf numFmtId="0" fontId="36" fillId="31" borderId="527">
      <alignment horizontal="right" vertical="center"/>
    </xf>
    <xf numFmtId="4" fontId="36" fillId="31" borderId="527">
      <alignment horizontal="right" vertical="center"/>
    </xf>
    <xf numFmtId="0" fontId="32" fillId="33" borderId="527">
      <alignment horizontal="right" vertical="center"/>
    </xf>
    <xf numFmtId="4" fontId="32" fillId="33" borderId="527">
      <alignment horizontal="right" vertical="center"/>
    </xf>
    <xf numFmtId="0" fontId="32" fillId="33" borderId="527">
      <alignment horizontal="right" vertical="center"/>
    </xf>
    <xf numFmtId="4" fontId="32" fillId="33" borderId="527">
      <alignment horizontal="right" vertical="center"/>
    </xf>
    <xf numFmtId="0" fontId="32" fillId="33" borderId="528">
      <alignment horizontal="right" vertical="center"/>
    </xf>
    <xf numFmtId="4" fontId="32" fillId="33" borderId="528">
      <alignment horizontal="right" vertical="center"/>
    </xf>
    <xf numFmtId="0" fontId="32" fillId="33" borderId="529">
      <alignment horizontal="right" vertical="center"/>
    </xf>
    <xf numFmtId="4" fontId="32" fillId="33" borderId="529">
      <alignment horizontal="right" vertical="center"/>
    </xf>
    <xf numFmtId="0" fontId="46" fillId="55" borderId="524" applyNumberFormat="0" applyAlignment="0" applyProtection="0"/>
    <xf numFmtId="0" fontId="34" fillId="33" borderId="530">
      <alignment horizontal="left" vertical="center" wrapText="1" indent="2"/>
    </xf>
    <xf numFmtId="0" fontId="34" fillId="0" borderId="530">
      <alignment horizontal="left" vertical="center" wrapText="1" indent="2"/>
    </xf>
    <xf numFmtId="0" fontId="34" fillId="31" borderId="528">
      <alignment horizontal="left" vertical="center"/>
    </xf>
    <xf numFmtId="0" fontId="58" fillId="42" borderId="524" applyNumberFormat="0" applyAlignment="0" applyProtection="0"/>
    <xf numFmtId="0" fontId="34" fillId="0" borderId="527">
      <alignment horizontal="right" vertical="center"/>
    </xf>
    <xf numFmtId="4" fontId="34" fillId="0" borderId="527">
      <alignment horizontal="right" vertical="center"/>
    </xf>
    <xf numFmtId="0" fontId="34" fillId="0" borderId="527" applyNumberFormat="0" applyFill="0" applyAlignment="0" applyProtection="0"/>
    <xf numFmtId="0" fontId="62" fillId="55" borderId="523" applyNumberFormat="0" applyAlignment="0" applyProtection="0"/>
    <xf numFmtId="173" fontId="34" fillId="59" borderId="527" applyNumberFormat="0" applyFont="0" applyBorder="0" applyAlignment="0" applyProtection="0">
      <alignment horizontal="right" vertical="center"/>
    </xf>
    <xf numFmtId="0" fontId="34" fillId="32" borderId="527"/>
    <xf numFmtId="4" fontId="34" fillId="32" borderId="527"/>
    <xf numFmtId="0" fontId="65" fillId="0" borderId="525" applyNumberFormat="0" applyFill="0" applyAlignment="0" applyProtection="0"/>
    <xf numFmtId="0" fontId="5" fillId="58" borderId="526" applyNumberFormat="0" applyFont="0" applyAlignment="0" applyProtection="0"/>
    <xf numFmtId="0" fontId="40" fillId="58" borderId="526" applyNumberFormat="0" applyFont="0" applyAlignment="0" applyProtection="0"/>
    <xf numFmtId="0" fontId="34" fillId="0" borderId="527" applyNumberFormat="0" applyFill="0" applyAlignment="0" applyProtection="0"/>
    <xf numFmtId="0" fontId="50" fillId="0" borderId="525" applyNumberFormat="0" applyFill="0" applyAlignment="0" applyProtection="0"/>
    <xf numFmtId="0" fontId="65" fillId="0" borderId="525" applyNumberFormat="0" applyFill="0" applyAlignment="0" applyProtection="0"/>
    <xf numFmtId="0" fontId="49" fillId="42" borderId="524" applyNumberFormat="0" applyAlignment="0" applyProtection="0"/>
    <xf numFmtId="0" fontId="46" fillId="55" borderId="524" applyNumberFormat="0" applyAlignment="0" applyProtection="0"/>
    <xf numFmtId="4" fontId="36" fillId="31" borderId="527">
      <alignment horizontal="right" vertical="center"/>
    </xf>
    <xf numFmtId="0" fontId="32" fillId="31" borderId="527">
      <alignment horizontal="right" vertical="center"/>
    </xf>
    <xf numFmtId="173" fontId="34" fillId="59" borderId="527" applyNumberFormat="0" applyFont="0" applyBorder="0" applyAlignment="0" applyProtection="0">
      <alignment horizontal="right" vertical="center"/>
    </xf>
    <xf numFmtId="0" fontId="50" fillId="0" borderId="525" applyNumberFormat="0" applyFill="0" applyAlignment="0" applyProtection="0"/>
    <xf numFmtId="49" fontId="34" fillId="0" borderId="527" applyNumberFormat="0" applyFont="0" applyFill="0" applyBorder="0" applyProtection="0">
      <alignment horizontal="left" vertical="center" indent="2"/>
    </xf>
    <xf numFmtId="49" fontId="34" fillId="0" borderId="528" applyNumberFormat="0" applyFont="0" applyFill="0" applyBorder="0" applyProtection="0">
      <alignment horizontal="left" vertical="center" indent="5"/>
    </xf>
    <xf numFmtId="49" fontId="34" fillId="0" borderId="527" applyNumberFormat="0" applyFont="0" applyFill="0" applyBorder="0" applyProtection="0">
      <alignment horizontal="left" vertical="center" indent="2"/>
    </xf>
    <xf numFmtId="4" fontId="34" fillId="0" borderId="527" applyFill="0" applyBorder="0" applyProtection="0">
      <alignment horizontal="right" vertical="center"/>
    </xf>
    <xf numFmtId="49" fontId="33" fillId="0" borderId="527" applyNumberFormat="0" applyFill="0" applyBorder="0" applyProtection="0">
      <alignment horizontal="left" vertical="center"/>
    </xf>
    <xf numFmtId="0" fontId="34" fillId="0" borderId="530">
      <alignment horizontal="left" vertical="center" wrapText="1" indent="2"/>
    </xf>
    <xf numFmtId="0" fontId="62" fillId="55" borderId="523" applyNumberFormat="0" applyAlignment="0" applyProtection="0"/>
    <xf numFmtId="0" fontId="32" fillId="33" borderId="529">
      <alignment horizontal="right" vertical="center"/>
    </xf>
    <xf numFmtId="0" fontId="49" fillId="42" borderId="524" applyNumberFormat="0" applyAlignment="0" applyProtection="0"/>
    <xf numFmtId="0" fontId="32" fillId="33" borderId="529">
      <alignment horizontal="right" vertical="center"/>
    </xf>
    <xf numFmtId="4" fontId="32" fillId="33" borderId="527">
      <alignment horizontal="right" vertical="center"/>
    </xf>
    <xf numFmtId="0" fontId="32" fillId="33" borderId="527">
      <alignment horizontal="right" vertical="center"/>
    </xf>
    <xf numFmtId="0" fontId="43" fillId="55" borderId="523" applyNumberFormat="0" applyAlignment="0" applyProtection="0"/>
    <xf numFmtId="0" fontId="45" fillId="55" borderId="524" applyNumberFormat="0" applyAlignment="0" applyProtection="0"/>
    <xf numFmtId="0" fontId="50" fillId="0" borderId="525" applyNumberFormat="0" applyFill="0" applyAlignment="0" applyProtection="0"/>
    <xf numFmtId="0" fontId="34" fillId="32" borderId="527"/>
    <xf numFmtId="4" fontId="34" fillId="32" borderId="527"/>
    <xf numFmtId="4" fontId="32" fillId="33" borderId="527">
      <alignment horizontal="right" vertical="center"/>
    </xf>
    <xf numFmtId="0" fontId="36" fillId="31" borderId="527">
      <alignment horizontal="right" vertical="center"/>
    </xf>
    <xf numFmtId="0" fontId="49" fillId="42" borderId="524" applyNumberFormat="0" applyAlignment="0" applyProtection="0"/>
    <xf numFmtId="0" fontId="46" fillId="55" borderId="524" applyNumberFormat="0" applyAlignment="0" applyProtection="0"/>
    <xf numFmtId="4" fontId="34" fillId="0" borderId="527">
      <alignment horizontal="right" vertical="center"/>
    </xf>
    <xf numFmtId="0" fontId="34" fillId="33" borderId="530">
      <alignment horizontal="left" vertical="center" wrapText="1" indent="2"/>
    </xf>
    <xf numFmtId="0" fontId="34" fillId="0" borderId="530">
      <alignment horizontal="left" vertical="center" wrapText="1" indent="2"/>
    </xf>
    <xf numFmtId="0" fontId="62" fillId="55" borderId="523" applyNumberFormat="0" applyAlignment="0" applyProtection="0"/>
    <xf numFmtId="0" fontId="58" fillId="42" borderId="524" applyNumberFormat="0" applyAlignment="0" applyProtection="0"/>
    <xf numFmtId="0" fontId="45" fillId="55" borderId="524" applyNumberFormat="0" applyAlignment="0" applyProtection="0"/>
    <xf numFmtId="0" fontId="43" fillId="55" borderId="523" applyNumberFormat="0" applyAlignment="0" applyProtection="0"/>
    <xf numFmtId="0" fontId="32" fillId="33" borderId="529">
      <alignment horizontal="right" vertical="center"/>
    </xf>
    <xf numFmtId="0" fontId="36" fillId="31" borderId="527">
      <alignment horizontal="right" vertical="center"/>
    </xf>
    <xf numFmtId="4" fontId="32" fillId="31" borderId="527">
      <alignment horizontal="right" vertical="center"/>
    </xf>
    <xf numFmtId="4" fontId="32" fillId="33" borderId="527">
      <alignment horizontal="right" vertical="center"/>
    </xf>
    <xf numFmtId="49" fontId="34" fillId="0" borderId="528" applyNumberFormat="0" applyFont="0" applyFill="0" applyBorder="0" applyProtection="0">
      <alignment horizontal="left" vertical="center" indent="5"/>
    </xf>
    <xf numFmtId="4" fontId="34" fillId="0" borderId="527" applyFill="0" applyBorder="0" applyProtection="0">
      <alignment horizontal="right" vertical="center"/>
    </xf>
    <xf numFmtId="4" fontId="32" fillId="31" borderId="527">
      <alignment horizontal="right" vertical="center"/>
    </xf>
    <xf numFmtId="4" fontId="34" fillId="0" borderId="542" applyFill="0" applyBorder="0" applyProtection="0">
      <alignment horizontal="right" vertical="center"/>
    </xf>
    <xf numFmtId="0" fontId="58" fillId="42" borderId="524" applyNumberFormat="0" applyAlignment="0" applyProtection="0"/>
    <xf numFmtId="0" fontId="49" fillId="42" borderId="524" applyNumberFormat="0" applyAlignment="0" applyProtection="0"/>
    <xf numFmtId="0" fontId="45" fillId="55" borderId="524" applyNumberFormat="0" applyAlignment="0" applyProtection="0"/>
    <xf numFmtId="0" fontId="34" fillId="33" borderId="530">
      <alignment horizontal="left" vertical="center" wrapText="1" indent="2"/>
    </xf>
    <xf numFmtId="0" fontId="34" fillId="0" borderId="530">
      <alignment horizontal="left" vertical="center" wrapText="1" indent="2"/>
    </xf>
    <xf numFmtId="0" fontId="34" fillId="33" borderId="530">
      <alignment horizontal="left" vertical="center" wrapText="1" indent="2"/>
    </xf>
    <xf numFmtId="0" fontId="34" fillId="0" borderId="530">
      <alignment horizontal="left" vertical="center" wrapText="1" indent="2"/>
    </xf>
    <xf numFmtId="0" fontId="43" fillId="55" borderId="523" applyNumberFormat="0" applyAlignment="0" applyProtection="0"/>
    <xf numFmtId="0" fontId="45" fillId="55" borderId="524" applyNumberFormat="0" applyAlignment="0" applyProtection="0"/>
    <xf numFmtId="0" fontId="46" fillId="55" borderId="524" applyNumberFormat="0" applyAlignment="0" applyProtection="0"/>
    <xf numFmtId="0" fontId="49" fillId="42" borderId="524" applyNumberFormat="0" applyAlignment="0" applyProtection="0"/>
    <xf numFmtId="0" fontId="50" fillId="0" borderId="525" applyNumberFormat="0" applyFill="0" applyAlignment="0" applyProtection="0"/>
    <xf numFmtId="0" fontId="58" fillId="42" borderId="524" applyNumberFormat="0" applyAlignment="0" applyProtection="0"/>
    <xf numFmtId="0" fontId="40" fillId="58" borderId="526" applyNumberFormat="0" applyFont="0" applyAlignment="0" applyProtection="0"/>
    <xf numFmtId="0" fontId="5" fillId="58" borderId="526" applyNumberFormat="0" applyFont="0" applyAlignment="0" applyProtection="0"/>
    <xf numFmtId="0" fontId="62" fillId="55" borderId="523" applyNumberFormat="0" applyAlignment="0" applyProtection="0"/>
    <xf numFmtId="0" fontId="65" fillId="0" borderId="525" applyNumberFormat="0" applyFill="0" applyAlignment="0" applyProtection="0"/>
    <xf numFmtId="0" fontId="46" fillId="55" borderId="524" applyNumberFormat="0" applyAlignment="0" applyProtection="0"/>
    <xf numFmtId="0" fontId="58" fillId="42" borderId="524" applyNumberFormat="0" applyAlignment="0" applyProtection="0"/>
    <xf numFmtId="0" fontId="40" fillId="58" borderId="526" applyNumberFormat="0" applyFont="0" applyAlignment="0" applyProtection="0"/>
    <xf numFmtId="0" fontId="62" fillId="55" borderId="523" applyNumberFormat="0" applyAlignment="0" applyProtection="0"/>
    <xf numFmtId="0" fontId="65" fillId="0" borderId="525" applyNumberFormat="0" applyFill="0" applyAlignment="0" applyProtection="0"/>
    <xf numFmtId="0" fontId="46" fillId="55" borderId="532" applyNumberFormat="0" applyAlignment="0" applyProtection="0"/>
    <xf numFmtId="0" fontId="62" fillId="55" borderId="531" applyNumberFormat="0" applyAlignment="0" applyProtection="0"/>
    <xf numFmtId="4" fontId="32" fillId="33" borderId="542">
      <alignment horizontal="right" vertical="center"/>
    </xf>
    <xf numFmtId="0" fontId="46" fillId="55" borderId="524" applyNumberFormat="0" applyAlignment="0" applyProtection="0"/>
    <xf numFmtId="0" fontId="46" fillId="55" borderId="532" applyNumberFormat="0" applyAlignment="0" applyProtection="0"/>
    <xf numFmtId="0" fontId="58" fillId="42" borderId="532" applyNumberFormat="0" applyAlignment="0" applyProtection="0"/>
    <xf numFmtId="0" fontId="65" fillId="0" borderId="533" applyNumberFormat="0" applyFill="0" applyAlignment="0" applyProtection="0"/>
    <xf numFmtId="0" fontId="58" fillId="42" borderId="524" applyNumberFormat="0" applyAlignment="0" applyProtection="0"/>
    <xf numFmtId="0" fontId="62" fillId="55" borderId="523" applyNumberFormat="0" applyAlignment="0" applyProtection="0"/>
    <xf numFmtId="0" fontId="65" fillId="0" borderId="525" applyNumberFormat="0" applyFill="0" applyAlignment="0" applyProtection="0"/>
    <xf numFmtId="4" fontId="34" fillId="0" borderId="535">
      <alignment horizontal="right" vertical="center"/>
    </xf>
    <xf numFmtId="0" fontId="43" fillId="55" borderId="523" applyNumberFormat="0" applyAlignment="0" applyProtection="0"/>
    <xf numFmtId="0" fontId="45" fillId="55" borderId="524" applyNumberFormat="0" applyAlignment="0" applyProtection="0"/>
    <xf numFmtId="0" fontId="50" fillId="0" borderId="525" applyNumberFormat="0" applyFill="0" applyAlignment="0" applyProtection="0"/>
    <xf numFmtId="49" fontId="34" fillId="0" borderId="527" applyNumberFormat="0" applyFont="0" applyFill="0" applyBorder="0" applyProtection="0">
      <alignment horizontal="left" vertical="center" indent="2"/>
    </xf>
    <xf numFmtId="0" fontId="32" fillId="31" borderId="527">
      <alignment horizontal="right" vertical="center"/>
    </xf>
    <xf numFmtId="4" fontId="32" fillId="31" borderId="527">
      <alignment horizontal="right" vertical="center"/>
    </xf>
    <xf numFmtId="0" fontId="36" fillId="31" borderId="527">
      <alignment horizontal="right" vertical="center"/>
    </xf>
    <xf numFmtId="4" fontId="36" fillId="31" borderId="527">
      <alignment horizontal="right" vertical="center"/>
    </xf>
    <xf numFmtId="0" fontId="32" fillId="33" borderId="527">
      <alignment horizontal="right" vertical="center"/>
    </xf>
    <xf numFmtId="4" fontId="32" fillId="33" borderId="527">
      <alignment horizontal="right" vertical="center"/>
    </xf>
    <xf numFmtId="0" fontId="32" fillId="33" borderId="527">
      <alignment horizontal="right" vertical="center"/>
    </xf>
    <xf numFmtId="4" fontId="32" fillId="33" borderId="527">
      <alignment horizontal="right" vertical="center"/>
    </xf>
    <xf numFmtId="0" fontId="49" fillId="42" borderId="524" applyNumberFormat="0" applyAlignment="0" applyProtection="0"/>
    <xf numFmtId="0" fontId="34" fillId="0" borderId="527">
      <alignment horizontal="right" vertical="center"/>
    </xf>
    <xf numFmtId="4" fontId="34" fillId="0" borderId="527">
      <alignment horizontal="right" vertical="center"/>
    </xf>
    <xf numFmtId="4" fontId="34" fillId="0" borderId="527" applyFill="0" applyBorder="0" applyProtection="0">
      <alignment horizontal="right" vertical="center"/>
    </xf>
    <xf numFmtId="49" fontId="33" fillId="0" borderId="527" applyNumberFormat="0" applyFill="0" applyBorder="0" applyProtection="0">
      <alignment horizontal="left" vertical="center"/>
    </xf>
    <xf numFmtId="0" fontId="34" fillId="0" borderId="527" applyNumberFormat="0" applyFill="0" applyAlignment="0" applyProtection="0"/>
    <xf numFmtId="173" fontId="34" fillId="59" borderId="527" applyNumberFormat="0" applyFont="0" applyBorder="0" applyAlignment="0" applyProtection="0">
      <alignment horizontal="right" vertical="center"/>
    </xf>
    <xf numFmtId="0" fontId="34" fillId="32" borderId="527"/>
    <xf numFmtId="4" fontId="34" fillId="32" borderId="527"/>
    <xf numFmtId="4" fontId="32" fillId="33" borderId="527">
      <alignment horizontal="right" vertical="center"/>
    </xf>
    <xf numFmtId="0" fontId="34" fillId="32" borderId="527"/>
    <xf numFmtId="0" fontId="45" fillId="55" borderId="524" applyNumberFormat="0" applyAlignment="0" applyProtection="0"/>
    <xf numFmtId="0" fontId="32" fillId="31" borderId="527">
      <alignment horizontal="right" vertical="center"/>
    </xf>
    <xf numFmtId="0" fontId="34" fillId="0" borderId="527">
      <alignment horizontal="right" vertical="center"/>
    </xf>
    <xf numFmtId="0" fontId="65" fillId="0" borderId="525" applyNumberFormat="0" applyFill="0" applyAlignment="0" applyProtection="0"/>
    <xf numFmtId="0" fontId="34" fillId="31" borderId="528">
      <alignment horizontal="left" vertical="center"/>
    </xf>
    <xf numFmtId="0" fontId="58" fillId="42" borderId="524" applyNumberFormat="0" applyAlignment="0" applyProtection="0"/>
    <xf numFmtId="173" fontId="34" fillId="59" borderId="527" applyNumberFormat="0" applyFont="0" applyBorder="0" applyAlignment="0" applyProtection="0">
      <alignment horizontal="right" vertical="center"/>
    </xf>
    <xf numFmtId="0" fontId="40" fillId="58" borderId="526" applyNumberFormat="0" applyFont="0" applyAlignment="0" applyProtection="0"/>
    <xf numFmtId="0" fontId="34" fillId="0" borderId="530">
      <alignment horizontal="left" vertical="center" wrapText="1" indent="2"/>
    </xf>
    <xf numFmtId="4" fontId="34" fillId="32" borderId="527"/>
    <xf numFmtId="49" fontId="33" fillId="0" borderId="527" applyNumberFormat="0" applyFill="0" applyBorder="0" applyProtection="0">
      <alignment horizontal="left" vertical="center"/>
    </xf>
    <xf numFmtId="0" fontId="34" fillId="0" borderId="527">
      <alignment horizontal="right" vertical="center"/>
    </xf>
    <xf numFmtId="4" fontId="32" fillId="33" borderId="529">
      <alignment horizontal="right" vertical="center"/>
    </xf>
    <xf numFmtId="4" fontId="32" fillId="33" borderId="527">
      <alignment horizontal="right" vertical="center"/>
    </xf>
    <xf numFmtId="4" fontId="32" fillId="33" borderId="527">
      <alignment horizontal="right" vertical="center"/>
    </xf>
    <xf numFmtId="0" fontId="36" fillId="31" borderId="527">
      <alignment horizontal="right" vertical="center"/>
    </xf>
    <xf numFmtId="0" fontId="32" fillId="31" borderId="527">
      <alignment horizontal="right" vertical="center"/>
    </xf>
    <xf numFmtId="49" fontId="34" fillId="0" borderId="527" applyNumberFormat="0" applyFont="0" applyFill="0" applyBorder="0" applyProtection="0">
      <alignment horizontal="left" vertical="center" indent="2"/>
    </xf>
    <xf numFmtId="0" fontId="58" fillId="42" borderId="524" applyNumberFormat="0" applyAlignment="0" applyProtection="0"/>
    <xf numFmtId="0" fontId="43" fillId="55" borderId="523" applyNumberFormat="0" applyAlignment="0" applyProtection="0"/>
    <xf numFmtId="49" fontId="34" fillId="0" borderId="527" applyNumberFormat="0" applyFont="0" applyFill="0" applyBorder="0" applyProtection="0">
      <alignment horizontal="left" vertical="center" indent="2"/>
    </xf>
    <xf numFmtId="0" fontId="49" fillId="42" borderId="524" applyNumberFormat="0" applyAlignment="0" applyProtection="0"/>
    <xf numFmtId="4" fontId="34" fillId="0" borderId="527" applyFill="0" applyBorder="0" applyProtection="0">
      <alignment horizontal="right" vertical="center"/>
    </xf>
    <xf numFmtId="0" fontId="46" fillId="55" borderId="524" applyNumberFormat="0" applyAlignment="0" applyProtection="0"/>
    <xf numFmtId="0" fontId="65" fillId="0" borderId="525" applyNumberFormat="0" applyFill="0" applyAlignment="0" applyProtection="0"/>
    <xf numFmtId="0" fontId="62" fillId="55" borderId="523" applyNumberFormat="0" applyAlignment="0" applyProtection="0"/>
    <xf numFmtId="0" fontId="34" fillId="0" borderId="527" applyNumberFormat="0" applyFill="0" applyAlignment="0" applyProtection="0"/>
    <xf numFmtId="4" fontId="34" fillId="0" borderId="527">
      <alignment horizontal="right" vertical="center"/>
    </xf>
    <xf numFmtId="0" fontId="34" fillId="0" borderId="527">
      <alignment horizontal="right" vertical="center"/>
    </xf>
    <xf numFmtId="0" fontId="58" fillId="42" borderId="524" applyNumberFormat="0" applyAlignment="0" applyProtection="0"/>
    <xf numFmtId="0" fontId="43" fillId="55" borderId="523" applyNumberFormat="0" applyAlignment="0" applyProtection="0"/>
    <xf numFmtId="0" fontId="45" fillId="55" borderId="524" applyNumberFormat="0" applyAlignment="0" applyProtection="0"/>
    <xf numFmtId="0" fontId="34" fillId="33" borderId="530">
      <alignment horizontal="left" vertical="center" wrapText="1" indent="2"/>
    </xf>
    <xf numFmtId="0" fontId="46" fillId="55" borderId="524" applyNumberFormat="0" applyAlignment="0" applyProtection="0"/>
    <xf numFmtId="0" fontId="46" fillId="55" borderId="524" applyNumberFormat="0" applyAlignment="0" applyProtection="0"/>
    <xf numFmtId="4" fontId="32" fillId="33" borderId="528">
      <alignment horizontal="right" vertical="center"/>
    </xf>
    <xf numFmtId="0" fontId="32" fillId="33" borderId="528">
      <alignment horizontal="right" vertical="center"/>
    </xf>
    <xf numFmtId="0" fontId="32" fillId="33" borderId="527">
      <alignment horizontal="right" vertical="center"/>
    </xf>
    <xf numFmtId="4" fontId="36" fillId="31" borderId="527">
      <alignment horizontal="right" vertical="center"/>
    </xf>
    <xf numFmtId="0" fontId="49" fillId="42" borderId="524" applyNumberFormat="0" applyAlignment="0" applyProtection="0"/>
    <xf numFmtId="0" fontId="50" fillId="0" borderId="525" applyNumberFormat="0" applyFill="0" applyAlignment="0" applyProtection="0"/>
    <xf numFmtId="0" fontId="65" fillId="0" borderId="525" applyNumberFormat="0" applyFill="0" applyAlignment="0" applyProtection="0"/>
    <xf numFmtId="0" fontId="40" fillId="58" borderId="526" applyNumberFormat="0" applyFont="0" applyAlignment="0" applyProtection="0"/>
    <xf numFmtId="0" fontId="58" fillId="42" borderId="524" applyNumberFormat="0" applyAlignment="0" applyProtection="0"/>
    <xf numFmtId="49" fontId="33" fillId="0" borderId="527" applyNumberFormat="0" applyFill="0" applyBorder="0" applyProtection="0">
      <alignment horizontal="left" vertical="center"/>
    </xf>
    <xf numFmtId="0" fontId="34" fillId="33" borderId="530">
      <alignment horizontal="left" vertical="center" wrapText="1" indent="2"/>
    </xf>
    <xf numFmtId="0" fontId="46" fillId="55" borderId="524" applyNumberFormat="0" applyAlignment="0" applyProtection="0"/>
    <xf numFmtId="0" fontId="34" fillId="0" borderId="530">
      <alignment horizontal="left" vertical="center" wrapText="1" indent="2"/>
    </xf>
    <xf numFmtId="0" fontId="40" fillId="58" borderId="526" applyNumberFormat="0" applyFont="0" applyAlignment="0" applyProtection="0"/>
    <xf numFmtId="0" fontId="5" fillId="58" borderId="526" applyNumberFormat="0" applyFont="0" applyAlignment="0" applyProtection="0"/>
    <xf numFmtId="0" fontId="62" fillId="55" borderId="523" applyNumberFormat="0" applyAlignment="0" applyProtection="0"/>
    <xf numFmtId="0" fontId="65" fillId="0" borderId="525" applyNumberFormat="0" applyFill="0" applyAlignment="0" applyProtection="0"/>
    <xf numFmtId="4" fontId="34" fillId="32" borderId="527"/>
    <xf numFmtId="0" fontId="32" fillId="33" borderId="527">
      <alignment horizontal="right" vertical="center"/>
    </xf>
    <xf numFmtId="0" fontId="65" fillId="0" borderId="525" applyNumberFormat="0" applyFill="0" applyAlignment="0" applyProtection="0"/>
    <xf numFmtId="4" fontId="32" fillId="33" borderId="529">
      <alignment horizontal="right" vertical="center"/>
    </xf>
    <xf numFmtId="0" fontId="45" fillId="55" borderId="524" applyNumberFormat="0" applyAlignment="0" applyProtection="0"/>
    <xf numFmtId="0" fontId="32" fillId="33" borderId="528">
      <alignment horizontal="right" vertical="center"/>
    </xf>
    <xf numFmtId="0" fontId="46" fillId="55" borderId="524" applyNumberFormat="0" applyAlignment="0" applyProtection="0"/>
    <xf numFmtId="0" fontId="50" fillId="0" borderId="525" applyNumberFormat="0" applyFill="0" applyAlignment="0" applyProtection="0"/>
    <xf numFmtId="0" fontId="40" fillId="58" borderId="526" applyNumberFormat="0" applyFont="0" applyAlignment="0" applyProtection="0"/>
    <xf numFmtId="4" fontId="32" fillId="33" borderId="528">
      <alignment horizontal="right" vertical="center"/>
    </xf>
    <xf numFmtId="0" fontId="34" fillId="33" borderId="530">
      <alignment horizontal="left" vertical="center" wrapText="1" indent="2"/>
    </xf>
    <xf numFmtId="0" fontId="34" fillId="32" borderId="527"/>
    <xf numFmtId="173" fontId="34" fillId="59" borderId="527" applyNumberFormat="0" applyFont="0" applyBorder="0" applyAlignment="0" applyProtection="0">
      <alignment horizontal="right" vertical="center"/>
    </xf>
    <xf numFmtId="0" fontId="34" fillId="0" borderId="527" applyNumberFormat="0" applyFill="0" applyAlignment="0" applyProtection="0"/>
    <xf numFmtId="4" fontId="34" fillId="0" borderId="527" applyFill="0" applyBorder="0" applyProtection="0">
      <alignment horizontal="right" vertical="center"/>
    </xf>
    <xf numFmtId="4" fontId="32" fillId="31" borderId="527">
      <alignment horizontal="right" vertical="center"/>
    </xf>
    <xf numFmtId="0" fontId="50" fillId="0" borderId="525" applyNumberFormat="0" applyFill="0" applyAlignment="0" applyProtection="0"/>
    <xf numFmtId="49" fontId="33" fillId="0" borderId="527" applyNumberFormat="0" applyFill="0" applyBorder="0" applyProtection="0">
      <alignment horizontal="left" vertical="center"/>
    </xf>
    <xf numFmtId="49" fontId="34" fillId="0" borderId="528" applyNumberFormat="0" applyFont="0" applyFill="0" applyBorder="0" applyProtection="0">
      <alignment horizontal="left" vertical="center" indent="5"/>
    </xf>
    <xf numFmtId="0" fontId="34" fillId="31" borderId="528">
      <alignment horizontal="left" vertical="center"/>
    </xf>
    <xf numFmtId="0" fontId="46" fillId="55" borderId="524" applyNumberFormat="0" applyAlignment="0" applyProtection="0"/>
    <xf numFmtId="4" fontId="32" fillId="33" borderId="529">
      <alignment horizontal="right" vertical="center"/>
    </xf>
    <xf numFmtId="0" fontId="58" fillId="42" borderId="524" applyNumberFormat="0" applyAlignment="0" applyProtection="0"/>
    <xf numFmtId="0" fontId="58" fillId="42" borderId="524" applyNumberFormat="0" applyAlignment="0" applyProtection="0"/>
    <xf numFmtId="0" fontId="40" fillId="58" borderId="526" applyNumberFormat="0" applyFont="0" applyAlignment="0" applyProtection="0"/>
    <xf numFmtId="0" fontId="62" fillId="55" borderId="523" applyNumberFormat="0" applyAlignment="0" applyProtection="0"/>
    <xf numFmtId="0" fontId="65" fillId="0" borderId="525" applyNumberFormat="0" applyFill="0" applyAlignment="0" applyProtection="0"/>
    <xf numFmtId="0" fontId="32" fillId="33" borderId="527">
      <alignment horizontal="right" vertical="center"/>
    </xf>
    <xf numFmtId="0" fontId="5" fillId="58" borderId="526" applyNumberFormat="0" applyFont="0" applyAlignment="0" applyProtection="0"/>
    <xf numFmtId="4" fontId="34" fillId="0" borderId="527">
      <alignment horizontal="right" vertical="center"/>
    </xf>
    <xf numFmtId="0" fontId="65" fillId="0" borderId="525" applyNumberFormat="0" applyFill="0" applyAlignment="0" applyProtection="0"/>
    <xf numFmtId="0" fontId="32" fillId="33" borderId="527">
      <alignment horizontal="right" vertical="center"/>
    </xf>
    <xf numFmtId="0" fontId="32" fillId="33" borderId="527">
      <alignment horizontal="right" vertical="center"/>
    </xf>
    <xf numFmtId="4" fontId="36" fillId="31" borderId="527">
      <alignment horizontal="right" vertical="center"/>
    </xf>
    <xf numFmtId="0" fontId="32" fillId="31" borderId="527">
      <alignment horizontal="right" vertical="center"/>
    </xf>
    <xf numFmtId="4" fontId="32" fillId="31" borderId="527">
      <alignment horizontal="right" vertical="center"/>
    </xf>
    <xf numFmtId="0" fontId="36" fillId="31" borderId="527">
      <alignment horizontal="right" vertical="center"/>
    </xf>
    <xf numFmtId="4" fontId="36" fillId="31" borderId="527">
      <alignment horizontal="right" vertical="center"/>
    </xf>
    <xf numFmtId="0" fontId="32" fillId="33" borderId="527">
      <alignment horizontal="right" vertical="center"/>
    </xf>
    <xf numFmtId="4" fontId="32" fillId="33" borderId="527">
      <alignment horizontal="right" vertical="center"/>
    </xf>
    <xf numFmtId="0" fontId="32" fillId="33" borderId="527">
      <alignment horizontal="right" vertical="center"/>
    </xf>
    <xf numFmtId="4" fontId="32" fillId="33" borderId="527">
      <alignment horizontal="right" vertical="center"/>
    </xf>
    <xf numFmtId="0" fontId="32" fillId="33" borderId="528">
      <alignment horizontal="right" vertical="center"/>
    </xf>
    <xf numFmtId="4" fontId="32" fillId="33" borderId="528">
      <alignment horizontal="right" vertical="center"/>
    </xf>
    <xf numFmtId="0" fontId="32" fillId="33" borderId="529">
      <alignment horizontal="right" vertical="center"/>
    </xf>
    <xf numFmtId="4" fontId="32" fillId="33" borderId="529">
      <alignment horizontal="right" vertical="center"/>
    </xf>
    <xf numFmtId="0" fontId="46" fillId="55" borderId="524" applyNumberFormat="0" applyAlignment="0" applyProtection="0"/>
    <xf numFmtId="0" fontId="34" fillId="33" borderId="530">
      <alignment horizontal="left" vertical="center" wrapText="1" indent="2"/>
    </xf>
    <xf numFmtId="0" fontId="34" fillId="0" borderId="530">
      <alignment horizontal="left" vertical="center" wrapText="1" indent="2"/>
    </xf>
    <xf numFmtId="0" fontId="34" fillId="31" borderId="528">
      <alignment horizontal="left" vertical="center"/>
    </xf>
    <xf numFmtId="0" fontId="58" fillId="42" borderId="524" applyNumberFormat="0" applyAlignment="0" applyProtection="0"/>
    <xf numFmtId="0" fontId="34" fillId="0" borderId="527">
      <alignment horizontal="right" vertical="center"/>
    </xf>
    <xf numFmtId="4" fontId="34" fillId="0" borderId="527">
      <alignment horizontal="right" vertical="center"/>
    </xf>
    <xf numFmtId="0" fontId="34" fillId="0" borderId="527" applyNumberFormat="0" applyFill="0" applyAlignment="0" applyProtection="0"/>
    <xf numFmtId="0" fontId="62" fillId="55" borderId="523" applyNumberFormat="0" applyAlignment="0" applyProtection="0"/>
    <xf numFmtId="173" fontId="34" fillId="59" borderId="527" applyNumberFormat="0" applyFont="0" applyBorder="0" applyAlignment="0" applyProtection="0">
      <alignment horizontal="right" vertical="center"/>
    </xf>
    <xf numFmtId="0" fontId="34" fillId="32" borderId="527"/>
    <xf numFmtId="4" fontId="34" fillId="32" borderId="527"/>
    <xf numFmtId="0" fontId="65" fillId="0" borderId="525" applyNumberFormat="0" applyFill="0" applyAlignment="0" applyProtection="0"/>
    <xf numFmtId="0" fontId="5" fillId="58" borderId="526" applyNumberFormat="0" applyFont="0" applyAlignment="0" applyProtection="0"/>
    <xf numFmtId="0" fontId="40" fillId="58" borderId="526" applyNumberFormat="0" applyFont="0" applyAlignment="0" applyProtection="0"/>
    <xf numFmtId="0" fontId="34" fillId="0" borderId="527" applyNumberFormat="0" applyFill="0" applyAlignment="0" applyProtection="0"/>
    <xf numFmtId="0" fontId="50" fillId="0" borderId="525" applyNumberFormat="0" applyFill="0" applyAlignment="0" applyProtection="0"/>
    <xf numFmtId="0" fontId="65" fillId="0" borderId="525" applyNumberFormat="0" applyFill="0" applyAlignment="0" applyProtection="0"/>
    <xf numFmtId="0" fontId="49" fillId="42" borderId="524" applyNumberFormat="0" applyAlignment="0" applyProtection="0"/>
    <xf numFmtId="0" fontId="46" fillId="55" borderId="524" applyNumberFormat="0" applyAlignment="0" applyProtection="0"/>
    <xf numFmtId="4" fontId="36" fillId="31" borderId="527">
      <alignment horizontal="right" vertical="center"/>
    </xf>
    <xf numFmtId="0" fontId="32" fillId="31" borderId="527">
      <alignment horizontal="right" vertical="center"/>
    </xf>
    <xf numFmtId="173" fontId="34" fillId="59" borderId="527" applyNumberFormat="0" applyFont="0" applyBorder="0" applyAlignment="0" applyProtection="0">
      <alignment horizontal="right" vertical="center"/>
    </xf>
    <xf numFmtId="0" fontId="50" fillId="0" borderId="525" applyNumberFormat="0" applyFill="0" applyAlignment="0" applyProtection="0"/>
    <xf numFmtId="49" fontId="34" fillId="0" borderId="527" applyNumberFormat="0" applyFont="0" applyFill="0" applyBorder="0" applyProtection="0">
      <alignment horizontal="left" vertical="center" indent="2"/>
    </xf>
    <xf numFmtId="49" fontId="34" fillId="0" borderId="528" applyNumberFormat="0" applyFont="0" applyFill="0" applyBorder="0" applyProtection="0">
      <alignment horizontal="left" vertical="center" indent="5"/>
    </xf>
    <xf numFmtId="49" fontId="34" fillId="0" borderId="527" applyNumberFormat="0" applyFont="0" applyFill="0" applyBorder="0" applyProtection="0">
      <alignment horizontal="left" vertical="center" indent="2"/>
    </xf>
    <xf numFmtId="4" fontId="34" fillId="0" borderId="527" applyFill="0" applyBorder="0" applyProtection="0">
      <alignment horizontal="right" vertical="center"/>
    </xf>
    <xf numFmtId="49" fontId="33" fillId="0" borderId="527" applyNumberFormat="0" applyFill="0" applyBorder="0" applyProtection="0">
      <alignment horizontal="left" vertical="center"/>
    </xf>
    <xf numFmtId="0" fontId="34" fillId="0" borderId="530">
      <alignment horizontal="left" vertical="center" wrapText="1" indent="2"/>
    </xf>
    <xf numFmtId="0" fontId="62" fillId="55" borderId="523" applyNumberFormat="0" applyAlignment="0" applyProtection="0"/>
    <xf numFmtId="0" fontId="32" fillId="33" borderId="529">
      <alignment horizontal="right" vertical="center"/>
    </xf>
    <xf numFmtId="0" fontId="49" fillId="42" borderId="524" applyNumberFormat="0" applyAlignment="0" applyProtection="0"/>
    <xf numFmtId="0" fontId="32" fillId="33" borderId="529">
      <alignment horizontal="right" vertical="center"/>
    </xf>
    <xf numFmtId="4" fontId="32" fillId="33" borderId="527">
      <alignment horizontal="right" vertical="center"/>
    </xf>
    <xf numFmtId="0" fontId="32" fillId="33" borderId="527">
      <alignment horizontal="right" vertical="center"/>
    </xf>
    <xf numFmtId="0" fontId="43" fillId="55" borderId="523" applyNumberFormat="0" applyAlignment="0" applyProtection="0"/>
    <xf numFmtId="0" fontId="45" fillId="55" borderId="524" applyNumberFormat="0" applyAlignment="0" applyProtection="0"/>
    <xf numFmtId="0" fontId="50" fillId="0" borderId="525" applyNumberFormat="0" applyFill="0" applyAlignment="0" applyProtection="0"/>
    <xf numFmtId="0" fontId="34" fillId="32" borderId="527"/>
    <xf numFmtId="4" fontId="34" fillId="32" borderId="527"/>
    <xf numFmtId="4" fontId="32" fillId="33" borderId="527">
      <alignment horizontal="right" vertical="center"/>
    </xf>
    <xf numFmtId="0" fontId="36" fillId="31" borderId="527">
      <alignment horizontal="right" vertical="center"/>
    </xf>
    <xf numFmtId="0" fontId="49" fillId="42" borderId="524" applyNumberFormat="0" applyAlignment="0" applyProtection="0"/>
    <xf numFmtId="0" fontId="46" fillId="55" borderId="524" applyNumberFormat="0" applyAlignment="0" applyProtection="0"/>
    <xf numFmtId="4" fontId="34" fillId="0" borderId="527">
      <alignment horizontal="right" vertical="center"/>
    </xf>
    <xf numFmtId="0" fontId="34" fillId="33" borderId="530">
      <alignment horizontal="left" vertical="center" wrapText="1" indent="2"/>
    </xf>
    <xf numFmtId="0" fontId="34" fillId="0" borderId="530">
      <alignment horizontal="left" vertical="center" wrapText="1" indent="2"/>
    </xf>
    <xf numFmtId="0" fontId="62" fillId="55" borderId="523" applyNumberFormat="0" applyAlignment="0" applyProtection="0"/>
    <xf numFmtId="0" fontId="58" fillId="42" borderId="524" applyNumberFormat="0" applyAlignment="0" applyProtection="0"/>
    <xf numFmtId="0" fontId="45" fillId="55" borderId="524" applyNumberFormat="0" applyAlignment="0" applyProtection="0"/>
    <xf numFmtId="0" fontId="43" fillId="55" borderId="523" applyNumberFormat="0" applyAlignment="0" applyProtection="0"/>
    <xf numFmtId="0" fontId="32" fillId="33" borderId="529">
      <alignment horizontal="right" vertical="center"/>
    </xf>
    <xf numFmtId="0" fontId="36" fillId="31" borderId="527">
      <alignment horizontal="right" vertical="center"/>
    </xf>
    <xf numFmtId="4" fontId="32" fillId="31" borderId="527">
      <alignment horizontal="right" vertical="center"/>
    </xf>
    <xf numFmtId="4" fontId="32" fillId="33" borderId="527">
      <alignment horizontal="right" vertical="center"/>
    </xf>
    <xf numFmtId="49" fontId="34" fillId="0" borderId="528" applyNumberFormat="0" applyFont="0" applyFill="0" applyBorder="0" applyProtection="0">
      <alignment horizontal="left" vertical="center" indent="5"/>
    </xf>
    <xf numFmtId="4" fontId="34" fillId="0" borderId="527" applyFill="0" applyBorder="0" applyProtection="0">
      <alignment horizontal="right" vertical="center"/>
    </xf>
    <xf numFmtId="4" fontId="32" fillId="31" borderId="527">
      <alignment horizontal="right" vertical="center"/>
    </xf>
    <xf numFmtId="0" fontId="58" fillId="42" borderId="524" applyNumberFormat="0" applyAlignment="0" applyProtection="0"/>
    <xf numFmtId="0" fontId="49" fillId="42" borderId="524" applyNumberFormat="0" applyAlignment="0" applyProtection="0"/>
    <xf numFmtId="0" fontId="45" fillId="55" borderId="524" applyNumberFormat="0" applyAlignment="0" applyProtection="0"/>
    <xf numFmtId="0" fontId="34" fillId="33" borderId="530">
      <alignment horizontal="left" vertical="center" wrapText="1" indent="2"/>
    </xf>
    <xf numFmtId="0" fontId="34" fillId="0" borderId="530">
      <alignment horizontal="left" vertical="center" wrapText="1" indent="2"/>
    </xf>
    <xf numFmtId="0" fontId="34" fillId="33" borderId="530">
      <alignment horizontal="left" vertical="center" wrapText="1" indent="2"/>
    </xf>
    <xf numFmtId="0" fontId="50" fillId="0" borderId="533" applyNumberFormat="0" applyFill="0" applyAlignment="0" applyProtection="0"/>
    <xf numFmtId="0" fontId="32" fillId="31" borderId="535">
      <alignment horizontal="right" vertical="center"/>
    </xf>
    <xf numFmtId="4" fontId="32" fillId="31" borderId="535">
      <alignment horizontal="right" vertical="center"/>
    </xf>
    <xf numFmtId="0" fontId="65" fillId="0" borderId="533" applyNumberFormat="0" applyFill="0" applyAlignment="0" applyProtection="0"/>
    <xf numFmtId="0" fontId="40" fillId="58" borderId="534" applyNumberFormat="0" applyFont="0" applyAlignment="0" applyProtection="0"/>
    <xf numFmtId="0" fontId="58" fillId="42" borderId="532" applyNumberFormat="0" applyAlignment="0" applyProtection="0"/>
    <xf numFmtId="49" fontId="34" fillId="0" borderId="542" applyNumberFormat="0" applyFont="0" applyFill="0" applyBorder="0" applyProtection="0">
      <alignment horizontal="left" vertical="center" indent="2"/>
    </xf>
    <xf numFmtId="0" fontId="40" fillId="58" borderId="534" applyNumberFormat="0" applyFont="0" applyAlignment="0" applyProtection="0"/>
    <xf numFmtId="0" fontId="65" fillId="0" borderId="533" applyNumberFormat="0" applyFill="0" applyAlignment="0" applyProtection="0"/>
    <xf numFmtId="0" fontId="5" fillId="58" borderId="534" applyNumberFormat="0" applyFont="0" applyAlignment="0" applyProtection="0"/>
    <xf numFmtId="0" fontId="28" fillId="12" borderId="11" applyNumberFormat="0" applyAlignment="0" applyProtection="0"/>
    <xf numFmtId="0" fontId="2" fillId="0" borderId="12" applyNumberFormat="0" applyFill="0" applyAlignment="0" applyProtection="0"/>
    <xf numFmtId="0" fontId="32" fillId="33" borderId="537">
      <alignment horizontal="right" vertical="center"/>
    </xf>
    <xf numFmtId="0" fontId="65" fillId="0" borderId="533" applyNumberFormat="0" applyFill="0" applyAlignment="0" applyProtection="0"/>
    <xf numFmtId="0" fontId="26" fillId="14" borderId="0" applyNumberFormat="0" applyBorder="0" applyAlignment="0" applyProtection="0"/>
    <xf numFmtId="0" fontId="32" fillId="33" borderId="543">
      <alignment horizontal="right" vertical="center"/>
    </xf>
    <xf numFmtId="0" fontId="62" fillId="55" borderId="531" applyNumberFormat="0" applyAlignment="0" applyProtection="0"/>
    <xf numFmtId="0" fontId="45" fillId="55" borderId="532" applyNumberFormat="0" applyAlignment="0" applyProtection="0"/>
    <xf numFmtId="4" fontId="32" fillId="31" borderId="535">
      <alignment horizontal="right" vertical="center"/>
    </xf>
    <xf numFmtId="0" fontId="58" fillId="42" borderId="532" applyNumberFormat="0" applyAlignment="0" applyProtection="0"/>
    <xf numFmtId="4" fontId="32" fillId="31" borderId="535">
      <alignment horizontal="right" vertical="center"/>
    </xf>
    <xf numFmtId="0" fontId="58" fillId="42" borderId="532" applyNumberFormat="0" applyAlignment="0" applyProtection="0"/>
    <xf numFmtId="49" fontId="33" fillId="0" borderId="535" applyNumberFormat="0" applyFill="0" applyBorder="0" applyProtection="0">
      <alignment horizontal="left" vertical="center"/>
    </xf>
    <xf numFmtId="0" fontId="32" fillId="33" borderId="536">
      <alignment horizontal="right" vertical="center"/>
    </xf>
    <xf numFmtId="0" fontId="58" fillId="42" borderId="539" applyNumberFormat="0" applyAlignment="0" applyProtection="0"/>
    <xf numFmtId="4" fontId="32" fillId="33" borderId="535">
      <alignment horizontal="right" vertical="center"/>
    </xf>
    <xf numFmtId="4" fontId="36" fillId="31" borderId="535">
      <alignment horizontal="right" vertical="center"/>
    </xf>
    <xf numFmtId="0" fontId="12" fillId="27" borderId="0" applyNumberFormat="0" applyBorder="0" applyAlignment="0" applyProtection="0"/>
    <xf numFmtId="4" fontId="32" fillId="33" borderId="536">
      <alignment horizontal="right" vertical="center"/>
    </xf>
    <xf numFmtId="0" fontId="34" fillId="0" borderId="535">
      <alignment horizontal="right" vertical="center"/>
    </xf>
    <xf numFmtId="0" fontId="34" fillId="0" borderId="535">
      <alignment horizontal="right" vertical="center"/>
    </xf>
    <xf numFmtId="0" fontId="32" fillId="31" borderId="535">
      <alignment horizontal="right" vertical="center"/>
    </xf>
    <xf numFmtId="4" fontId="32" fillId="33" borderId="536">
      <alignment horizontal="right" vertical="center"/>
    </xf>
    <xf numFmtId="0" fontId="32" fillId="31" borderId="535">
      <alignment horizontal="right" vertical="center"/>
    </xf>
    <xf numFmtId="173" fontId="34" fillId="59" borderId="535" applyNumberFormat="0" applyFont="0" applyBorder="0" applyAlignment="0" applyProtection="0">
      <alignment horizontal="right" vertical="center"/>
    </xf>
    <xf numFmtId="0" fontId="46" fillId="55" borderId="532" applyNumberFormat="0" applyAlignment="0" applyProtection="0"/>
    <xf numFmtId="0" fontId="58" fillId="42" borderId="539" applyNumberFormat="0" applyAlignment="0" applyProtection="0"/>
    <xf numFmtId="4" fontId="32" fillId="33" borderId="535">
      <alignment horizontal="right" vertical="center"/>
    </xf>
    <xf numFmtId="0" fontId="26" fillId="28" borderId="0" applyNumberFormat="0" applyBorder="0" applyAlignment="0" applyProtection="0"/>
    <xf numFmtId="0" fontId="34" fillId="32" borderId="535"/>
    <xf numFmtId="49" fontId="34" fillId="0" borderId="536" applyNumberFormat="0" applyFont="0" applyFill="0" applyBorder="0" applyProtection="0">
      <alignment horizontal="left" vertical="center" indent="5"/>
    </xf>
    <xf numFmtId="4" fontId="34" fillId="0" borderId="535" applyFill="0" applyBorder="0" applyProtection="0">
      <alignment horizontal="right" vertical="center"/>
    </xf>
    <xf numFmtId="0" fontId="32" fillId="33" borderId="535">
      <alignment horizontal="right" vertical="center"/>
    </xf>
    <xf numFmtId="0" fontId="29" fillId="12" borderId="10" applyNumberFormat="0" applyAlignment="0" applyProtection="0"/>
    <xf numFmtId="4" fontId="32" fillId="33" borderId="535">
      <alignment horizontal="right" vertical="center"/>
    </xf>
    <xf numFmtId="49" fontId="33" fillId="0" borderId="535" applyNumberFormat="0" applyFill="0" applyBorder="0" applyProtection="0">
      <alignment horizontal="left" vertical="center"/>
    </xf>
    <xf numFmtId="0" fontId="34" fillId="31" borderId="543">
      <alignment horizontal="left" vertical="center"/>
    </xf>
    <xf numFmtId="0" fontId="40" fillId="58" borderId="534" applyNumberFormat="0" applyFont="0" applyAlignment="0" applyProtection="0"/>
    <xf numFmtId="0" fontId="46" fillId="55" borderId="532" applyNumberFormat="0" applyAlignment="0" applyProtection="0"/>
    <xf numFmtId="0" fontId="12" fillId="24" borderId="0" applyNumberFormat="0" applyBorder="0" applyAlignment="0" applyProtection="0"/>
    <xf numFmtId="4" fontId="32" fillId="33" borderId="535">
      <alignment horizontal="right" vertical="center"/>
    </xf>
    <xf numFmtId="0" fontId="26" fillId="16" borderId="0" applyNumberFormat="0" applyBorder="0" applyAlignment="0" applyProtection="0"/>
    <xf numFmtId="0" fontId="34" fillId="0" borderId="535" applyNumberFormat="0" applyFill="0" applyAlignment="0" applyProtection="0"/>
    <xf numFmtId="0" fontId="34" fillId="0" borderId="535" applyNumberFormat="0" applyFill="0" applyAlignment="0" applyProtection="0"/>
    <xf numFmtId="0" fontId="45" fillId="55" borderId="532" applyNumberFormat="0" applyAlignment="0" applyProtection="0"/>
    <xf numFmtId="0" fontId="49" fillId="42" borderId="532" applyNumberFormat="0" applyAlignment="0" applyProtection="0"/>
    <xf numFmtId="0" fontId="45" fillId="55" borderId="532" applyNumberFormat="0" applyAlignment="0" applyProtection="0"/>
    <xf numFmtId="0" fontId="40" fillId="58" borderId="534" applyNumberFormat="0" applyFont="0" applyAlignment="0" applyProtection="0"/>
    <xf numFmtId="0" fontId="49" fillId="42" borderId="532" applyNumberFormat="0" applyAlignment="0" applyProtection="0"/>
    <xf numFmtId="4" fontId="32" fillId="31" borderId="535">
      <alignment horizontal="right" vertical="center"/>
    </xf>
    <xf numFmtId="4" fontId="34" fillId="32" borderId="535"/>
    <xf numFmtId="173" fontId="34" fillId="59" borderId="535" applyNumberFormat="0" applyFont="0" applyBorder="0" applyAlignment="0" applyProtection="0">
      <alignment horizontal="right" vertical="center"/>
    </xf>
    <xf numFmtId="0" fontId="36" fillId="31" borderId="535">
      <alignment horizontal="right" vertical="center"/>
    </xf>
    <xf numFmtId="4" fontId="32" fillId="33" borderId="537">
      <alignment horizontal="right" vertical="center"/>
    </xf>
    <xf numFmtId="0" fontId="34" fillId="33" borderId="538">
      <alignment horizontal="left" vertical="center" wrapText="1" indent="2"/>
    </xf>
    <xf numFmtId="0" fontId="58" fillId="42" borderId="532" applyNumberFormat="0" applyAlignment="0" applyProtection="0"/>
    <xf numFmtId="0" fontId="58" fillId="42" borderId="532" applyNumberFormat="0" applyAlignment="0" applyProtection="0"/>
    <xf numFmtId="0" fontId="50" fillId="0" borderId="533" applyNumberFormat="0" applyFill="0" applyAlignment="0" applyProtection="0"/>
    <xf numFmtId="0" fontId="50" fillId="0" borderId="533" applyNumberFormat="0" applyFill="0" applyAlignment="0" applyProtection="0"/>
    <xf numFmtId="4" fontId="34" fillId="0" borderId="542">
      <alignment horizontal="right" vertical="center"/>
    </xf>
    <xf numFmtId="0" fontId="45" fillId="55" borderId="532" applyNumberFormat="0" applyAlignment="0" applyProtection="0"/>
    <xf numFmtId="0" fontId="62" fillId="55" borderId="531" applyNumberFormat="0" applyAlignment="0" applyProtection="0"/>
    <xf numFmtId="0" fontId="62" fillId="55" borderId="531" applyNumberFormat="0" applyAlignment="0" applyProtection="0"/>
    <xf numFmtId="0" fontId="43" fillId="55" borderId="531" applyNumberFormat="0" applyAlignment="0" applyProtection="0"/>
    <xf numFmtId="0" fontId="46" fillId="55" borderId="532" applyNumberFormat="0" applyAlignment="0" applyProtection="0"/>
    <xf numFmtId="0" fontId="34" fillId="33" borderId="538">
      <alignment horizontal="left" vertical="center" wrapText="1" indent="2"/>
    </xf>
    <xf numFmtId="0" fontId="32" fillId="33" borderId="537">
      <alignment horizontal="right" vertical="center"/>
    </xf>
    <xf numFmtId="0" fontId="34" fillId="33" borderId="545">
      <alignment horizontal="left" vertical="center" wrapText="1" indent="2"/>
    </xf>
    <xf numFmtId="0" fontId="26" fillId="22" borderId="0" applyNumberFormat="0" applyBorder="0" applyAlignment="0" applyProtection="0"/>
    <xf numFmtId="0" fontId="40" fillId="58" borderId="534" applyNumberFormat="0" applyFont="0" applyAlignment="0" applyProtection="0"/>
    <xf numFmtId="0" fontId="34" fillId="0" borderId="535" applyNumberFormat="0" applyFill="0" applyAlignment="0" applyProtection="0"/>
    <xf numFmtId="49" fontId="34" fillId="0" borderId="535" applyNumberFormat="0" applyFont="0" applyFill="0" applyBorder="0" applyProtection="0">
      <alignment horizontal="left" vertical="center" indent="2"/>
    </xf>
    <xf numFmtId="0" fontId="34" fillId="0" borderId="538">
      <alignment horizontal="left" vertical="center" wrapText="1" indent="2"/>
    </xf>
    <xf numFmtId="0" fontId="46" fillId="55" borderId="532" applyNumberFormat="0" applyAlignment="0" applyProtection="0"/>
    <xf numFmtId="0" fontId="34" fillId="0" borderId="535" applyNumberFormat="0" applyFill="0" applyAlignment="0" applyProtection="0"/>
    <xf numFmtId="4" fontId="36" fillId="31" borderId="535">
      <alignment horizontal="right" vertical="center"/>
    </xf>
    <xf numFmtId="0" fontId="34" fillId="0" borderId="538">
      <alignment horizontal="left" vertical="center" wrapText="1" indent="2"/>
    </xf>
    <xf numFmtId="0" fontId="12" fillId="27" borderId="0" applyNumberFormat="0" applyBorder="0" applyAlignment="0" applyProtection="0"/>
    <xf numFmtId="0" fontId="32" fillId="33" borderId="544">
      <alignment horizontal="right" vertical="center"/>
    </xf>
    <xf numFmtId="4" fontId="34" fillId="32" borderId="535"/>
    <xf numFmtId="0" fontId="46" fillId="55" borderId="532" applyNumberFormat="0" applyAlignment="0" applyProtection="0"/>
    <xf numFmtId="0" fontId="46" fillId="55" borderId="532" applyNumberFormat="0" applyAlignment="0" applyProtection="0"/>
    <xf numFmtId="0" fontId="34" fillId="0" borderId="538">
      <alignment horizontal="left" vertical="center" wrapText="1" indent="2"/>
    </xf>
    <xf numFmtId="0" fontId="32" fillId="33" borderId="535">
      <alignment horizontal="right" vertical="center"/>
    </xf>
    <xf numFmtId="0" fontId="49" fillId="42" borderId="532" applyNumberFormat="0" applyAlignment="0" applyProtection="0"/>
    <xf numFmtId="0" fontId="46" fillId="55" borderId="532" applyNumberFormat="0" applyAlignment="0" applyProtection="0"/>
    <xf numFmtId="0" fontId="40" fillId="58" borderId="541" applyNumberFormat="0" applyFont="0" applyAlignment="0" applyProtection="0"/>
    <xf numFmtId="0" fontId="32" fillId="33" borderId="535">
      <alignment horizontal="right" vertical="center"/>
    </xf>
    <xf numFmtId="49" fontId="33" fillId="0" borderId="535" applyNumberFormat="0" applyFill="0" applyBorder="0" applyProtection="0">
      <alignment horizontal="left" vertical="center"/>
    </xf>
    <xf numFmtId="0" fontId="40" fillId="58" borderId="534" applyNumberFormat="0" applyFont="0" applyAlignment="0" applyProtection="0"/>
    <xf numFmtId="0" fontId="45" fillId="55" borderId="532" applyNumberFormat="0" applyAlignment="0" applyProtection="0"/>
    <xf numFmtId="0" fontId="58" fillId="42" borderId="532" applyNumberFormat="0" applyAlignment="0" applyProtection="0"/>
    <xf numFmtId="0" fontId="12" fillId="30" borderId="0" applyNumberFormat="0" applyBorder="0" applyAlignment="0" applyProtection="0"/>
    <xf numFmtId="0" fontId="26" fillId="25" borderId="0" applyNumberFormat="0" applyBorder="0" applyAlignment="0" applyProtection="0"/>
    <xf numFmtId="0" fontId="12" fillId="21" borderId="0" applyNumberFormat="0" applyBorder="0" applyAlignment="0" applyProtection="0"/>
    <xf numFmtId="0" fontId="65" fillId="0" borderId="533" applyNumberFormat="0" applyFill="0" applyAlignment="0" applyProtection="0"/>
    <xf numFmtId="4" fontId="32" fillId="33" borderId="535">
      <alignment horizontal="right" vertical="center"/>
    </xf>
    <xf numFmtId="0" fontId="45" fillId="55" borderId="532" applyNumberFormat="0" applyAlignment="0" applyProtection="0"/>
    <xf numFmtId="0" fontId="50" fillId="0" borderId="533" applyNumberFormat="0" applyFill="0" applyAlignment="0" applyProtection="0"/>
    <xf numFmtId="4" fontId="32" fillId="33" borderId="537">
      <alignment horizontal="right" vertical="center"/>
    </xf>
    <xf numFmtId="0" fontId="32" fillId="33" borderId="536">
      <alignment horizontal="right" vertical="center"/>
    </xf>
    <xf numFmtId="0" fontId="45" fillId="55" borderId="532" applyNumberFormat="0" applyAlignment="0" applyProtection="0"/>
    <xf numFmtId="0" fontId="40" fillId="58" borderId="534" applyNumberFormat="0" applyFont="0" applyAlignment="0" applyProtection="0"/>
    <xf numFmtId="49" fontId="34" fillId="0" borderId="535" applyNumberFormat="0" applyFont="0" applyFill="0" applyBorder="0" applyProtection="0">
      <alignment horizontal="left" vertical="center" indent="2"/>
    </xf>
    <xf numFmtId="0" fontId="34" fillId="0" borderId="538">
      <alignment horizontal="left" vertical="center" wrapText="1" indent="2"/>
    </xf>
    <xf numFmtId="49" fontId="34" fillId="0" borderId="535" applyNumberFormat="0" applyFont="0" applyFill="0" applyBorder="0" applyProtection="0">
      <alignment horizontal="left" vertical="center" indent="2"/>
    </xf>
    <xf numFmtId="4" fontId="34" fillId="0" borderId="535">
      <alignment horizontal="right" vertical="center"/>
    </xf>
    <xf numFmtId="0" fontId="49" fillId="42" borderId="532" applyNumberFormat="0" applyAlignment="0" applyProtection="0"/>
    <xf numFmtId="0" fontId="65" fillId="0" borderId="533" applyNumberFormat="0" applyFill="0" applyAlignment="0" applyProtection="0"/>
    <xf numFmtId="4" fontId="34" fillId="0" borderId="535">
      <alignment horizontal="right" vertical="center"/>
    </xf>
    <xf numFmtId="49" fontId="34" fillId="0" borderId="536" applyNumberFormat="0" applyFont="0" applyFill="0" applyBorder="0" applyProtection="0">
      <alignment horizontal="left" vertical="center" indent="5"/>
    </xf>
    <xf numFmtId="0" fontId="5" fillId="58" borderId="534" applyNumberFormat="0" applyFont="0" applyAlignment="0" applyProtection="0"/>
    <xf numFmtId="49" fontId="34" fillId="0" borderId="535" applyNumberFormat="0" applyFont="0" applyFill="0" applyBorder="0" applyProtection="0">
      <alignment horizontal="left" vertical="center" indent="2"/>
    </xf>
    <xf numFmtId="0" fontId="26" fillId="19" borderId="0" applyNumberFormat="0" applyBorder="0" applyAlignment="0" applyProtection="0"/>
    <xf numFmtId="0" fontId="58" fillId="42" borderId="532" applyNumberFormat="0" applyAlignment="0" applyProtection="0"/>
    <xf numFmtId="4" fontId="32" fillId="33" borderId="543">
      <alignment horizontal="right" vertical="center"/>
    </xf>
    <xf numFmtId="0" fontId="26" fillId="17" borderId="0" applyNumberFormat="0" applyBorder="0" applyAlignment="0" applyProtection="0"/>
    <xf numFmtId="0" fontId="43" fillId="55" borderId="531" applyNumberFormat="0" applyAlignment="0" applyProtection="0"/>
    <xf numFmtId="0" fontId="46" fillId="55" borderId="532" applyNumberFormat="0" applyAlignment="0" applyProtection="0"/>
    <xf numFmtId="0" fontId="65" fillId="0" borderId="533" applyNumberFormat="0" applyFill="0" applyAlignment="0" applyProtection="0"/>
    <xf numFmtId="0" fontId="5" fillId="58" borderId="541" applyNumberFormat="0" applyFont="0" applyAlignment="0" applyProtection="0"/>
    <xf numFmtId="0" fontId="26" fillId="13" borderId="0" applyNumberFormat="0" applyBorder="0" applyAlignment="0" applyProtection="0"/>
    <xf numFmtId="0" fontId="46" fillId="55" borderId="532" applyNumberFormat="0" applyAlignment="0" applyProtection="0"/>
    <xf numFmtId="0" fontId="40" fillId="58" borderId="534" applyNumberFormat="0" applyFont="0" applyAlignment="0" applyProtection="0"/>
    <xf numFmtId="0" fontId="58" fillId="42" borderId="532" applyNumberFormat="0" applyAlignment="0" applyProtection="0"/>
    <xf numFmtId="4" fontId="34" fillId="0" borderId="535" applyFill="0" applyBorder="0" applyProtection="0">
      <alignment horizontal="right" vertical="center"/>
    </xf>
    <xf numFmtId="0" fontId="50" fillId="0" borderId="533" applyNumberFormat="0" applyFill="0" applyAlignment="0" applyProtection="0"/>
    <xf numFmtId="0" fontId="32" fillId="31" borderId="535">
      <alignment horizontal="right" vertical="center"/>
    </xf>
    <xf numFmtId="0" fontId="34" fillId="31" borderId="536">
      <alignment horizontal="left" vertical="center"/>
    </xf>
    <xf numFmtId="0" fontId="58" fillId="42" borderId="532" applyNumberFormat="0" applyAlignment="0" applyProtection="0"/>
    <xf numFmtId="4" fontId="32" fillId="33" borderId="535">
      <alignment horizontal="right" vertical="center"/>
    </xf>
    <xf numFmtId="0" fontId="32" fillId="33" borderId="535">
      <alignment horizontal="right" vertical="center"/>
    </xf>
    <xf numFmtId="0" fontId="26" fillId="14" borderId="0" applyNumberFormat="0" applyBorder="0" applyAlignment="0" applyProtection="0"/>
    <xf numFmtId="0" fontId="46" fillId="55" borderId="532" applyNumberFormat="0" applyAlignment="0" applyProtection="0"/>
    <xf numFmtId="49" fontId="33" fillId="0" borderId="535" applyNumberFormat="0" applyFill="0" applyBorder="0" applyProtection="0">
      <alignment horizontal="left" vertical="center"/>
    </xf>
    <xf numFmtId="0" fontId="32" fillId="31" borderId="535">
      <alignment horizontal="right" vertical="center"/>
    </xf>
    <xf numFmtId="0" fontId="36" fillId="31" borderId="535">
      <alignment horizontal="right" vertical="center"/>
    </xf>
    <xf numFmtId="0" fontId="32" fillId="33" borderId="536">
      <alignment horizontal="right" vertical="center"/>
    </xf>
    <xf numFmtId="4" fontId="36" fillId="31" borderId="535">
      <alignment horizontal="right" vertical="center"/>
    </xf>
    <xf numFmtId="0" fontId="62" fillId="55" borderId="531" applyNumberFormat="0" applyAlignment="0" applyProtection="0"/>
    <xf numFmtId="0" fontId="65" fillId="0" borderId="533" applyNumberFormat="0" applyFill="0" applyAlignment="0" applyProtection="0"/>
    <xf numFmtId="0" fontId="34" fillId="0" borderId="542">
      <alignment horizontal="right" vertical="center"/>
    </xf>
    <xf numFmtId="4" fontId="32" fillId="33" borderId="535">
      <alignment horizontal="right" vertical="center"/>
    </xf>
    <xf numFmtId="0" fontId="50" fillId="0" borderId="533" applyNumberFormat="0" applyFill="0" applyAlignment="0" applyProtection="0"/>
    <xf numFmtId="49" fontId="33" fillId="0" borderId="535" applyNumberFormat="0" applyFill="0" applyBorder="0" applyProtection="0">
      <alignment horizontal="left" vertical="center"/>
    </xf>
    <xf numFmtId="0" fontId="49" fillId="42" borderId="532" applyNumberFormat="0" applyAlignment="0" applyProtection="0"/>
    <xf numFmtId="0" fontId="32" fillId="33" borderId="535">
      <alignment horizontal="right" vertical="center"/>
    </xf>
    <xf numFmtId="0" fontId="26" fillId="13" borderId="0" applyNumberFormat="0" applyBorder="0" applyAlignment="0" applyProtection="0"/>
    <xf numFmtId="0" fontId="32" fillId="33" borderId="535">
      <alignment horizontal="right" vertical="center"/>
    </xf>
    <xf numFmtId="0" fontId="12" fillId="18" borderId="0" applyNumberFormat="0" applyBorder="0" applyAlignment="0" applyProtection="0"/>
    <xf numFmtId="4" fontId="34" fillId="0" borderId="535" applyFill="0" applyBorder="0" applyProtection="0">
      <alignment horizontal="right" vertical="center"/>
    </xf>
    <xf numFmtId="0" fontId="50" fillId="0" borderId="533" applyNumberFormat="0" applyFill="0" applyAlignment="0" applyProtection="0"/>
    <xf numFmtId="0" fontId="34" fillId="31" borderId="536">
      <alignment horizontal="left" vertical="center"/>
    </xf>
    <xf numFmtId="0" fontId="26" fillId="23" borderId="0" applyNumberFormat="0" applyBorder="0" applyAlignment="0" applyProtection="0"/>
    <xf numFmtId="4" fontId="34" fillId="32" borderId="535"/>
    <xf numFmtId="4" fontId="34" fillId="0" borderId="535">
      <alignment horizontal="right" vertical="center"/>
    </xf>
    <xf numFmtId="0" fontId="40" fillId="58" borderId="534" applyNumberFormat="0" applyFont="0" applyAlignment="0" applyProtection="0"/>
    <xf numFmtId="0" fontId="43" fillId="55" borderId="531" applyNumberFormat="0" applyAlignment="0" applyProtection="0"/>
    <xf numFmtId="4" fontId="32" fillId="33" borderId="535">
      <alignment horizontal="right" vertical="center"/>
    </xf>
    <xf numFmtId="0" fontId="43" fillId="55" borderId="531" applyNumberFormat="0" applyAlignment="0" applyProtection="0"/>
    <xf numFmtId="0" fontId="58" fillId="42" borderId="532" applyNumberFormat="0" applyAlignment="0" applyProtection="0"/>
    <xf numFmtId="0" fontId="36" fillId="31" borderId="535">
      <alignment horizontal="right" vertical="center"/>
    </xf>
    <xf numFmtId="0" fontId="36" fillId="31" borderId="535">
      <alignment horizontal="right" vertical="center"/>
    </xf>
    <xf numFmtId="0" fontId="34" fillId="32" borderId="535"/>
    <xf numFmtId="0" fontId="32" fillId="31" borderId="535">
      <alignment horizontal="right" vertical="center"/>
    </xf>
    <xf numFmtId="4" fontId="32" fillId="31" borderId="535">
      <alignment horizontal="right" vertical="center"/>
    </xf>
    <xf numFmtId="0" fontId="32" fillId="33" borderId="537">
      <alignment horizontal="right" vertical="center"/>
    </xf>
    <xf numFmtId="4" fontId="32" fillId="33" borderId="536">
      <alignment horizontal="right" vertical="center"/>
    </xf>
    <xf numFmtId="4" fontId="32" fillId="33" borderId="537">
      <alignment horizontal="right" vertical="center"/>
    </xf>
    <xf numFmtId="49" fontId="34" fillId="0" borderId="535" applyNumberFormat="0" applyFont="0" applyFill="0" applyBorder="0" applyProtection="0">
      <alignment horizontal="left" vertical="center" indent="2"/>
    </xf>
    <xf numFmtId="0" fontId="58" fillId="42" borderId="539" applyNumberFormat="0" applyAlignment="0" applyProtection="0"/>
    <xf numFmtId="0" fontId="26" fillId="25" borderId="0" applyNumberFormat="0" applyBorder="0" applyAlignment="0" applyProtection="0"/>
    <xf numFmtId="0" fontId="46" fillId="55" borderId="539" applyNumberFormat="0" applyAlignment="0" applyProtection="0"/>
    <xf numFmtId="0" fontId="49" fillId="42" borderId="532" applyNumberFormat="0" applyAlignment="0" applyProtection="0"/>
    <xf numFmtId="0" fontId="12" fillId="15" borderId="0" applyNumberFormat="0" applyBorder="0" applyAlignment="0" applyProtection="0"/>
    <xf numFmtId="0" fontId="45" fillId="55" borderId="532" applyNumberFormat="0" applyAlignment="0" applyProtection="0"/>
    <xf numFmtId="0" fontId="49" fillId="42" borderId="532" applyNumberFormat="0" applyAlignment="0" applyProtection="0"/>
    <xf numFmtId="0" fontId="34" fillId="32" borderId="535"/>
    <xf numFmtId="0" fontId="5" fillId="58" borderId="534" applyNumberFormat="0" applyFont="0" applyAlignment="0" applyProtection="0"/>
    <xf numFmtId="0" fontId="58" fillId="42" borderId="532" applyNumberFormat="0" applyAlignment="0" applyProtection="0"/>
    <xf numFmtId="0" fontId="2" fillId="0" borderId="12" applyNumberFormat="0" applyFill="0" applyAlignment="0" applyProtection="0"/>
    <xf numFmtId="4" fontId="32" fillId="33" borderId="537">
      <alignment horizontal="right" vertical="center"/>
    </xf>
    <xf numFmtId="4" fontId="32" fillId="33" borderId="536">
      <alignment horizontal="right" vertical="center"/>
    </xf>
    <xf numFmtId="4" fontId="32" fillId="33" borderId="536">
      <alignment horizontal="right" vertical="center"/>
    </xf>
    <xf numFmtId="0" fontId="34" fillId="0" borderId="545">
      <alignment horizontal="left" vertical="center" wrapText="1" indent="2"/>
    </xf>
    <xf numFmtId="0" fontId="50" fillId="0" borderId="533" applyNumberFormat="0" applyFill="0" applyAlignment="0" applyProtection="0"/>
    <xf numFmtId="173" fontId="34" fillId="59" borderId="535" applyNumberFormat="0" applyFont="0" applyBorder="0" applyAlignment="0" applyProtection="0">
      <alignment horizontal="right" vertical="center"/>
    </xf>
    <xf numFmtId="49" fontId="34" fillId="0" borderId="536" applyNumberFormat="0" applyFont="0" applyFill="0" applyBorder="0" applyProtection="0">
      <alignment horizontal="left" vertical="center" indent="5"/>
    </xf>
    <xf numFmtId="0" fontId="34" fillId="33" borderId="538">
      <alignment horizontal="left" vertical="center" wrapText="1" indent="2"/>
    </xf>
    <xf numFmtId="0" fontId="34" fillId="33" borderId="538">
      <alignment horizontal="left" vertical="center" wrapText="1" indent="2"/>
    </xf>
    <xf numFmtId="0" fontId="62" fillId="55" borderId="531" applyNumberFormat="0" applyAlignment="0" applyProtection="0"/>
    <xf numFmtId="0" fontId="46" fillId="55" borderId="532" applyNumberFormat="0" applyAlignment="0" applyProtection="0"/>
    <xf numFmtId="0" fontId="34" fillId="33" borderId="538">
      <alignment horizontal="left" vertical="center" wrapText="1" indent="2"/>
    </xf>
    <xf numFmtId="0" fontId="12" fillId="15" borderId="0" applyNumberFormat="0" applyBorder="0" applyAlignment="0" applyProtection="0"/>
    <xf numFmtId="0" fontId="26" fillId="26" borderId="0" applyNumberFormat="0" applyBorder="0" applyAlignment="0" applyProtection="0"/>
    <xf numFmtId="0" fontId="34" fillId="0" borderId="538">
      <alignment horizontal="left" vertical="center" wrapText="1" indent="2"/>
    </xf>
    <xf numFmtId="0" fontId="34" fillId="33" borderId="538">
      <alignment horizontal="left" vertical="center" wrapText="1" indent="2"/>
    </xf>
    <xf numFmtId="0" fontId="32" fillId="33" borderId="536">
      <alignment horizontal="right" vertical="center"/>
    </xf>
    <xf numFmtId="0" fontId="34" fillId="33" borderId="538">
      <alignment horizontal="left" vertical="center" wrapText="1" indent="2"/>
    </xf>
    <xf numFmtId="4" fontId="36" fillId="31" borderId="535">
      <alignment horizontal="right" vertical="center"/>
    </xf>
    <xf numFmtId="0" fontId="65" fillId="0" borderId="533" applyNumberFormat="0" applyFill="0" applyAlignment="0" applyProtection="0"/>
    <xf numFmtId="0" fontId="32" fillId="33" borderId="536">
      <alignment horizontal="right" vertical="center"/>
    </xf>
    <xf numFmtId="4" fontId="32" fillId="33" borderId="535">
      <alignment horizontal="right" vertical="center"/>
    </xf>
    <xf numFmtId="4" fontId="34" fillId="0" borderId="535" applyFill="0" applyBorder="0" applyProtection="0">
      <alignment horizontal="right" vertical="center"/>
    </xf>
    <xf numFmtId="173" fontId="34" fillId="59" borderId="535" applyNumberFormat="0" applyFont="0" applyBorder="0" applyAlignment="0" applyProtection="0">
      <alignment horizontal="right" vertical="center"/>
    </xf>
    <xf numFmtId="0" fontId="32" fillId="33" borderId="535">
      <alignment horizontal="right" vertical="center"/>
    </xf>
    <xf numFmtId="0" fontId="43" fillId="55" borderId="531" applyNumberFormat="0" applyAlignment="0" applyProtection="0"/>
    <xf numFmtId="0" fontId="45" fillId="55" borderId="532" applyNumberFormat="0" applyAlignment="0" applyProtection="0"/>
    <xf numFmtId="0" fontId="50" fillId="0" borderId="533" applyNumberFormat="0" applyFill="0" applyAlignment="0" applyProtection="0"/>
    <xf numFmtId="0" fontId="34" fillId="32" borderId="535"/>
    <xf numFmtId="4" fontId="34" fillId="32" borderId="535"/>
    <xf numFmtId="4" fontId="32" fillId="33" borderId="535">
      <alignment horizontal="right" vertical="center"/>
    </xf>
    <xf numFmtId="0" fontId="36" fillId="31" borderId="535">
      <alignment horizontal="right" vertical="center"/>
    </xf>
    <xf numFmtId="0" fontId="49" fillId="42" borderId="532" applyNumberFormat="0" applyAlignment="0" applyProtection="0"/>
    <xf numFmtId="0" fontId="46" fillId="55" borderId="532" applyNumberFormat="0" applyAlignment="0" applyProtection="0"/>
    <xf numFmtId="4" fontId="34" fillId="0" borderId="535">
      <alignment horizontal="right" vertical="center"/>
    </xf>
    <xf numFmtId="0" fontId="34" fillId="33" borderId="538">
      <alignment horizontal="left" vertical="center" wrapText="1" indent="2"/>
    </xf>
    <xf numFmtId="0" fontId="34" fillId="0" borderId="538">
      <alignment horizontal="left" vertical="center" wrapText="1" indent="2"/>
    </xf>
    <xf numFmtId="0" fontId="62" fillId="55" borderId="531" applyNumberFormat="0" applyAlignment="0" applyProtection="0"/>
    <xf numFmtId="0" fontId="58" fillId="42" borderId="532" applyNumberFormat="0" applyAlignment="0" applyProtection="0"/>
    <xf numFmtId="0" fontId="45" fillId="55" borderId="532" applyNumberFormat="0" applyAlignment="0" applyProtection="0"/>
    <xf numFmtId="0" fontId="43" fillId="55" borderId="531" applyNumberFormat="0" applyAlignment="0" applyProtection="0"/>
    <xf numFmtId="0" fontId="32" fillId="33" borderId="537">
      <alignment horizontal="right" vertical="center"/>
    </xf>
    <xf numFmtId="0" fontId="36" fillId="31" borderId="535">
      <alignment horizontal="right" vertical="center"/>
    </xf>
    <xf numFmtId="4" fontId="32" fillId="31" borderId="535">
      <alignment horizontal="right" vertical="center"/>
    </xf>
    <xf numFmtId="4" fontId="32" fillId="33" borderId="535">
      <alignment horizontal="right" vertical="center"/>
    </xf>
    <xf numFmtId="49" fontId="34" fillId="0" borderId="536" applyNumberFormat="0" applyFont="0" applyFill="0" applyBorder="0" applyProtection="0">
      <alignment horizontal="left" vertical="center" indent="5"/>
    </xf>
    <xf numFmtId="4" fontId="34" fillId="0" borderId="535" applyFill="0" applyBorder="0" applyProtection="0">
      <alignment horizontal="right" vertical="center"/>
    </xf>
    <xf numFmtId="4" fontId="32" fillId="31" borderId="535">
      <alignment horizontal="right" vertical="center"/>
    </xf>
    <xf numFmtId="0" fontId="58" fillId="42" borderId="532" applyNumberFormat="0" applyAlignment="0" applyProtection="0"/>
    <xf numFmtId="0" fontId="49" fillId="42" borderId="532" applyNumberFormat="0" applyAlignment="0" applyProtection="0"/>
    <xf numFmtId="0" fontId="45" fillId="55" borderId="532" applyNumberFormat="0" applyAlignment="0" applyProtection="0"/>
    <xf numFmtId="0" fontId="34" fillId="33" borderId="538">
      <alignment horizontal="left" vertical="center" wrapText="1" indent="2"/>
    </xf>
    <xf numFmtId="0" fontId="34" fillId="0" borderId="538">
      <alignment horizontal="left" vertical="center" wrapText="1" indent="2"/>
    </xf>
    <xf numFmtId="0" fontId="34" fillId="33" borderId="538">
      <alignment horizontal="left" vertical="center" wrapText="1" indent="2"/>
    </xf>
    <xf numFmtId="4" fontId="32" fillId="33" borderId="542">
      <alignment horizontal="right" vertical="center"/>
    </xf>
    <xf numFmtId="0" fontId="34" fillId="32" borderId="542"/>
    <xf numFmtId="0" fontId="45" fillId="55" borderId="539" applyNumberFormat="0" applyAlignment="0" applyProtection="0"/>
    <xf numFmtId="0" fontId="32" fillId="31" borderId="542">
      <alignment horizontal="right" vertical="center"/>
    </xf>
    <xf numFmtId="0" fontId="34" fillId="0" borderId="542">
      <alignment horizontal="right" vertical="center"/>
    </xf>
    <xf numFmtId="0" fontId="65" fillId="0" borderId="540" applyNumberFormat="0" applyFill="0" applyAlignment="0" applyProtection="0"/>
    <xf numFmtId="0" fontId="34" fillId="31" borderId="543">
      <alignment horizontal="left" vertical="center"/>
    </xf>
    <xf numFmtId="0" fontId="58" fillId="42" borderId="539" applyNumberFormat="0" applyAlignment="0" applyProtection="0"/>
    <xf numFmtId="173" fontId="34" fillId="59" borderId="542" applyNumberFormat="0" applyFont="0" applyBorder="0" applyAlignment="0" applyProtection="0">
      <alignment horizontal="right" vertical="center"/>
    </xf>
    <xf numFmtId="0" fontId="40" fillId="58" borderId="541" applyNumberFormat="0" applyFont="0" applyAlignment="0" applyProtection="0"/>
    <xf numFmtId="0" fontId="34" fillId="0" borderId="545">
      <alignment horizontal="left" vertical="center" wrapText="1" indent="2"/>
    </xf>
    <xf numFmtId="4" fontId="34" fillId="32" borderId="542"/>
    <xf numFmtId="49" fontId="33" fillId="0" borderId="542" applyNumberFormat="0" applyFill="0" applyBorder="0" applyProtection="0">
      <alignment horizontal="left" vertical="center"/>
    </xf>
    <xf numFmtId="0" fontId="34" fillId="0" borderId="542">
      <alignment horizontal="right" vertical="center"/>
    </xf>
    <xf numFmtId="4" fontId="32" fillId="33" borderId="544">
      <alignment horizontal="right" vertical="center"/>
    </xf>
    <xf numFmtId="4" fontId="32" fillId="33" borderId="542">
      <alignment horizontal="right" vertical="center"/>
    </xf>
    <xf numFmtId="4" fontId="32" fillId="33" borderId="542">
      <alignment horizontal="right" vertical="center"/>
    </xf>
    <xf numFmtId="0" fontId="36" fillId="31" borderId="542">
      <alignment horizontal="right" vertical="center"/>
    </xf>
    <xf numFmtId="0" fontId="32" fillId="31" borderId="542">
      <alignment horizontal="right" vertical="center"/>
    </xf>
    <xf numFmtId="49" fontId="34" fillId="0" borderId="542" applyNumberFormat="0" applyFont="0" applyFill="0" applyBorder="0" applyProtection="0">
      <alignment horizontal="left" vertical="center" indent="2"/>
    </xf>
    <xf numFmtId="0" fontId="58" fillId="42" borderId="539" applyNumberFormat="0" applyAlignment="0" applyProtection="0"/>
    <xf numFmtId="0" fontId="43" fillId="55" borderId="546" applyNumberFormat="0" applyAlignment="0" applyProtection="0"/>
    <xf numFmtId="49" fontId="34" fillId="0" borderId="542" applyNumberFormat="0" applyFont="0" applyFill="0" applyBorder="0" applyProtection="0">
      <alignment horizontal="left" vertical="center" indent="2"/>
    </xf>
    <xf numFmtId="0" fontId="49" fillId="42" borderId="539" applyNumberFormat="0" applyAlignment="0" applyProtection="0"/>
    <xf numFmtId="4" fontId="34" fillId="0" borderId="542" applyFill="0" applyBorder="0" applyProtection="0">
      <alignment horizontal="right" vertical="center"/>
    </xf>
    <xf numFmtId="0" fontId="46" fillId="55" borderId="539" applyNumberFormat="0" applyAlignment="0" applyProtection="0"/>
    <xf numFmtId="0" fontId="65" fillId="0" borderId="540" applyNumberFormat="0" applyFill="0" applyAlignment="0" applyProtection="0"/>
    <xf numFmtId="0" fontId="62" fillId="55" borderId="546" applyNumberFormat="0" applyAlignment="0" applyProtection="0"/>
    <xf numFmtId="0" fontId="34" fillId="0" borderId="542" applyNumberFormat="0" applyFill="0" applyAlignment="0" applyProtection="0"/>
    <xf numFmtId="4" fontId="34" fillId="0" borderId="542">
      <alignment horizontal="right" vertical="center"/>
    </xf>
    <xf numFmtId="0" fontId="34" fillId="0" borderId="542">
      <alignment horizontal="right" vertical="center"/>
    </xf>
    <xf numFmtId="0" fontId="58" fillId="42" borderId="539" applyNumberFormat="0" applyAlignment="0" applyProtection="0"/>
    <xf numFmtId="0" fontId="43" fillId="55" borderId="546" applyNumberFormat="0" applyAlignment="0" applyProtection="0"/>
    <xf numFmtId="0" fontId="45" fillId="55" borderId="539" applyNumberFormat="0" applyAlignment="0" applyProtection="0"/>
    <xf numFmtId="0" fontId="34" fillId="33" borderId="545">
      <alignment horizontal="left" vertical="center" wrapText="1" indent="2"/>
    </xf>
    <xf numFmtId="0" fontId="46" fillId="55" borderId="539" applyNumberFormat="0" applyAlignment="0" applyProtection="0"/>
    <xf numFmtId="0" fontId="46" fillId="55" borderId="539" applyNumberFormat="0" applyAlignment="0" applyProtection="0"/>
    <xf numFmtId="4" fontId="32" fillId="33" borderId="543">
      <alignment horizontal="right" vertical="center"/>
    </xf>
    <xf numFmtId="0" fontId="32" fillId="33" borderId="543">
      <alignment horizontal="right" vertical="center"/>
    </xf>
    <xf numFmtId="0" fontId="32" fillId="33" borderId="542">
      <alignment horizontal="right" vertical="center"/>
    </xf>
    <xf numFmtId="4" fontId="36" fillId="31" borderId="542">
      <alignment horizontal="right" vertical="center"/>
    </xf>
    <xf numFmtId="0" fontId="49" fillId="42" borderId="539" applyNumberFormat="0" applyAlignment="0" applyProtection="0"/>
    <xf numFmtId="0" fontId="50" fillId="0" borderId="540" applyNumberFormat="0" applyFill="0" applyAlignment="0" applyProtection="0"/>
    <xf numFmtId="0" fontId="65" fillId="0" borderId="540" applyNumberFormat="0" applyFill="0" applyAlignment="0" applyProtection="0"/>
    <xf numFmtId="0" fontId="40" fillId="58" borderId="541" applyNumberFormat="0" applyFont="0" applyAlignment="0" applyProtection="0"/>
    <xf numFmtId="0" fontId="58" fillId="42" borderId="539" applyNumberFormat="0" applyAlignment="0" applyProtection="0"/>
    <xf numFmtId="49" fontId="33" fillId="0" borderId="542" applyNumberFormat="0" applyFill="0" applyBorder="0" applyProtection="0">
      <alignment horizontal="left" vertical="center"/>
    </xf>
    <xf numFmtId="0" fontId="34" fillId="33" borderId="545">
      <alignment horizontal="left" vertical="center" wrapText="1" indent="2"/>
    </xf>
    <xf numFmtId="0" fontId="46" fillId="55" borderId="539" applyNumberFormat="0" applyAlignment="0" applyProtection="0"/>
    <xf numFmtId="0" fontId="34" fillId="0" borderId="545">
      <alignment horizontal="left" vertical="center" wrapText="1" indent="2"/>
    </xf>
    <xf numFmtId="0" fontId="40" fillId="58" borderId="541" applyNumberFormat="0" applyFont="0" applyAlignment="0" applyProtection="0"/>
    <xf numFmtId="0" fontId="5" fillId="58" borderId="541" applyNumberFormat="0" applyFont="0" applyAlignment="0" applyProtection="0"/>
    <xf numFmtId="0" fontId="62" fillId="55" borderId="546" applyNumberFormat="0" applyAlignment="0" applyProtection="0"/>
    <xf numFmtId="0" fontId="65" fillId="0" borderId="540" applyNumberFormat="0" applyFill="0" applyAlignment="0" applyProtection="0"/>
    <xf numFmtId="4" fontId="34" fillId="32" borderId="542"/>
    <xf numFmtId="0" fontId="32" fillId="33" borderId="542">
      <alignment horizontal="right" vertical="center"/>
    </xf>
    <xf numFmtId="0" fontId="65" fillId="0" borderId="540" applyNumberFormat="0" applyFill="0" applyAlignment="0" applyProtection="0"/>
    <xf numFmtId="4" fontId="32" fillId="33" borderId="544">
      <alignment horizontal="right" vertical="center"/>
    </xf>
    <xf numFmtId="0" fontId="45" fillId="55" borderId="539" applyNumberFormat="0" applyAlignment="0" applyProtection="0"/>
    <xf numFmtId="0" fontId="32" fillId="33" borderId="543">
      <alignment horizontal="right" vertical="center"/>
    </xf>
    <xf numFmtId="0" fontId="46" fillId="55" borderId="539" applyNumberFormat="0" applyAlignment="0" applyProtection="0"/>
    <xf numFmtId="0" fontId="50" fillId="0" borderId="540" applyNumberFormat="0" applyFill="0" applyAlignment="0" applyProtection="0"/>
    <xf numFmtId="0" fontId="40" fillId="58" borderId="541" applyNumberFormat="0" applyFont="0" applyAlignment="0" applyProtection="0"/>
    <xf numFmtId="4" fontId="32" fillId="33" borderId="543">
      <alignment horizontal="right" vertical="center"/>
    </xf>
    <xf numFmtId="0" fontId="34" fillId="33" borderId="545">
      <alignment horizontal="left" vertical="center" wrapText="1" indent="2"/>
    </xf>
    <xf numFmtId="0" fontId="34" fillId="32" borderId="542"/>
    <xf numFmtId="173" fontId="34" fillId="59" borderId="542" applyNumberFormat="0" applyFont="0" applyBorder="0" applyAlignment="0" applyProtection="0">
      <alignment horizontal="right" vertical="center"/>
    </xf>
    <xf numFmtId="0" fontId="34" fillId="0" borderId="542" applyNumberFormat="0" applyFill="0" applyAlignment="0" applyProtection="0"/>
    <xf numFmtId="4" fontId="34" fillId="0" borderId="542" applyFill="0" applyBorder="0" applyProtection="0">
      <alignment horizontal="right" vertical="center"/>
    </xf>
    <xf numFmtId="4" fontId="32" fillId="31" borderId="542">
      <alignment horizontal="right" vertical="center"/>
    </xf>
    <xf numFmtId="0" fontId="50" fillId="0" borderId="540" applyNumberFormat="0" applyFill="0" applyAlignment="0" applyProtection="0"/>
    <xf numFmtId="49" fontId="33" fillId="0" borderId="542" applyNumberFormat="0" applyFill="0" applyBorder="0" applyProtection="0">
      <alignment horizontal="left" vertical="center"/>
    </xf>
    <xf numFmtId="49" fontId="34" fillId="0" borderId="543" applyNumberFormat="0" applyFont="0" applyFill="0" applyBorder="0" applyProtection="0">
      <alignment horizontal="left" vertical="center" indent="5"/>
    </xf>
    <xf numFmtId="0" fontId="34" fillId="31" borderId="543">
      <alignment horizontal="left" vertical="center"/>
    </xf>
    <xf numFmtId="0" fontId="46" fillId="55" borderId="539" applyNumberFormat="0" applyAlignment="0" applyProtection="0"/>
    <xf numFmtId="4" fontId="32" fillId="33" borderId="544">
      <alignment horizontal="right" vertical="center"/>
    </xf>
    <xf numFmtId="0" fontId="58" fillId="42" borderId="539" applyNumberFormat="0" applyAlignment="0" applyProtection="0"/>
    <xf numFmtId="0" fontId="58" fillId="42" borderId="539" applyNumberFormat="0" applyAlignment="0" applyProtection="0"/>
    <xf numFmtId="0" fontId="40" fillId="58" borderId="541" applyNumberFormat="0" applyFont="0" applyAlignment="0" applyProtection="0"/>
    <xf numFmtId="0" fontId="62" fillId="55" borderId="546" applyNumberFormat="0" applyAlignment="0" applyProtection="0"/>
    <xf numFmtId="0" fontId="65" fillId="0" borderId="540" applyNumberFormat="0" applyFill="0" applyAlignment="0" applyProtection="0"/>
    <xf numFmtId="0" fontId="32" fillId="33" borderId="542">
      <alignment horizontal="right" vertical="center"/>
    </xf>
    <xf numFmtId="0" fontId="5" fillId="58" borderId="541" applyNumberFormat="0" applyFont="0" applyAlignment="0" applyProtection="0"/>
    <xf numFmtId="4" fontId="34" fillId="0" borderId="542">
      <alignment horizontal="right" vertical="center"/>
    </xf>
    <xf numFmtId="0" fontId="65" fillId="0" borderId="540" applyNumberFormat="0" applyFill="0" applyAlignment="0" applyProtection="0"/>
    <xf numFmtId="0" fontId="32" fillId="33" borderId="542">
      <alignment horizontal="right" vertical="center"/>
    </xf>
    <xf numFmtId="0" fontId="32" fillId="33" borderId="542">
      <alignment horizontal="right" vertical="center"/>
    </xf>
    <xf numFmtId="4" fontId="36" fillId="31" borderId="542">
      <alignment horizontal="right" vertical="center"/>
    </xf>
    <xf numFmtId="0" fontId="32" fillId="31" borderId="542">
      <alignment horizontal="right" vertical="center"/>
    </xf>
    <xf numFmtId="4" fontId="32" fillId="31" borderId="542">
      <alignment horizontal="right" vertical="center"/>
    </xf>
    <xf numFmtId="0" fontId="36" fillId="31" borderId="542">
      <alignment horizontal="right" vertical="center"/>
    </xf>
    <xf numFmtId="4" fontId="36" fillId="31" borderId="542">
      <alignment horizontal="right" vertical="center"/>
    </xf>
    <xf numFmtId="0" fontId="32" fillId="33" borderId="542">
      <alignment horizontal="right" vertical="center"/>
    </xf>
    <xf numFmtId="4" fontId="32" fillId="33" borderId="542">
      <alignment horizontal="right" vertical="center"/>
    </xf>
    <xf numFmtId="0" fontId="32" fillId="33" borderId="542">
      <alignment horizontal="right" vertical="center"/>
    </xf>
    <xf numFmtId="4" fontId="32" fillId="33" borderId="542">
      <alignment horizontal="right" vertical="center"/>
    </xf>
    <xf numFmtId="0" fontId="32" fillId="33" borderId="543">
      <alignment horizontal="right" vertical="center"/>
    </xf>
    <xf numFmtId="4" fontId="32" fillId="33" borderId="543">
      <alignment horizontal="right" vertical="center"/>
    </xf>
    <xf numFmtId="0" fontId="32" fillId="33" borderId="544">
      <alignment horizontal="right" vertical="center"/>
    </xf>
    <xf numFmtId="4" fontId="32" fillId="33" borderId="544">
      <alignment horizontal="right" vertical="center"/>
    </xf>
    <xf numFmtId="0" fontId="46" fillId="55" borderId="539" applyNumberFormat="0" applyAlignment="0" applyProtection="0"/>
    <xf numFmtId="0" fontId="34" fillId="33" borderId="545">
      <alignment horizontal="left" vertical="center" wrapText="1" indent="2"/>
    </xf>
    <xf numFmtId="0" fontId="34" fillId="0" borderId="545">
      <alignment horizontal="left" vertical="center" wrapText="1" indent="2"/>
    </xf>
    <xf numFmtId="0" fontId="34" fillId="31" borderId="543">
      <alignment horizontal="left" vertical="center"/>
    </xf>
    <xf numFmtId="0" fontId="58" fillId="42" borderId="539" applyNumberFormat="0" applyAlignment="0" applyProtection="0"/>
    <xf numFmtId="0" fontId="34" fillId="0" borderId="542">
      <alignment horizontal="right" vertical="center"/>
    </xf>
    <xf numFmtId="4" fontId="34" fillId="0" borderId="542">
      <alignment horizontal="right" vertical="center"/>
    </xf>
    <xf numFmtId="0" fontId="34" fillId="0" borderId="542" applyNumberFormat="0" applyFill="0" applyAlignment="0" applyProtection="0"/>
    <xf numFmtId="0" fontId="62" fillId="55" borderId="546" applyNumberFormat="0" applyAlignment="0" applyProtection="0"/>
    <xf numFmtId="173" fontId="34" fillId="59" borderId="542" applyNumberFormat="0" applyFont="0" applyBorder="0" applyAlignment="0" applyProtection="0">
      <alignment horizontal="right" vertical="center"/>
    </xf>
    <xf numFmtId="0" fontId="34" fillId="32" borderId="542"/>
    <xf numFmtId="4" fontId="34" fillId="32" borderId="542"/>
    <xf numFmtId="0" fontId="65" fillId="0" borderId="540" applyNumberFormat="0" applyFill="0" applyAlignment="0" applyProtection="0"/>
    <xf numFmtId="0" fontId="5" fillId="58" borderId="541" applyNumberFormat="0" applyFont="0" applyAlignment="0" applyProtection="0"/>
    <xf numFmtId="0" fontId="40" fillId="58" borderId="541" applyNumberFormat="0" applyFont="0" applyAlignment="0" applyProtection="0"/>
    <xf numFmtId="0" fontId="34" fillId="0" borderId="542" applyNumberFormat="0" applyFill="0" applyAlignment="0" applyProtection="0"/>
    <xf numFmtId="0" fontId="50" fillId="0" borderId="540" applyNumberFormat="0" applyFill="0" applyAlignment="0" applyProtection="0"/>
    <xf numFmtId="0" fontId="65" fillId="0" borderId="540" applyNumberFormat="0" applyFill="0" applyAlignment="0" applyProtection="0"/>
    <xf numFmtId="0" fontId="49" fillId="42" borderId="539" applyNumberFormat="0" applyAlignment="0" applyProtection="0"/>
    <xf numFmtId="0" fontId="46" fillId="55" borderId="539" applyNumberFormat="0" applyAlignment="0" applyProtection="0"/>
    <xf numFmtId="4" fontId="36" fillId="31" borderId="542">
      <alignment horizontal="right" vertical="center"/>
    </xf>
    <xf numFmtId="0" fontId="32" fillId="31" borderId="542">
      <alignment horizontal="right" vertical="center"/>
    </xf>
    <xf numFmtId="173" fontId="34" fillId="59" borderId="542" applyNumberFormat="0" applyFont="0" applyBorder="0" applyAlignment="0" applyProtection="0">
      <alignment horizontal="right" vertical="center"/>
    </xf>
    <xf numFmtId="0" fontId="50" fillId="0" borderId="540" applyNumberFormat="0" applyFill="0" applyAlignment="0" applyProtection="0"/>
    <xf numFmtId="49" fontId="34" fillId="0" borderId="542" applyNumberFormat="0" applyFont="0" applyFill="0" applyBorder="0" applyProtection="0">
      <alignment horizontal="left" vertical="center" indent="2"/>
    </xf>
    <xf numFmtId="49" fontId="34" fillId="0" borderId="543" applyNumberFormat="0" applyFont="0" applyFill="0" applyBorder="0" applyProtection="0">
      <alignment horizontal="left" vertical="center" indent="5"/>
    </xf>
    <xf numFmtId="49" fontId="34" fillId="0" borderId="542" applyNumberFormat="0" applyFont="0" applyFill="0" applyBorder="0" applyProtection="0">
      <alignment horizontal="left" vertical="center" indent="2"/>
    </xf>
    <xf numFmtId="4" fontId="34" fillId="0" borderId="542" applyFill="0" applyBorder="0" applyProtection="0">
      <alignment horizontal="right" vertical="center"/>
    </xf>
    <xf numFmtId="49" fontId="33" fillId="0" borderId="542" applyNumberFormat="0" applyFill="0" applyBorder="0" applyProtection="0">
      <alignment horizontal="left" vertical="center"/>
    </xf>
    <xf numFmtId="0" fontId="34" fillId="0" borderId="545">
      <alignment horizontal="left" vertical="center" wrapText="1" indent="2"/>
    </xf>
    <xf numFmtId="0" fontId="62" fillId="55" borderId="546" applyNumberFormat="0" applyAlignment="0" applyProtection="0"/>
    <xf numFmtId="0" fontId="32" fillId="33" borderId="544">
      <alignment horizontal="right" vertical="center"/>
    </xf>
    <xf numFmtId="0" fontId="49" fillId="42" borderId="539" applyNumberFormat="0" applyAlignment="0" applyProtection="0"/>
    <xf numFmtId="0" fontId="32" fillId="33" borderId="544">
      <alignment horizontal="right" vertical="center"/>
    </xf>
    <xf numFmtId="4" fontId="32" fillId="33" borderId="542">
      <alignment horizontal="right" vertical="center"/>
    </xf>
    <xf numFmtId="0" fontId="32" fillId="33" borderId="542">
      <alignment horizontal="right" vertical="center"/>
    </xf>
    <xf numFmtId="0" fontId="43" fillId="55" borderId="546" applyNumberFormat="0" applyAlignment="0" applyProtection="0"/>
    <xf numFmtId="0" fontId="45" fillId="55" borderId="539" applyNumberFormat="0" applyAlignment="0" applyProtection="0"/>
    <xf numFmtId="0" fontId="50" fillId="0" borderId="540" applyNumberFormat="0" applyFill="0" applyAlignment="0" applyProtection="0"/>
    <xf numFmtId="0" fontId="34" fillId="32" borderId="542"/>
    <xf numFmtId="4" fontId="34" fillId="32" borderId="542"/>
    <xf numFmtId="4" fontId="32" fillId="33" borderId="542">
      <alignment horizontal="right" vertical="center"/>
    </xf>
    <xf numFmtId="0" fontId="36" fillId="31" borderId="542">
      <alignment horizontal="right" vertical="center"/>
    </xf>
    <xf numFmtId="0" fontId="49" fillId="42" borderId="539" applyNumberFormat="0" applyAlignment="0" applyProtection="0"/>
    <xf numFmtId="0" fontId="46" fillId="55" borderId="539" applyNumberFormat="0" applyAlignment="0" applyProtection="0"/>
    <xf numFmtId="4" fontId="34" fillId="0" borderId="542">
      <alignment horizontal="right" vertical="center"/>
    </xf>
    <xf numFmtId="0" fontId="34" fillId="33" borderId="545">
      <alignment horizontal="left" vertical="center" wrapText="1" indent="2"/>
    </xf>
    <xf numFmtId="0" fontId="34" fillId="0" borderId="545">
      <alignment horizontal="left" vertical="center" wrapText="1" indent="2"/>
    </xf>
    <xf numFmtId="0" fontId="62" fillId="55" borderId="546" applyNumberFormat="0" applyAlignment="0" applyProtection="0"/>
    <xf numFmtId="0" fontId="58" fillId="42" borderId="539" applyNumberFormat="0" applyAlignment="0" applyProtection="0"/>
    <xf numFmtId="0" fontId="45" fillId="55" borderId="539" applyNumberFormat="0" applyAlignment="0" applyProtection="0"/>
    <xf numFmtId="0" fontId="43" fillId="55" borderId="546" applyNumberFormat="0" applyAlignment="0" applyProtection="0"/>
    <xf numFmtId="0" fontId="32" fillId="33" borderId="544">
      <alignment horizontal="right" vertical="center"/>
    </xf>
    <xf numFmtId="0" fontId="36" fillId="31" borderId="542">
      <alignment horizontal="right" vertical="center"/>
    </xf>
    <xf numFmtId="4" fontId="32" fillId="31" borderId="542">
      <alignment horizontal="right" vertical="center"/>
    </xf>
    <xf numFmtId="4" fontId="32" fillId="33" borderId="542">
      <alignment horizontal="right" vertical="center"/>
    </xf>
    <xf numFmtId="49" fontId="34" fillId="0" borderId="543" applyNumberFormat="0" applyFont="0" applyFill="0" applyBorder="0" applyProtection="0">
      <alignment horizontal="left" vertical="center" indent="5"/>
    </xf>
    <xf numFmtId="4" fontId="34" fillId="0" borderId="542" applyFill="0" applyBorder="0" applyProtection="0">
      <alignment horizontal="right" vertical="center"/>
    </xf>
    <xf numFmtId="4" fontId="32" fillId="31" borderId="542">
      <alignment horizontal="right" vertical="center"/>
    </xf>
    <xf numFmtId="0" fontId="58" fillId="42" borderId="539" applyNumberFormat="0" applyAlignment="0" applyProtection="0"/>
    <xf numFmtId="0" fontId="49" fillId="42" borderId="539" applyNumberFormat="0" applyAlignment="0" applyProtection="0"/>
    <xf numFmtId="0" fontId="45" fillId="55" borderId="539" applyNumberFormat="0" applyAlignment="0" applyProtection="0"/>
    <xf numFmtId="0" fontId="34" fillId="33" borderId="545">
      <alignment horizontal="left" vertical="center" wrapText="1" indent="2"/>
    </xf>
    <xf numFmtId="0" fontId="34" fillId="0" borderId="545">
      <alignment horizontal="left" vertical="center" wrapText="1" indent="2"/>
    </xf>
    <xf numFmtId="0" fontId="34" fillId="33" borderId="545">
      <alignment horizontal="left" vertical="center" wrapText="1" indent="2"/>
    </xf>
    <xf numFmtId="0" fontId="34" fillId="0" borderId="545">
      <alignment horizontal="left" vertical="center" wrapText="1" indent="2"/>
    </xf>
    <xf numFmtId="0" fontId="43" fillId="55" borderId="546" applyNumberFormat="0" applyAlignment="0" applyProtection="0"/>
    <xf numFmtId="0" fontId="45" fillId="55" borderId="539" applyNumberFormat="0" applyAlignment="0" applyProtection="0"/>
    <xf numFmtId="0" fontId="46" fillId="55" borderId="539" applyNumberFormat="0" applyAlignment="0" applyProtection="0"/>
    <xf numFmtId="0" fontId="49" fillId="42" borderId="539" applyNumberFormat="0" applyAlignment="0" applyProtection="0"/>
    <xf numFmtId="0" fontId="50" fillId="0" borderId="540" applyNumberFormat="0" applyFill="0" applyAlignment="0" applyProtection="0"/>
    <xf numFmtId="0" fontId="58" fillId="42" borderId="539" applyNumberFormat="0" applyAlignment="0" applyProtection="0"/>
    <xf numFmtId="0" fontId="40" fillId="58" borderId="541" applyNumberFormat="0" applyFont="0" applyAlignment="0" applyProtection="0"/>
    <xf numFmtId="0" fontId="5" fillId="58" borderId="541" applyNumberFormat="0" applyFont="0" applyAlignment="0" applyProtection="0"/>
    <xf numFmtId="0" fontId="62" fillId="55" borderId="546" applyNumberFormat="0" applyAlignment="0" applyProtection="0"/>
    <xf numFmtId="0" fontId="65" fillId="0" borderId="540" applyNumberFormat="0" applyFill="0" applyAlignment="0" applyProtection="0"/>
    <xf numFmtId="0" fontId="46" fillId="55" borderId="539" applyNumberFormat="0" applyAlignment="0" applyProtection="0"/>
    <xf numFmtId="0" fontId="58" fillId="42" borderId="539" applyNumberFormat="0" applyAlignment="0" applyProtection="0"/>
    <xf numFmtId="0" fontId="40" fillId="58" borderId="541" applyNumberFormat="0" applyFont="0" applyAlignment="0" applyProtection="0"/>
    <xf numFmtId="0" fontId="62" fillId="55" borderId="546" applyNumberFormat="0" applyAlignment="0" applyProtection="0"/>
    <xf numFmtId="0" fontId="65" fillId="0" borderId="540" applyNumberFormat="0" applyFill="0" applyAlignment="0" applyProtection="0"/>
    <xf numFmtId="0" fontId="46" fillId="55" borderId="539" applyNumberFormat="0" applyAlignment="0" applyProtection="0"/>
    <xf numFmtId="0" fontId="58" fillId="42" borderId="539" applyNumberFormat="0" applyAlignment="0" applyProtection="0"/>
    <xf numFmtId="0" fontId="62" fillId="55" borderId="546" applyNumberFormat="0" applyAlignment="0" applyProtection="0"/>
    <xf numFmtId="0" fontId="65" fillId="0" borderId="540" applyNumberFormat="0" applyFill="0" applyAlignment="0" applyProtection="0"/>
    <xf numFmtId="0" fontId="43" fillId="55" borderId="546" applyNumberFormat="0" applyAlignment="0" applyProtection="0"/>
    <xf numFmtId="0" fontId="45" fillId="55" borderId="539" applyNumberFormat="0" applyAlignment="0" applyProtection="0"/>
    <xf numFmtId="0" fontId="50" fillId="0" borderId="540" applyNumberFormat="0" applyFill="0" applyAlignment="0" applyProtection="0"/>
    <xf numFmtId="49" fontId="34" fillId="0" borderId="542" applyNumberFormat="0" applyFont="0" applyFill="0" applyBorder="0" applyProtection="0">
      <alignment horizontal="left" vertical="center" indent="2"/>
    </xf>
    <xf numFmtId="0" fontId="32" fillId="31" borderId="542">
      <alignment horizontal="right" vertical="center"/>
    </xf>
    <xf numFmtId="4" fontId="32" fillId="31" borderId="542">
      <alignment horizontal="right" vertical="center"/>
    </xf>
    <xf numFmtId="0" fontId="36" fillId="31" borderId="542">
      <alignment horizontal="right" vertical="center"/>
    </xf>
    <xf numFmtId="4" fontId="36" fillId="31" borderId="542">
      <alignment horizontal="right" vertical="center"/>
    </xf>
    <xf numFmtId="0" fontId="32" fillId="33" borderId="542">
      <alignment horizontal="right" vertical="center"/>
    </xf>
    <xf numFmtId="4" fontId="32" fillId="33" borderId="542">
      <alignment horizontal="right" vertical="center"/>
    </xf>
    <xf numFmtId="0" fontId="32" fillId="33" borderId="542">
      <alignment horizontal="right" vertical="center"/>
    </xf>
    <xf numFmtId="4" fontId="32" fillId="33" borderId="542">
      <alignment horizontal="right" vertical="center"/>
    </xf>
    <xf numFmtId="0" fontId="49" fillId="42" borderId="539" applyNumberFormat="0" applyAlignment="0" applyProtection="0"/>
    <xf numFmtId="0" fontId="34" fillId="0" borderId="542">
      <alignment horizontal="right" vertical="center"/>
    </xf>
    <xf numFmtId="4" fontId="34" fillId="0" borderId="542">
      <alignment horizontal="right" vertical="center"/>
    </xf>
    <xf numFmtId="4" fontId="34" fillId="0" borderId="542" applyFill="0" applyBorder="0" applyProtection="0">
      <alignment horizontal="right" vertical="center"/>
    </xf>
    <xf numFmtId="49" fontId="33" fillId="0" borderId="542" applyNumberFormat="0" applyFill="0" applyBorder="0" applyProtection="0">
      <alignment horizontal="left" vertical="center"/>
    </xf>
    <xf numFmtId="0" fontId="34" fillId="0" borderId="542" applyNumberFormat="0" applyFill="0" applyAlignment="0" applyProtection="0"/>
    <xf numFmtId="173" fontId="34" fillId="59" borderId="542" applyNumberFormat="0" applyFont="0" applyBorder="0" applyAlignment="0" applyProtection="0">
      <alignment horizontal="right" vertical="center"/>
    </xf>
    <xf numFmtId="0" fontId="34" fillId="32" borderId="542"/>
    <xf numFmtId="4" fontId="34" fillId="32" borderId="542"/>
    <xf numFmtId="4" fontId="32" fillId="33" borderId="542">
      <alignment horizontal="right" vertical="center"/>
    </xf>
    <xf numFmtId="0" fontId="34" fillId="32" borderId="542"/>
    <xf numFmtId="0" fontId="45" fillId="55" borderId="539" applyNumberFormat="0" applyAlignment="0" applyProtection="0"/>
    <xf numFmtId="0" fontId="32" fillId="31" borderId="542">
      <alignment horizontal="right" vertical="center"/>
    </xf>
    <xf numFmtId="0" fontId="34" fillId="0" borderId="542">
      <alignment horizontal="right" vertical="center"/>
    </xf>
    <xf numFmtId="0" fontId="65" fillId="0" borderId="540" applyNumberFormat="0" applyFill="0" applyAlignment="0" applyProtection="0"/>
    <xf numFmtId="0" fontId="34" fillId="31" borderId="543">
      <alignment horizontal="left" vertical="center"/>
    </xf>
    <xf numFmtId="0" fontId="58" fillId="42" borderId="539" applyNumberFormat="0" applyAlignment="0" applyProtection="0"/>
    <xf numFmtId="173" fontId="34" fillId="59" borderId="542" applyNumberFormat="0" applyFont="0" applyBorder="0" applyAlignment="0" applyProtection="0">
      <alignment horizontal="right" vertical="center"/>
    </xf>
    <xf numFmtId="0" fontId="40" fillId="58" borderId="541" applyNumberFormat="0" applyFont="0" applyAlignment="0" applyProtection="0"/>
    <xf numFmtId="0" fontId="34" fillId="0" borderId="545">
      <alignment horizontal="left" vertical="center" wrapText="1" indent="2"/>
    </xf>
    <xf numFmtId="4" fontId="34" fillId="32" borderId="542"/>
    <xf numFmtId="49" fontId="33" fillId="0" borderId="542" applyNumberFormat="0" applyFill="0" applyBorder="0" applyProtection="0">
      <alignment horizontal="left" vertical="center"/>
    </xf>
    <xf numFmtId="0" fontId="34" fillId="0" borderId="542">
      <alignment horizontal="right" vertical="center"/>
    </xf>
    <xf numFmtId="4" fontId="32" fillId="33" borderId="544">
      <alignment horizontal="right" vertical="center"/>
    </xf>
    <xf numFmtId="4" fontId="32" fillId="33" borderId="542">
      <alignment horizontal="right" vertical="center"/>
    </xf>
    <xf numFmtId="4" fontId="32" fillId="33" borderId="542">
      <alignment horizontal="right" vertical="center"/>
    </xf>
    <xf numFmtId="0" fontId="36" fillId="31" borderId="542">
      <alignment horizontal="right" vertical="center"/>
    </xf>
    <xf numFmtId="0" fontId="32" fillId="31" borderId="542">
      <alignment horizontal="right" vertical="center"/>
    </xf>
    <xf numFmtId="49" fontId="34" fillId="0" borderId="542" applyNumberFormat="0" applyFont="0" applyFill="0" applyBorder="0" applyProtection="0">
      <alignment horizontal="left" vertical="center" indent="2"/>
    </xf>
    <xf numFmtId="0" fontId="58" fillId="42" borderId="539" applyNumberFormat="0" applyAlignment="0" applyProtection="0"/>
    <xf numFmtId="0" fontId="43" fillId="55" borderId="546" applyNumberFormat="0" applyAlignment="0" applyProtection="0"/>
    <xf numFmtId="49" fontId="34" fillId="0" borderId="542" applyNumberFormat="0" applyFont="0" applyFill="0" applyBorder="0" applyProtection="0">
      <alignment horizontal="left" vertical="center" indent="2"/>
    </xf>
    <xf numFmtId="0" fontId="49" fillId="42" borderId="539" applyNumberFormat="0" applyAlignment="0" applyProtection="0"/>
    <xf numFmtId="4" fontId="34" fillId="0" borderId="542" applyFill="0" applyBorder="0" applyProtection="0">
      <alignment horizontal="right" vertical="center"/>
    </xf>
    <xf numFmtId="0" fontId="46" fillId="55" borderId="539" applyNumberFormat="0" applyAlignment="0" applyProtection="0"/>
    <xf numFmtId="0" fontId="65" fillId="0" borderId="540" applyNumberFormat="0" applyFill="0" applyAlignment="0" applyProtection="0"/>
    <xf numFmtId="0" fontId="62" fillId="55" borderId="546" applyNumberFormat="0" applyAlignment="0" applyProtection="0"/>
    <xf numFmtId="0" fontId="34" fillId="0" borderId="542" applyNumberFormat="0" applyFill="0" applyAlignment="0" applyProtection="0"/>
    <xf numFmtId="4" fontId="34" fillId="0" borderId="542">
      <alignment horizontal="right" vertical="center"/>
    </xf>
    <xf numFmtId="0" fontId="34" fillId="0" borderId="542">
      <alignment horizontal="right" vertical="center"/>
    </xf>
    <xf numFmtId="0" fontId="58" fillId="42" borderId="539" applyNumberFormat="0" applyAlignment="0" applyProtection="0"/>
    <xf numFmtId="0" fontId="43" fillId="55" borderId="546" applyNumberFormat="0" applyAlignment="0" applyProtection="0"/>
    <xf numFmtId="0" fontId="45" fillId="55" borderId="539" applyNumberFormat="0" applyAlignment="0" applyProtection="0"/>
    <xf numFmtId="0" fontId="34" fillId="33" borderId="545">
      <alignment horizontal="left" vertical="center" wrapText="1" indent="2"/>
    </xf>
    <xf numFmtId="0" fontId="46" fillId="55" borderId="539" applyNumberFormat="0" applyAlignment="0" applyProtection="0"/>
    <xf numFmtId="0" fontId="46" fillId="55" borderId="539" applyNumberFormat="0" applyAlignment="0" applyProtection="0"/>
    <xf numFmtId="4" fontId="32" fillId="33" borderId="543">
      <alignment horizontal="right" vertical="center"/>
    </xf>
    <xf numFmtId="0" fontId="32" fillId="33" borderId="543">
      <alignment horizontal="right" vertical="center"/>
    </xf>
    <xf numFmtId="0" fontId="32" fillId="33" borderId="542">
      <alignment horizontal="right" vertical="center"/>
    </xf>
    <xf numFmtId="4" fontId="36" fillId="31" borderId="542">
      <alignment horizontal="right" vertical="center"/>
    </xf>
    <xf numFmtId="0" fontId="49" fillId="42" borderId="539" applyNumberFormat="0" applyAlignment="0" applyProtection="0"/>
    <xf numFmtId="0" fontId="50" fillId="0" borderId="540" applyNumberFormat="0" applyFill="0" applyAlignment="0" applyProtection="0"/>
    <xf numFmtId="0" fontId="65" fillId="0" borderId="540" applyNumberFormat="0" applyFill="0" applyAlignment="0" applyProtection="0"/>
    <xf numFmtId="0" fontId="40" fillId="58" borderId="541" applyNumberFormat="0" applyFont="0" applyAlignment="0" applyProtection="0"/>
    <xf numFmtId="0" fontId="58" fillId="42" borderId="539" applyNumberFormat="0" applyAlignment="0" applyProtection="0"/>
    <xf numFmtId="49" fontId="33" fillId="0" borderId="542" applyNumberFormat="0" applyFill="0" applyBorder="0" applyProtection="0">
      <alignment horizontal="left" vertical="center"/>
    </xf>
    <xf numFmtId="0" fontId="34" fillId="33" borderId="545">
      <alignment horizontal="left" vertical="center" wrapText="1" indent="2"/>
    </xf>
    <xf numFmtId="0" fontId="46" fillId="55" borderId="539" applyNumberFormat="0" applyAlignment="0" applyProtection="0"/>
    <xf numFmtId="0" fontId="34" fillId="0" borderId="545">
      <alignment horizontal="left" vertical="center" wrapText="1" indent="2"/>
    </xf>
    <xf numFmtId="0" fontId="40" fillId="58" borderId="541" applyNumberFormat="0" applyFont="0" applyAlignment="0" applyProtection="0"/>
    <xf numFmtId="0" fontId="5" fillId="58" borderId="541" applyNumberFormat="0" applyFont="0" applyAlignment="0" applyProtection="0"/>
    <xf numFmtId="0" fontId="62" fillId="55" borderId="546" applyNumberFormat="0" applyAlignment="0" applyProtection="0"/>
    <xf numFmtId="0" fontId="65" fillId="0" borderId="540" applyNumberFormat="0" applyFill="0" applyAlignment="0" applyProtection="0"/>
    <xf numFmtId="4" fontId="34" fillId="32" borderId="542"/>
    <xf numFmtId="0" fontId="32" fillId="33" borderId="542">
      <alignment horizontal="right" vertical="center"/>
    </xf>
    <xf numFmtId="0" fontId="65" fillId="0" borderId="540" applyNumberFormat="0" applyFill="0" applyAlignment="0" applyProtection="0"/>
    <xf numFmtId="4" fontId="32" fillId="33" borderId="544">
      <alignment horizontal="right" vertical="center"/>
    </xf>
    <xf numFmtId="0" fontId="45" fillId="55" borderId="539" applyNumberFormat="0" applyAlignment="0" applyProtection="0"/>
    <xf numFmtId="0" fontId="32" fillId="33" borderId="543">
      <alignment horizontal="right" vertical="center"/>
    </xf>
    <xf numFmtId="0" fontId="46" fillId="55" borderId="539" applyNumberFormat="0" applyAlignment="0" applyProtection="0"/>
    <xf numFmtId="0" fontId="50" fillId="0" borderId="540" applyNumberFormat="0" applyFill="0" applyAlignment="0" applyProtection="0"/>
    <xf numFmtId="0" fontId="40" fillId="58" borderId="541" applyNumberFormat="0" applyFont="0" applyAlignment="0" applyProtection="0"/>
    <xf numFmtId="4" fontId="32" fillId="33" borderId="543">
      <alignment horizontal="right" vertical="center"/>
    </xf>
    <xf numFmtId="0" fontId="34" fillId="33" borderId="545">
      <alignment horizontal="left" vertical="center" wrapText="1" indent="2"/>
    </xf>
    <xf numFmtId="0" fontId="34" fillId="32" borderId="542"/>
    <xf numFmtId="173" fontId="34" fillId="59" borderId="542" applyNumberFormat="0" applyFont="0" applyBorder="0" applyAlignment="0" applyProtection="0">
      <alignment horizontal="right" vertical="center"/>
    </xf>
    <xf numFmtId="0" fontId="34" fillId="0" borderId="542" applyNumberFormat="0" applyFill="0" applyAlignment="0" applyProtection="0"/>
    <xf numFmtId="4" fontId="34" fillId="0" borderId="542" applyFill="0" applyBorder="0" applyProtection="0">
      <alignment horizontal="right" vertical="center"/>
    </xf>
    <xf numFmtId="4" fontId="32" fillId="31" borderId="542">
      <alignment horizontal="right" vertical="center"/>
    </xf>
    <xf numFmtId="0" fontId="50" fillId="0" borderId="540" applyNumberFormat="0" applyFill="0" applyAlignment="0" applyProtection="0"/>
    <xf numFmtId="49" fontId="33" fillId="0" borderId="542" applyNumberFormat="0" applyFill="0" applyBorder="0" applyProtection="0">
      <alignment horizontal="left" vertical="center"/>
    </xf>
    <xf numFmtId="49" fontId="34" fillId="0" borderId="543" applyNumberFormat="0" applyFont="0" applyFill="0" applyBorder="0" applyProtection="0">
      <alignment horizontal="left" vertical="center" indent="5"/>
    </xf>
    <xf numFmtId="0" fontId="34" fillId="31" borderId="543">
      <alignment horizontal="left" vertical="center"/>
    </xf>
    <xf numFmtId="0" fontId="46" fillId="55" borderId="539" applyNumberFormat="0" applyAlignment="0" applyProtection="0"/>
    <xf numFmtId="4" fontId="32" fillId="33" borderId="544">
      <alignment horizontal="right" vertical="center"/>
    </xf>
    <xf numFmtId="0" fontId="58" fillId="42" borderId="539" applyNumberFormat="0" applyAlignment="0" applyProtection="0"/>
    <xf numFmtId="0" fontId="58" fillId="42" borderId="539" applyNumberFormat="0" applyAlignment="0" applyProtection="0"/>
    <xf numFmtId="0" fontId="40" fillId="58" borderId="541" applyNumberFormat="0" applyFont="0" applyAlignment="0" applyProtection="0"/>
    <xf numFmtId="0" fontId="62" fillId="55" borderId="546" applyNumberFormat="0" applyAlignment="0" applyProtection="0"/>
    <xf numFmtId="0" fontId="65" fillId="0" borderId="540" applyNumberFormat="0" applyFill="0" applyAlignment="0" applyProtection="0"/>
    <xf numFmtId="0" fontId="32" fillId="33" borderId="542">
      <alignment horizontal="right" vertical="center"/>
    </xf>
    <xf numFmtId="0" fontId="5" fillId="58" borderId="541" applyNumberFormat="0" applyFont="0" applyAlignment="0" applyProtection="0"/>
    <xf numFmtId="4" fontId="34" fillId="0" borderId="542">
      <alignment horizontal="right" vertical="center"/>
    </xf>
    <xf numFmtId="0" fontId="65" fillId="0" borderId="540" applyNumberFormat="0" applyFill="0" applyAlignment="0" applyProtection="0"/>
    <xf numFmtId="0" fontId="32" fillId="33" borderId="542">
      <alignment horizontal="right" vertical="center"/>
    </xf>
    <xf numFmtId="0" fontId="32" fillId="33" borderId="542">
      <alignment horizontal="right" vertical="center"/>
    </xf>
    <xf numFmtId="4" fontId="36" fillId="31" borderId="542">
      <alignment horizontal="right" vertical="center"/>
    </xf>
    <xf numFmtId="0" fontId="32" fillId="31" borderId="542">
      <alignment horizontal="right" vertical="center"/>
    </xf>
    <xf numFmtId="4" fontId="32" fillId="31" borderId="542">
      <alignment horizontal="right" vertical="center"/>
    </xf>
    <xf numFmtId="0" fontId="36" fillId="31" borderId="542">
      <alignment horizontal="right" vertical="center"/>
    </xf>
    <xf numFmtId="4" fontId="36" fillId="31" borderId="542">
      <alignment horizontal="right" vertical="center"/>
    </xf>
    <xf numFmtId="0" fontId="32" fillId="33" borderId="542">
      <alignment horizontal="right" vertical="center"/>
    </xf>
    <xf numFmtId="4" fontId="32" fillId="33" borderId="542">
      <alignment horizontal="right" vertical="center"/>
    </xf>
    <xf numFmtId="0" fontId="32" fillId="33" borderId="542">
      <alignment horizontal="right" vertical="center"/>
    </xf>
    <xf numFmtId="4" fontId="32" fillId="33" borderId="542">
      <alignment horizontal="right" vertical="center"/>
    </xf>
    <xf numFmtId="0" fontId="32" fillId="33" borderId="543">
      <alignment horizontal="right" vertical="center"/>
    </xf>
    <xf numFmtId="4" fontId="32" fillId="33" borderId="543">
      <alignment horizontal="right" vertical="center"/>
    </xf>
    <xf numFmtId="0" fontId="32" fillId="33" borderId="544">
      <alignment horizontal="right" vertical="center"/>
    </xf>
    <xf numFmtId="4" fontId="32" fillId="33" borderId="544">
      <alignment horizontal="right" vertical="center"/>
    </xf>
    <xf numFmtId="0" fontId="46" fillId="55" borderId="539" applyNumberFormat="0" applyAlignment="0" applyProtection="0"/>
    <xf numFmtId="0" fontId="34" fillId="33" borderId="545">
      <alignment horizontal="left" vertical="center" wrapText="1" indent="2"/>
    </xf>
    <xf numFmtId="0" fontId="34" fillId="0" borderId="545">
      <alignment horizontal="left" vertical="center" wrapText="1" indent="2"/>
    </xf>
    <xf numFmtId="0" fontId="34" fillId="31" borderId="543">
      <alignment horizontal="left" vertical="center"/>
    </xf>
    <xf numFmtId="0" fontId="58" fillId="42" borderId="539" applyNumberFormat="0" applyAlignment="0" applyProtection="0"/>
    <xf numFmtId="0" fontId="34" fillId="0" borderId="542">
      <alignment horizontal="right" vertical="center"/>
    </xf>
    <xf numFmtId="4" fontId="34" fillId="0" borderId="542">
      <alignment horizontal="right" vertical="center"/>
    </xf>
    <xf numFmtId="0" fontId="34" fillId="0" borderId="542" applyNumberFormat="0" applyFill="0" applyAlignment="0" applyProtection="0"/>
    <xf numFmtId="0" fontId="62" fillId="55" borderId="546" applyNumberFormat="0" applyAlignment="0" applyProtection="0"/>
    <xf numFmtId="173" fontId="34" fillId="59" borderId="542" applyNumberFormat="0" applyFont="0" applyBorder="0" applyAlignment="0" applyProtection="0">
      <alignment horizontal="right" vertical="center"/>
    </xf>
    <xf numFmtId="0" fontId="34" fillId="32" borderId="542"/>
    <xf numFmtId="4" fontId="34" fillId="32" borderId="542"/>
    <xf numFmtId="0" fontId="65" fillId="0" borderId="540" applyNumberFormat="0" applyFill="0" applyAlignment="0" applyProtection="0"/>
    <xf numFmtId="0" fontId="5" fillId="58" borderId="541" applyNumberFormat="0" applyFont="0" applyAlignment="0" applyProtection="0"/>
    <xf numFmtId="0" fontId="40" fillId="58" borderId="541" applyNumberFormat="0" applyFont="0" applyAlignment="0" applyProtection="0"/>
    <xf numFmtId="0" fontId="34" fillId="0" borderId="542" applyNumberFormat="0" applyFill="0" applyAlignment="0" applyProtection="0"/>
    <xf numFmtId="0" fontId="50" fillId="0" borderId="540" applyNumberFormat="0" applyFill="0" applyAlignment="0" applyProtection="0"/>
    <xf numFmtId="0" fontId="65" fillId="0" borderId="540" applyNumberFormat="0" applyFill="0" applyAlignment="0" applyProtection="0"/>
    <xf numFmtId="0" fontId="49" fillId="42" borderId="539" applyNumberFormat="0" applyAlignment="0" applyProtection="0"/>
    <xf numFmtId="0" fontId="46" fillId="55" borderId="539" applyNumberFormat="0" applyAlignment="0" applyProtection="0"/>
    <xf numFmtId="4" fontId="36" fillId="31" borderId="542">
      <alignment horizontal="right" vertical="center"/>
    </xf>
    <xf numFmtId="0" fontId="32" fillId="31" borderId="542">
      <alignment horizontal="right" vertical="center"/>
    </xf>
    <xf numFmtId="173" fontId="34" fillId="59" borderId="542" applyNumberFormat="0" applyFont="0" applyBorder="0" applyAlignment="0" applyProtection="0">
      <alignment horizontal="right" vertical="center"/>
    </xf>
    <xf numFmtId="0" fontId="50" fillId="0" borderId="540" applyNumberFormat="0" applyFill="0" applyAlignment="0" applyProtection="0"/>
    <xf numFmtId="49" fontId="34" fillId="0" borderId="542" applyNumberFormat="0" applyFont="0" applyFill="0" applyBorder="0" applyProtection="0">
      <alignment horizontal="left" vertical="center" indent="2"/>
    </xf>
    <xf numFmtId="49" fontId="34" fillId="0" borderId="543" applyNumberFormat="0" applyFont="0" applyFill="0" applyBorder="0" applyProtection="0">
      <alignment horizontal="left" vertical="center" indent="5"/>
    </xf>
    <xf numFmtId="49" fontId="34" fillId="0" borderId="542" applyNumberFormat="0" applyFont="0" applyFill="0" applyBorder="0" applyProtection="0">
      <alignment horizontal="left" vertical="center" indent="2"/>
    </xf>
    <xf numFmtId="4" fontId="34" fillId="0" borderId="542" applyFill="0" applyBorder="0" applyProtection="0">
      <alignment horizontal="right" vertical="center"/>
    </xf>
    <xf numFmtId="49" fontId="33" fillId="0" borderId="542" applyNumberFormat="0" applyFill="0" applyBorder="0" applyProtection="0">
      <alignment horizontal="left" vertical="center"/>
    </xf>
    <xf numFmtId="0" fontId="34" fillId="0" borderId="545">
      <alignment horizontal="left" vertical="center" wrapText="1" indent="2"/>
    </xf>
    <xf numFmtId="0" fontId="62" fillId="55" borderId="546" applyNumberFormat="0" applyAlignment="0" applyProtection="0"/>
    <xf numFmtId="0" fontId="32" fillId="33" borderId="544">
      <alignment horizontal="right" vertical="center"/>
    </xf>
    <xf numFmtId="0" fontId="49" fillId="42" borderId="539" applyNumberFormat="0" applyAlignment="0" applyProtection="0"/>
    <xf numFmtId="0" fontId="32" fillId="33" borderId="544">
      <alignment horizontal="right" vertical="center"/>
    </xf>
    <xf numFmtId="4" fontId="32" fillId="33" borderId="542">
      <alignment horizontal="right" vertical="center"/>
    </xf>
    <xf numFmtId="0" fontId="32" fillId="33" borderId="542">
      <alignment horizontal="right" vertical="center"/>
    </xf>
    <xf numFmtId="0" fontId="43" fillId="55" borderId="546" applyNumberFormat="0" applyAlignment="0" applyProtection="0"/>
    <xf numFmtId="0" fontId="45" fillId="55" borderId="539" applyNumberFormat="0" applyAlignment="0" applyProtection="0"/>
    <xf numFmtId="0" fontId="50" fillId="0" borderId="540" applyNumberFormat="0" applyFill="0" applyAlignment="0" applyProtection="0"/>
    <xf numFmtId="0" fontId="34" fillId="32" borderId="542"/>
    <xf numFmtId="4" fontId="34" fillId="32" borderId="542"/>
    <xf numFmtId="4" fontId="32" fillId="33" borderId="542">
      <alignment horizontal="right" vertical="center"/>
    </xf>
    <xf numFmtId="0" fontId="36" fillId="31" borderId="542">
      <alignment horizontal="right" vertical="center"/>
    </xf>
    <xf numFmtId="0" fontId="49" fillId="42" borderId="539" applyNumberFormat="0" applyAlignment="0" applyProtection="0"/>
    <xf numFmtId="0" fontId="46" fillId="55" borderId="539" applyNumberFormat="0" applyAlignment="0" applyProtection="0"/>
    <xf numFmtId="4" fontId="34" fillId="0" borderId="542">
      <alignment horizontal="right" vertical="center"/>
    </xf>
    <xf numFmtId="0" fontId="34" fillId="33" borderId="545">
      <alignment horizontal="left" vertical="center" wrapText="1" indent="2"/>
    </xf>
    <xf numFmtId="0" fontId="34" fillId="0" borderId="545">
      <alignment horizontal="left" vertical="center" wrapText="1" indent="2"/>
    </xf>
    <xf numFmtId="0" fontId="62" fillId="55" borderId="546" applyNumberFormat="0" applyAlignment="0" applyProtection="0"/>
    <xf numFmtId="0" fontId="58" fillId="42" borderId="539" applyNumberFormat="0" applyAlignment="0" applyProtection="0"/>
    <xf numFmtId="0" fontId="45" fillId="55" borderId="539" applyNumberFormat="0" applyAlignment="0" applyProtection="0"/>
    <xf numFmtId="0" fontId="43" fillId="55" borderId="546" applyNumberFormat="0" applyAlignment="0" applyProtection="0"/>
    <xf numFmtId="0" fontId="32" fillId="33" borderId="544">
      <alignment horizontal="right" vertical="center"/>
    </xf>
    <xf numFmtId="0" fontId="36" fillId="31" borderId="542">
      <alignment horizontal="right" vertical="center"/>
    </xf>
    <xf numFmtId="4" fontId="32" fillId="31" borderId="542">
      <alignment horizontal="right" vertical="center"/>
    </xf>
    <xf numFmtId="4" fontId="32" fillId="33" borderId="542">
      <alignment horizontal="right" vertical="center"/>
    </xf>
    <xf numFmtId="49" fontId="34" fillId="0" borderId="543" applyNumberFormat="0" applyFont="0" applyFill="0" applyBorder="0" applyProtection="0">
      <alignment horizontal="left" vertical="center" indent="5"/>
    </xf>
    <xf numFmtId="4" fontId="34" fillId="0" borderId="542" applyFill="0" applyBorder="0" applyProtection="0">
      <alignment horizontal="right" vertical="center"/>
    </xf>
    <xf numFmtId="4" fontId="32" fillId="31" borderId="542">
      <alignment horizontal="right" vertical="center"/>
    </xf>
    <xf numFmtId="0" fontId="58" fillId="42" borderId="539" applyNumberFormat="0" applyAlignment="0" applyProtection="0"/>
    <xf numFmtId="0" fontId="49" fillId="42" borderId="539" applyNumberFormat="0" applyAlignment="0" applyProtection="0"/>
    <xf numFmtId="0" fontId="45" fillId="55" borderId="539" applyNumberFormat="0" applyAlignment="0" applyProtection="0"/>
    <xf numFmtId="0" fontId="34" fillId="33" borderId="545">
      <alignment horizontal="left" vertical="center" wrapText="1" indent="2"/>
    </xf>
    <xf numFmtId="0" fontId="34" fillId="0" borderId="545">
      <alignment horizontal="left" vertical="center" wrapText="1" indent="2"/>
    </xf>
    <xf numFmtId="0" fontId="34" fillId="33" borderId="545">
      <alignment horizontal="left" vertical="center" wrapText="1" indent="2"/>
    </xf>
    <xf numFmtId="0" fontId="85" fillId="0" borderId="0"/>
    <xf numFmtId="0" fontId="45" fillId="55" borderId="555" applyNumberFormat="0" applyAlignment="0" applyProtection="0"/>
    <xf numFmtId="0" fontId="34" fillId="33" borderId="561">
      <alignment horizontal="left" vertical="center" wrapText="1" indent="2"/>
    </xf>
    <xf numFmtId="0" fontId="65" fillId="0" borderId="556" applyNumberFormat="0" applyFill="0" applyAlignment="0" applyProtection="0"/>
    <xf numFmtId="0" fontId="50" fillId="0" borderId="556" applyNumberFormat="0" applyFill="0" applyAlignment="0" applyProtection="0"/>
    <xf numFmtId="0" fontId="5" fillId="58" borderId="557" applyNumberFormat="0" applyFont="0" applyAlignment="0" applyProtection="0"/>
    <xf numFmtId="0" fontId="40" fillId="58" borderId="557" applyNumberFormat="0" applyFont="0" applyAlignment="0" applyProtection="0"/>
    <xf numFmtId="0" fontId="32" fillId="33" borderId="560">
      <alignment horizontal="right" vertical="center"/>
    </xf>
    <xf numFmtId="49" fontId="34" fillId="0" borderId="558" applyNumberFormat="0" applyFont="0" applyFill="0" applyBorder="0" applyProtection="0">
      <alignment horizontal="left" vertical="center" indent="2"/>
    </xf>
    <xf numFmtId="4" fontId="34" fillId="0" borderId="558" applyFill="0" applyBorder="0" applyProtection="0">
      <alignment horizontal="right" vertical="center"/>
    </xf>
    <xf numFmtId="0" fontId="32" fillId="33" borderId="558">
      <alignment horizontal="right" vertical="center"/>
    </xf>
    <xf numFmtId="0" fontId="49" fillId="42" borderId="555" applyNumberFormat="0" applyAlignment="0" applyProtection="0"/>
    <xf numFmtId="0" fontId="32" fillId="33" borderId="558">
      <alignment horizontal="right" vertical="center"/>
    </xf>
    <xf numFmtId="0" fontId="49" fillId="42" borderId="555" applyNumberFormat="0" applyAlignment="0" applyProtection="0"/>
    <xf numFmtId="0" fontId="40" fillId="58" borderId="557" applyNumberFormat="0" applyFont="0" applyAlignment="0" applyProtection="0"/>
    <xf numFmtId="0" fontId="32" fillId="31" borderId="558">
      <alignment horizontal="right" vertical="center"/>
    </xf>
    <xf numFmtId="4" fontId="34" fillId="0" borderId="558">
      <alignment horizontal="right" vertical="center"/>
    </xf>
    <xf numFmtId="0" fontId="45" fillId="55" borderId="555" applyNumberFormat="0" applyAlignment="0" applyProtection="0"/>
    <xf numFmtId="4" fontId="32" fillId="31" borderId="558">
      <alignment horizontal="right" vertical="center"/>
    </xf>
    <xf numFmtId="0" fontId="32" fillId="33" borderId="559">
      <alignment horizontal="right" vertical="center"/>
    </xf>
    <xf numFmtId="0" fontId="43" fillId="55" borderId="562" applyNumberFormat="0" applyAlignment="0" applyProtection="0"/>
    <xf numFmtId="0" fontId="65" fillId="0" borderId="556" applyNumberFormat="0" applyFill="0" applyAlignment="0" applyProtection="0"/>
    <xf numFmtId="0" fontId="12" fillId="24" borderId="0" applyNumberFormat="0" applyBorder="0" applyAlignment="0" applyProtection="0"/>
    <xf numFmtId="0" fontId="32" fillId="33" borderId="558">
      <alignment horizontal="right" vertical="center"/>
    </xf>
    <xf numFmtId="0" fontId="34" fillId="33" borderId="561">
      <alignment horizontal="left" vertical="center" wrapText="1" indent="2"/>
    </xf>
    <xf numFmtId="0" fontId="58" fillId="42" borderId="555" applyNumberFormat="0" applyAlignment="0" applyProtection="0"/>
    <xf numFmtId="4" fontId="34" fillId="0" borderId="558" applyFill="0" applyBorder="0" applyProtection="0">
      <alignment horizontal="right" vertical="center"/>
    </xf>
    <xf numFmtId="0" fontId="34" fillId="0" borderId="558">
      <alignment horizontal="right" vertical="center"/>
    </xf>
    <xf numFmtId="0" fontId="30" fillId="0" borderId="0" applyNumberFormat="0" applyFill="0" applyBorder="0" applyAlignment="0" applyProtection="0"/>
    <xf numFmtId="4" fontId="34" fillId="0" borderId="558">
      <alignment horizontal="right" vertical="center"/>
    </xf>
    <xf numFmtId="0" fontId="28" fillId="12" borderId="11" applyNumberFormat="0" applyAlignment="0" applyProtection="0"/>
    <xf numFmtId="0" fontId="29" fillId="12" borderId="10" applyNumberFormat="0" applyAlignment="0" applyProtection="0"/>
    <xf numFmtId="0" fontId="1" fillId="0" borderId="0" applyNumberFormat="0" applyFill="0" applyBorder="0" applyAlignment="0" applyProtection="0"/>
    <xf numFmtId="0" fontId="30" fillId="0" borderId="0" applyNumberFormat="0" applyFill="0" applyBorder="0" applyAlignment="0" applyProtection="0"/>
    <xf numFmtId="0" fontId="2" fillId="0" borderId="12" applyNumberFormat="0" applyFill="0" applyAlignment="0" applyProtection="0"/>
    <xf numFmtId="0" fontId="26" fillId="13"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12" fillId="18" borderId="0" applyNumberFormat="0" applyBorder="0" applyAlignment="0" applyProtection="0"/>
    <xf numFmtId="0" fontId="58" fillId="42" borderId="555" applyNumberFormat="0" applyAlignment="0" applyProtection="0"/>
    <xf numFmtId="0" fontId="26" fillId="19" borderId="0" applyNumberFormat="0" applyBorder="0" applyAlignment="0" applyProtection="0"/>
    <xf numFmtId="0" fontId="26" fillId="20" borderId="0" applyNumberFormat="0" applyBorder="0" applyAlignment="0" applyProtection="0"/>
    <xf numFmtId="0" fontId="1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2" fillId="24" borderId="0" applyNumberFormat="0" applyBorder="0" applyAlignment="0" applyProtection="0"/>
    <xf numFmtId="0" fontId="50" fillId="0" borderId="556" applyNumberFormat="0" applyFill="0" applyAlignment="0" applyProtection="0"/>
    <xf numFmtId="0" fontId="26" fillId="25" borderId="0" applyNumberFormat="0" applyBorder="0" applyAlignment="0" applyProtection="0"/>
    <xf numFmtId="0" fontId="26" fillId="26" borderId="0" applyNumberFormat="0" applyBorder="0" applyAlignment="0" applyProtection="0"/>
    <xf numFmtId="0" fontId="12" fillId="27" borderId="0" applyNumberFormat="0" applyBorder="0" applyAlignment="0" applyProtection="0"/>
    <xf numFmtId="4" fontId="32" fillId="33" borderId="560">
      <alignment horizontal="right" vertical="center"/>
    </xf>
    <xf numFmtId="0" fontId="26" fillId="28" borderId="0" applyNumberFormat="0" applyBorder="0" applyAlignment="0" applyProtection="0"/>
    <xf numFmtId="0" fontId="26" fillId="29" borderId="0" applyNumberFormat="0" applyBorder="0" applyAlignment="0" applyProtection="0"/>
    <xf numFmtId="0" fontId="12" fillId="30" borderId="0" applyNumberFormat="0" applyBorder="0" applyAlignment="0" applyProtection="0"/>
    <xf numFmtId="0" fontId="34" fillId="0" borderId="542" applyNumberFormat="0" applyFill="0" applyAlignment="0" applyProtection="0"/>
    <xf numFmtId="0" fontId="32" fillId="33" borderId="542">
      <alignment horizontal="right" vertical="center"/>
    </xf>
    <xf numFmtId="0" fontId="32" fillId="33" borderId="542">
      <alignment horizontal="right" vertical="center"/>
    </xf>
    <xf numFmtId="0" fontId="40" fillId="58" borderId="557" applyNumberFormat="0" applyFont="0" applyAlignment="0" applyProtection="0"/>
    <xf numFmtId="0" fontId="34" fillId="0" borderId="542">
      <alignment horizontal="right" vertical="center"/>
    </xf>
    <xf numFmtId="0" fontId="36" fillId="31" borderId="542">
      <alignment horizontal="right" vertical="center"/>
    </xf>
    <xf numFmtId="0" fontId="34" fillId="32" borderId="542"/>
    <xf numFmtId="0" fontId="32" fillId="31" borderId="542">
      <alignment horizontal="right" vertical="center"/>
    </xf>
    <xf numFmtId="0" fontId="12" fillId="24" borderId="0" applyNumberFormat="0" applyBorder="0" applyAlignment="0" applyProtection="0"/>
    <xf numFmtId="4" fontId="34" fillId="32" borderId="558"/>
    <xf numFmtId="0" fontId="34" fillId="31" borderId="559">
      <alignment horizontal="left" vertical="center"/>
    </xf>
    <xf numFmtId="0" fontId="62" fillId="55" borderId="562" applyNumberFormat="0" applyAlignment="0" applyProtection="0"/>
    <xf numFmtId="4" fontId="32" fillId="33" borderId="558">
      <alignment horizontal="right" vertical="center"/>
    </xf>
    <xf numFmtId="0" fontId="32" fillId="33" borderId="559">
      <alignment horizontal="right" vertical="center"/>
    </xf>
    <xf numFmtId="0" fontId="36" fillId="31" borderId="558">
      <alignment horizontal="right" vertical="center"/>
    </xf>
    <xf numFmtId="0" fontId="2" fillId="0" borderId="12" applyNumberFormat="0" applyFill="0" applyAlignment="0" applyProtection="0"/>
    <xf numFmtId="0" fontId="2" fillId="0" borderId="12" applyNumberFormat="0" applyFill="0" applyAlignment="0" applyProtection="0"/>
    <xf numFmtId="0" fontId="26" fillId="28" borderId="0" applyNumberFormat="0" applyBorder="0" applyAlignment="0" applyProtection="0"/>
    <xf numFmtId="0" fontId="12" fillId="15" borderId="0" applyNumberFormat="0" applyBorder="0" applyAlignment="0" applyProtection="0"/>
    <xf numFmtId="0" fontId="58" fillId="42" borderId="555" applyNumberFormat="0" applyAlignment="0" applyProtection="0"/>
    <xf numFmtId="4" fontId="32" fillId="33" borderId="558">
      <alignment horizontal="right" vertical="center"/>
    </xf>
    <xf numFmtId="0" fontId="34" fillId="0" borderId="561">
      <alignment horizontal="left" vertical="center" wrapText="1" indent="2"/>
    </xf>
    <xf numFmtId="0" fontId="26" fillId="13" borderId="0" applyNumberFormat="0" applyBorder="0" applyAlignment="0" applyProtection="0"/>
    <xf numFmtId="0" fontId="50" fillId="0" borderId="556" applyNumberFormat="0" applyFill="0" applyAlignment="0" applyProtection="0"/>
    <xf numFmtId="4" fontId="32" fillId="33" borderId="559">
      <alignment horizontal="right" vertical="center"/>
    </xf>
    <xf numFmtId="0" fontId="26" fillId="13" borderId="0" applyNumberFormat="0" applyBorder="0" applyAlignment="0" applyProtection="0"/>
    <xf numFmtId="0" fontId="34" fillId="32" borderId="558"/>
    <xf numFmtId="4" fontId="32" fillId="33" borderId="558">
      <alignment horizontal="right" vertical="center"/>
    </xf>
    <xf numFmtId="49" fontId="33" fillId="0" borderId="558" applyNumberFormat="0" applyFill="0" applyBorder="0" applyProtection="0">
      <alignment horizontal="left" vertical="center"/>
    </xf>
    <xf numFmtId="0" fontId="34" fillId="31" borderId="559">
      <alignment horizontal="left" vertical="center"/>
    </xf>
    <xf numFmtId="0" fontId="26" fillId="16" borderId="0" applyNumberFormat="0" applyBorder="0" applyAlignment="0" applyProtection="0"/>
    <xf numFmtId="4" fontId="36" fillId="31" borderId="558">
      <alignment horizontal="right" vertical="center"/>
    </xf>
    <xf numFmtId="0" fontId="46" fillId="55" borderId="548" applyNumberFormat="0" applyAlignment="0" applyProtection="0"/>
    <xf numFmtId="0" fontId="65" fillId="0" borderId="556" applyNumberFormat="0" applyFill="0" applyAlignment="0" applyProtection="0"/>
    <xf numFmtId="49" fontId="34" fillId="0" borderId="558" applyNumberFormat="0" applyFont="0" applyFill="0" applyBorder="0" applyProtection="0">
      <alignment horizontal="left" vertical="center" indent="2"/>
    </xf>
    <xf numFmtId="0" fontId="46" fillId="55" borderId="555" applyNumberFormat="0" applyAlignment="0" applyProtection="0"/>
    <xf numFmtId="0" fontId="36" fillId="31" borderId="558">
      <alignment horizontal="right" vertical="center"/>
    </xf>
    <xf numFmtId="0" fontId="65" fillId="0" borderId="556" applyNumberFormat="0" applyFill="0" applyAlignment="0" applyProtection="0"/>
    <xf numFmtId="0" fontId="26" fillId="20" borderId="0" applyNumberFormat="0" applyBorder="0" applyAlignment="0" applyProtection="0"/>
    <xf numFmtId="0" fontId="32" fillId="33" borderId="558">
      <alignment horizontal="right" vertical="center"/>
    </xf>
    <xf numFmtId="4" fontId="32" fillId="31" borderId="558">
      <alignment horizontal="right" vertical="center"/>
    </xf>
    <xf numFmtId="0" fontId="58" fillId="42" borderId="548" applyNumberFormat="0" applyAlignment="0" applyProtection="0"/>
    <xf numFmtId="0" fontId="34" fillId="0" borderId="558" applyNumberFormat="0" applyFill="0" applyAlignment="0" applyProtection="0"/>
    <xf numFmtId="0" fontId="49" fillId="42" borderId="555" applyNumberFormat="0" applyAlignment="0" applyProtection="0"/>
    <xf numFmtId="4" fontId="34" fillId="0" borderId="558">
      <alignment horizontal="right" vertical="center"/>
    </xf>
    <xf numFmtId="0" fontId="62" fillId="55" borderId="562" applyNumberFormat="0" applyAlignment="0" applyProtection="0"/>
    <xf numFmtId="0" fontId="46" fillId="55" borderId="555" applyNumberFormat="0" applyAlignment="0" applyProtection="0"/>
    <xf numFmtId="0" fontId="32" fillId="33" borderId="558">
      <alignment horizontal="right" vertical="center"/>
    </xf>
    <xf numFmtId="49" fontId="33" fillId="0" borderId="558" applyNumberFormat="0" applyFill="0" applyBorder="0" applyProtection="0">
      <alignment horizontal="left" vertical="center"/>
    </xf>
    <xf numFmtId="4" fontId="32" fillId="33" borderId="560">
      <alignment horizontal="right" vertical="center"/>
    </xf>
    <xf numFmtId="0" fontId="32" fillId="33" borderId="559">
      <alignment horizontal="right" vertical="center"/>
    </xf>
    <xf numFmtId="4" fontId="34" fillId="0" borderId="542" applyFill="0" applyBorder="0" applyProtection="0">
      <alignment horizontal="right" vertical="center"/>
    </xf>
    <xf numFmtId="0" fontId="32" fillId="33" borderId="558">
      <alignment horizontal="right" vertical="center"/>
    </xf>
    <xf numFmtId="0" fontId="50" fillId="0" borderId="556" applyNumberFormat="0" applyFill="0" applyAlignment="0" applyProtection="0"/>
    <xf numFmtId="0" fontId="46" fillId="55" borderId="555" applyNumberFormat="0" applyAlignment="0" applyProtection="0"/>
    <xf numFmtId="0" fontId="40" fillId="58" borderId="550" applyNumberFormat="0" applyFont="0" applyAlignment="0" applyProtection="0"/>
    <xf numFmtId="0" fontId="5" fillId="58" borderId="550" applyNumberFormat="0" applyFont="0" applyAlignment="0" applyProtection="0"/>
    <xf numFmtId="0" fontId="62" fillId="55" borderId="547" applyNumberFormat="0" applyAlignment="0" applyProtection="0"/>
    <xf numFmtId="0" fontId="34" fillId="32" borderId="558"/>
    <xf numFmtId="0" fontId="58" fillId="42" borderId="555" applyNumberFormat="0" applyAlignment="0" applyProtection="0"/>
    <xf numFmtId="0" fontId="58" fillId="42" borderId="555" applyNumberFormat="0" applyAlignment="0" applyProtection="0"/>
    <xf numFmtId="49" fontId="34" fillId="0" borderId="559" applyNumberFormat="0" applyFont="0" applyFill="0" applyBorder="0" applyProtection="0">
      <alignment horizontal="left" vertical="center" indent="5"/>
    </xf>
    <xf numFmtId="0" fontId="65" fillId="0" borderId="549" applyNumberFormat="0" applyFill="0" applyAlignment="0" applyProtection="0"/>
    <xf numFmtId="0" fontId="34" fillId="32" borderId="558"/>
    <xf numFmtId="0" fontId="1" fillId="0" borderId="0" applyNumberFormat="0" applyFill="0" applyBorder="0" applyAlignment="0" applyProtection="0"/>
    <xf numFmtId="0" fontId="58" fillId="42" borderId="555" applyNumberFormat="0" applyAlignment="0" applyProtection="0"/>
    <xf numFmtId="4" fontId="32" fillId="33" borderId="560">
      <alignment horizontal="right" vertical="center"/>
    </xf>
    <xf numFmtId="0" fontId="26" fillId="20" borderId="0" applyNumberFormat="0" applyBorder="0" applyAlignment="0" applyProtection="0"/>
    <xf numFmtId="0" fontId="36" fillId="31" borderId="558">
      <alignment horizontal="right" vertical="center"/>
    </xf>
    <xf numFmtId="49" fontId="33" fillId="0" borderId="558" applyNumberFormat="0" applyFill="0" applyBorder="0" applyProtection="0">
      <alignment horizontal="left" vertical="center"/>
    </xf>
    <xf numFmtId="0" fontId="40" fillId="58" borderId="557" applyNumberFormat="0" applyFont="0" applyAlignment="0" applyProtection="0"/>
    <xf numFmtId="0" fontId="32" fillId="33" borderId="558">
      <alignment horizontal="right" vertical="center"/>
    </xf>
    <xf numFmtId="0" fontId="62" fillId="55" borderId="562" applyNumberFormat="0" applyAlignment="0" applyProtection="0"/>
    <xf numFmtId="0" fontId="46" fillId="55" borderId="555" applyNumberFormat="0" applyAlignment="0" applyProtection="0"/>
    <xf numFmtId="0" fontId="58" fillId="42" borderId="555" applyNumberFormat="0" applyAlignment="0" applyProtection="0"/>
    <xf numFmtId="0" fontId="5" fillId="58" borderId="557" applyNumberFormat="0" applyFont="0" applyAlignment="0" applyProtection="0"/>
    <xf numFmtId="0" fontId="58" fillId="42" borderId="555" applyNumberFormat="0" applyAlignment="0" applyProtection="0"/>
    <xf numFmtId="173" fontId="34" fillId="59" borderId="558" applyNumberFormat="0" applyFont="0" applyBorder="0" applyAlignment="0" applyProtection="0">
      <alignment horizontal="right" vertical="center"/>
    </xf>
    <xf numFmtId="4" fontId="34" fillId="0" borderId="558">
      <alignment horizontal="right" vertical="center"/>
    </xf>
    <xf numFmtId="0" fontId="65" fillId="0" borderId="556" applyNumberFormat="0" applyFill="0" applyAlignment="0" applyProtection="0"/>
    <xf numFmtId="0" fontId="26" fillId="22" borderId="0" applyNumberFormat="0" applyBorder="0" applyAlignment="0" applyProtection="0"/>
    <xf numFmtId="4" fontId="32" fillId="33" borderId="558">
      <alignment horizontal="right" vertical="center"/>
    </xf>
    <xf numFmtId="0" fontId="34" fillId="0" borderId="561">
      <alignment horizontal="left" vertical="center" wrapText="1" indent="2"/>
    </xf>
    <xf numFmtId="0" fontId="34" fillId="0" borderId="558">
      <alignment horizontal="right" vertical="center"/>
    </xf>
    <xf numFmtId="0" fontId="46" fillId="55" borderId="548" applyNumberFormat="0" applyAlignment="0" applyProtection="0"/>
    <xf numFmtId="0" fontId="34" fillId="0" borderId="561">
      <alignment horizontal="left" vertical="center" wrapText="1" indent="2"/>
    </xf>
    <xf numFmtId="4" fontId="34" fillId="0" borderId="558">
      <alignment horizontal="right" vertical="center"/>
    </xf>
    <xf numFmtId="0" fontId="65" fillId="0" borderId="556" applyNumberFormat="0" applyFill="0" applyAlignment="0" applyProtection="0"/>
    <xf numFmtId="0" fontId="58" fillId="42" borderId="548" applyNumberFormat="0" applyAlignment="0" applyProtection="0"/>
    <xf numFmtId="173" fontId="34" fillId="59" borderId="558" applyNumberFormat="0" applyFont="0" applyBorder="0" applyAlignment="0" applyProtection="0">
      <alignment horizontal="right" vertical="center"/>
    </xf>
    <xf numFmtId="49" fontId="34" fillId="0" borderId="559" applyNumberFormat="0" applyFont="0" applyFill="0" applyBorder="0" applyProtection="0">
      <alignment horizontal="left" vertical="center" indent="5"/>
    </xf>
    <xf numFmtId="0" fontId="40"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0" fontId="32" fillId="33" borderId="559">
      <alignment horizontal="right" vertical="center"/>
    </xf>
    <xf numFmtId="0" fontId="28" fillId="12" borderId="11" applyNumberFormat="0" applyAlignment="0" applyProtection="0"/>
    <xf numFmtId="0" fontId="62" fillId="55" borderId="562" applyNumberFormat="0" applyAlignment="0" applyProtection="0"/>
    <xf numFmtId="0" fontId="34" fillId="33" borderId="561">
      <alignment horizontal="left" vertical="center" wrapText="1" indent="2"/>
    </xf>
    <xf numFmtId="0" fontId="34" fillId="33" borderId="561">
      <alignment horizontal="left" vertical="center" wrapText="1" indent="2"/>
    </xf>
    <xf numFmtId="0" fontId="46" fillId="55" borderId="555" applyNumberFormat="0" applyAlignment="0" applyProtection="0"/>
    <xf numFmtId="0" fontId="36" fillId="31" borderId="558">
      <alignment horizontal="right" vertical="center"/>
    </xf>
    <xf numFmtId="4" fontId="32" fillId="33" borderId="558">
      <alignment horizontal="right" vertical="center"/>
    </xf>
    <xf numFmtId="0" fontId="46" fillId="55" borderId="555" applyNumberFormat="0" applyAlignment="0" applyProtection="0"/>
    <xf numFmtId="0" fontId="65" fillId="0" borderId="556" applyNumberFormat="0" applyFill="0" applyAlignment="0" applyProtection="0"/>
    <xf numFmtId="0" fontId="12" fillId="27" borderId="0" applyNumberFormat="0" applyBorder="0" applyAlignment="0" applyProtection="0"/>
    <xf numFmtId="0" fontId="32" fillId="31" borderId="551">
      <alignment horizontal="right" vertical="center"/>
    </xf>
    <xf numFmtId="4" fontId="32" fillId="31" borderId="551">
      <alignment horizontal="right" vertical="center"/>
    </xf>
    <xf numFmtId="0" fontId="36" fillId="31" borderId="551">
      <alignment horizontal="right" vertical="center"/>
    </xf>
    <xf numFmtId="4" fontId="36" fillId="31" borderId="551">
      <alignment horizontal="right" vertical="center"/>
    </xf>
    <xf numFmtId="0" fontId="32" fillId="33" borderId="551">
      <alignment horizontal="right" vertical="center"/>
    </xf>
    <xf numFmtId="4" fontId="32" fillId="33" borderId="551">
      <alignment horizontal="right" vertical="center"/>
    </xf>
    <xf numFmtId="0" fontId="32" fillId="33" borderId="551">
      <alignment horizontal="right" vertical="center"/>
    </xf>
    <xf numFmtId="4" fontId="32" fillId="33" borderId="551">
      <alignment horizontal="right" vertical="center"/>
    </xf>
    <xf numFmtId="0" fontId="32" fillId="33" borderId="552">
      <alignment horizontal="right" vertical="center"/>
    </xf>
    <xf numFmtId="4" fontId="32" fillId="33" borderId="552">
      <alignment horizontal="right" vertical="center"/>
    </xf>
    <xf numFmtId="0" fontId="32" fillId="33" borderId="553">
      <alignment horizontal="right" vertical="center"/>
    </xf>
    <xf numFmtId="4" fontId="32" fillId="33" borderId="553">
      <alignment horizontal="right" vertical="center"/>
    </xf>
    <xf numFmtId="0" fontId="46" fillId="55" borderId="548" applyNumberFormat="0" applyAlignment="0" applyProtection="0"/>
    <xf numFmtId="0" fontId="34" fillId="33" borderId="554">
      <alignment horizontal="left" vertical="center" wrapText="1" indent="2"/>
    </xf>
    <xf numFmtId="0" fontId="34" fillId="0" borderId="554">
      <alignment horizontal="left" vertical="center" wrapText="1" indent="2"/>
    </xf>
    <xf numFmtId="0" fontId="34" fillId="31" borderId="552">
      <alignment horizontal="left" vertical="center"/>
    </xf>
    <xf numFmtId="0" fontId="58" fillId="42" borderId="555" applyNumberFormat="0" applyAlignment="0" applyProtection="0"/>
    <xf numFmtId="0" fontId="58" fillId="42" borderId="548" applyNumberFormat="0" applyAlignment="0" applyProtection="0"/>
    <xf numFmtId="0" fontId="34" fillId="0" borderId="551">
      <alignment horizontal="right" vertical="center"/>
    </xf>
    <xf numFmtId="4" fontId="34" fillId="0" borderId="551">
      <alignment horizontal="right" vertical="center"/>
    </xf>
    <xf numFmtId="0" fontId="58" fillId="42" borderId="555" applyNumberFormat="0" applyAlignment="0" applyProtection="0"/>
    <xf numFmtId="0" fontId="34" fillId="0" borderId="551" applyNumberFormat="0" applyFill="0" applyAlignment="0" applyProtection="0"/>
    <xf numFmtId="0" fontId="62" fillId="55" borderId="547" applyNumberFormat="0" applyAlignment="0" applyProtection="0"/>
    <xf numFmtId="173" fontId="34" fillId="59" borderId="551" applyNumberFormat="0" applyFont="0" applyBorder="0" applyAlignment="0" applyProtection="0">
      <alignment horizontal="right" vertical="center"/>
    </xf>
    <xf numFmtId="0" fontId="34" fillId="32" borderId="551"/>
    <xf numFmtId="4" fontId="34" fillId="32" borderId="551"/>
    <xf numFmtId="0" fontId="65" fillId="0" borderId="549" applyNumberFormat="0" applyFill="0" applyAlignment="0" applyProtection="0"/>
    <xf numFmtId="0" fontId="34" fillId="0" borderId="558" applyNumberFormat="0" applyFill="0" applyAlignment="0" applyProtection="0"/>
    <xf numFmtId="0" fontId="26" fillId="23" borderId="0" applyNumberFormat="0" applyBorder="0" applyAlignment="0" applyProtection="0"/>
    <xf numFmtId="0" fontId="62" fillId="55" borderId="562" applyNumberFormat="0" applyAlignment="0" applyProtection="0"/>
    <xf numFmtId="0" fontId="1" fillId="0" borderId="0" applyNumberFormat="0" applyFill="0" applyBorder="0" applyAlignment="0" applyProtection="0"/>
    <xf numFmtId="0" fontId="26" fillId="22" borderId="0" applyNumberFormat="0" applyBorder="0" applyAlignment="0" applyProtection="0"/>
    <xf numFmtId="0" fontId="46" fillId="55" borderId="555" applyNumberFormat="0" applyAlignment="0" applyProtection="0"/>
    <xf numFmtId="49" fontId="34" fillId="0" borderId="559" applyNumberFormat="0" applyFont="0" applyFill="0" applyBorder="0" applyProtection="0">
      <alignment horizontal="left" vertical="center" indent="5"/>
    </xf>
    <xf numFmtId="0" fontId="26" fillId="16" borderId="0" applyNumberFormat="0" applyBorder="0" applyAlignment="0" applyProtection="0"/>
    <xf numFmtId="0" fontId="34" fillId="33" borderId="561">
      <alignment horizontal="left" vertical="center" wrapText="1" indent="2"/>
    </xf>
    <xf numFmtId="0" fontId="29" fillId="12" borderId="10" applyNumberFormat="0" applyAlignment="0" applyProtection="0"/>
    <xf numFmtId="0" fontId="40" fillId="58" borderId="557" applyNumberFormat="0" applyFont="0" applyAlignment="0" applyProtection="0"/>
    <xf numFmtId="0" fontId="45" fillId="55" borderId="555" applyNumberFormat="0" applyAlignment="0" applyProtection="0"/>
    <xf numFmtId="0" fontId="28" fillId="12" borderId="11" applyNumberFormat="0" applyAlignment="0" applyProtection="0"/>
    <xf numFmtId="0" fontId="40" fillId="58" borderId="557" applyNumberFormat="0" applyFont="0" applyAlignment="0" applyProtection="0"/>
    <xf numFmtId="0" fontId="26" fillId="16" borderId="0" applyNumberFormat="0" applyBorder="0" applyAlignment="0" applyProtection="0"/>
    <xf numFmtId="4" fontId="34" fillId="0" borderId="558" applyFill="0" applyBorder="0" applyProtection="0">
      <alignment horizontal="right" vertical="center"/>
    </xf>
    <xf numFmtId="0" fontId="29" fillId="12" borderId="10" applyNumberFormat="0" applyAlignment="0" applyProtection="0"/>
    <xf numFmtId="0" fontId="34" fillId="33" borderId="561">
      <alignment horizontal="left" vertical="center" wrapText="1" indent="2"/>
    </xf>
    <xf numFmtId="0" fontId="12" fillId="30" borderId="0" applyNumberFormat="0" applyBorder="0" applyAlignment="0" applyProtection="0"/>
    <xf numFmtId="0" fontId="43" fillId="55" borderId="562" applyNumberFormat="0" applyAlignment="0" applyProtection="0"/>
    <xf numFmtId="0" fontId="26" fillId="19" borderId="0" applyNumberFormat="0" applyBorder="0" applyAlignment="0" applyProtection="0"/>
    <xf numFmtId="4" fontId="34" fillId="0" borderId="558" applyFill="0" applyBorder="0" applyProtection="0">
      <alignment horizontal="right" vertical="center"/>
    </xf>
    <xf numFmtId="0" fontId="65" fillId="0" borderId="556" applyNumberFormat="0" applyFill="0" applyAlignment="0" applyProtection="0"/>
    <xf numFmtId="4" fontId="34" fillId="32" borderId="558"/>
    <xf numFmtId="4" fontId="32" fillId="33" borderId="560">
      <alignment horizontal="right" vertical="center"/>
    </xf>
    <xf numFmtId="0" fontId="1" fillId="0" borderId="0" applyNumberFormat="0" applyFill="0" applyBorder="0" applyAlignment="0" applyProtection="0"/>
    <xf numFmtId="0" fontId="34" fillId="0" borderId="558">
      <alignment horizontal="right" vertical="center"/>
    </xf>
    <xf numFmtId="0" fontId="26" fillId="13" borderId="0" applyNumberFormat="0" applyBorder="0" applyAlignment="0" applyProtection="0"/>
    <xf numFmtId="0" fontId="12" fillId="21" borderId="0" applyNumberFormat="0" applyBorder="0" applyAlignment="0" applyProtection="0"/>
    <xf numFmtId="0" fontId="65" fillId="0" borderId="556" applyNumberFormat="0" applyFill="0" applyAlignment="0" applyProtection="0"/>
    <xf numFmtId="0" fontId="50" fillId="0" borderId="556" applyNumberFormat="0" applyFill="0" applyAlignment="0" applyProtection="0"/>
    <xf numFmtId="0" fontId="65" fillId="0" borderId="556" applyNumberFormat="0" applyFill="0" applyAlignment="0" applyProtection="0"/>
    <xf numFmtId="0" fontId="26" fillId="26" borderId="0" applyNumberFormat="0" applyBorder="0" applyAlignment="0" applyProtection="0"/>
    <xf numFmtId="0" fontId="32" fillId="33" borderId="558">
      <alignment horizontal="right" vertical="center"/>
    </xf>
    <xf numFmtId="0" fontId="34" fillId="0" borderId="561">
      <alignment horizontal="left" vertical="center" wrapText="1" indent="2"/>
    </xf>
    <xf numFmtId="49" fontId="34" fillId="0" borderId="551" applyNumberFormat="0" applyFont="0" applyFill="0" applyBorder="0" applyProtection="0">
      <alignment horizontal="left" vertical="center" indent="2"/>
    </xf>
    <xf numFmtId="49" fontId="34" fillId="0" borderId="552" applyNumberFormat="0" applyFont="0" applyFill="0" applyBorder="0" applyProtection="0">
      <alignment horizontal="left" vertical="center" indent="5"/>
    </xf>
    <xf numFmtId="4" fontId="32" fillId="33" borderId="560">
      <alignment horizontal="right" vertical="center"/>
    </xf>
    <xf numFmtId="0" fontId="34" fillId="0" borderId="561">
      <alignment horizontal="left" vertical="center" wrapText="1" indent="2"/>
    </xf>
    <xf numFmtId="0" fontId="40" fillId="58" borderId="557" applyNumberFormat="0" applyFont="0" applyAlignment="0" applyProtection="0"/>
    <xf numFmtId="4" fontId="32" fillId="33" borderId="558">
      <alignment horizontal="right" vertical="center"/>
    </xf>
    <xf numFmtId="0" fontId="5" fillId="58" borderId="557" applyNumberFormat="0" applyFont="0" applyAlignment="0" applyProtection="0"/>
    <xf numFmtId="0" fontId="26" fillId="28" borderId="0" applyNumberFormat="0" applyBorder="0" applyAlignment="0" applyProtection="0"/>
    <xf numFmtId="4" fontId="34" fillId="0" borderId="551" applyFill="0" applyBorder="0" applyProtection="0">
      <alignment horizontal="right" vertical="center"/>
    </xf>
    <xf numFmtId="49" fontId="33" fillId="0" borderId="551" applyNumberFormat="0" applyFill="0" applyBorder="0" applyProtection="0">
      <alignment horizontal="left" vertical="center"/>
    </xf>
    <xf numFmtId="4" fontId="32" fillId="33" borderId="560">
      <alignment horizontal="right" vertical="center"/>
    </xf>
    <xf numFmtId="0" fontId="65" fillId="0" borderId="556" applyNumberFormat="0" applyFill="0" applyAlignment="0" applyProtection="0"/>
    <xf numFmtId="0" fontId="40" fillId="58" borderId="557" applyNumberFormat="0" applyFont="0" applyAlignment="0" applyProtection="0"/>
    <xf numFmtId="0" fontId="45" fillId="55" borderId="555" applyNumberFormat="0" applyAlignment="0" applyProtection="0"/>
    <xf numFmtId="0" fontId="46" fillId="55" borderId="555" applyNumberFormat="0" applyAlignment="0" applyProtection="0"/>
    <xf numFmtId="0" fontId="26" fillId="29" borderId="0" applyNumberFormat="0" applyBorder="0" applyAlignment="0" applyProtection="0"/>
    <xf numFmtId="0" fontId="34" fillId="33" borderId="561">
      <alignment horizontal="left" vertical="center" wrapText="1" indent="2"/>
    </xf>
    <xf numFmtId="0" fontId="46" fillId="55" borderId="555" applyNumberFormat="0" applyAlignment="0" applyProtection="0"/>
    <xf numFmtId="0" fontId="65" fillId="0" borderId="556" applyNumberFormat="0" applyFill="0" applyAlignment="0" applyProtection="0"/>
    <xf numFmtId="0" fontId="43" fillId="55" borderId="562" applyNumberFormat="0" applyAlignment="0" applyProtection="0"/>
    <xf numFmtId="0" fontId="32" fillId="31" borderId="558">
      <alignment horizontal="right" vertical="center"/>
    </xf>
    <xf numFmtId="49" fontId="33" fillId="0" borderId="558" applyNumberFormat="0" applyFill="0" applyBorder="0" applyProtection="0">
      <alignment horizontal="left" vertical="center"/>
    </xf>
    <xf numFmtId="4" fontId="32" fillId="33" borderId="558">
      <alignment horizontal="right" vertical="center"/>
    </xf>
    <xf numFmtId="0" fontId="58" fillId="42" borderId="555" applyNumberFormat="0" applyAlignment="0" applyProtection="0"/>
    <xf numFmtId="0" fontId="43" fillId="55" borderId="547" applyNumberFormat="0" applyAlignment="0" applyProtection="0"/>
    <xf numFmtId="0" fontId="45" fillId="55" borderId="548" applyNumberFormat="0" applyAlignment="0" applyProtection="0"/>
    <xf numFmtId="0" fontId="50" fillId="0" borderId="549" applyNumberFormat="0" applyFill="0" applyAlignment="0" applyProtection="0"/>
    <xf numFmtId="0" fontId="12" fillId="27" borderId="0" applyNumberFormat="0" applyBorder="0" applyAlignment="0" applyProtection="0"/>
    <xf numFmtId="4" fontId="34" fillId="0" borderId="558">
      <alignment horizontal="right" vertical="center"/>
    </xf>
    <xf numFmtId="0" fontId="26" fillId="25" borderId="0" applyNumberFormat="0" applyBorder="0" applyAlignment="0" applyProtection="0"/>
    <xf numFmtId="0" fontId="26" fillId="17" borderId="0" applyNumberFormat="0" applyBorder="0" applyAlignment="0" applyProtection="0"/>
    <xf numFmtId="0" fontId="34" fillId="0" borderId="561">
      <alignment horizontal="left" vertical="center" wrapText="1" indent="2"/>
    </xf>
    <xf numFmtId="4" fontId="32" fillId="33" borderId="558">
      <alignment horizontal="right" vertical="center"/>
    </xf>
    <xf numFmtId="0" fontId="29" fillId="12" borderId="10" applyNumberFormat="0" applyAlignment="0" applyProtection="0"/>
    <xf numFmtId="49" fontId="34" fillId="0" borderId="558" applyNumberFormat="0" applyFont="0" applyFill="0" applyBorder="0" applyProtection="0">
      <alignment horizontal="left" vertical="center" indent="2"/>
    </xf>
    <xf numFmtId="0" fontId="34" fillId="0" borderId="558">
      <alignment horizontal="right" vertical="center"/>
    </xf>
    <xf numFmtId="49" fontId="34" fillId="0" borderId="558" applyNumberFormat="0" applyFont="0" applyFill="0" applyBorder="0" applyProtection="0">
      <alignment horizontal="left" vertical="center" indent="2"/>
    </xf>
    <xf numFmtId="4" fontId="36" fillId="31" borderId="558">
      <alignment horizontal="right" vertical="center"/>
    </xf>
    <xf numFmtId="0" fontId="45" fillId="55" borderId="555" applyNumberFormat="0" applyAlignment="0" applyProtection="0"/>
    <xf numFmtId="49" fontId="34" fillId="0" borderId="559" applyNumberFormat="0" applyFont="0" applyFill="0" applyBorder="0" applyProtection="0">
      <alignment horizontal="left" vertical="center" indent="5"/>
    </xf>
    <xf numFmtId="0" fontId="49" fillId="42" borderId="548" applyNumberFormat="0" applyAlignment="0" applyProtection="0"/>
    <xf numFmtId="0" fontId="34" fillId="31" borderId="559">
      <alignment horizontal="left" vertical="center"/>
    </xf>
    <xf numFmtId="0" fontId="43" fillId="55" borderId="562" applyNumberFormat="0" applyAlignment="0" applyProtection="0"/>
    <xf numFmtId="0" fontId="34" fillId="0" borderId="561">
      <alignment horizontal="left" vertical="center" wrapText="1" indent="2"/>
    </xf>
    <xf numFmtId="0" fontId="2" fillId="0" borderId="12" applyNumberFormat="0" applyFill="0" applyAlignment="0" applyProtection="0"/>
    <xf numFmtId="4" fontId="34" fillId="32" borderId="558"/>
    <xf numFmtId="0" fontId="32" fillId="33" borderId="558">
      <alignment horizontal="right" vertical="center"/>
    </xf>
    <xf numFmtId="0" fontId="49" fillId="42" borderId="555" applyNumberFormat="0" applyAlignment="0" applyProtection="0"/>
    <xf numFmtId="0" fontId="58" fillId="42" borderId="555" applyNumberFormat="0" applyAlignment="0" applyProtection="0"/>
    <xf numFmtId="0" fontId="34" fillId="33" borderId="554">
      <alignment horizontal="left" vertical="center" wrapText="1" indent="2"/>
    </xf>
    <xf numFmtId="0" fontId="34" fillId="0" borderId="554">
      <alignment horizontal="left" vertical="center" wrapText="1" indent="2"/>
    </xf>
    <xf numFmtId="0" fontId="26" fillId="26" borderId="0" applyNumberFormat="0" applyBorder="0" applyAlignment="0" applyProtection="0"/>
    <xf numFmtId="4" fontId="32" fillId="33" borderId="558">
      <alignment horizontal="right" vertical="center"/>
    </xf>
    <xf numFmtId="4" fontId="32" fillId="33" borderId="559">
      <alignment horizontal="right" vertical="center"/>
    </xf>
    <xf numFmtId="173" fontId="34" fillId="59" borderId="558" applyNumberFormat="0" applyFont="0" applyBorder="0" applyAlignment="0" applyProtection="0">
      <alignment horizontal="right" vertical="center"/>
    </xf>
    <xf numFmtId="0" fontId="50" fillId="0" borderId="556" applyNumberFormat="0" applyFill="0" applyAlignment="0" applyProtection="0"/>
    <xf numFmtId="0" fontId="32" fillId="31" borderId="558">
      <alignment horizontal="right" vertical="center"/>
    </xf>
    <xf numFmtId="4" fontId="32" fillId="33" borderId="558">
      <alignment horizontal="right" vertical="center"/>
    </xf>
    <xf numFmtId="0" fontId="36" fillId="31" borderId="558">
      <alignment horizontal="right" vertical="center"/>
    </xf>
    <xf numFmtId="173" fontId="34" fillId="59" borderId="558" applyNumberFormat="0" applyFont="0" applyBorder="0" applyAlignment="0" applyProtection="0">
      <alignment horizontal="right" vertical="center"/>
    </xf>
    <xf numFmtId="0" fontId="26" fillId="23" borderId="0" applyNumberFormat="0" applyBorder="0" applyAlignment="0" applyProtection="0"/>
    <xf numFmtId="0" fontId="26" fillId="29" borderId="0" applyNumberFormat="0" applyBorder="0" applyAlignment="0" applyProtection="0"/>
    <xf numFmtId="0" fontId="62" fillId="55" borderId="562" applyNumberFormat="0" applyAlignment="0" applyProtection="0"/>
    <xf numFmtId="0" fontId="36" fillId="31" borderId="558">
      <alignment horizontal="right" vertical="center"/>
    </xf>
    <xf numFmtId="0" fontId="32" fillId="33" borderId="559">
      <alignment horizontal="right" vertical="center"/>
    </xf>
    <xf numFmtId="4" fontId="32" fillId="33" borderId="558">
      <alignment horizontal="right" vertical="center"/>
    </xf>
    <xf numFmtId="4" fontId="32" fillId="33" borderId="558">
      <alignment horizontal="right" vertical="center"/>
    </xf>
    <xf numFmtId="0" fontId="32" fillId="31" borderId="558">
      <alignment horizontal="right" vertical="center"/>
    </xf>
    <xf numFmtId="0" fontId="34" fillId="0" borderId="561">
      <alignment horizontal="left" vertical="center" wrapText="1" indent="2"/>
    </xf>
    <xf numFmtId="4" fontId="32" fillId="33" borderId="560">
      <alignment horizontal="right" vertical="center"/>
    </xf>
    <xf numFmtId="0" fontId="43" fillId="55" borderId="562" applyNumberFormat="0" applyAlignment="0" applyProtection="0"/>
    <xf numFmtId="0" fontId="34" fillId="0" borderId="558">
      <alignment horizontal="right" vertical="center"/>
    </xf>
    <xf numFmtId="0" fontId="26" fillId="29" borderId="0" applyNumberFormat="0" applyBorder="0" applyAlignment="0" applyProtection="0"/>
    <xf numFmtId="0" fontId="26" fillId="26" borderId="0" applyNumberFormat="0" applyBorder="0" applyAlignment="0" applyProtection="0"/>
    <xf numFmtId="49" fontId="34" fillId="0" borderId="558" applyNumberFormat="0" applyFont="0" applyFill="0" applyBorder="0" applyProtection="0">
      <alignment horizontal="left" vertical="center" indent="2"/>
    </xf>
    <xf numFmtId="4" fontId="32" fillId="33" borderId="560">
      <alignment horizontal="right" vertical="center"/>
    </xf>
    <xf numFmtId="0" fontId="26" fillId="17"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12" fillId="18" borderId="0" applyNumberFormat="0" applyBorder="0" applyAlignment="0" applyProtection="0"/>
    <xf numFmtId="0" fontId="26" fillId="14" borderId="0" applyNumberFormat="0" applyBorder="0" applyAlignment="0" applyProtection="0"/>
    <xf numFmtId="0" fontId="12" fillId="15" borderId="0" applyNumberFormat="0" applyBorder="0" applyAlignment="0" applyProtection="0"/>
    <xf numFmtId="0" fontId="34" fillId="31" borderId="559">
      <alignment horizontal="left" vertical="center"/>
    </xf>
    <xf numFmtId="0" fontId="30" fillId="0" borderId="0" applyNumberFormat="0" applyFill="0" applyBorder="0" applyAlignment="0" applyProtection="0"/>
    <xf numFmtId="0" fontId="28" fillId="12" borderId="11" applyNumberFormat="0" applyAlignment="0" applyProtection="0"/>
    <xf numFmtId="0" fontId="29" fillId="12" borderId="10" applyNumberFormat="0" applyAlignment="0" applyProtection="0"/>
    <xf numFmtId="0" fontId="46" fillId="55" borderId="555" applyNumberFormat="0" applyAlignment="0" applyProtection="0"/>
    <xf numFmtId="0" fontId="58" fillId="42" borderId="555" applyNumberFormat="0" applyAlignment="0" applyProtection="0"/>
    <xf numFmtId="0" fontId="32" fillId="33" borderId="560">
      <alignment horizontal="right" vertical="center"/>
    </xf>
    <xf numFmtId="0" fontId="12" fillId="30" borderId="0" applyNumberFormat="0" applyBorder="0" applyAlignment="0" applyProtection="0"/>
    <xf numFmtId="173" fontId="34" fillId="59" borderId="558" applyNumberFormat="0" applyFont="0" applyBorder="0" applyAlignment="0" applyProtection="0">
      <alignment horizontal="right" vertical="center"/>
    </xf>
    <xf numFmtId="0" fontId="62" fillId="55" borderId="562" applyNumberFormat="0" applyAlignment="0" applyProtection="0"/>
    <xf numFmtId="4" fontId="32" fillId="33" borderId="551">
      <alignment horizontal="right" vertical="center"/>
    </xf>
    <xf numFmtId="0" fontId="34" fillId="32" borderId="551"/>
    <xf numFmtId="0" fontId="45" fillId="55" borderId="548" applyNumberFormat="0" applyAlignment="0" applyProtection="0"/>
    <xf numFmtId="0" fontId="32" fillId="31" borderId="551">
      <alignment horizontal="right" vertical="center"/>
    </xf>
    <xf numFmtId="0" fontId="34" fillId="0" borderId="551">
      <alignment horizontal="right" vertical="center"/>
    </xf>
    <xf numFmtId="0" fontId="65" fillId="0" borderId="549" applyNumberFormat="0" applyFill="0" applyAlignment="0" applyProtection="0"/>
    <xf numFmtId="0" fontId="34" fillId="31" borderId="552">
      <alignment horizontal="left" vertical="center"/>
    </xf>
    <xf numFmtId="0" fontId="58" fillId="42" borderId="548" applyNumberFormat="0" applyAlignment="0" applyProtection="0"/>
    <xf numFmtId="173" fontId="34" fillId="59" borderId="551" applyNumberFormat="0" applyFont="0" applyBorder="0" applyAlignment="0" applyProtection="0">
      <alignment horizontal="right" vertical="center"/>
    </xf>
    <xf numFmtId="0" fontId="40" fillId="58" borderId="550" applyNumberFormat="0" applyFont="0" applyAlignment="0" applyProtection="0"/>
    <xf numFmtId="0" fontId="34" fillId="0" borderId="554">
      <alignment horizontal="left" vertical="center" wrapText="1" indent="2"/>
    </xf>
    <xf numFmtId="4" fontId="34" fillId="32" borderId="551"/>
    <xf numFmtId="49" fontId="33" fillId="0" borderId="551" applyNumberFormat="0" applyFill="0" applyBorder="0" applyProtection="0">
      <alignment horizontal="left" vertical="center"/>
    </xf>
    <xf numFmtId="0" fontId="34" fillId="0" borderId="551">
      <alignment horizontal="right" vertical="center"/>
    </xf>
    <xf numFmtId="4" fontId="32" fillId="33" borderId="553">
      <alignment horizontal="right" vertical="center"/>
    </xf>
    <xf numFmtId="4" fontId="32" fillId="33" borderId="551">
      <alignment horizontal="right" vertical="center"/>
    </xf>
    <xf numFmtId="4" fontId="32" fillId="33" borderId="551">
      <alignment horizontal="right" vertical="center"/>
    </xf>
    <xf numFmtId="0" fontId="36" fillId="31" borderId="551">
      <alignment horizontal="right" vertical="center"/>
    </xf>
    <xf numFmtId="0" fontId="32" fillId="31" borderId="551">
      <alignment horizontal="right" vertical="center"/>
    </xf>
    <xf numFmtId="49" fontId="34" fillId="0" borderId="551" applyNumberFormat="0" applyFont="0" applyFill="0" applyBorder="0" applyProtection="0">
      <alignment horizontal="left" vertical="center" indent="2"/>
    </xf>
    <xf numFmtId="0" fontId="58" fillId="42" borderId="548" applyNumberFormat="0" applyAlignment="0" applyProtection="0"/>
    <xf numFmtId="0" fontId="43" fillId="55" borderId="547" applyNumberFormat="0" applyAlignment="0" applyProtection="0"/>
    <xf numFmtId="49" fontId="34" fillId="0" borderId="551" applyNumberFormat="0" applyFont="0" applyFill="0" applyBorder="0" applyProtection="0">
      <alignment horizontal="left" vertical="center" indent="2"/>
    </xf>
    <xf numFmtId="0" fontId="49" fillId="42" borderId="548" applyNumberFormat="0" applyAlignment="0" applyProtection="0"/>
    <xf numFmtId="4" fontId="34" fillId="0" borderId="551" applyFill="0" applyBorder="0" applyProtection="0">
      <alignment horizontal="right" vertical="center"/>
    </xf>
    <xf numFmtId="0" fontId="46" fillId="55" borderId="548" applyNumberFormat="0" applyAlignment="0" applyProtection="0"/>
    <xf numFmtId="0" fontId="65" fillId="0" borderId="549" applyNumberFormat="0" applyFill="0" applyAlignment="0" applyProtection="0"/>
    <xf numFmtId="0" fontId="62" fillId="55" borderId="547" applyNumberFormat="0" applyAlignment="0" applyProtection="0"/>
    <xf numFmtId="0" fontId="34" fillId="0" borderId="551" applyNumberFormat="0" applyFill="0" applyAlignment="0" applyProtection="0"/>
    <xf numFmtId="4" fontId="34" fillId="0" borderId="551">
      <alignment horizontal="right" vertical="center"/>
    </xf>
    <xf numFmtId="0" fontId="34" fillId="0" borderId="551">
      <alignment horizontal="right" vertical="center"/>
    </xf>
    <xf numFmtId="0" fontId="58" fillId="42" borderId="548" applyNumberFormat="0" applyAlignment="0" applyProtection="0"/>
    <xf numFmtId="0" fontId="43" fillId="55" borderId="547" applyNumberFormat="0" applyAlignment="0" applyProtection="0"/>
    <xf numFmtId="0" fontId="45" fillId="55" borderId="548" applyNumberFormat="0" applyAlignment="0" applyProtection="0"/>
    <xf numFmtId="0" fontId="34" fillId="33" borderId="554">
      <alignment horizontal="left" vertical="center" wrapText="1" indent="2"/>
    </xf>
    <xf numFmtId="0" fontId="46" fillId="55" borderId="548" applyNumberFormat="0" applyAlignment="0" applyProtection="0"/>
    <xf numFmtId="0" fontId="46" fillId="55" borderId="548" applyNumberFormat="0" applyAlignment="0" applyProtection="0"/>
    <xf numFmtId="4" fontId="32" fillId="33" borderId="552">
      <alignment horizontal="right" vertical="center"/>
    </xf>
    <xf numFmtId="0" fontId="32" fillId="33" borderId="552">
      <alignment horizontal="right" vertical="center"/>
    </xf>
    <xf numFmtId="0" fontId="32" fillId="33" borderId="551">
      <alignment horizontal="right" vertical="center"/>
    </xf>
    <xf numFmtId="4" fontId="36" fillId="31" borderId="551">
      <alignment horizontal="right" vertical="center"/>
    </xf>
    <xf numFmtId="0" fontId="49" fillId="42" borderId="548" applyNumberFormat="0" applyAlignment="0" applyProtection="0"/>
    <xf numFmtId="0" fontId="50" fillId="0" borderId="549" applyNumberFormat="0" applyFill="0" applyAlignment="0" applyProtection="0"/>
    <xf numFmtId="0" fontId="65" fillId="0" borderId="549" applyNumberFormat="0" applyFill="0" applyAlignment="0" applyProtection="0"/>
    <xf numFmtId="0" fontId="40" fillId="58" borderId="550" applyNumberFormat="0" applyFont="0" applyAlignment="0" applyProtection="0"/>
    <xf numFmtId="0" fontId="58" fillId="42" borderId="548" applyNumberFormat="0" applyAlignment="0" applyProtection="0"/>
    <xf numFmtId="49" fontId="33" fillId="0" borderId="551" applyNumberFormat="0" applyFill="0" applyBorder="0" applyProtection="0">
      <alignment horizontal="left" vertical="center"/>
    </xf>
    <xf numFmtId="0" fontId="34" fillId="33" borderId="554">
      <alignment horizontal="left" vertical="center" wrapText="1" indent="2"/>
    </xf>
    <xf numFmtId="0" fontId="46" fillId="55" borderId="548" applyNumberFormat="0" applyAlignment="0" applyProtection="0"/>
    <xf numFmtId="0" fontId="34" fillId="0" borderId="554">
      <alignment horizontal="left" vertical="center" wrapText="1" indent="2"/>
    </xf>
    <xf numFmtId="0" fontId="40" fillId="58" borderId="550" applyNumberFormat="0" applyFont="0" applyAlignment="0" applyProtection="0"/>
    <xf numFmtId="0" fontId="5"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4" fontId="34" fillId="32" borderId="551"/>
    <xf numFmtId="0" fontId="32" fillId="33" borderId="551">
      <alignment horizontal="right" vertical="center"/>
    </xf>
    <xf numFmtId="0" fontId="65" fillId="0" borderId="549" applyNumberFormat="0" applyFill="0" applyAlignment="0" applyProtection="0"/>
    <xf numFmtId="4" fontId="32" fillId="33" borderId="553">
      <alignment horizontal="right" vertical="center"/>
    </xf>
    <xf numFmtId="0" fontId="45" fillId="55" borderId="548" applyNumberFormat="0" applyAlignment="0" applyProtection="0"/>
    <xf numFmtId="0" fontId="32" fillId="33" borderId="552">
      <alignment horizontal="right" vertical="center"/>
    </xf>
    <xf numFmtId="0" fontId="46" fillId="55" borderId="548" applyNumberFormat="0" applyAlignment="0" applyProtection="0"/>
    <xf numFmtId="0" fontId="50" fillId="0" borderId="549" applyNumberFormat="0" applyFill="0" applyAlignment="0" applyProtection="0"/>
    <xf numFmtId="0" fontId="40" fillId="58" borderId="550" applyNumberFormat="0" applyFont="0" applyAlignment="0" applyProtection="0"/>
    <xf numFmtId="4" fontId="32" fillId="33" borderId="552">
      <alignment horizontal="right" vertical="center"/>
    </xf>
    <xf numFmtId="0" fontId="34" fillId="33" borderId="554">
      <alignment horizontal="left" vertical="center" wrapText="1" indent="2"/>
    </xf>
    <xf numFmtId="0" fontId="34" fillId="32" borderId="551"/>
    <xf numFmtId="173" fontId="34" fillId="59" borderId="551" applyNumberFormat="0" applyFont="0" applyBorder="0" applyAlignment="0" applyProtection="0">
      <alignment horizontal="right" vertical="center"/>
    </xf>
    <xf numFmtId="0" fontId="34" fillId="0" borderId="551" applyNumberFormat="0" applyFill="0" applyAlignment="0" applyProtection="0"/>
    <xf numFmtId="4" fontId="34" fillId="0" borderId="551" applyFill="0" applyBorder="0" applyProtection="0">
      <alignment horizontal="right" vertical="center"/>
    </xf>
    <xf numFmtId="4" fontId="32" fillId="31" borderId="551">
      <alignment horizontal="right" vertical="center"/>
    </xf>
    <xf numFmtId="0" fontId="50" fillId="0" borderId="549" applyNumberFormat="0" applyFill="0" applyAlignment="0" applyProtection="0"/>
    <xf numFmtId="49" fontId="33" fillId="0" borderId="551" applyNumberFormat="0" applyFill="0" applyBorder="0" applyProtection="0">
      <alignment horizontal="left" vertical="center"/>
    </xf>
    <xf numFmtId="49" fontId="34" fillId="0" borderId="552" applyNumberFormat="0" applyFont="0" applyFill="0" applyBorder="0" applyProtection="0">
      <alignment horizontal="left" vertical="center" indent="5"/>
    </xf>
    <xf numFmtId="0" fontId="34" fillId="31" borderId="552">
      <alignment horizontal="left" vertical="center"/>
    </xf>
    <xf numFmtId="0" fontId="46" fillId="55" borderId="548" applyNumberFormat="0" applyAlignment="0" applyProtection="0"/>
    <xf numFmtId="4" fontId="32" fillId="33" borderId="553">
      <alignment horizontal="right" vertical="center"/>
    </xf>
    <xf numFmtId="0" fontId="58" fillId="42" borderId="548" applyNumberFormat="0" applyAlignment="0" applyProtection="0"/>
    <xf numFmtId="0" fontId="58" fillId="42" borderId="548" applyNumberFormat="0" applyAlignment="0" applyProtection="0"/>
    <xf numFmtId="0" fontId="40"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0" fontId="32" fillId="33" borderId="551">
      <alignment horizontal="right" vertical="center"/>
    </xf>
    <xf numFmtId="0" fontId="5" fillId="58" borderId="550" applyNumberFormat="0" applyFont="0" applyAlignment="0" applyProtection="0"/>
    <xf numFmtId="4" fontId="34" fillId="0" borderId="551">
      <alignment horizontal="right" vertical="center"/>
    </xf>
    <xf numFmtId="0" fontId="65" fillId="0" borderId="549" applyNumberFormat="0" applyFill="0" applyAlignment="0" applyProtection="0"/>
    <xf numFmtId="0" fontId="32" fillId="33" borderId="551">
      <alignment horizontal="right" vertical="center"/>
    </xf>
    <xf numFmtId="0" fontId="32" fillId="33" borderId="551">
      <alignment horizontal="right" vertical="center"/>
    </xf>
    <xf numFmtId="4" fontId="36" fillId="31" borderId="551">
      <alignment horizontal="right" vertical="center"/>
    </xf>
    <xf numFmtId="0" fontId="32" fillId="31" borderId="551">
      <alignment horizontal="right" vertical="center"/>
    </xf>
    <xf numFmtId="4" fontId="32" fillId="31" borderId="551">
      <alignment horizontal="right" vertical="center"/>
    </xf>
    <xf numFmtId="0" fontId="36" fillId="31" borderId="551">
      <alignment horizontal="right" vertical="center"/>
    </xf>
    <xf numFmtId="4" fontId="36" fillId="31" borderId="551">
      <alignment horizontal="right" vertical="center"/>
    </xf>
    <xf numFmtId="0" fontId="32" fillId="33" borderId="551">
      <alignment horizontal="right" vertical="center"/>
    </xf>
    <xf numFmtId="4" fontId="32" fillId="33" borderId="551">
      <alignment horizontal="right" vertical="center"/>
    </xf>
    <xf numFmtId="0" fontId="32" fillId="33" borderId="551">
      <alignment horizontal="right" vertical="center"/>
    </xf>
    <xf numFmtId="4" fontId="32" fillId="33" borderId="551">
      <alignment horizontal="right" vertical="center"/>
    </xf>
    <xf numFmtId="0" fontId="32" fillId="33" borderId="552">
      <alignment horizontal="right" vertical="center"/>
    </xf>
    <xf numFmtId="4" fontId="32" fillId="33" borderId="552">
      <alignment horizontal="right" vertical="center"/>
    </xf>
    <xf numFmtId="0" fontId="32" fillId="33" borderId="553">
      <alignment horizontal="right" vertical="center"/>
    </xf>
    <xf numFmtId="4" fontId="32" fillId="33" borderId="553">
      <alignment horizontal="right" vertical="center"/>
    </xf>
    <xf numFmtId="0" fontId="46" fillId="55" borderId="548" applyNumberFormat="0" applyAlignment="0" applyProtection="0"/>
    <xf numFmtId="0" fontId="34" fillId="33" borderId="554">
      <alignment horizontal="left" vertical="center" wrapText="1" indent="2"/>
    </xf>
    <xf numFmtId="0" fontId="34" fillId="0" borderId="554">
      <alignment horizontal="left" vertical="center" wrapText="1" indent="2"/>
    </xf>
    <xf numFmtId="0" fontId="34" fillId="31" borderId="552">
      <alignment horizontal="left" vertical="center"/>
    </xf>
    <xf numFmtId="0" fontId="58" fillId="42" borderId="548" applyNumberFormat="0" applyAlignment="0" applyProtection="0"/>
    <xf numFmtId="0" fontId="34" fillId="0" borderId="551">
      <alignment horizontal="right" vertical="center"/>
    </xf>
    <xf numFmtId="4" fontId="34" fillId="0" borderId="551">
      <alignment horizontal="right" vertical="center"/>
    </xf>
    <xf numFmtId="0" fontId="34" fillId="0" borderId="551" applyNumberFormat="0" applyFill="0" applyAlignment="0" applyProtection="0"/>
    <xf numFmtId="0" fontId="62" fillId="55" borderId="547" applyNumberFormat="0" applyAlignment="0" applyProtection="0"/>
    <xf numFmtId="173" fontId="34" fillId="59" borderId="551" applyNumberFormat="0" applyFont="0" applyBorder="0" applyAlignment="0" applyProtection="0">
      <alignment horizontal="right" vertical="center"/>
    </xf>
    <xf numFmtId="0" fontId="34" fillId="32" borderId="551"/>
    <xf numFmtId="4" fontId="34" fillId="32" borderId="551"/>
    <xf numFmtId="0" fontId="65" fillId="0" borderId="549" applyNumberFormat="0" applyFill="0" applyAlignment="0" applyProtection="0"/>
    <xf numFmtId="0" fontId="5" fillId="58" borderId="550" applyNumberFormat="0" applyFont="0" applyAlignment="0" applyProtection="0"/>
    <xf numFmtId="0" fontId="40" fillId="58" borderId="550" applyNumberFormat="0" applyFont="0" applyAlignment="0" applyProtection="0"/>
    <xf numFmtId="0" fontId="34" fillId="0" borderId="551" applyNumberFormat="0" applyFill="0" applyAlignment="0" applyProtection="0"/>
    <xf numFmtId="0" fontId="50" fillId="0" borderId="549" applyNumberFormat="0" applyFill="0" applyAlignment="0" applyProtection="0"/>
    <xf numFmtId="0" fontId="65" fillId="0" borderId="549" applyNumberFormat="0" applyFill="0" applyAlignment="0" applyProtection="0"/>
    <xf numFmtId="0" fontId="49" fillId="42" borderId="548" applyNumberFormat="0" applyAlignment="0" applyProtection="0"/>
    <xf numFmtId="0" fontId="46" fillId="55" borderId="548" applyNumberFormat="0" applyAlignment="0" applyProtection="0"/>
    <xf numFmtId="4" fontId="36" fillId="31" borderId="551">
      <alignment horizontal="right" vertical="center"/>
    </xf>
    <xf numFmtId="0" fontId="32" fillId="31" borderId="551">
      <alignment horizontal="right" vertical="center"/>
    </xf>
    <xf numFmtId="173" fontId="34" fillId="59" borderId="551" applyNumberFormat="0" applyFont="0" applyBorder="0" applyAlignment="0" applyProtection="0">
      <alignment horizontal="right" vertical="center"/>
    </xf>
    <xf numFmtId="0" fontId="50" fillId="0" borderId="549" applyNumberFormat="0" applyFill="0" applyAlignment="0" applyProtection="0"/>
    <xf numFmtId="49" fontId="34" fillId="0" borderId="551" applyNumberFormat="0" applyFont="0" applyFill="0" applyBorder="0" applyProtection="0">
      <alignment horizontal="left" vertical="center" indent="2"/>
    </xf>
    <xf numFmtId="49" fontId="34" fillId="0" borderId="552" applyNumberFormat="0" applyFont="0" applyFill="0" applyBorder="0" applyProtection="0">
      <alignment horizontal="left" vertical="center" indent="5"/>
    </xf>
    <xf numFmtId="49" fontId="34" fillId="0" borderId="551" applyNumberFormat="0" applyFont="0" applyFill="0" applyBorder="0" applyProtection="0">
      <alignment horizontal="left" vertical="center" indent="2"/>
    </xf>
    <xf numFmtId="4" fontId="34" fillId="0" borderId="551" applyFill="0" applyBorder="0" applyProtection="0">
      <alignment horizontal="right" vertical="center"/>
    </xf>
    <xf numFmtId="49" fontId="33" fillId="0" borderId="551" applyNumberFormat="0" applyFill="0" applyBorder="0" applyProtection="0">
      <alignment horizontal="left" vertical="center"/>
    </xf>
    <xf numFmtId="0" fontId="34" fillId="0" borderId="554">
      <alignment horizontal="left" vertical="center" wrapText="1" indent="2"/>
    </xf>
    <xf numFmtId="0" fontId="62" fillId="55" borderId="547" applyNumberFormat="0" applyAlignment="0" applyProtection="0"/>
    <xf numFmtId="0" fontId="32" fillId="33" borderId="553">
      <alignment horizontal="right" vertical="center"/>
    </xf>
    <xf numFmtId="0" fontId="49" fillId="42" borderId="548" applyNumberFormat="0" applyAlignment="0" applyProtection="0"/>
    <xf numFmtId="0" fontId="32" fillId="33" borderId="553">
      <alignment horizontal="right" vertical="center"/>
    </xf>
    <xf numFmtId="4" fontId="32" fillId="33" borderId="551">
      <alignment horizontal="right" vertical="center"/>
    </xf>
    <xf numFmtId="0" fontId="32" fillId="33" borderId="551">
      <alignment horizontal="right" vertical="center"/>
    </xf>
    <xf numFmtId="0" fontId="43" fillId="55" borderId="547" applyNumberFormat="0" applyAlignment="0" applyProtection="0"/>
    <xf numFmtId="0" fontId="45" fillId="55" borderId="548" applyNumberFormat="0" applyAlignment="0" applyProtection="0"/>
    <xf numFmtId="0" fontId="50" fillId="0" borderId="549" applyNumberFormat="0" applyFill="0" applyAlignment="0" applyProtection="0"/>
    <xf numFmtId="0" fontId="34" fillId="32" borderId="551"/>
    <xf numFmtId="4" fontId="34" fillId="32" borderId="551"/>
    <xf numFmtId="4" fontId="32" fillId="33" borderId="551">
      <alignment horizontal="right" vertical="center"/>
    </xf>
    <xf numFmtId="0" fontId="36" fillId="31" borderId="551">
      <alignment horizontal="right" vertical="center"/>
    </xf>
    <xf numFmtId="0" fontId="49" fillId="42" borderId="548" applyNumberFormat="0" applyAlignment="0" applyProtection="0"/>
    <xf numFmtId="0" fontId="46" fillId="55" borderId="548" applyNumberFormat="0" applyAlignment="0" applyProtection="0"/>
    <xf numFmtId="4" fontId="34" fillId="0" borderId="551">
      <alignment horizontal="right" vertical="center"/>
    </xf>
    <xf numFmtId="0" fontId="34" fillId="33" borderId="554">
      <alignment horizontal="left" vertical="center" wrapText="1" indent="2"/>
    </xf>
    <xf numFmtId="0" fontId="34" fillId="0" borderId="554">
      <alignment horizontal="left" vertical="center" wrapText="1" indent="2"/>
    </xf>
    <xf numFmtId="0" fontId="62" fillId="55" borderId="547" applyNumberFormat="0" applyAlignment="0" applyProtection="0"/>
    <xf numFmtId="0" fontId="58" fillId="42" borderId="548" applyNumberFormat="0" applyAlignment="0" applyProtection="0"/>
    <xf numFmtId="0" fontId="45" fillId="55" borderId="548" applyNumberFormat="0" applyAlignment="0" applyProtection="0"/>
    <xf numFmtId="0" fontId="43" fillId="55" borderId="547" applyNumberFormat="0" applyAlignment="0" applyProtection="0"/>
    <xf numFmtId="0" fontId="32" fillId="33" borderId="553">
      <alignment horizontal="right" vertical="center"/>
    </xf>
    <xf numFmtId="0" fontId="36" fillId="31" borderId="551">
      <alignment horizontal="right" vertical="center"/>
    </xf>
    <xf numFmtId="4" fontId="32" fillId="31" borderId="551">
      <alignment horizontal="right" vertical="center"/>
    </xf>
    <xf numFmtId="4" fontId="32" fillId="33" borderId="551">
      <alignment horizontal="right" vertical="center"/>
    </xf>
    <xf numFmtId="49" fontId="34" fillId="0" borderId="552" applyNumberFormat="0" applyFont="0" applyFill="0" applyBorder="0" applyProtection="0">
      <alignment horizontal="left" vertical="center" indent="5"/>
    </xf>
    <xf numFmtId="4" fontId="34" fillId="0" borderId="551" applyFill="0" applyBorder="0" applyProtection="0">
      <alignment horizontal="right" vertical="center"/>
    </xf>
    <xf numFmtId="4" fontId="32" fillId="31" borderId="551">
      <alignment horizontal="right" vertical="center"/>
    </xf>
    <xf numFmtId="0" fontId="58" fillId="42" borderId="548" applyNumberFormat="0" applyAlignment="0" applyProtection="0"/>
    <xf numFmtId="0" fontId="49" fillId="42" borderId="548" applyNumberFormat="0" applyAlignment="0" applyProtection="0"/>
    <xf numFmtId="0" fontId="45" fillId="55" borderId="548" applyNumberFormat="0" applyAlignment="0" applyProtection="0"/>
    <xf numFmtId="0" fontId="34" fillId="33" borderId="554">
      <alignment horizontal="left" vertical="center" wrapText="1" indent="2"/>
    </xf>
    <xf numFmtId="0" fontId="34" fillId="0" borderId="554">
      <alignment horizontal="left" vertical="center" wrapText="1" indent="2"/>
    </xf>
    <xf numFmtId="0" fontId="34" fillId="33" borderId="554">
      <alignment horizontal="left" vertical="center" wrapText="1" indent="2"/>
    </xf>
    <xf numFmtId="0" fontId="34" fillId="0" borderId="554">
      <alignment horizontal="left" vertical="center" wrapText="1" indent="2"/>
    </xf>
    <xf numFmtId="0" fontId="43" fillId="55" borderId="547" applyNumberFormat="0" applyAlignment="0" applyProtection="0"/>
    <xf numFmtId="0" fontId="45" fillId="55" borderId="548" applyNumberFormat="0" applyAlignment="0" applyProtection="0"/>
    <xf numFmtId="0" fontId="46" fillId="55" borderId="548" applyNumberFormat="0" applyAlignment="0" applyProtection="0"/>
    <xf numFmtId="0" fontId="49" fillId="42" borderId="548" applyNumberFormat="0" applyAlignment="0" applyProtection="0"/>
    <xf numFmtId="0" fontId="50" fillId="0" borderId="549" applyNumberFormat="0" applyFill="0" applyAlignment="0" applyProtection="0"/>
    <xf numFmtId="0" fontId="58" fillId="42" borderId="548" applyNumberFormat="0" applyAlignment="0" applyProtection="0"/>
    <xf numFmtId="0" fontId="40" fillId="58" borderId="550" applyNumberFormat="0" applyFont="0" applyAlignment="0" applyProtection="0"/>
    <xf numFmtId="0" fontId="5"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0" fontId="46" fillId="55" borderId="548" applyNumberFormat="0" applyAlignment="0" applyProtection="0"/>
    <xf numFmtId="0" fontId="58" fillId="42" borderId="548" applyNumberFormat="0" applyAlignment="0" applyProtection="0"/>
    <xf numFmtId="0" fontId="40"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4" fontId="34" fillId="32" borderId="558"/>
    <xf numFmtId="0" fontId="26" fillId="20" borderId="0" applyNumberFormat="0" applyBorder="0" applyAlignment="0" applyProtection="0"/>
    <xf numFmtId="0" fontId="46" fillId="55" borderId="548" applyNumberFormat="0" applyAlignment="0" applyProtection="0"/>
    <xf numFmtId="0" fontId="62" fillId="55" borderId="562" applyNumberFormat="0" applyAlignment="0" applyProtection="0"/>
    <xf numFmtId="0" fontId="34" fillId="33" borderId="561">
      <alignment horizontal="left" vertical="center" wrapText="1" indent="2"/>
    </xf>
    <xf numFmtId="4" fontId="32" fillId="33" borderId="559">
      <alignment horizontal="right" vertical="center"/>
    </xf>
    <xf numFmtId="0" fontId="58" fillId="42" borderId="548" applyNumberFormat="0" applyAlignment="0" applyProtection="0"/>
    <xf numFmtId="0" fontId="62" fillId="55" borderId="547" applyNumberFormat="0" applyAlignment="0" applyProtection="0"/>
    <xf numFmtId="0" fontId="65" fillId="0" borderId="549" applyNumberFormat="0" applyFill="0" applyAlignment="0" applyProtection="0"/>
    <xf numFmtId="0" fontId="43" fillId="55" borderId="547" applyNumberFormat="0" applyAlignment="0" applyProtection="0"/>
    <xf numFmtId="0" fontId="45" fillId="55" borderId="548" applyNumberFormat="0" applyAlignment="0" applyProtection="0"/>
    <xf numFmtId="0" fontId="50" fillId="0" borderId="549" applyNumberFormat="0" applyFill="0" applyAlignment="0" applyProtection="0"/>
    <xf numFmtId="49" fontId="34" fillId="0" borderId="551" applyNumberFormat="0" applyFont="0" applyFill="0" applyBorder="0" applyProtection="0">
      <alignment horizontal="left" vertical="center" indent="2"/>
    </xf>
    <xf numFmtId="0" fontId="32" fillId="31" borderId="551">
      <alignment horizontal="right" vertical="center"/>
    </xf>
    <xf numFmtId="4" fontId="32" fillId="31" borderId="551">
      <alignment horizontal="right" vertical="center"/>
    </xf>
    <xf numFmtId="0" fontId="36" fillId="31" borderId="551">
      <alignment horizontal="right" vertical="center"/>
    </xf>
    <xf numFmtId="4" fontId="36" fillId="31" borderId="551">
      <alignment horizontal="right" vertical="center"/>
    </xf>
    <xf numFmtId="0" fontId="32" fillId="33" borderId="551">
      <alignment horizontal="right" vertical="center"/>
    </xf>
    <xf numFmtId="4" fontId="32" fillId="33" borderId="551">
      <alignment horizontal="right" vertical="center"/>
    </xf>
    <xf numFmtId="0" fontId="32" fillId="33" borderId="551">
      <alignment horizontal="right" vertical="center"/>
    </xf>
    <xf numFmtId="4" fontId="32" fillId="33" borderId="551">
      <alignment horizontal="right" vertical="center"/>
    </xf>
    <xf numFmtId="0" fontId="49" fillId="42" borderId="548" applyNumberFormat="0" applyAlignment="0" applyProtection="0"/>
    <xf numFmtId="0" fontId="34" fillId="0" borderId="551">
      <alignment horizontal="right" vertical="center"/>
    </xf>
    <xf numFmtId="4" fontId="34" fillId="0" borderId="551">
      <alignment horizontal="right" vertical="center"/>
    </xf>
    <xf numFmtId="4" fontId="34" fillId="0" borderId="551" applyFill="0" applyBorder="0" applyProtection="0">
      <alignment horizontal="right" vertical="center"/>
    </xf>
    <xf numFmtId="49" fontId="33" fillId="0" borderId="551" applyNumberFormat="0" applyFill="0" applyBorder="0" applyProtection="0">
      <alignment horizontal="left" vertical="center"/>
    </xf>
    <xf numFmtId="0" fontId="34" fillId="0" borderId="551" applyNumberFormat="0" applyFill="0" applyAlignment="0" applyProtection="0"/>
    <xf numFmtId="173" fontId="34" fillId="59" borderId="551" applyNumberFormat="0" applyFont="0" applyBorder="0" applyAlignment="0" applyProtection="0">
      <alignment horizontal="right" vertical="center"/>
    </xf>
    <xf numFmtId="0" fontId="34" fillId="32" borderId="551"/>
    <xf numFmtId="4" fontId="34" fillId="32" borderId="551"/>
    <xf numFmtId="4" fontId="32" fillId="33" borderId="551">
      <alignment horizontal="right" vertical="center"/>
    </xf>
    <xf numFmtId="0" fontId="34" fillId="32" borderId="551"/>
    <xf numFmtId="0" fontId="45" fillId="55" borderId="548" applyNumberFormat="0" applyAlignment="0" applyProtection="0"/>
    <xf numFmtId="0" fontId="32" fillId="31" borderId="551">
      <alignment horizontal="right" vertical="center"/>
    </xf>
    <xf numFmtId="0" fontId="34" fillId="0" borderId="551">
      <alignment horizontal="right" vertical="center"/>
    </xf>
    <xf numFmtId="0" fontId="65" fillId="0" borderId="549" applyNumberFormat="0" applyFill="0" applyAlignment="0" applyProtection="0"/>
    <xf numFmtId="0" fontId="34" fillId="31" borderId="552">
      <alignment horizontal="left" vertical="center"/>
    </xf>
    <xf numFmtId="0" fontId="58" fillId="42" borderId="548" applyNumberFormat="0" applyAlignment="0" applyProtection="0"/>
    <xf numFmtId="173" fontId="34" fillId="59" borderId="551" applyNumberFormat="0" applyFont="0" applyBorder="0" applyAlignment="0" applyProtection="0">
      <alignment horizontal="right" vertical="center"/>
    </xf>
    <xf numFmtId="0" fontId="40" fillId="58" borderId="550" applyNumberFormat="0" applyFont="0" applyAlignment="0" applyProtection="0"/>
    <xf numFmtId="0" fontId="34" fillId="0" borderId="554">
      <alignment horizontal="left" vertical="center" wrapText="1" indent="2"/>
    </xf>
    <xf numFmtId="4" fontId="34" fillId="32" borderId="551"/>
    <xf numFmtId="49" fontId="33" fillId="0" borderId="551" applyNumberFormat="0" applyFill="0" applyBorder="0" applyProtection="0">
      <alignment horizontal="left" vertical="center"/>
    </xf>
    <xf numFmtId="0" fontId="34" fillId="0" borderId="551">
      <alignment horizontal="right" vertical="center"/>
    </xf>
    <xf numFmtId="4" fontId="32" fillId="33" borderId="553">
      <alignment horizontal="right" vertical="center"/>
    </xf>
    <xf numFmtId="4" fontId="32" fillId="33" borderId="551">
      <alignment horizontal="right" vertical="center"/>
    </xf>
    <xf numFmtId="4" fontId="32" fillId="33" borderId="551">
      <alignment horizontal="right" vertical="center"/>
    </xf>
    <xf numFmtId="0" fontId="36" fillId="31" borderId="551">
      <alignment horizontal="right" vertical="center"/>
    </xf>
    <xf numFmtId="0" fontId="32" fillId="31" borderId="551">
      <alignment horizontal="right" vertical="center"/>
    </xf>
    <xf numFmtId="49" fontId="34" fillId="0" borderId="551" applyNumberFormat="0" applyFont="0" applyFill="0" applyBorder="0" applyProtection="0">
      <alignment horizontal="left" vertical="center" indent="2"/>
    </xf>
    <xf numFmtId="0" fontId="58" fillId="42" borderId="548" applyNumberFormat="0" applyAlignment="0" applyProtection="0"/>
    <xf numFmtId="0" fontId="43" fillId="55" borderId="547" applyNumberFormat="0" applyAlignment="0" applyProtection="0"/>
    <xf numFmtId="49" fontId="34" fillId="0" borderId="551" applyNumberFormat="0" applyFont="0" applyFill="0" applyBorder="0" applyProtection="0">
      <alignment horizontal="left" vertical="center" indent="2"/>
    </xf>
    <xf numFmtId="0" fontId="49" fillId="42" borderId="548" applyNumberFormat="0" applyAlignment="0" applyProtection="0"/>
    <xf numFmtId="4" fontId="34" fillId="0" borderId="551" applyFill="0" applyBorder="0" applyProtection="0">
      <alignment horizontal="right" vertical="center"/>
    </xf>
    <xf numFmtId="0" fontId="46" fillId="55" borderId="548" applyNumberFormat="0" applyAlignment="0" applyProtection="0"/>
    <xf numFmtId="0" fontId="65" fillId="0" borderId="549" applyNumberFormat="0" applyFill="0" applyAlignment="0" applyProtection="0"/>
    <xf numFmtId="0" fontId="62" fillId="55" borderId="547" applyNumberFormat="0" applyAlignment="0" applyProtection="0"/>
    <xf numFmtId="0" fontId="34" fillId="0" borderId="551" applyNumberFormat="0" applyFill="0" applyAlignment="0" applyProtection="0"/>
    <xf numFmtId="4" fontId="34" fillId="0" borderId="551">
      <alignment horizontal="right" vertical="center"/>
    </xf>
    <xf numFmtId="0" fontId="34" fillId="0" borderId="551">
      <alignment horizontal="right" vertical="center"/>
    </xf>
    <xf numFmtId="0" fontId="58" fillId="42" borderId="548" applyNumberFormat="0" applyAlignment="0" applyProtection="0"/>
    <xf numFmtId="0" fontId="43" fillId="55" borderId="547" applyNumberFormat="0" applyAlignment="0" applyProtection="0"/>
    <xf numFmtId="0" fontId="45" fillId="55" borderId="548" applyNumberFormat="0" applyAlignment="0" applyProtection="0"/>
    <xf numFmtId="0" fontId="34" fillId="33" borderId="554">
      <alignment horizontal="left" vertical="center" wrapText="1" indent="2"/>
    </xf>
    <xf numFmtId="0" fontId="46" fillId="55" borderId="548" applyNumberFormat="0" applyAlignment="0" applyProtection="0"/>
    <xf numFmtId="0" fontId="46" fillId="55" borderId="548" applyNumberFormat="0" applyAlignment="0" applyProtection="0"/>
    <xf numFmtId="4" fontId="32" fillId="33" borderId="552">
      <alignment horizontal="right" vertical="center"/>
    </xf>
    <xf numFmtId="0" fontId="32" fillId="33" borderId="552">
      <alignment horizontal="right" vertical="center"/>
    </xf>
    <xf numFmtId="0" fontId="32" fillId="33" borderId="551">
      <alignment horizontal="right" vertical="center"/>
    </xf>
    <xf numFmtId="4" fontId="36" fillId="31" borderId="551">
      <alignment horizontal="right" vertical="center"/>
    </xf>
    <xf numFmtId="0" fontId="49" fillId="42" borderId="548" applyNumberFormat="0" applyAlignment="0" applyProtection="0"/>
    <xf numFmtId="0" fontId="50" fillId="0" borderId="549" applyNumberFormat="0" applyFill="0" applyAlignment="0" applyProtection="0"/>
    <xf numFmtId="0" fontId="65" fillId="0" borderId="549" applyNumberFormat="0" applyFill="0" applyAlignment="0" applyProtection="0"/>
    <xf numFmtId="0" fontId="40" fillId="58" borderId="550" applyNumberFormat="0" applyFont="0" applyAlignment="0" applyProtection="0"/>
    <xf numFmtId="0" fontId="58" fillId="42" borderId="548" applyNumberFormat="0" applyAlignment="0" applyProtection="0"/>
    <xf numFmtId="49" fontId="33" fillId="0" borderId="551" applyNumberFormat="0" applyFill="0" applyBorder="0" applyProtection="0">
      <alignment horizontal="left" vertical="center"/>
    </xf>
    <xf numFmtId="0" fontId="34" fillId="33" borderId="554">
      <alignment horizontal="left" vertical="center" wrapText="1" indent="2"/>
    </xf>
    <xf numFmtId="0" fontId="46" fillId="55" borderId="548" applyNumberFormat="0" applyAlignment="0" applyProtection="0"/>
    <xf numFmtId="0" fontId="34" fillId="0" borderId="554">
      <alignment horizontal="left" vertical="center" wrapText="1" indent="2"/>
    </xf>
    <xf numFmtId="0" fontId="40" fillId="58" borderId="550" applyNumberFormat="0" applyFont="0" applyAlignment="0" applyProtection="0"/>
    <xf numFmtId="0" fontId="5"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4" fontId="34" fillId="32" borderId="551"/>
    <xf numFmtId="0" fontId="32" fillId="33" borderId="551">
      <alignment horizontal="right" vertical="center"/>
    </xf>
    <xf numFmtId="0" fontId="65" fillId="0" borderId="549" applyNumberFormat="0" applyFill="0" applyAlignment="0" applyProtection="0"/>
    <xf numFmtId="4" fontId="32" fillId="33" borderId="553">
      <alignment horizontal="right" vertical="center"/>
    </xf>
    <xf numFmtId="0" fontId="45" fillId="55" borderId="548" applyNumberFormat="0" applyAlignment="0" applyProtection="0"/>
    <xf numFmtId="0" fontId="32" fillId="33" borderId="552">
      <alignment horizontal="right" vertical="center"/>
    </xf>
    <xf numFmtId="0" fontId="46" fillId="55" borderId="548" applyNumberFormat="0" applyAlignment="0" applyProtection="0"/>
    <xf numFmtId="0" fontId="50" fillId="0" borderId="549" applyNumberFormat="0" applyFill="0" applyAlignment="0" applyProtection="0"/>
    <xf numFmtId="0" fontId="40" fillId="58" borderId="550" applyNumberFormat="0" applyFont="0" applyAlignment="0" applyProtection="0"/>
    <xf numFmtId="4" fontId="32" fillId="33" borderId="552">
      <alignment horizontal="right" vertical="center"/>
    </xf>
    <xf numFmtId="0" fontId="34" fillId="33" borderId="554">
      <alignment horizontal="left" vertical="center" wrapText="1" indent="2"/>
    </xf>
    <xf numFmtId="0" fontId="34" fillId="32" borderId="551"/>
    <xf numFmtId="173" fontId="34" fillId="59" borderId="551" applyNumberFormat="0" applyFont="0" applyBorder="0" applyAlignment="0" applyProtection="0">
      <alignment horizontal="right" vertical="center"/>
    </xf>
    <xf numFmtId="0" fontId="34" fillId="0" borderId="551" applyNumberFormat="0" applyFill="0" applyAlignment="0" applyProtection="0"/>
    <xf numFmtId="4" fontId="34" fillId="0" borderId="551" applyFill="0" applyBorder="0" applyProtection="0">
      <alignment horizontal="right" vertical="center"/>
    </xf>
    <xf numFmtId="4" fontId="32" fillId="31" borderId="551">
      <alignment horizontal="right" vertical="center"/>
    </xf>
    <xf numFmtId="0" fontId="50" fillId="0" borderId="549" applyNumberFormat="0" applyFill="0" applyAlignment="0" applyProtection="0"/>
    <xf numFmtId="49" fontId="33" fillId="0" borderId="551" applyNumberFormat="0" applyFill="0" applyBorder="0" applyProtection="0">
      <alignment horizontal="left" vertical="center"/>
    </xf>
    <xf numFmtId="49" fontId="34" fillId="0" borderId="552" applyNumberFormat="0" applyFont="0" applyFill="0" applyBorder="0" applyProtection="0">
      <alignment horizontal="left" vertical="center" indent="5"/>
    </xf>
    <xf numFmtId="0" fontId="34" fillId="31" borderId="552">
      <alignment horizontal="left" vertical="center"/>
    </xf>
    <xf numFmtId="0" fontId="46" fillId="55" borderId="548" applyNumberFormat="0" applyAlignment="0" applyProtection="0"/>
    <xf numFmtId="4" fontId="32" fillId="33" borderId="553">
      <alignment horizontal="right" vertical="center"/>
    </xf>
    <xf numFmtId="0" fontId="58" fillId="42" borderId="548" applyNumberFormat="0" applyAlignment="0" applyProtection="0"/>
    <xf numFmtId="0" fontId="58" fillId="42" borderId="548" applyNumberFormat="0" applyAlignment="0" applyProtection="0"/>
    <xf numFmtId="0" fontId="40" fillId="58" borderId="550" applyNumberFormat="0" applyFont="0" applyAlignment="0" applyProtection="0"/>
    <xf numFmtId="0" fontId="62" fillId="55" borderId="547" applyNumberFormat="0" applyAlignment="0" applyProtection="0"/>
    <xf numFmtId="0" fontId="65" fillId="0" borderId="549" applyNumberFormat="0" applyFill="0" applyAlignment="0" applyProtection="0"/>
    <xf numFmtId="0" fontId="32" fillId="33" borderId="551">
      <alignment horizontal="right" vertical="center"/>
    </xf>
    <xf numFmtId="0" fontId="5" fillId="58" borderId="550" applyNumberFormat="0" applyFont="0" applyAlignment="0" applyProtection="0"/>
    <xf numFmtId="4" fontId="34" fillId="0" borderId="551">
      <alignment horizontal="right" vertical="center"/>
    </xf>
    <xf numFmtId="0" fontId="65" fillId="0" borderId="549" applyNumberFormat="0" applyFill="0" applyAlignment="0" applyProtection="0"/>
    <xf numFmtId="0" fontId="32" fillId="33" borderId="551">
      <alignment horizontal="right" vertical="center"/>
    </xf>
    <xf numFmtId="0" fontId="32" fillId="33" borderId="551">
      <alignment horizontal="right" vertical="center"/>
    </xf>
    <xf numFmtId="4" fontId="36" fillId="31" borderId="551">
      <alignment horizontal="right" vertical="center"/>
    </xf>
    <xf numFmtId="0" fontId="32" fillId="31" borderId="551">
      <alignment horizontal="right" vertical="center"/>
    </xf>
    <xf numFmtId="4" fontId="32" fillId="31" borderId="551">
      <alignment horizontal="right" vertical="center"/>
    </xf>
    <xf numFmtId="0" fontId="36" fillId="31" borderId="551">
      <alignment horizontal="right" vertical="center"/>
    </xf>
    <xf numFmtId="4" fontId="36" fillId="31" borderId="551">
      <alignment horizontal="right" vertical="center"/>
    </xf>
    <xf numFmtId="0" fontId="32" fillId="33" borderId="551">
      <alignment horizontal="right" vertical="center"/>
    </xf>
    <xf numFmtId="4" fontId="32" fillId="33" borderId="551">
      <alignment horizontal="right" vertical="center"/>
    </xf>
    <xf numFmtId="0" fontId="32" fillId="33" borderId="551">
      <alignment horizontal="right" vertical="center"/>
    </xf>
    <xf numFmtId="4" fontId="32" fillId="33" borderId="551">
      <alignment horizontal="right" vertical="center"/>
    </xf>
    <xf numFmtId="0" fontId="32" fillId="33" borderId="552">
      <alignment horizontal="right" vertical="center"/>
    </xf>
    <xf numFmtId="4" fontId="32" fillId="33" borderId="552">
      <alignment horizontal="right" vertical="center"/>
    </xf>
    <xf numFmtId="0" fontId="32" fillId="33" borderId="553">
      <alignment horizontal="right" vertical="center"/>
    </xf>
    <xf numFmtId="4" fontId="32" fillId="33" borderId="553">
      <alignment horizontal="right" vertical="center"/>
    </xf>
    <xf numFmtId="0" fontId="46" fillId="55" borderId="548" applyNumberFormat="0" applyAlignment="0" applyProtection="0"/>
    <xf numFmtId="0" fontId="34" fillId="33" borderId="554">
      <alignment horizontal="left" vertical="center" wrapText="1" indent="2"/>
    </xf>
    <xf numFmtId="0" fontId="34" fillId="0" borderId="554">
      <alignment horizontal="left" vertical="center" wrapText="1" indent="2"/>
    </xf>
    <xf numFmtId="0" fontId="34" fillId="31" borderId="552">
      <alignment horizontal="left" vertical="center"/>
    </xf>
    <xf numFmtId="0" fontId="58" fillId="42" borderId="548" applyNumberFormat="0" applyAlignment="0" applyProtection="0"/>
    <xf numFmtId="0" fontId="34" fillId="0" borderId="551">
      <alignment horizontal="right" vertical="center"/>
    </xf>
    <xf numFmtId="4" fontId="34" fillId="0" borderId="551">
      <alignment horizontal="right" vertical="center"/>
    </xf>
    <xf numFmtId="0" fontId="34" fillId="0" borderId="551" applyNumberFormat="0" applyFill="0" applyAlignment="0" applyProtection="0"/>
    <xf numFmtId="0" fontId="62" fillId="55" borderId="547" applyNumberFormat="0" applyAlignment="0" applyProtection="0"/>
    <xf numFmtId="173" fontId="34" fillId="59" borderId="551" applyNumberFormat="0" applyFont="0" applyBorder="0" applyAlignment="0" applyProtection="0">
      <alignment horizontal="right" vertical="center"/>
    </xf>
    <xf numFmtId="0" fontId="34" fillId="32" borderId="551"/>
    <xf numFmtId="4" fontId="34" fillId="32" borderId="551"/>
    <xf numFmtId="0" fontId="65" fillId="0" borderId="549" applyNumberFormat="0" applyFill="0" applyAlignment="0" applyProtection="0"/>
    <xf numFmtId="0" fontId="5" fillId="58" borderId="550" applyNumberFormat="0" applyFont="0" applyAlignment="0" applyProtection="0"/>
    <xf numFmtId="0" fontId="40" fillId="58" borderId="550" applyNumberFormat="0" applyFont="0" applyAlignment="0" applyProtection="0"/>
    <xf numFmtId="0" fontId="34" fillId="0" borderId="551" applyNumberFormat="0" applyFill="0" applyAlignment="0" applyProtection="0"/>
    <xf numFmtId="0" fontId="50" fillId="0" borderId="549" applyNumberFormat="0" applyFill="0" applyAlignment="0" applyProtection="0"/>
    <xf numFmtId="0" fontId="65" fillId="0" borderId="549" applyNumberFormat="0" applyFill="0" applyAlignment="0" applyProtection="0"/>
    <xf numFmtId="0" fontId="49" fillId="42" borderId="548" applyNumberFormat="0" applyAlignment="0" applyProtection="0"/>
    <xf numFmtId="0" fontId="46" fillId="55" borderId="548" applyNumberFormat="0" applyAlignment="0" applyProtection="0"/>
    <xf numFmtId="4" fontId="36" fillId="31" borderId="551">
      <alignment horizontal="right" vertical="center"/>
    </xf>
    <xf numFmtId="0" fontId="32" fillId="31" borderId="551">
      <alignment horizontal="right" vertical="center"/>
    </xf>
    <xf numFmtId="173" fontId="34" fillId="59" borderId="551" applyNumberFormat="0" applyFont="0" applyBorder="0" applyAlignment="0" applyProtection="0">
      <alignment horizontal="right" vertical="center"/>
    </xf>
    <xf numFmtId="0" fontId="50" fillId="0" borderId="549" applyNumberFormat="0" applyFill="0" applyAlignment="0" applyProtection="0"/>
    <xf numFmtId="49" fontId="34" fillId="0" borderId="551" applyNumberFormat="0" applyFont="0" applyFill="0" applyBorder="0" applyProtection="0">
      <alignment horizontal="left" vertical="center" indent="2"/>
    </xf>
    <xf numFmtId="49" fontId="34" fillId="0" borderId="552" applyNumberFormat="0" applyFont="0" applyFill="0" applyBorder="0" applyProtection="0">
      <alignment horizontal="left" vertical="center" indent="5"/>
    </xf>
    <xf numFmtId="49" fontId="34" fillId="0" borderId="551" applyNumberFormat="0" applyFont="0" applyFill="0" applyBorder="0" applyProtection="0">
      <alignment horizontal="left" vertical="center" indent="2"/>
    </xf>
    <xf numFmtId="4" fontId="34" fillId="0" borderId="551" applyFill="0" applyBorder="0" applyProtection="0">
      <alignment horizontal="right" vertical="center"/>
    </xf>
    <xf numFmtId="49" fontId="33" fillId="0" borderId="551" applyNumberFormat="0" applyFill="0" applyBorder="0" applyProtection="0">
      <alignment horizontal="left" vertical="center"/>
    </xf>
    <xf numFmtId="0" fontId="34" fillId="0" borderId="554">
      <alignment horizontal="left" vertical="center" wrapText="1" indent="2"/>
    </xf>
    <xf numFmtId="0" fontId="62" fillId="55" borderId="547" applyNumberFormat="0" applyAlignment="0" applyProtection="0"/>
    <xf numFmtId="0" fontId="32" fillId="33" borderId="553">
      <alignment horizontal="right" vertical="center"/>
    </xf>
    <xf numFmtId="0" fontId="49" fillId="42" borderId="548" applyNumberFormat="0" applyAlignment="0" applyProtection="0"/>
    <xf numFmtId="0" fontId="32" fillId="33" borderId="553">
      <alignment horizontal="right" vertical="center"/>
    </xf>
    <xf numFmtId="4" fontId="32" fillId="33" borderId="551">
      <alignment horizontal="right" vertical="center"/>
    </xf>
    <xf numFmtId="0" fontId="32" fillId="33" borderId="551">
      <alignment horizontal="right" vertical="center"/>
    </xf>
    <xf numFmtId="0" fontId="43" fillId="55" borderId="547" applyNumberFormat="0" applyAlignment="0" applyProtection="0"/>
    <xf numFmtId="0" fontId="45" fillId="55" borderId="548" applyNumberFormat="0" applyAlignment="0" applyProtection="0"/>
    <xf numFmtId="0" fontId="50" fillId="0" borderId="549" applyNumberFormat="0" applyFill="0" applyAlignment="0" applyProtection="0"/>
    <xf numFmtId="0" fontId="34" fillId="32" borderId="551"/>
    <xf numFmtId="4" fontId="34" fillId="32" borderId="551"/>
    <xf numFmtId="4" fontId="32" fillId="33" borderId="551">
      <alignment horizontal="right" vertical="center"/>
    </xf>
    <xf numFmtId="0" fontId="36" fillId="31" borderId="551">
      <alignment horizontal="right" vertical="center"/>
    </xf>
    <xf numFmtId="0" fontId="49" fillId="42" borderId="548" applyNumberFormat="0" applyAlignment="0" applyProtection="0"/>
    <xf numFmtId="0" fontId="46" fillId="55" borderId="548" applyNumberFormat="0" applyAlignment="0" applyProtection="0"/>
    <xf numFmtId="4" fontId="34" fillId="0" borderId="551">
      <alignment horizontal="right" vertical="center"/>
    </xf>
    <xf numFmtId="0" fontId="34" fillId="33" borderId="554">
      <alignment horizontal="left" vertical="center" wrapText="1" indent="2"/>
    </xf>
    <xf numFmtId="0" fontId="34" fillId="0" borderId="554">
      <alignment horizontal="left" vertical="center" wrapText="1" indent="2"/>
    </xf>
    <xf numFmtId="0" fontId="62" fillId="55" borderId="547" applyNumberFormat="0" applyAlignment="0" applyProtection="0"/>
    <xf numFmtId="0" fontId="58" fillId="42" borderId="548" applyNumberFormat="0" applyAlignment="0" applyProtection="0"/>
    <xf numFmtId="0" fontId="45" fillId="55" borderId="548" applyNumberFormat="0" applyAlignment="0" applyProtection="0"/>
    <xf numFmtId="0" fontId="43" fillId="55" borderId="547" applyNumberFormat="0" applyAlignment="0" applyProtection="0"/>
    <xf numFmtId="0" fontId="32" fillId="33" borderId="553">
      <alignment horizontal="right" vertical="center"/>
    </xf>
    <xf numFmtId="0" fontId="36" fillId="31" borderId="551">
      <alignment horizontal="right" vertical="center"/>
    </xf>
    <xf numFmtId="4" fontId="32" fillId="31" borderId="551">
      <alignment horizontal="right" vertical="center"/>
    </xf>
    <xf numFmtId="4" fontId="32" fillId="33" borderId="551">
      <alignment horizontal="right" vertical="center"/>
    </xf>
    <xf numFmtId="49" fontId="34" fillId="0" borderId="552" applyNumberFormat="0" applyFont="0" applyFill="0" applyBorder="0" applyProtection="0">
      <alignment horizontal="left" vertical="center" indent="5"/>
    </xf>
    <xf numFmtId="4" fontId="34" fillId="0" borderId="551" applyFill="0" applyBorder="0" applyProtection="0">
      <alignment horizontal="right" vertical="center"/>
    </xf>
    <xf numFmtId="4" fontId="32" fillId="31" borderId="551">
      <alignment horizontal="right" vertical="center"/>
    </xf>
    <xf numFmtId="0" fontId="58" fillId="42" borderId="548" applyNumberFormat="0" applyAlignment="0" applyProtection="0"/>
    <xf numFmtId="0" fontId="49" fillId="42" borderId="548" applyNumberFormat="0" applyAlignment="0" applyProtection="0"/>
    <xf numFmtId="0" fontId="45" fillId="55" borderId="548" applyNumberFormat="0" applyAlignment="0" applyProtection="0"/>
    <xf numFmtId="0" fontId="34" fillId="33" borderId="554">
      <alignment horizontal="left" vertical="center" wrapText="1" indent="2"/>
    </xf>
    <xf numFmtId="0" fontId="34" fillId="0" borderId="554">
      <alignment horizontal="left" vertical="center" wrapText="1" indent="2"/>
    </xf>
    <xf numFmtId="0" fontId="34" fillId="33" borderId="554">
      <alignment horizontal="left" vertical="center" wrapText="1" indent="2"/>
    </xf>
    <xf numFmtId="0" fontId="1" fillId="0" borderId="0" applyNumberFormat="0" applyFill="0" applyBorder="0" applyAlignment="0" applyProtection="0"/>
    <xf numFmtId="4" fontId="32" fillId="33" borderId="558">
      <alignment horizontal="right" vertical="center"/>
    </xf>
    <xf numFmtId="0" fontId="34" fillId="32" borderId="558"/>
    <xf numFmtId="0" fontId="43" fillId="55" borderId="562" applyNumberFormat="0" applyAlignment="0" applyProtection="0"/>
    <xf numFmtId="0" fontId="58" fillId="42" borderId="555" applyNumberFormat="0" applyAlignment="0" applyProtection="0"/>
    <xf numFmtId="0" fontId="34" fillId="0" borderId="558" applyNumberFormat="0" applyFill="0" applyAlignment="0" applyProtection="0"/>
    <xf numFmtId="4" fontId="34" fillId="32" borderId="558"/>
    <xf numFmtId="0" fontId="58" fillId="42" borderId="555" applyNumberFormat="0" applyAlignment="0" applyProtection="0"/>
    <xf numFmtId="0" fontId="46" fillId="55" borderId="555" applyNumberFormat="0" applyAlignment="0" applyProtection="0"/>
    <xf numFmtId="0" fontId="65" fillId="0" borderId="556" applyNumberFormat="0" applyFill="0" applyAlignment="0" applyProtection="0"/>
    <xf numFmtId="0" fontId="58" fillId="42" borderId="555" applyNumberFormat="0" applyAlignment="0" applyProtection="0"/>
    <xf numFmtId="4" fontId="32" fillId="33" borderId="560">
      <alignment horizontal="right" vertical="center"/>
    </xf>
    <xf numFmtId="0" fontId="26" fillId="16" borderId="0" applyNumberFormat="0" applyBorder="0" applyAlignment="0" applyProtection="0"/>
    <xf numFmtId="0" fontId="29" fillId="12" borderId="10" applyNumberFormat="0" applyAlignment="0" applyProtection="0"/>
    <xf numFmtId="0" fontId="32" fillId="31" borderId="558">
      <alignment horizontal="right" vertical="center"/>
    </xf>
    <xf numFmtId="0" fontId="50" fillId="0" borderId="556" applyNumberFormat="0" applyFill="0" applyAlignment="0" applyProtection="0"/>
    <xf numFmtId="4" fontId="32" fillId="33" borderId="559">
      <alignment horizontal="right" vertical="center"/>
    </xf>
    <xf numFmtId="0" fontId="32" fillId="33" borderId="560">
      <alignment horizontal="right" vertical="center"/>
    </xf>
    <xf numFmtId="0" fontId="49" fillId="42" borderId="555" applyNumberFormat="0" applyAlignment="0" applyProtection="0"/>
    <xf numFmtId="4" fontId="32" fillId="33" borderId="558">
      <alignment horizontal="right" vertical="center"/>
    </xf>
    <xf numFmtId="0" fontId="5" fillId="58" borderId="557" applyNumberFormat="0" applyFont="0" applyAlignment="0" applyProtection="0"/>
    <xf numFmtId="49" fontId="34" fillId="0" borderId="558" applyNumberFormat="0" applyFont="0" applyFill="0" applyBorder="0" applyProtection="0">
      <alignment horizontal="left" vertical="center" indent="2"/>
    </xf>
    <xf numFmtId="0" fontId="50" fillId="0" borderId="556" applyNumberFormat="0" applyFill="0" applyAlignment="0" applyProtection="0"/>
    <xf numFmtId="173" fontId="34" fillId="59" borderId="558" applyNumberFormat="0" applyFont="0" applyBorder="0" applyAlignment="0" applyProtection="0">
      <alignment horizontal="right" vertical="center"/>
    </xf>
    <xf numFmtId="49" fontId="33" fillId="0" borderId="558" applyNumberFormat="0" applyFill="0" applyBorder="0" applyProtection="0">
      <alignment horizontal="left" vertical="center"/>
    </xf>
    <xf numFmtId="0" fontId="34" fillId="0" borderId="561">
      <alignment horizontal="left" vertical="center" wrapText="1" indent="2"/>
    </xf>
    <xf numFmtId="0" fontId="34" fillId="0" borderId="558" applyNumberFormat="0" applyFill="0" applyAlignment="0" applyProtection="0"/>
    <xf numFmtId="0" fontId="12" fillId="27" borderId="0" applyNumberFormat="0" applyBorder="0" applyAlignment="0" applyProtection="0"/>
    <xf numFmtId="0" fontId="49" fillId="42" borderId="555" applyNumberFormat="0" applyAlignment="0" applyProtection="0"/>
    <xf numFmtId="0" fontId="12" fillId="15" borderId="0" applyNumberFormat="0" applyBorder="0" applyAlignment="0" applyProtection="0"/>
    <xf numFmtId="0" fontId="34" fillId="33" borderId="561">
      <alignment horizontal="left" vertical="center" wrapText="1" indent="2"/>
    </xf>
    <xf numFmtId="0" fontId="62" fillId="55" borderId="562" applyNumberFormat="0" applyAlignment="0" applyProtection="0"/>
    <xf numFmtId="0" fontId="34" fillId="32" borderId="558"/>
    <xf numFmtId="0" fontId="26" fillId="17" borderId="0" applyNumberFormat="0" applyBorder="0" applyAlignment="0" applyProtection="0"/>
    <xf numFmtId="0" fontId="40" fillId="58" borderId="557" applyNumberFormat="0" applyFont="0" applyAlignment="0" applyProtection="0"/>
    <xf numFmtId="0" fontId="49" fillId="42" borderId="555" applyNumberFormat="0" applyAlignment="0" applyProtection="0"/>
    <xf numFmtId="0" fontId="65" fillId="0" borderId="556" applyNumberFormat="0" applyFill="0" applyAlignment="0" applyProtection="0"/>
    <xf numFmtId="0" fontId="46" fillId="55" borderId="555" applyNumberFormat="0" applyAlignment="0" applyProtection="0"/>
    <xf numFmtId="0" fontId="26" fillId="17" borderId="0" applyNumberFormat="0" applyBorder="0" applyAlignment="0" applyProtection="0"/>
    <xf numFmtId="173" fontId="34" fillId="59" borderId="558" applyNumberFormat="0" applyFont="0" applyBorder="0" applyAlignment="0" applyProtection="0">
      <alignment horizontal="right" vertical="center"/>
    </xf>
    <xf numFmtId="0" fontId="34" fillId="0" borderId="561">
      <alignment horizontal="left" vertical="center" wrapText="1" indent="2"/>
    </xf>
    <xf numFmtId="0" fontId="49" fillId="42" borderId="555" applyNumberFormat="0" applyAlignment="0" applyProtection="0"/>
    <xf numFmtId="0" fontId="5" fillId="58" borderId="557" applyNumberFormat="0" applyFont="0" applyAlignment="0" applyProtection="0"/>
    <xf numFmtId="0" fontId="40" fillId="58" borderId="557" applyNumberFormat="0" applyFont="0" applyAlignment="0" applyProtection="0"/>
    <xf numFmtId="0" fontId="45" fillId="55" borderId="555" applyNumberFormat="0" applyAlignment="0" applyProtection="0"/>
    <xf numFmtId="0" fontId="32" fillId="31" borderId="558">
      <alignment horizontal="right" vertical="center"/>
    </xf>
    <xf numFmtId="0" fontId="58" fillId="42" borderId="555" applyNumberFormat="0" applyAlignment="0" applyProtection="0"/>
    <xf numFmtId="0" fontId="12" fillId="30" borderId="0" applyNumberFormat="0" applyBorder="0" applyAlignment="0" applyProtection="0"/>
    <xf numFmtId="0" fontId="32" fillId="33" borderId="558">
      <alignment horizontal="right" vertical="center"/>
    </xf>
    <xf numFmtId="0" fontId="46" fillId="55" borderId="555" applyNumberFormat="0" applyAlignment="0" applyProtection="0"/>
    <xf numFmtId="0" fontId="34" fillId="0" borderId="558">
      <alignment horizontal="right" vertical="center"/>
    </xf>
    <xf numFmtId="0" fontId="32" fillId="31" borderId="558">
      <alignment horizontal="right" vertical="center"/>
    </xf>
    <xf numFmtId="0" fontId="65" fillId="0" borderId="556" applyNumberFormat="0" applyFill="0" applyAlignment="0" applyProtection="0"/>
    <xf numFmtId="0" fontId="30" fillId="0" borderId="0" applyNumberFormat="0" applyFill="0" applyBorder="0" applyAlignment="0" applyProtection="0"/>
    <xf numFmtId="0" fontId="45" fillId="55" borderId="555" applyNumberFormat="0" applyAlignment="0" applyProtection="0"/>
    <xf numFmtId="0" fontId="46" fillId="55" borderId="555" applyNumberFormat="0" applyAlignment="0" applyProtection="0"/>
    <xf numFmtId="0" fontId="26" fillId="26" borderId="0" applyNumberFormat="0" applyBorder="0" applyAlignment="0" applyProtection="0"/>
    <xf numFmtId="0" fontId="26" fillId="22" borderId="0" applyNumberFormat="0" applyBorder="0" applyAlignment="0" applyProtection="0"/>
    <xf numFmtId="0" fontId="12" fillId="18" borderId="0" applyNumberFormat="0" applyBorder="0" applyAlignment="0" applyProtection="0"/>
    <xf numFmtId="0" fontId="58" fillId="42" borderId="555" applyNumberFormat="0" applyAlignment="0" applyProtection="0"/>
    <xf numFmtId="0" fontId="49" fillId="42" borderId="555" applyNumberFormat="0" applyAlignment="0" applyProtection="0"/>
    <xf numFmtId="0" fontId="26" fillId="25" borderId="0" applyNumberFormat="0" applyBorder="0" applyAlignment="0" applyProtection="0"/>
    <xf numFmtId="4" fontId="32" fillId="33" borderId="559">
      <alignment horizontal="right" vertical="center"/>
    </xf>
    <xf numFmtId="4" fontId="32" fillId="31" borderId="558">
      <alignment horizontal="right" vertical="center"/>
    </xf>
    <xf numFmtId="0" fontId="12" fillId="24" borderId="0" applyNumberFormat="0" applyBorder="0" applyAlignment="0" applyProtection="0"/>
    <xf numFmtId="0" fontId="65" fillId="0" borderId="556" applyNumberFormat="0" applyFill="0" applyAlignment="0" applyProtection="0"/>
    <xf numFmtId="0" fontId="34" fillId="0" borderId="558" applyNumberFormat="0" applyFill="0" applyAlignment="0" applyProtection="0"/>
    <xf numFmtId="0" fontId="34" fillId="31" borderId="559">
      <alignment horizontal="left" vertical="center"/>
    </xf>
    <xf numFmtId="0" fontId="45" fillId="55" borderId="555" applyNumberFormat="0" applyAlignment="0" applyProtection="0"/>
    <xf numFmtId="0" fontId="26" fillId="13" borderId="0" applyNumberFormat="0" applyBorder="0" applyAlignment="0" applyProtection="0"/>
    <xf numFmtId="49" fontId="34" fillId="0" borderId="558" applyNumberFormat="0" applyFont="0" applyFill="0" applyBorder="0" applyProtection="0">
      <alignment horizontal="left" vertical="center" indent="2"/>
    </xf>
    <xf numFmtId="0" fontId="12" fillId="18" borderId="0" applyNumberFormat="0" applyBorder="0" applyAlignment="0" applyProtection="0"/>
    <xf numFmtId="0" fontId="32" fillId="33" borderId="560">
      <alignment horizontal="right" vertical="center"/>
    </xf>
    <xf numFmtId="0" fontId="32" fillId="33" borderId="560">
      <alignment horizontal="right" vertical="center"/>
    </xf>
    <xf numFmtId="0" fontId="26" fillId="14" borderId="0" applyNumberFormat="0" applyBorder="0" applyAlignment="0" applyProtection="0"/>
    <xf numFmtId="0" fontId="40" fillId="58" borderId="557" applyNumberFormat="0" applyFont="0" applyAlignment="0" applyProtection="0"/>
    <xf numFmtId="0" fontId="65" fillId="0" borderId="556" applyNumberFormat="0" applyFill="0" applyAlignment="0" applyProtection="0"/>
    <xf numFmtId="0" fontId="26" fillId="29" borderId="0" applyNumberFormat="0" applyBorder="0" applyAlignment="0" applyProtection="0"/>
    <xf numFmtId="0" fontId="26" fillId="25" borderId="0" applyNumberFormat="0" applyBorder="0" applyAlignment="0" applyProtection="0"/>
    <xf numFmtId="4" fontId="34" fillId="0" borderId="558">
      <alignment horizontal="right" vertical="center"/>
    </xf>
    <xf numFmtId="0" fontId="26" fillId="25" borderId="0" applyNumberFormat="0" applyBorder="0" applyAlignment="0" applyProtection="0"/>
    <xf numFmtId="0" fontId="65" fillId="0" borderId="556" applyNumberFormat="0" applyFill="0" applyAlignment="0" applyProtection="0"/>
    <xf numFmtId="0" fontId="46" fillId="55" borderId="555" applyNumberFormat="0" applyAlignment="0" applyProtection="0"/>
    <xf numFmtId="4" fontId="34" fillId="32" borderId="558"/>
    <xf numFmtId="0" fontId="50" fillId="0" borderId="556" applyNumberFormat="0" applyFill="0" applyAlignment="0" applyProtection="0"/>
    <xf numFmtId="0" fontId="43" fillId="55" borderId="562" applyNumberFormat="0" applyAlignment="0" applyProtection="0"/>
    <xf numFmtId="4" fontId="36" fillId="31" borderId="558">
      <alignment horizontal="right" vertical="center"/>
    </xf>
    <xf numFmtId="0" fontId="26" fillId="25" borderId="0" applyNumberFormat="0" applyBorder="0" applyAlignment="0" applyProtection="0"/>
    <xf numFmtId="0" fontId="32" fillId="31" borderId="558">
      <alignment horizontal="right" vertical="center"/>
    </xf>
    <xf numFmtId="0" fontId="46" fillId="55" borderId="555" applyNumberFormat="0" applyAlignment="0" applyProtection="0"/>
    <xf numFmtId="0" fontId="50" fillId="0" borderId="556" applyNumberFormat="0" applyFill="0" applyAlignment="0" applyProtection="0"/>
    <xf numFmtId="0" fontId="26" fillId="23" borderId="0" applyNumberFormat="0" applyBorder="0" applyAlignment="0" applyProtection="0"/>
    <xf numFmtId="0" fontId="12" fillId="21" borderId="0" applyNumberFormat="0" applyBorder="0" applyAlignment="0" applyProtection="0"/>
    <xf numFmtId="0" fontId="49" fillId="42" borderId="555" applyNumberFormat="0" applyAlignment="0" applyProtection="0"/>
    <xf numFmtId="0" fontId="26" fillId="28" borderId="0" applyNumberFormat="0" applyBorder="0" applyAlignment="0" applyProtection="0"/>
    <xf numFmtId="173" fontId="34" fillId="59" borderId="558" applyNumberFormat="0" applyFont="0" applyBorder="0" applyAlignment="0" applyProtection="0">
      <alignment horizontal="right" vertical="center"/>
    </xf>
    <xf numFmtId="0" fontId="12" fillId="30" borderId="0" applyNumberFormat="0" applyBorder="0" applyAlignment="0" applyProtection="0"/>
    <xf numFmtId="0" fontId="34" fillId="0" borderId="558" applyNumberFormat="0" applyFill="0" applyAlignment="0" applyProtection="0"/>
    <xf numFmtId="173" fontId="34" fillId="59" borderId="558" applyNumberFormat="0" applyFont="0" applyBorder="0" applyAlignment="0" applyProtection="0">
      <alignment horizontal="right" vertical="center"/>
    </xf>
    <xf numFmtId="0" fontId="32" fillId="33" borderId="558">
      <alignment horizontal="right" vertical="center"/>
    </xf>
    <xf numFmtId="4" fontId="34" fillId="0" borderId="558" applyFill="0" applyBorder="0" applyProtection="0">
      <alignment horizontal="right" vertical="center"/>
    </xf>
    <xf numFmtId="49" fontId="33" fillId="0" borderId="558" applyNumberFormat="0" applyFill="0" applyBorder="0" applyProtection="0">
      <alignment horizontal="left" vertical="center"/>
    </xf>
    <xf numFmtId="0" fontId="2" fillId="0" borderId="12" applyNumberFormat="0" applyFill="0" applyAlignment="0" applyProtection="0"/>
    <xf numFmtId="0" fontId="32" fillId="33" borderId="560">
      <alignment horizontal="right" vertical="center"/>
    </xf>
    <xf numFmtId="4" fontId="34" fillId="0" borderId="558" applyFill="0" applyBorder="0" applyProtection="0">
      <alignment horizontal="right" vertical="center"/>
    </xf>
    <xf numFmtId="0" fontId="5" fillId="58" borderId="557" applyNumberFormat="0" applyFont="0" applyAlignment="0" applyProtection="0"/>
    <xf numFmtId="0" fontId="26" fillId="28" borderId="0" applyNumberFormat="0" applyBorder="0" applyAlignment="0" applyProtection="0"/>
    <xf numFmtId="49" fontId="33" fillId="0" borderId="558" applyNumberFormat="0" applyFill="0" applyBorder="0" applyProtection="0">
      <alignment horizontal="left" vertical="center"/>
    </xf>
    <xf numFmtId="0" fontId="34" fillId="0" borderId="558">
      <alignment horizontal="right" vertical="center"/>
    </xf>
    <xf numFmtId="49" fontId="34" fillId="0" borderId="558" applyNumberFormat="0" applyFont="0" applyFill="0" applyBorder="0" applyProtection="0">
      <alignment horizontal="left" vertical="center" indent="2"/>
    </xf>
    <xf numFmtId="0" fontId="26" fillId="16" borderId="0" applyNumberFormat="0" applyBorder="0" applyAlignment="0" applyProtection="0"/>
    <xf numFmtId="0" fontId="34" fillId="33" borderId="561">
      <alignment horizontal="left" vertical="center" wrapText="1" indent="2"/>
    </xf>
    <xf numFmtId="0" fontId="12" fillId="18" borderId="0" applyNumberFormat="0" applyBorder="0" applyAlignment="0" applyProtection="0"/>
    <xf numFmtId="0" fontId="12" fillId="30" borderId="0" applyNumberFormat="0" applyBorder="0" applyAlignment="0" applyProtection="0"/>
    <xf numFmtId="0" fontId="32" fillId="33" borderId="558">
      <alignment horizontal="right" vertical="center"/>
    </xf>
    <xf numFmtId="4" fontId="34" fillId="0" borderId="558">
      <alignment horizontal="right" vertical="center"/>
    </xf>
    <xf numFmtId="0" fontId="30" fillId="0" borderId="0" applyNumberFormat="0" applyFill="0" applyBorder="0" applyAlignment="0" applyProtection="0"/>
    <xf numFmtId="0" fontId="36" fillId="31" borderId="558">
      <alignment horizontal="right" vertical="center"/>
    </xf>
    <xf numFmtId="0" fontId="1" fillId="0" borderId="0" applyNumberFormat="0" applyFill="0" applyBorder="0" applyAlignment="0" applyProtection="0"/>
    <xf numFmtId="0" fontId="46" fillId="55" borderId="555" applyNumberFormat="0" applyAlignment="0" applyProtection="0"/>
    <xf numFmtId="0" fontId="26" fillId="17" borderId="0" applyNumberFormat="0" applyBorder="0" applyAlignment="0" applyProtection="0"/>
    <xf numFmtId="0" fontId="30" fillId="0" borderId="0" applyNumberFormat="0" applyFill="0" applyBorder="0" applyAlignment="0" applyProtection="0"/>
    <xf numFmtId="0" fontId="58" fillId="42" borderId="555" applyNumberFormat="0" applyAlignment="0" applyProtection="0"/>
    <xf numFmtId="0" fontId="26" fillId="19" borderId="0" applyNumberFormat="0" applyBorder="0" applyAlignment="0" applyProtection="0"/>
    <xf numFmtId="4" fontId="36" fillId="31" borderId="558">
      <alignment horizontal="right" vertical="center"/>
    </xf>
    <xf numFmtId="0" fontId="58" fillId="42" borderId="555" applyNumberFormat="0" applyAlignment="0" applyProtection="0"/>
    <xf numFmtId="4" fontId="32" fillId="31" borderId="558">
      <alignment horizontal="right" vertical="center"/>
    </xf>
    <xf numFmtId="0" fontId="62" fillId="55" borderId="562" applyNumberFormat="0" applyAlignment="0" applyProtection="0"/>
    <xf numFmtId="0" fontId="32" fillId="31" borderId="558">
      <alignment horizontal="right" vertical="center"/>
    </xf>
    <xf numFmtId="0" fontId="32" fillId="33" borderId="558">
      <alignment horizontal="right" vertical="center"/>
    </xf>
    <xf numFmtId="0" fontId="12" fillId="27" borderId="0" applyNumberFormat="0" applyBorder="0" applyAlignment="0" applyProtection="0"/>
    <xf numFmtId="0" fontId="46" fillId="55" borderId="555" applyNumberFormat="0" applyAlignment="0" applyProtection="0"/>
    <xf numFmtId="4" fontId="32" fillId="33" borderId="558">
      <alignment horizontal="right" vertical="center"/>
    </xf>
    <xf numFmtId="0" fontId="12" fillId="24" borderId="0" applyNumberFormat="0" applyBorder="0" applyAlignment="0" applyProtection="0"/>
    <xf numFmtId="0" fontId="26" fillId="26" borderId="0" applyNumberFormat="0" applyBorder="0" applyAlignment="0" applyProtection="0"/>
    <xf numFmtId="0" fontId="32" fillId="33" borderId="559">
      <alignment horizontal="right" vertical="center"/>
    </xf>
    <xf numFmtId="0" fontId="45" fillId="55" borderId="555" applyNumberFormat="0" applyAlignment="0" applyProtection="0"/>
    <xf numFmtId="0" fontId="26" fillId="14" borderId="0" applyNumberFormat="0" applyBorder="0" applyAlignment="0" applyProtection="0"/>
    <xf numFmtId="4" fontId="32" fillId="31" borderId="558">
      <alignment horizontal="right" vertical="center"/>
    </xf>
    <xf numFmtId="0" fontId="34" fillId="31" borderId="559">
      <alignment horizontal="left" vertical="center"/>
    </xf>
    <xf numFmtId="4" fontId="36" fillId="31" borderId="558">
      <alignment horizontal="right" vertical="center"/>
    </xf>
    <xf numFmtId="0" fontId="45" fillId="55" borderId="555" applyNumberFormat="0" applyAlignment="0" applyProtection="0"/>
    <xf numFmtId="4" fontId="32" fillId="33" borderId="559">
      <alignment horizontal="right" vertical="center"/>
    </xf>
    <xf numFmtId="0" fontId="12" fillId="27" borderId="0" applyNumberFormat="0" applyBorder="0" applyAlignment="0" applyProtection="0"/>
    <xf numFmtId="0" fontId="26" fillId="22" borderId="0" applyNumberFormat="0" applyBorder="0" applyAlignment="0" applyProtection="0"/>
    <xf numFmtId="0" fontId="28" fillId="12" borderId="11" applyNumberFormat="0" applyAlignment="0" applyProtection="0"/>
    <xf numFmtId="0" fontId="50" fillId="0" borderId="556" applyNumberFormat="0" applyFill="0" applyAlignment="0" applyProtection="0"/>
    <xf numFmtId="0" fontId="32" fillId="33" borderId="558">
      <alignment horizontal="right" vertical="center"/>
    </xf>
    <xf numFmtId="4" fontId="32" fillId="33" borderId="558">
      <alignment horizontal="right" vertical="center"/>
    </xf>
    <xf numFmtId="0" fontId="12" fillId="18" borderId="0" applyNumberFormat="0" applyBorder="0" applyAlignment="0" applyProtection="0"/>
    <xf numFmtId="4" fontId="34" fillId="32" borderId="558"/>
    <xf numFmtId="49" fontId="34" fillId="0" borderId="558" applyNumberFormat="0" applyFont="0" applyFill="0" applyBorder="0" applyProtection="0">
      <alignment horizontal="left" vertical="center" indent="2"/>
    </xf>
    <xf numFmtId="173" fontId="34" fillId="59" borderId="558" applyNumberFormat="0" applyFont="0" applyBorder="0" applyAlignment="0" applyProtection="0">
      <alignment horizontal="right" vertical="center"/>
    </xf>
    <xf numFmtId="0" fontId="58" fillId="42" borderId="555" applyNumberFormat="0" applyAlignment="0" applyProtection="0"/>
    <xf numFmtId="0" fontId="32" fillId="33" borderId="558">
      <alignment horizontal="right" vertical="center"/>
    </xf>
    <xf numFmtId="0" fontId="12" fillId="15" borderId="0" applyNumberFormat="0" applyBorder="0" applyAlignment="0" applyProtection="0"/>
    <xf numFmtId="0" fontId="36" fillId="31" borderId="558">
      <alignment horizontal="right" vertical="center"/>
    </xf>
    <xf numFmtId="0" fontId="5" fillId="58" borderId="557" applyNumberFormat="0" applyFont="0" applyAlignment="0" applyProtection="0"/>
    <xf numFmtId="0" fontId="26" fillId="19" borderId="0" applyNumberFormat="0" applyBorder="0" applyAlignment="0" applyProtection="0"/>
    <xf numFmtId="0" fontId="26" fillId="19" borderId="0" applyNumberFormat="0" applyBorder="0" applyAlignment="0" applyProtection="0"/>
    <xf numFmtId="0" fontId="28" fillId="12" borderId="11" applyNumberFormat="0" applyAlignment="0" applyProtection="0"/>
    <xf numFmtId="0" fontId="65" fillId="0" borderId="556" applyNumberFormat="0" applyFill="0" applyAlignment="0" applyProtection="0"/>
    <xf numFmtId="4" fontId="34" fillId="0" borderId="558" applyFill="0" applyBorder="0" applyProtection="0">
      <alignment horizontal="right" vertical="center"/>
    </xf>
    <xf numFmtId="0" fontId="26" fillId="14" borderId="0" applyNumberFormat="0" applyBorder="0" applyAlignment="0" applyProtection="0"/>
    <xf numFmtId="0" fontId="26" fillId="13" borderId="0" applyNumberFormat="0" applyBorder="0" applyAlignment="0" applyProtection="0"/>
    <xf numFmtId="4" fontId="34" fillId="0" borderId="558">
      <alignment horizontal="right" vertical="center"/>
    </xf>
    <xf numFmtId="0" fontId="34" fillId="32" borderId="558"/>
    <xf numFmtId="0" fontId="45" fillId="55" borderId="555" applyNumberFormat="0" applyAlignment="0" applyProtection="0"/>
    <xf numFmtId="0" fontId="32" fillId="33" borderId="558">
      <alignment horizontal="right" vertical="center"/>
    </xf>
    <xf numFmtId="0" fontId="46" fillId="55" borderId="555" applyNumberFormat="0" applyAlignment="0" applyProtection="0"/>
    <xf numFmtId="0" fontId="32" fillId="33" borderId="558">
      <alignment horizontal="right" vertical="center"/>
    </xf>
    <xf numFmtId="0" fontId="58" fillId="42" borderId="555" applyNumberFormat="0" applyAlignment="0" applyProtection="0"/>
    <xf numFmtId="0" fontId="34" fillId="32" borderId="558"/>
    <xf numFmtId="0" fontId="32" fillId="33" borderId="560">
      <alignment horizontal="right" vertical="center"/>
    </xf>
    <xf numFmtId="49" fontId="33" fillId="0" borderId="558" applyNumberFormat="0" applyFill="0" applyBorder="0" applyProtection="0">
      <alignment horizontal="left" vertical="center"/>
    </xf>
    <xf numFmtId="0" fontId="62" fillId="55" borderId="562" applyNumberFormat="0" applyAlignment="0" applyProtection="0"/>
    <xf numFmtId="0" fontId="34" fillId="0" borderId="558">
      <alignment horizontal="right" vertical="center"/>
    </xf>
    <xf numFmtId="0" fontId="65" fillId="0" borderId="556" applyNumberFormat="0" applyFill="0" applyAlignment="0" applyProtection="0"/>
    <xf numFmtId="4" fontId="32" fillId="31" borderId="558">
      <alignment horizontal="right" vertical="center"/>
    </xf>
    <xf numFmtId="0" fontId="40" fillId="58" borderId="557" applyNumberFormat="0" applyFont="0" applyAlignment="0" applyProtection="0"/>
    <xf numFmtId="0" fontId="49" fillId="42" borderId="555" applyNumberFormat="0" applyAlignment="0" applyProtection="0"/>
    <xf numFmtId="4" fontId="32" fillId="31" borderId="558">
      <alignment horizontal="right" vertical="center"/>
    </xf>
    <xf numFmtId="0" fontId="40" fillId="58" borderId="557" applyNumberFormat="0" applyFont="0" applyAlignment="0" applyProtection="0"/>
    <xf numFmtId="0" fontId="32" fillId="33" borderId="560">
      <alignment horizontal="right" vertical="center"/>
    </xf>
    <xf numFmtId="4" fontId="36" fillId="31" borderId="558">
      <alignment horizontal="right" vertical="center"/>
    </xf>
    <xf numFmtId="0" fontId="62" fillId="55" borderId="562" applyNumberFormat="0" applyAlignment="0" applyProtection="0"/>
    <xf numFmtId="0" fontId="34" fillId="32" borderId="558"/>
    <xf numFmtId="4" fontId="34" fillId="32" borderId="558"/>
    <xf numFmtId="0" fontId="65" fillId="0" borderId="556" applyNumberFormat="0" applyFill="0" applyAlignment="0" applyProtection="0"/>
    <xf numFmtId="4" fontId="32" fillId="33" borderId="559">
      <alignment horizontal="right" vertical="center"/>
    </xf>
    <xf numFmtId="0" fontId="43" fillId="55" borderId="562" applyNumberFormat="0" applyAlignment="0" applyProtection="0"/>
    <xf numFmtId="0" fontId="49" fillId="42" borderId="555" applyNumberFormat="0" applyAlignment="0" applyProtection="0"/>
    <xf numFmtId="0" fontId="12" fillId="15" borderId="0" applyNumberFormat="0" applyBorder="0" applyAlignment="0" applyProtection="0"/>
    <xf numFmtId="0" fontId="46" fillId="55" borderId="555" applyNumberFormat="0" applyAlignment="0" applyProtection="0"/>
    <xf numFmtId="4" fontId="32" fillId="31" borderId="558">
      <alignment horizontal="right" vertical="center"/>
    </xf>
    <xf numFmtId="49" fontId="34" fillId="0" borderId="559" applyNumberFormat="0" applyFont="0" applyFill="0" applyBorder="0" applyProtection="0">
      <alignment horizontal="left" vertical="center" indent="5"/>
    </xf>
    <xf numFmtId="0" fontId="12" fillId="21" borderId="0" applyNumberFormat="0" applyBorder="0" applyAlignment="0" applyProtection="0"/>
    <xf numFmtId="0" fontId="43" fillId="55" borderId="562" applyNumberFormat="0" applyAlignment="0" applyProtection="0"/>
    <xf numFmtId="4" fontId="34" fillId="32" borderId="558"/>
    <xf numFmtId="0" fontId="34" fillId="0" borderId="561">
      <alignment horizontal="left" vertical="center" wrapText="1" indent="2"/>
    </xf>
    <xf numFmtId="0" fontId="26" fillId="20" borderId="0" applyNumberFormat="0" applyBorder="0" applyAlignment="0" applyProtection="0"/>
    <xf numFmtId="0" fontId="12" fillId="21" borderId="0" applyNumberFormat="0" applyBorder="0" applyAlignment="0" applyProtection="0"/>
    <xf numFmtId="0" fontId="12" fillId="24" borderId="0" applyNumberFormat="0" applyBorder="0" applyAlignment="0" applyProtection="0"/>
    <xf numFmtId="4" fontId="36" fillId="31" borderId="558">
      <alignment horizontal="right" vertical="center"/>
    </xf>
    <xf numFmtId="0" fontId="65" fillId="0" borderId="556" applyNumberFormat="0" applyFill="0" applyAlignment="0" applyProtection="0"/>
    <xf numFmtId="0" fontId="26" fillId="22" borderId="0" applyNumberFormat="0" applyBorder="0" applyAlignment="0" applyProtection="0"/>
    <xf numFmtId="0" fontId="49" fillId="42" borderId="555" applyNumberFormat="0" applyAlignment="0" applyProtection="0"/>
    <xf numFmtId="4" fontId="32" fillId="33" borderId="558">
      <alignment horizontal="right" vertical="center"/>
    </xf>
    <xf numFmtId="0" fontId="40" fillId="58" borderId="557" applyNumberFormat="0" applyFont="0" applyAlignment="0" applyProtection="0"/>
    <xf numFmtId="0" fontId="36" fillId="31" borderId="558">
      <alignment horizontal="right" vertical="center"/>
    </xf>
    <xf numFmtId="0" fontId="62" fillId="55" borderId="562" applyNumberFormat="0" applyAlignment="0" applyProtection="0"/>
    <xf numFmtId="0" fontId="34" fillId="33" borderId="561">
      <alignment horizontal="left" vertical="center" wrapText="1" indent="2"/>
    </xf>
    <xf numFmtId="0" fontId="2" fillId="0" borderId="12" applyNumberFormat="0" applyFill="0" applyAlignment="0" applyProtection="0"/>
    <xf numFmtId="0" fontId="32" fillId="33" borderId="558">
      <alignment horizontal="right" vertical="center"/>
    </xf>
    <xf numFmtId="0" fontId="65" fillId="0" borderId="556" applyNumberFormat="0" applyFill="0" applyAlignment="0" applyProtection="0"/>
    <xf numFmtId="0" fontId="26" fillId="29" borderId="0" applyNumberFormat="0" applyBorder="0" applyAlignment="0" applyProtection="0"/>
    <xf numFmtId="0" fontId="12" fillId="21" borderId="0" applyNumberFormat="0" applyBorder="0" applyAlignment="0" applyProtection="0"/>
    <xf numFmtId="0" fontId="65" fillId="0" borderId="556" applyNumberFormat="0" applyFill="0" applyAlignment="0" applyProtection="0"/>
    <xf numFmtId="0" fontId="26" fillId="28" borderId="0" applyNumberFormat="0" applyBorder="0" applyAlignment="0" applyProtection="0"/>
    <xf numFmtId="4" fontId="36" fillId="31" borderId="558">
      <alignment horizontal="right" vertical="center"/>
    </xf>
    <xf numFmtId="49" fontId="33" fillId="0" borderId="558" applyNumberFormat="0" applyFill="0" applyBorder="0" applyProtection="0">
      <alignment horizontal="left" vertical="center"/>
    </xf>
    <xf numFmtId="4" fontId="34" fillId="32" borderId="558"/>
    <xf numFmtId="0" fontId="45" fillId="55" borderId="555" applyNumberFormat="0" applyAlignment="0" applyProtection="0"/>
    <xf numFmtId="0" fontId="32" fillId="33" borderId="558">
      <alignment horizontal="right" vertical="center"/>
    </xf>
    <xf numFmtId="0" fontId="34" fillId="0" borderId="558">
      <alignment horizontal="right" vertical="center"/>
    </xf>
    <xf numFmtId="4" fontId="36" fillId="31" borderId="558">
      <alignment horizontal="right" vertical="center"/>
    </xf>
    <xf numFmtId="0" fontId="34" fillId="33" borderId="561">
      <alignment horizontal="left" vertical="center" wrapText="1" indent="2"/>
    </xf>
    <xf numFmtId="0" fontId="45" fillId="55" borderId="555" applyNumberFormat="0" applyAlignment="0" applyProtection="0"/>
    <xf numFmtId="0" fontId="50" fillId="0" borderId="556" applyNumberFormat="0" applyFill="0" applyAlignment="0" applyProtection="0"/>
    <xf numFmtId="0" fontId="26" fillId="23" borderId="0" applyNumberFormat="0" applyBorder="0" applyAlignment="0" applyProtection="0"/>
    <xf numFmtId="49" fontId="34" fillId="0" borderId="558" applyNumberFormat="0" applyFont="0" applyFill="0" applyBorder="0" applyProtection="0">
      <alignment horizontal="left" vertical="center" indent="2"/>
    </xf>
    <xf numFmtId="0" fontId="32" fillId="33" borderId="559">
      <alignment horizontal="right" vertical="center"/>
    </xf>
    <xf numFmtId="0" fontId="62" fillId="55" borderId="562" applyNumberFormat="0" applyAlignment="0" applyProtection="0"/>
    <xf numFmtId="0" fontId="34" fillId="32" borderId="558"/>
    <xf numFmtId="0" fontId="40" fillId="58" borderId="557" applyNumberFormat="0" applyFont="0" applyAlignment="0" applyProtection="0"/>
    <xf numFmtId="0" fontId="26" fillId="14" borderId="0" applyNumberFormat="0" applyBorder="0" applyAlignment="0" applyProtection="0"/>
    <xf numFmtId="0" fontId="34" fillId="0" borderId="558">
      <alignment horizontal="right" vertical="center"/>
    </xf>
    <xf numFmtId="0" fontId="32" fillId="33" borderId="558">
      <alignment horizontal="right" vertical="center"/>
    </xf>
    <xf numFmtId="0" fontId="26" fillId="23" borderId="0" applyNumberFormat="0" applyBorder="0" applyAlignment="0" applyProtection="0"/>
    <xf numFmtId="4" fontId="32" fillId="33" borderId="558">
      <alignment horizontal="right" vertical="center"/>
    </xf>
    <xf numFmtId="0" fontId="34" fillId="33" borderId="561">
      <alignment horizontal="left" vertical="center" wrapText="1" indent="2"/>
    </xf>
    <xf numFmtId="0" fontId="46" fillId="55" borderId="555" applyNumberFormat="0" applyAlignment="0" applyProtection="0"/>
    <xf numFmtId="0" fontId="46" fillId="55" borderId="555" applyNumberFormat="0" applyAlignment="0" applyProtection="0"/>
    <xf numFmtId="0" fontId="50" fillId="0" borderId="556" applyNumberFormat="0" applyFill="0" applyAlignment="0" applyProtection="0"/>
    <xf numFmtId="0" fontId="34" fillId="0" borderId="561">
      <alignment horizontal="left" vertical="center" wrapText="1" indent="2"/>
    </xf>
    <xf numFmtId="0" fontId="46" fillId="55" borderId="555" applyNumberFormat="0" applyAlignment="0" applyProtection="0"/>
    <xf numFmtId="0" fontId="34" fillId="0" borderId="558" applyNumberFormat="0" applyFill="0" applyAlignment="0" applyProtection="0"/>
    <xf numFmtId="0" fontId="34" fillId="32" borderId="558"/>
    <xf numFmtId="49" fontId="33" fillId="0" borderId="558" applyNumberFormat="0" applyFill="0" applyBorder="0" applyProtection="0">
      <alignment horizontal="left" vertical="center"/>
    </xf>
    <xf numFmtId="0" fontId="5" fillId="58" borderId="557" applyNumberFormat="0" applyFont="0" applyAlignment="0" applyProtection="0"/>
    <xf numFmtId="0" fontId="34" fillId="0" borderId="561">
      <alignment horizontal="left" vertical="center" wrapText="1" indent="2"/>
    </xf>
    <xf numFmtId="0" fontId="34" fillId="31" borderId="559">
      <alignment horizontal="left" vertical="center"/>
    </xf>
    <xf numFmtId="4" fontId="36" fillId="31" borderId="558">
      <alignment horizontal="right" vertical="center"/>
    </xf>
    <xf numFmtId="0" fontId="34" fillId="0" borderId="554">
      <alignment horizontal="left" vertical="center" wrapText="1" indent="2"/>
    </xf>
    <xf numFmtId="4" fontId="34" fillId="0" borderId="558" applyFill="0" applyBorder="0" applyProtection="0">
      <alignment horizontal="right" vertical="center"/>
    </xf>
    <xf numFmtId="0" fontId="40" fillId="58" borderId="557" applyNumberFormat="0" applyFont="0" applyAlignment="0" applyProtection="0"/>
    <xf numFmtId="0" fontId="32" fillId="31" borderId="558">
      <alignment horizontal="right" vertical="center"/>
    </xf>
    <xf numFmtId="0" fontId="50" fillId="0" borderId="556" applyNumberFormat="0" applyFill="0" applyAlignment="0" applyProtection="0"/>
    <xf numFmtId="0" fontId="34" fillId="0" borderId="558" applyNumberFormat="0" applyFill="0" applyAlignment="0" applyProtection="0"/>
    <xf numFmtId="0" fontId="50" fillId="0" borderId="556" applyNumberFormat="0" applyFill="0" applyAlignment="0" applyProtection="0"/>
    <xf numFmtId="4" fontId="34" fillId="0" borderId="558" applyFill="0" applyBorder="0" applyProtection="0">
      <alignment horizontal="right" vertical="center"/>
    </xf>
    <xf numFmtId="49" fontId="34" fillId="0" borderId="559" applyNumberFormat="0" applyFont="0" applyFill="0" applyBorder="0" applyProtection="0">
      <alignment horizontal="left" vertical="center" indent="5"/>
    </xf>
    <xf numFmtId="0" fontId="34" fillId="0" borderId="558" applyNumberFormat="0" applyFill="0" applyAlignment="0" applyProtection="0"/>
    <xf numFmtId="0" fontId="34" fillId="0" borderId="558" applyNumberFormat="0" applyFill="0" applyAlignment="0" applyProtection="0"/>
    <xf numFmtId="4" fontId="32" fillId="33" borderId="558">
      <alignment horizontal="right" vertical="center"/>
    </xf>
    <xf numFmtId="0" fontId="49" fillId="42" borderId="555" applyNumberFormat="0" applyAlignment="0" applyProtection="0"/>
    <xf numFmtId="0" fontId="46" fillId="55" borderId="555" applyNumberFormat="0" applyAlignment="0" applyProtection="0"/>
    <xf numFmtId="4" fontId="34" fillId="0" borderId="558">
      <alignment horizontal="right" vertical="center"/>
    </xf>
    <xf numFmtId="0" fontId="34" fillId="33" borderId="561">
      <alignment horizontal="left" vertical="center" wrapText="1" indent="2"/>
    </xf>
    <xf numFmtId="0" fontId="34" fillId="0" borderId="561">
      <alignment horizontal="left" vertical="center" wrapText="1" indent="2"/>
    </xf>
    <xf numFmtId="0" fontId="62" fillId="55" borderId="562" applyNumberFormat="0" applyAlignment="0" applyProtection="0"/>
    <xf numFmtId="0" fontId="58" fillId="42" borderId="555" applyNumberFormat="0" applyAlignment="0" applyProtection="0"/>
    <xf numFmtId="0" fontId="45" fillId="55" borderId="555" applyNumberFormat="0" applyAlignment="0" applyProtection="0"/>
    <xf numFmtId="0" fontId="43" fillId="55" borderId="562" applyNumberFormat="0" applyAlignment="0" applyProtection="0"/>
    <xf numFmtId="0" fontId="32" fillId="33" borderId="560">
      <alignment horizontal="right" vertical="center"/>
    </xf>
    <xf numFmtId="0" fontId="36" fillId="31" borderId="558">
      <alignment horizontal="right" vertical="center"/>
    </xf>
    <xf numFmtId="4" fontId="32" fillId="31" borderId="558">
      <alignment horizontal="right" vertical="center"/>
    </xf>
    <xf numFmtId="4" fontId="32" fillId="33" borderId="558">
      <alignment horizontal="right" vertical="center"/>
    </xf>
    <xf numFmtId="49" fontId="34" fillId="0" borderId="559" applyNumberFormat="0" applyFont="0" applyFill="0" applyBorder="0" applyProtection="0">
      <alignment horizontal="left" vertical="center" indent="5"/>
    </xf>
    <xf numFmtId="4" fontId="34" fillId="0" borderId="558" applyFill="0" applyBorder="0" applyProtection="0">
      <alignment horizontal="right" vertical="center"/>
    </xf>
    <xf numFmtId="4" fontId="32" fillId="31" borderId="558">
      <alignment horizontal="right" vertical="center"/>
    </xf>
    <xf numFmtId="0" fontId="58" fillId="42" borderId="555" applyNumberFormat="0" applyAlignment="0" applyProtection="0"/>
    <xf numFmtId="0" fontId="49" fillId="42" borderId="555" applyNumberFormat="0" applyAlignment="0" applyProtection="0"/>
    <xf numFmtId="0" fontId="45" fillId="55" borderId="555" applyNumberFormat="0" applyAlignment="0" applyProtection="0"/>
    <xf numFmtId="0" fontId="34" fillId="33" borderId="561">
      <alignment horizontal="left" vertical="center" wrapText="1" indent="2"/>
    </xf>
    <xf numFmtId="0" fontId="34" fillId="0" borderId="561">
      <alignment horizontal="left" vertical="center" wrapText="1" indent="2"/>
    </xf>
    <xf numFmtId="0" fontId="34" fillId="33" borderId="561">
      <alignment horizontal="left" vertical="center" wrapText="1" indent="2"/>
    </xf>
  </cellStyleXfs>
  <cellXfs count="418">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1" fillId="0" borderId="0" xfId="0" applyFont="1"/>
    <xf numFmtId="0" fontId="9"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3" fillId="0" borderId="0" xfId="0" applyFont="1"/>
    <xf numFmtId="165" fontId="13" fillId="0" borderId="0" xfId="0" applyNumberFormat="1" applyFont="1"/>
    <xf numFmtId="2" fontId="13"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5" fillId="0" borderId="0" xfId="0" applyNumberFormat="1" applyFont="1"/>
    <xf numFmtId="49" fontId="0" fillId="0" borderId="0" xfId="0" applyNumberFormat="1"/>
    <xf numFmtId="0" fontId="8" fillId="0" borderId="0" xfId="0" applyFont="1" applyAlignment="1">
      <alignment horizontal="left"/>
    </xf>
    <xf numFmtId="2" fontId="15" fillId="0" borderId="0" xfId="0" applyNumberFormat="1" applyFont="1" applyAlignment="1">
      <alignment horizontal="right"/>
    </xf>
    <xf numFmtId="3" fontId="2" fillId="5" borderId="2" xfId="0" applyNumberFormat="1" applyFont="1" applyFill="1" applyBorder="1"/>
    <xf numFmtId="0" fontId="8" fillId="5" borderId="2" xfId="0" applyFont="1" applyFill="1" applyBorder="1"/>
    <xf numFmtId="164" fontId="8" fillId="5" borderId="2" xfId="0" applyNumberFormat="1" applyFont="1" applyFill="1" applyBorder="1"/>
    <xf numFmtId="11" fontId="15" fillId="0" borderId="0" xfId="0" applyNumberFormat="1" applyFont="1"/>
    <xf numFmtId="11" fontId="8" fillId="0" borderId="0" xfId="0" applyNumberFormat="1" applyFont="1"/>
    <xf numFmtId="11" fontId="8" fillId="5" borderId="2" xfId="0" applyNumberFormat="1" applyFont="1" applyFill="1" applyBorder="1"/>
    <xf numFmtId="0" fontId="0" fillId="0" borderId="0" xfId="0" applyAlignment="1">
      <alignment horizontal="left"/>
    </xf>
    <xf numFmtId="164" fontId="13" fillId="0" borderId="0" xfId="0" applyNumberFormat="1" applyFont="1" applyAlignment="1">
      <alignment vertical="center"/>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165" fontId="13" fillId="0" borderId="0" xfId="0" applyNumberFormat="1" applyFont="1" applyAlignment="1">
      <alignment vertical="center"/>
    </xf>
    <xf numFmtId="3" fontId="0" fillId="0" borderId="0" xfId="0" applyNumberFormat="1" applyAlignment="1">
      <alignment horizontal="left" vertical="top"/>
    </xf>
    <xf numFmtId="3" fontId="0" fillId="4" borderId="0" xfId="0" applyNumberFormat="1" applyFill="1"/>
    <xf numFmtId="164" fontId="15"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8" fillId="3" borderId="0" xfId="0" applyFont="1" applyFill="1"/>
    <xf numFmtId="11" fontId="0" fillId="0" borderId="0" xfId="0" applyNumberFormat="1"/>
    <xf numFmtId="0" fontId="12" fillId="7" borderId="0" xfId="0" applyFont="1" applyFill="1"/>
    <xf numFmtId="0" fontId="11" fillId="7" borderId="0" xfId="0" applyFont="1" applyFill="1"/>
    <xf numFmtId="166" fontId="11" fillId="7" borderId="0" xfId="0" applyNumberFormat="1" applyFont="1" applyFill="1"/>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2" fillId="3" borderId="0" xfId="0" applyFont="1" applyFill="1"/>
    <xf numFmtId="166" fontId="12" fillId="3" borderId="0" xfId="0" applyNumberFormat="1" applyFont="1" applyFill="1"/>
    <xf numFmtId="0" fontId="10" fillId="7" borderId="0" xfId="0" applyFont="1" applyFill="1"/>
    <xf numFmtId="0" fontId="9" fillId="3" borderId="0" xfId="0" applyFont="1" applyFill="1"/>
    <xf numFmtId="11" fontId="9" fillId="0" borderId="0" xfId="0" applyNumberFormat="1" applyFont="1"/>
    <xf numFmtId="0" fontId="4" fillId="0" borderId="0" xfId="0" applyFont="1" applyAlignment="1">
      <alignment horizontal="left"/>
    </xf>
    <xf numFmtId="0" fontId="12"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8" fillId="4" borderId="0" xfId="0" applyFont="1" applyFill="1"/>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1" xfId="0" applyNumberFormat="1" applyBorder="1"/>
    <xf numFmtId="164" fontId="13"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9" fillId="7" borderId="0" xfId="0" applyFont="1" applyFill="1"/>
    <xf numFmtId="0" fontId="17" fillId="0" borderId="0" xfId="0" applyFont="1"/>
    <xf numFmtId="3" fontId="7" fillId="0" borderId="0" xfId="0" applyNumberFormat="1" applyFont="1"/>
    <xf numFmtId="167" fontId="7" fillId="0" borderId="0" xfId="0" applyNumberFormat="1" applyFont="1"/>
    <xf numFmtId="0" fontId="7" fillId="0" borderId="0" xfId="0" applyFont="1" applyAlignment="1">
      <alignment vertical="center"/>
    </xf>
    <xf numFmtId="0" fontId="14" fillId="0" borderId="0" xfId="0" applyFont="1"/>
    <xf numFmtId="0" fontId="18"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3" fillId="0" borderId="0" xfId="0" applyNumberFormat="1" applyFont="1"/>
    <xf numFmtId="169" fontId="13" fillId="0" borderId="0" xfId="0" applyNumberFormat="1" applyFont="1"/>
    <xf numFmtId="11" fontId="13" fillId="0" borderId="0" xfId="0" applyNumberFormat="1" applyFont="1"/>
    <xf numFmtId="0" fontId="8" fillId="5" borderId="2"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 fillId="0" borderId="0" xfId="0" applyFont="1" applyAlignment="1">
      <alignment horizontal="left"/>
    </xf>
    <xf numFmtId="2" fontId="8" fillId="4" borderId="0" xfId="0" applyNumberFormat="1" applyFont="1" applyFill="1"/>
    <xf numFmtId="0" fontId="13" fillId="0" borderId="0" xfId="0" applyFont="1" applyAlignment="1">
      <alignment horizontal="right"/>
    </xf>
    <xf numFmtId="0" fontId="13" fillId="0" borderId="0" xfId="0" applyFont="1" applyAlignment="1">
      <alignment horizontal="right" vertical="center"/>
    </xf>
    <xf numFmtId="2" fontId="13" fillId="0" borderId="0" xfId="0" applyNumberFormat="1" applyFont="1" applyAlignment="1">
      <alignment vertical="center"/>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8" fillId="0" borderId="0" xfId="0" applyFont="1" applyAlignment="1">
      <alignment horizontal="left" vertical="center"/>
    </xf>
    <xf numFmtId="0" fontId="18" fillId="0" borderId="0" xfId="0" applyFont="1" applyAlignment="1">
      <alignment vertical="center"/>
    </xf>
    <xf numFmtId="1" fontId="0" fillId="0" borderId="0" xfId="0" applyNumberFormat="1"/>
    <xf numFmtId="0" fontId="0" fillId="9" borderId="0" xfId="0" applyFill="1"/>
    <xf numFmtId="11" fontId="8" fillId="0" borderId="0" xfId="0" applyNumberFormat="1" applyFont="1" applyAlignment="1">
      <alignment horizontal="right"/>
    </xf>
    <xf numFmtId="1" fontId="8" fillId="0" borderId="0" xfId="0" applyNumberFormat="1" applyFont="1"/>
    <xf numFmtId="0" fontId="19" fillId="0" borderId="0" xfId="0" applyFont="1" applyAlignment="1">
      <alignment horizontal="left" vertical="center" wrapText="1"/>
    </xf>
    <xf numFmtId="0" fontId="0" fillId="8" borderId="0" xfId="0" applyFill="1"/>
    <xf numFmtId="4" fontId="0" fillId="4" borderId="0" xfId="0" applyNumberFormat="1" applyFill="1"/>
    <xf numFmtId="0" fontId="0" fillId="4" borderId="2" xfId="0" applyFill="1" applyBorder="1" applyAlignment="1">
      <alignment horizontal="left" vertical="top"/>
    </xf>
    <xf numFmtId="0" fontId="8" fillId="4" borderId="2" xfId="0" applyFont="1" applyFill="1" applyBorder="1"/>
    <xf numFmtId="3" fontId="0" fillId="4" borderId="2" xfId="0" applyNumberFormat="1" applyFill="1" applyBorder="1"/>
    <xf numFmtId="11" fontId="8" fillId="4" borderId="2" xfId="0" applyNumberFormat="1" applyFont="1" applyFill="1" applyBorder="1" applyAlignment="1">
      <alignment horizontal="left" vertical="top"/>
    </xf>
    <xf numFmtId="164" fontId="8" fillId="4" borderId="2" xfId="0" applyNumberFormat="1" applyFont="1" applyFill="1" applyBorder="1"/>
    <xf numFmtId="11" fontId="8" fillId="4" borderId="3" xfId="0" applyNumberFormat="1" applyFont="1" applyFill="1" applyBorder="1" applyAlignment="1">
      <alignment horizontal="left" vertical="top"/>
    </xf>
    <xf numFmtId="2" fontId="8" fillId="4" borderId="4" xfId="0" applyNumberFormat="1" applyFont="1" applyFill="1" applyBorder="1"/>
    <xf numFmtId="171" fontId="13" fillId="0" borderId="0" xfId="0" applyNumberFormat="1" applyFont="1"/>
    <xf numFmtId="170" fontId="13" fillId="0" borderId="0" xfId="0" applyNumberFormat="1" applyFont="1"/>
    <xf numFmtId="11" fontId="20"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0" fillId="8" borderId="0" xfId="0" applyFill="1" applyAlignment="1">
      <alignment horizontal="center" vertical="center" wrapText="1"/>
    </xf>
    <xf numFmtId="0" fontId="0" fillId="5" borderId="2" xfId="0" applyFill="1" applyBorder="1"/>
    <xf numFmtId="2" fontId="17" fillId="0" borderId="0" xfId="0" applyNumberFormat="1" applyFont="1"/>
    <xf numFmtId="0" fontId="21" fillId="5" borderId="2" xfId="0" applyFont="1" applyFill="1" applyBorder="1"/>
    <xf numFmtId="0" fontId="2" fillId="6" borderId="0" xfId="0" applyFont="1" applyFill="1" applyAlignment="1">
      <alignment vertical="center"/>
    </xf>
    <xf numFmtId="2" fontId="0" fillId="10" borderId="0" xfId="0" applyNumberFormat="1" applyFill="1"/>
    <xf numFmtId="0" fontId="0" fillId="4" borderId="2"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0" fontId="18" fillId="0" borderId="0" xfId="0" applyFont="1" applyAlignment="1">
      <alignment horizontal="left"/>
    </xf>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2" fillId="0" borderId="0" xfId="0" applyFont="1" applyAlignment="1">
      <alignment horizontal="right" vertical="center" wrapText="1"/>
    </xf>
    <xf numFmtId="0" fontId="23" fillId="0" borderId="0" xfId="0" applyFont="1"/>
    <xf numFmtId="3" fontId="23" fillId="0" borderId="0" xfId="0" applyNumberFormat="1" applyFont="1"/>
    <xf numFmtId="0" fontId="18" fillId="8" borderId="0" xfId="0" applyFont="1" applyFill="1"/>
    <xf numFmtId="0" fontId="23" fillId="8" borderId="0" xfId="0" applyFont="1" applyFill="1"/>
    <xf numFmtId="0" fontId="17" fillId="0" borderId="1" xfId="1" applyFont="1" applyBorder="1" applyAlignment="1">
      <alignment horizontal="left" vertical="center"/>
    </xf>
    <xf numFmtId="0" fontId="24" fillId="0" borderId="0" xfId="0" applyFont="1"/>
    <xf numFmtId="3" fontId="8" fillId="0" borderId="0" xfId="0" applyNumberFormat="1" applyFont="1"/>
    <xf numFmtId="4" fontId="8" fillId="4" borderId="0" xfId="0" applyNumberFormat="1" applyFont="1" applyFill="1"/>
    <xf numFmtId="3" fontId="8" fillId="4" borderId="0" xfId="0" applyNumberFormat="1" applyFont="1" applyFill="1"/>
    <xf numFmtId="167" fontId="8" fillId="0" borderId="0" xfId="0" applyNumberFormat="1" applyFont="1"/>
    <xf numFmtId="166" fontId="9" fillId="0" borderId="0" xfId="0" applyNumberFormat="1" applyFont="1"/>
    <xf numFmtId="0" fontId="22" fillId="0" borderId="0" xfId="0" applyFont="1"/>
    <xf numFmtId="0" fontId="8" fillId="9" borderId="0" xfId="0" applyFont="1" applyFill="1"/>
    <xf numFmtId="0" fontId="13" fillId="8" borderId="0" xfId="0" applyFont="1" applyFill="1"/>
    <xf numFmtId="0" fontId="17" fillId="0" borderId="5" xfId="1" applyFont="1" applyBorder="1" applyAlignment="1">
      <alignment horizontal="left" vertical="center"/>
    </xf>
    <xf numFmtId="2" fontId="13" fillId="0" borderId="1" xfId="1" applyNumberFormat="1" applyFont="1" applyBorder="1" applyAlignment="1">
      <alignment horizontal="right" vertical="center"/>
    </xf>
    <xf numFmtId="2" fontId="13" fillId="0" borderId="5" xfId="1" applyNumberFormat="1" applyFont="1" applyBorder="1" applyAlignment="1">
      <alignment horizontal="right" vertical="center"/>
    </xf>
    <xf numFmtId="0" fontId="0" fillId="0" borderId="1" xfId="0" applyBorder="1"/>
    <xf numFmtId="0" fontId="0" fillId="0" borderId="5" xfId="0" applyBorder="1"/>
    <xf numFmtId="0" fontId="23" fillId="4" borderId="1" xfId="0" applyFont="1" applyFill="1" applyBorder="1"/>
    <xf numFmtId="0" fontId="23" fillId="4" borderId="5" xfId="0" applyFont="1" applyFill="1" applyBorder="1"/>
    <xf numFmtId="164" fontId="13" fillId="0" borderId="1" xfId="1" applyNumberFormat="1" applyFont="1" applyBorder="1" applyAlignment="1">
      <alignment horizontal="right" vertical="center"/>
    </xf>
    <xf numFmtId="2" fontId="13" fillId="0" borderId="1" xfId="0" applyNumberFormat="1" applyFont="1" applyBorder="1" applyAlignment="1">
      <alignment horizontal="right" vertical="center"/>
    </xf>
    <xf numFmtId="0" fontId="13" fillId="0" borderId="1" xfId="0" applyFont="1" applyBorder="1"/>
    <xf numFmtId="0" fontId="13" fillId="0" borderId="5" xfId="0" applyFont="1" applyBorder="1"/>
    <xf numFmtId="0" fontId="0" fillId="4" borderId="1" xfId="0" applyFill="1" applyBorder="1"/>
    <xf numFmtId="0" fontId="0" fillId="4" borderId="5" xfId="0" applyFill="1" applyBorder="1"/>
    <xf numFmtId="1" fontId="0" fillId="0" borderId="1" xfId="0" applyNumberFormat="1" applyBorder="1"/>
    <xf numFmtId="1" fontId="0" fillId="0" borderId="5" xfId="0" applyNumberFormat="1" applyBorder="1"/>
    <xf numFmtId="2" fontId="0" fillId="0" borderId="1" xfId="0" applyNumberFormat="1" applyBorder="1"/>
    <xf numFmtId="2" fontId="0" fillId="0" borderId="5" xfId="0" applyNumberFormat="1" applyBorder="1"/>
    <xf numFmtId="164" fontId="0" fillId="0" borderId="5" xfId="0" applyNumberFormat="1" applyBorder="1"/>
    <xf numFmtId="165" fontId="13" fillId="0" borderId="1" xfId="1" applyNumberFormat="1" applyFont="1" applyBorder="1" applyAlignment="1">
      <alignment horizontal="right" vertical="center"/>
    </xf>
    <xf numFmtId="165" fontId="13" fillId="0" borderId="5" xfId="1" applyNumberFormat="1" applyFont="1" applyBorder="1" applyAlignment="1">
      <alignment horizontal="right" vertical="center"/>
    </xf>
    <xf numFmtId="165" fontId="0" fillId="0" borderId="1" xfId="0" applyNumberFormat="1" applyBorder="1"/>
    <xf numFmtId="165" fontId="0" fillId="0" borderId="5" xfId="0" applyNumberFormat="1" applyBorder="1"/>
    <xf numFmtId="1" fontId="8" fillId="0" borderId="1" xfId="0" applyNumberFormat="1" applyFont="1" applyBorder="1"/>
    <xf numFmtId="2" fontId="13" fillId="0" borderId="1" xfId="0" applyNumberFormat="1" applyFont="1" applyBorder="1"/>
    <xf numFmtId="2" fontId="13" fillId="0" borderId="5" xfId="0" applyNumberFormat="1" applyFont="1" applyBorder="1"/>
    <xf numFmtId="1" fontId="8" fillId="4" borderId="1" xfId="0" applyNumberFormat="1" applyFont="1" applyFill="1" applyBorder="1"/>
    <xf numFmtId="165" fontId="8" fillId="0" borderId="1" xfId="0" applyNumberFormat="1" applyFont="1" applyBorder="1"/>
    <xf numFmtId="164" fontId="0" fillId="0" borderId="1" xfId="0" applyNumberFormat="1" applyBorder="1"/>
    <xf numFmtId="1" fontId="13" fillId="0" borderId="0" xfId="0" applyNumberFormat="1" applyFont="1"/>
    <xf numFmtId="170" fontId="13" fillId="0" borderId="1" xfId="0" applyNumberFormat="1" applyFont="1" applyBorder="1"/>
    <xf numFmtId="170" fontId="13" fillId="0" borderId="5" xfId="0" applyNumberFormat="1" applyFont="1" applyBorder="1"/>
    <xf numFmtId="165" fontId="0" fillId="4" borderId="1" xfId="0" applyNumberFormat="1" applyFill="1" applyBorder="1"/>
    <xf numFmtId="165" fontId="0" fillId="4" borderId="0" xfId="0" applyNumberFormat="1" applyFill="1"/>
    <xf numFmtId="165" fontId="0" fillId="4" borderId="5" xfId="0" applyNumberFormat="1" applyFill="1" applyBorder="1"/>
    <xf numFmtId="0" fontId="23" fillId="0" borderId="1" xfId="0" applyFont="1" applyBorder="1"/>
    <xf numFmtId="0" fontId="0" fillId="0" borderId="6" xfId="0" applyBorder="1"/>
    <xf numFmtId="0" fontId="0" fillId="0" borderId="2" xfId="0" applyBorder="1"/>
    <xf numFmtId="0" fontId="0" fillId="0" borderId="8" xfId="0" applyBorder="1"/>
    <xf numFmtId="0" fontId="17" fillId="0" borderId="8" xfId="0" applyFont="1" applyBorder="1"/>
    <xf numFmtId="0" fontId="8" fillId="6" borderId="8" xfId="1" applyFont="1" applyFill="1" applyBorder="1" applyAlignment="1">
      <alignment horizontal="left" vertical="center"/>
    </xf>
    <xf numFmtId="0" fontId="0" fillId="4" borderId="8" xfId="0" applyFill="1" applyBorder="1"/>
    <xf numFmtId="0" fontId="7" fillId="0" borderId="8" xfId="0" applyFont="1" applyBorder="1" applyAlignment="1">
      <alignment horizontal="left" vertical="center"/>
    </xf>
    <xf numFmtId="0" fontId="17" fillId="0" borderId="8" xfId="1" applyFont="1" applyBorder="1" applyAlignment="1">
      <alignment horizontal="left" vertical="center"/>
    </xf>
    <xf numFmtId="0" fontId="7" fillId="4" borderId="8" xfId="0" applyFont="1" applyFill="1" applyBorder="1" applyAlignment="1">
      <alignment horizontal="left" vertical="center"/>
    </xf>
    <xf numFmtId="0" fontId="17" fillId="4" borderId="8" xfId="1" applyFont="1" applyFill="1" applyBorder="1" applyAlignment="1">
      <alignment horizontal="left" vertical="center"/>
    </xf>
    <xf numFmtId="0" fontId="7" fillId="0" borderId="8" xfId="0" applyFont="1" applyBorder="1"/>
    <xf numFmtId="0" fontId="25" fillId="0" borderId="8" xfId="1" applyFont="1" applyBorder="1" applyAlignment="1">
      <alignment horizontal="left" vertical="center"/>
    </xf>
    <xf numFmtId="0" fontId="7" fillId="4" borderId="8" xfId="0" applyFont="1" applyFill="1" applyBorder="1"/>
    <xf numFmtId="0" fontId="8" fillId="0" borderId="0" xfId="0" applyFont="1" applyAlignment="1">
      <alignment horizontal="right" vertical="center" wrapText="1"/>
    </xf>
    <xf numFmtId="2" fontId="22" fillId="0" borderId="0" xfId="0" applyNumberFormat="1" applyFont="1" applyAlignment="1">
      <alignment horizontal="right" vertical="center" wrapText="1"/>
    </xf>
    <xf numFmtId="0" fontId="0" fillId="6" borderId="1" xfId="0" applyFill="1" applyBorder="1"/>
    <xf numFmtId="165" fontId="22" fillId="0" borderId="0" xfId="0" applyNumberFormat="1" applyFont="1" applyAlignment="1">
      <alignment horizontal="right" vertical="center" wrapText="1"/>
    </xf>
    <xf numFmtId="0" fontId="19" fillId="0" borderId="0" xfId="0" applyFont="1" applyAlignment="1">
      <alignment horizontal="left" vertical="center"/>
    </xf>
    <xf numFmtId="2" fontId="8" fillId="0" borderId="1" xfId="0" applyNumberFormat="1" applyFont="1" applyBorder="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17" fillId="0" borderId="0" xfId="1" applyFont="1" applyAlignment="1">
      <alignment horizontal="left" vertical="center"/>
    </xf>
    <xf numFmtId="2" fontId="13" fillId="0" borderId="0" xfId="1" applyNumberFormat="1" applyFont="1" applyAlignment="1">
      <alignment horizontal="right" vertical="center"/>
    </xf>
    <xf numFmtId="0" fontId="0" fillId="6" borderId="5" xfId="0" applyFill="1" applyBorder="1"/>
    <xf numFmtId="0" fontId="23" fillId="4" borderId="0" xfId="0" applyFont="1" applyFill="1"/>
    <xf numFmtId="1" fontId="8" fillId="4" borderId="0" xfId="0" applyNumberFormat="1" applyFont="1" applyFill="1"/>
    <xf numFmtId="165" fontId="13" fillId="0" borderId="0" xfId="1" applyNumberFormat="1" applyFont="1" applyAlignment="1">
      <alignment horizontal="right" vertical="center"/>
    </xf>
    <xf numFmtId="2" fontId="7" fillId="0" borderId="0" xfId="0" applyNumberFormat="1" applyFont="1"/>
    <xf numFmtId="0" fontId="3" fillId="4" borderId="0" xfId="0" applyFont="1" applyFill="1"/>
    <xf numFmtId="0" fontId="2" fillId="60" borderId="0" xfId="0" applyFont="1" applyFill="1"/>
    <xf numFmtId="0" fontId="0" fillId="60" borderId="0" xfId="0" applyFill="1"/>
    <xf numFmtId="166" fontId="2" fillId="60" borderId="0" xfId="0" applyNumberFormat="1" applyFont="1" applyFill="1" applyAlignment="1">
      <alignment horizontal="left" vertical="center"/>
    </xf>
    <xf numFmtId="166" fontId="0" fillId="60" borderId="0" xfId="0" applyNumberFormat="1" applyFill="1" applyAlignment="1">
      <alignment horizontal="center" vertical="center" wrapText="1"/>
    </xf>
    <xf numFmtId="166" fontId="0" fillId="60" borderId="0" xfId="0" applyNumberFormat="1" applyFill="1"/>
    <xf numFmtId="166" fontId="2" fillId="60" borderId="0" xfId="0" applyNumberFormat="1" applyFont="1" applyFill="1"/>
    <xf numFmtId="0" fontId="0" fillId="2" borderId="0" xfId="0" applyFill="1" applyAlignment="1">
      <alignment horizontal="left" vertical="center"/>
    </xf>
    <xf numFmtId="0" fontId="0" fillId="2" borderId="0" xfId="0" applyFill="1" applyAlignment="1">
      <alignment horizontal="left" vertical="top" wrapText="1"/>
    </xf>
    <xf numFmtId="0" fontId="2" fillId="2" borderId="0" xfId="0" applyFont="1" applyFill="1" applyAlignment="1">
      <alignment horizontal="left" vertical="center" wrapText="1"/>
    </xf>
    <xf numFmtId="166" fontId="0" fillId="0" borderId="0" xfId="0" applyNumberFormat="1" applyAlignment="1">
      <alignment horizontal="left" vertical="center" wrapText="1"/>
    </xf>
    <xf numFmtId="174" fontId="0" fillId="0" borderId="0" xfId="0" applyNumberFormat="1"/>
    <xf numFmtId="168" fontId="0" fillId="0" borderId="0" xfId="0" applyNumberFormat="1"/>
    <xf numFmtId="168" fontId="0" fillId="0" borderId="5" xfId="0" applyNumberFormat="1" applyBorder="1"/>
    <xf numFmtId="168" fontId="0" fillId="0" borderId="2" xfId="0" applyNumberFormat="1" applyBorder="1"/>
    <xf numFmtId="168" fontId="0" fillId="0" borderId="7" xfId="0" applyNumberFormat="1" applyBorder="1"/>
    <xf numFmtId="166" fontId="2" fillId="0" borderId="0" xfId="0" applyNumberFormat="1" applyFont="1"/>
    <xf numFmtId="166" fontId="0" fillId="0" borderId="0" xfId="0" applyNumberFormat="1" applyAlignment="1">
      <alignment horizontal="center" vertical="center" wrapText="1"/>
    </xf>
    <xf numFmtId="0" fontId="0" fillId="0" borderId="0" xfId="0" applyAlignment="1">
      <alignment horizontal="center" vertical="center" wrapText="1"/>
    </xf>
    <xf numFmtId="170" fontId="8" fillId="0" borderId="0" xfId="0" applyNumberFormat="1" applyFont="1"/>
    <xf numFmtId="166" fontId="16" fillId="6" borderId="0" xfId="0" applyNumberFormat="1" applyFont="1" applyFill="1" applyAlignment="1">
      <alignment horizontal="center" vertical="center"/>
    </xf>
    <xf numFmtId="0" fontId="16" fillId="8" borderId="0" xfId="0" applyFont="1" applyFill="1" applyAlignment="1">
      <alignment horizontal="left" vertical="center" wrapText="1"/>
    </xf>
    <xf numFmtId="11" fontId="79" fillId="0" borderId="0" xfId="0" applyNumberFormat="1" applyFont="1" applyAlignment="1">
      <alignment horizontal="right" vertical="center"/>
    </xf>
    <xf numFmtId="0" fontId="80" fillId="0" borderId="0" xfId="1814"/>
    <xf numFmtId="1" fontId="0" fillId="8" borderId="0" xfId="0" applyNumberFormat="1" applyFill="1" applyAlignment="1">
      <alignment horizontal="left" vertical="top" wrapText="1"/>
    </xf>
    <xf numFmtId="0" fontId="8" fillId="8" borderId="0" xfId="0" applyFont="1" applyFill="1" applyAlignment="1">
      <alignment horizontal="center" vertical="top" wrapText="1"/>
    </xf>
    <xf numFmtId="1" fontId="8" fillId="8" borderId="0" xfId="0" applyNumberFormat="1" applyFont="1" applyFill="1" applyAlignment="1">
      <alignment horizontal="left" vertical="top" wrapText="1"/>
    </xf>
    <xf numFmtId="0" fontId="0" fillId="8" borderId="0" xfId="0" applyFill="1" applyAlignment="1">
      <alignment horizontal="left" vertical="top" wrapText="1"/>
    </xf>
    <xf numFmtId="11" fontId="0" fillId="8" borderId="0" xfId="0" applyNumberFormat="1" applyFill="1" applyAlignment="1">
      <alignment horizontal="left" vertical="top" wrapText="1"/>
    </xf>
    <xf numFmtId="1" fontId="0" fillId="5" borderId="0" xfId="0" applyNumberFormat="1" applyFill="1" applyAlignment="1">
      <alignment horizontal="left" vertical="top" wrapText="1"/>
    </xf>
    <xf numFmtId="1" fontId="8" fillId="5" borderId="0" xfId="0" applyNumberFormat="1" applyFont="1" applyFill="1" applyAlignment="1">
      <alignment horizontal="left" vertical="top" wrapText="1"/>
    </xf>
    <xf numFmtId="2" fontId="8" fillId="5" borderId="0" xfId="0" applyNumberFormat="1" applyFont="1" applyFill="1" applyAlignment="1">
      <alignment horizontal="left" vertical="top" wrapText="1"/>
    </xf>
    <xf numFmtId="168" fontId="0" fillId="5" borderId="0" xfId="0" applyNumberFormat="1" applyFill="1" applyAlignment="1">
      <alignment horizontal="left" vertical="top" wrapText="1"/>
    </xf>
    <xf numFmtId="0" fontId="0" fillId="5" borderId="0" xfId="0" applyFill="1" applyAlignment="1">
      <alignment horizontal="left" vertical="top" wrapText="1"/>
    </xf>
    <xf numFmtId="11" fontId="0" fillId="5" borderId="0" xfId="0" applyNumberFormat="1" applyFill="1" applyAlignment="1">
      <alignment horizontal="left" vertical="top" wrapText="1"/>
    </xf>
    <xf numFmtId="171" fontId="0" fillId="0" borderId="0" xfId="0" applyNumberFormat="1"/>
    <xf numFmtId="0" fontId="83" fillId="4" borderId="0" xfId="0" applyFont="1" applyFill="1" applyAlignment="1">
      <alignment vertical="center"/>
    </xf>
    <xf numFmtId="0" fontId="18" fillId="4" borderId="0" xfId="0" applyFont="1" applyFill="1" applyAlignment="1">
      <alignment vertical="center"/>
    </xf>
    <xf numFmtId="0" fontId="0" fillId="4" borderId="0" xfId="0" applyFill="1" applyAlignment="1">
      <alignment vertical="center"/>
    </xf>
    <xf numFmtId="164" fontId="8" fillId="0" borderId="0" xfId="0" applyNumberFormat="1" applyFont="1" applyAlignment="1">
      <alignment horizontal="right"/>
    </xf>
    <xf numFmtId="170" fontId="8" fillId="0" borderId="0" xfId="0" applyNumberFormat="1" applyFont="1" applyAlignment="1">
      <alignment horizontal="right"/>
    </xf>
    <xf numFmtId="2" fontId="79" fillId="0" borderId="0" xfId="0" applyNumberFormat="1" applyFont="1"/>
    <xf numFmtId="164" fontId="79" fillId="0" borderId="0" xfId="0" applyNumberFormat="1" applyFont="1"/>
    <xf numFmtId="164" fontId="79" fillId="0" borderId="0" xfId="0" applyNumberFormat="1" applyFont="1" applyAlignment="1">
      <alignment horizontal="right" vertical="center"/>
    </xf>
    <xf numFmtId="170" fontId="15" fillId="0" borderId="0" xfId="0" applyNumberFormat="1" applyFont="1"/>
    <xf numFmtId="170" fontId="79" fillId="0" borderId="0" xfId="0" applyNumberFormat="1" applyFont="1"/>
    <xf numFmtId="170" fontId="8" fillId="0" borderId="0" xfId="0" applyNumberFormat="1" applyFont="1" applyAlignment="1">
      <alignment horizontal="right" vertical="center"/>
    </xf>
    <xf numFmtId="2" fontId="8" fillId="5" borderId="2" xfId="0" applyNumberFormat="1" applyFont="1" applyFill="1" applyBorder="1"/>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2" fontId="8" fillId="5" borderId="0" xfId="0" applyNumberFormat="1" applyFont="1" applyFill="1"/>
    <xf numFmtId="164" fontId="8" fillId="5" borderId="0" xfId="0" applyNumberFormat="1" applyFont="1" applyFill="1"/>
    <xf numFmtId="11" fontId="8" fillId="5" borderId="0" xfId="0" applyNumberFormat="1" applyFont="1" applyFill="1"/>
    <xf numFmtId="0" fontId="21" fillId="5" borderId="0" xfId="0" applyFont="1" applyFill="1"/>
    <xf numFmtId="2" fontId="21" fillId="5" borderId="0" xfId="0" applyNumberFormat="1" applyFont="1" applyFill="1"/>
    <xf numFmtId="1" fontId="7" fillId="0" borderId="0" xfId="0" applyNumberFormat="1" applyFont="1" applyAlignment="1">
      <alignment vertical="center"/>
    </xf>
    <xf numFmtId="2" fontId="7" fillId="0" borderId="0" xfId="0" applyNumberFormat="1" applyFont="1" applyAlignment="1">
      <alignment vertical="center"/>
    </xf>
    <xf numFmtId="0" fontId="6" fillId="0" borderId="0" xfId="0" applyFont="1" applyAlignment="1">
      <alignment vertical="center"/>
    </xf>
    <xf numFmtId="165" fontId="25" fillId="0" borderId="0" xfId="0" applyNumberFormat="1" applyFont="1"/>
    <xf numFmtId="168" fontId="8" fillId="0" borderId="0" xfId="0" applyNumberFormat="1" applyFont="1"/>
    <xf numFmtId="164" fontId="0" fillId="4" borderId="2" xfId="0" applyNumberFormat="1" applyFill="1" applyBorder="1"/>
    <xf numFmtId="2" fontId="13" fillId="0" borderId="5" xfId="0" applyNumberFormat="1" applyFont="1" applyBorder="1" applyAlignment="1">
      <alignment horizontal="right" vertical="center"/>
    </xf>
    <xf numFmtId="1" fontId="8" fillId="4" borderId="5" xfId="0" applyNumberFormat="1" applyFont="1" applyFill="1" applyBorder="1"/>
    <xf numFmtId="2" fontId="8" fillId="0" borderId="5" xfId="0" applyNumberFormat="1" applyFont="1" applyBorder="1"/>
    <xf numFmtId="2" fontId="13" fillId="0" borderId="0" xfId="0" applyNumberFormat="1" applyFont="1" applyAlignment="1">
      <alignment horizontal="right" vertical="center"/>
    </xf>
    <xf numFmtId="164" fontId="13" fillId="0" borderId="0" xfId="1" applyNumberFormat="1" applyFont="1" applyAlignment="1">
      <alignment horizontal="right" vertical="center"/>
    </xf>
    <xf numFmtId="11" fontId="7" fillId="4" borderId="0" xfId="0" applyNumberFormat="1" applyFont="1" applyFill="1"/>
    <xf numFmtId="166" fontId="2" fillId="6" borderId="0" xfId="0" applyNumberFormat="1" applyFont="1" applyFill="1" applyAlignment="1">
      <alignment vertical="center"/>
    </xf>
    <xf numFmtId="2" fontId="13" fillId="0" borderId="5" xfId="0" applyNumberFormat="1" applyFont="1" applyBorder="1" applyAlignment="1">
      <alignment horizontal="right"/>
    </xf>
    <xf numFmtId="2" fontId="13" fillId="0" borderId="0" xfId="0" applyNumberFormat="1" applyFont="1" applyAlignment="1">
      <alignment horizontal="right"/>
    </xf>
    <xf numFmtId="168" fontId="1" fillId="0" borderId="0" xfId="0" applyNumberFormat="1" applyFont="1"/>
    <xf numFmtId="170" fontId="8" fillId="0" borderId="0" xfId="0" applyNumberFormat="1" applyFont="1" applyAlignment="1">
      <alignment horizontal="right" vertical="center" wrapText="1"/>
    </xf>
    <xf numFmtId="0" fontId="86" fillId="0" borderId="0" xfId="0" applyFont="1"/>
    <xf numFmtId="0" fontId="8" fillId="0" borderId="8" xfId="1" applyFont="1" applyBorder="1" applyAlignment="1">
      <alignment horizontal="left" vertical="center"/>
    </xf>
    <xf numFmtId="2" fontId="87" fillId="0" borderId="0" xfId="0" applyNumberFormat="1" applyFont="1"/>
    <xf numFmtId="0" fontId="1" fillId="0" borderId="0" xfId="0" applyFont="1" applyAlignment="1">
      <alignment horizontal="left"/>
    </xf>
    <xf numFmtId="0" fontId="88" fillId="0" borderId="0" xfId="0" applyFont="1"/>
    <xf numFmtId="0" fontId="89" fillId="0" borderId="0" xfId="0" applyFont="1"/>
    <xf numFmtId="1" fontId="8" fillId="0" borderId="5" xfId="0" applyNumberFormat="1" applyFont="1" applyBorder="1"/>
    <xf numFmtId="1" fontId="24" fillId="0" borderId="0" xfId="1" applyNumberFormat="1" applyFont="1" applyAlignment="1">
      <alignment horizontal="center" vertical="center"/>
    </xf>
    <xf numFmtId="0" fontId="18" fillId="0" borderId="0" xfId="0" applyFont="1" applyAlignment="1">
      <alignment horizontal="center" vertical="center"/>
    </xf>
    <xf numFmtId="0" fontId="1" fillId="4" borderId="0" xfId="0" applyFont="1" applyFill="1"/>
    <xf numFmtId="49" fontId="2" fillId="61" borderId="0" xfId="0" applyNumberFormat="1" applyFont="1" applyFill="1"/>
    <xf numFmtId="0" fontId="8" fillId="61" borderId="0" xfId="0" applyFont="1" applyFill="1"/>
    <xf numFmtId="1" fontId="2" fillId="61" borderId="0" xfId="0" applyNumberFormat="1" applyFont="1" applyFill="1" applyAlignment="1">
      <alignment vertical="center"/>
    </xf>
    <xf numFmtId="1" fontId="2" fillId="61" borderId="0" xfId="0" applyNumberFormat="1" applyFont="1" applyFill="1" applyAlignment="1">
      <alignment horizontal="left" vertical="top"/>
    </xf>
    <xf numFmtId="2" fontId="0" fillId="61" borderId="0" xfId="0" applyNumberFormat="1" applyFill="1" applyAlignment="1">
      <alignment horizontal="left" vertical="center"/>
    </xf>
    <xf numFmtId="1" fontId="0" fillId="61" borderId="0" xfId="0" applyNumberFormat="1" applyFill="1" applyAlignment="1">
      <alignment horizontal="left" vertical="center"/>
    </xf>
    <xf numFmtId="2" fontId="2" fillId="61" borderId="0" xfId="0" applyNumberFormat="1" applyFont="1" applyFill="1" applyAlignment="1">
      <alignment horizontal="left" vertical="center"/>
    </xf>
    <xf numFmtId="11" fontId="2" fillId="61" borderId="0" xfId="0" applyNumberFormat="1" applyFont="1" applyFill="1" applyAlignment="1">
      <alignment horizontal="left" vertical="center"/>
    </xf>
    <xf numFmtId="1" fontId="2" fillId="61" borderId="0" xfId="0" applyNumberFormat="1" applyFont="1" applyFill="1" applyAlignment="1">
      <alignment horizontal="left" vertical="center"/>
    </xf>
    <xf numFmtId="11" fontId="0" fillId="61" borderId="0" xfId="0" applyNumberFormat="1" applyFill="1" applyAlignment="1">
      <alignment horizontal="left" vertical="center"/>
    </xf>
    <xf numFmtId="1" fontId="2" fillId="62" borderId="0" xfId="0" applyNumberFormat="1" applyFont="1" applyFill="1" applyAlignment="1">
      <alignment vertical="center"/>
    </xf>
    <xf numFmtId="1" fontId="2" fillId="62" borderId="0" xfId="0" applyNumberFormat="1" applyFont="1" applyFill="1" applyAlignment="1">
      <alignment horizontal="left" vertical="top"/>
    </xf>
    <xf numFmtId="2" fontId="0" fillId="62" borderId="0" xfId="0" applyNumberFormat="1" applyFill="1" applyAlignment="1">
      <alignment horizontal="left" vertical="center"/>
    </xf>
    <xf numFmtId="1" fontId="0" fillId="62" borderId="0" xfId="0" applyNumberFormat="1" applyFill="1" applyAlignment="1">
      <alignment horizontal="left" vertical="center"/>
    </xf>
    <xf numFmtId="2" fontId="2" fillId="62" borderId="0" xfId="0" applyNumberFormat="1" applyFont="1" applyFill="1" applyAlignment="1">
      <alignment horizontal="left" vertical="center"/>
    </xf>
    <xf numFmtId="11" fontId="2" fillId="62" borderId="0" xfId="0" applyNumberFormat="1" applyFont="1" applyFill="1" applyAlignment="1">
      <alignment horizontal="left" vertical="center"/>
    </xf>
    <xf numFmtId="1" fontId="2" fillId="62" borderId="0" xfId="0" applyNumberFormat="1" applyFont="1" applyFill="1" applyAlignment="1">
      <alignment horizontal="left" vertical="center"/>
    </xf>
    <xf numFmtId="11" fontId="0" fillId="62" borderId="0" xfId="0" applyNumberFormat="1" applyFill="1" applyAlignment="1">
      <alignment horizontal="left" vertical="center"/>
    </xf>
    <xf numFmtId="49" fontId="0" fillId="8" borderId="0" xfId="0" applyNumberFormat="1" applyFill="1" applyAlignment="1">
      <alignment horizontal="center" vertical="top" wrapText="1"/>
    </xf>
    <xf numFmtId="2" fontId="8" fillId="8" borderId="0" xfId="0" applyNumberFormat="1" applyFont="1" applyFill="1" applyAlignment="1">
      <alignment horizontal="left" vertical="top" wrapText="1"/>
    </xf>
    <xf numFmtId="168" fontId="0" fillId="8" borderId="0" xfId="0" applyNumberFormat="1" applyFill="1" applyAlignment="1">
      <alignment horizontal="left" vertical="top" wrapText="1"/>
    </xf>
    <xf numFmtId="3" fontId="13" fillId="0" borderId="0" xfId="0" applyNumberFormat="1" applyFont="1"/>
    <xf numFmtId="1" fontId="8" fillId="0" borderId="0" xfId="0" applyNumberFormat="1" applyFont="1" applyAlignment="1">
      <alignment horizontal="right" vertical="center" wrapText="1"/>
    </xf>
    <xf numFmtId="167" fontId="13" fillId="0" borderId="0" xfId="0" applyNumberFormat="1" applyFont="1"/>
    <xf numFmtId="0" fontId="82" fillId="0" borderId="0" xfId="0" applyFont="1"/>
    <xf numFmtId="164" fontId="0" fillId="0" borderId="0" xfId="0" applyNumberFormat="1" applyAlignment="1">
      <alignment horizontal="right"/>
    </xf>
    <xf numFmtId="164" fontId="0" fillId="0" borderId="0" xfId="0" applyNumberFormat="1" applyAlignment="1">
      <alignment horizontal="right" vertical="center"/>
    </xf>
    <xf numFmtId="164" fontId="0" fillId="0" borderId="0" xfId="0" applyNumberFormat="1" applyAlignment="1">
      <alignment horizontal="right" vertical="center" wrapText="1"/>
    </xf>
    <xf numFmtId="1" fontId="87" fillId="0" borderId="0" xfId="0" applyNumberFormat="1" applyFont="1"/>
    <xf numFmtId="1" fontId="8" fillId="63" borderId="0" xfId="0" applyNumberFormat="1" applyFont="1" applyFill="1"/>
    <xf numFmtId="11" fontId="87" fillId="0" borderId="0" xfId="0" applyNumberFormat="1" applyFont="1" applyAlignment="1">
      <alignment vertical="top"/>
    </xf>
    <xf numFmtId="11" fontId="13" fillId="0" borderId="0" xfId="0" applyNumberFormat="1" applyFont="1" applyAlignment="1">
      <alignment horizontal="right"/>
    </xf>
    <xf numFmtId="169" fontId="0" fillId="0" borderId="0" xfId="0" applyNumberFormat="1"/>
    <xf numFmtId="169" fontId="8" fillId="0" borderId="0" xfId="0" applyNumberFormat="1" applyFont="1" applyAlignment="1">
      <alignment horizontal="right" vertical="center"/>
    </xf>
    <xf numFmtId="2" fontId="17" fillId="0" borderId="1" xfId="0" applyNumberFormat="1" applyFont="1" applyBorder="1"/>
    <xf numFmtId="0" fontId="17" fillId="0" borderId="1" xfId="0" applyFont="1" applyBorder="1"/>
    <xf numFmtId="0" fontId="0" fillId="61" borderId="0" xfId="0" applyFill="1"/>
    <xf numFmtId="1" fontId="23" fillId="0" borderId="0" xfId="0" applyNumberFormat="1" applyFont="1"/>
    <xf numFmtId="2" fontId="25" fillId="0" borderId="0" xfId="0" applyNumberFormat="1" applyFont="1" applyAlignment="1">
      <alignment vertical="center"/>
    </xf>
    <xf numFmtId="165" fontId="17" fillId="0" borderId="0" xfId="0" applyNumberFormat="1" applyFont="1" applyAlignment="1">
      <alignment vertical="center"/>
    </xf>
    <xf numFmtId="3" fontId="92" fillId="0" borderId="0" xfId="0" applyNumberFormat="1" applyFont="1"/>
    <xf numFmtId="3" fontId="81" fillId="0" borderId="0" xfId="0" applyNumberFormat="1" applyFont="1"/>
    <xf numFmtId="11" fontId="81" fillId="0" borderId="0" xfId="0" applyNumberFormat="1" applyFont="1"/>
    <xf numFmtId="166" fontId="8" fillId="0" borderId="0" xfId="0" applyNumberFormat="1" applyFont="1" applyAlignment="1">
      <alignment horizontal="right" vertical="center"/>
    </xf>
    <xf numFmtId="0" fontId="87" fillId="0" borderId="0" xfId="0" applyFont="1"/>
    <xf numFmtId="0" fontId="93" fillId="0" borderId="0" xfId="0" applyFont="1"/>
    <xf numFmtId="165" fontId="87" fillId="0" borderId="0" xfId="0" applyNumberFormat="1" applyFont="1"/>
    <xf numFmtId="2" fontId="2" fillId="0" borderId="0" xfId="0" applyNumberFormat="1" applyFont="1"/>
    <xf numFmtId="0" fontId="0" fillId="0" borderId="0" xfId="0" applyAlignment="1">
      <alignment horizontal="left" vertical="top" wrapText="1"/>
    </xf>
    <xf numFmtId="0" fontId="0" fillId="0" borderId="0" xfId="0" applyAlignment="1">
      <alignment wrapText="1"/>
    </xf>
    <xf numFmtId="0" fontId="0" fillId="4" borderId="0" xfId="0" applyFill="1" applyAlignment="1">
      <alignment horizontal="left" vertical="top"/>
    </xf>
    <xf numFmtId="0" fontId="9" fillId="2" borderId="0" xfId="0" applyFont="1" applyFill="1" applyAlignment="1">
      <alignment horizontal="center" vertical="center" wrapText="1"/>
    </xf>
    <xf numFmtId="164" fontId="13" fillId="0" borderId="1" xfId="0" applyNumberFormat="1" applyFont="1" applyBorder="1"/>
    <xf numFmtId="1" fontId="13" fillId="0" borderId="1" xfId="0" applyNumberFormat="1" applyFont="1" applyBorder="1"/>
    <xf numFmtId="170" fontId="0" fillId="63" borderId="1" xfId="0" applyNumberFormat="1" applyFill="1" applyBorder="1"/>
    <xf numFmtId="170" fontId="0" fillId="63" borderId="5" xfId="0" applyNumberFormat="1" applyFill="1" applyBorder="1"/>
    <xf numFmtId="170" fontId="0" fillId="63" borderId="0" xfId="0" applyNumberFormat="1" applyFill="1"/>
    <xf numFmtId="171" fontId="0" fillId="63" borderId="5" xfId="0" applyNumberFormat="1" applyFill="1" applyBorder="1"/>
    <xf numFmtId="171" fontId="0" fillId="63" borderId="0" xfId="0" applyNumberFormat="1" applyFill="1"/>
    <xf numFmtId="0" fontId="17" fillId="0" borderId="9" xfId="1" applyFont="1" applyBorder="1" applyAlignment="1">
      <alignment horizontal="left" vertical="center"/>
    </xf>
    <xf numFmtId="0" fontId="0" fillId="63" borderId="6" xfId="0" applyFill="1" applyBorder="1"/>
    <xf numFmtId="2" fontId="0" fillId="63" borderId="2" xfId="0" applyNumberFormat="1" applyFill="1" applyBorder="1"/>
    <xf numFmtId="2" fontId="0" fillId="63" borderId="6" xfId="0" applyNumberFormat="1" applyFill="1" applyBorder="1"/>
    <xf numFmtId="2" fontId="0" fillId="63" borderId="7" xfId="0" applyNumberFormat="1" applyFill="1" applyBorder="1"/>
    <xf numFmtId="0" fontId="17" fillId="4" borderId="0" xfId="1" applyFont="1" applyFill="1" applyAlignment="1">
      <alignment horizontal="left" vertical="center"/>
    </xf>
    <xf numFmtId="0" fontId="13" fillId="63" borderId="1" xfId="0" applyFont="1" applyFill="1" applyBorder="1"/>
    <xf numFmtId="0" fontId="0" fillId="63" borderId="0" xfId="0" applyFill="1"/>
    <xf numFmtId="0" fontId="0" fillId="63" borderId="5" xfId="0" applyFill="1" applyBorder="1"/>
    <xf numFmtId="0" fontId="0" fillId="63" borderId="1" xfId="0" applyFill="1" applyBorder="1"/>
    <xf numFmtId="164" fontId="0" fillId="63" borderId="5" xfId="0" applyNumberFormat="1" applyFill="1" applyBorder="1"/>
    <xf numFmtId="170" fontId="8" fillId="4" borderId="2" xfId="0" applyNumberFormat="1" applyFont="1" applyFill="1" applyBorder="1"/>
    <xf numFmtId="164" fontId="13" fillId="0" borderId="5" xfId="0" applyNumberFormat="1" applyFont="1" applyBorder="1"/>
    <xf numFmtId="1" fontId="13" fillId="0" borderId="5" xfId="0" applyNumberFormat="1" applyFont="1" applyBorder="1"/>
    <xf numFmtId="170" fontId="0" fillId="0" borderId="0" xfId="0" applyNumberFormat="1" applyAlignment="1">
      <alignment horizontal="right" vertical="top"/>
    </xf>
    <xf numFmtId="0" fontId="0" fillId="0" borderId="563" xfId="0" applyBorder="1" applyAlignment="1">
      <alignment horizontal="left" vertical="top"/>
    </xf>
    <xf numFmtId="0" fontId="8" fillId="0" borderId="563" xfId="0" applyFont="1" applyBorder="1"/>
    <xf numFmtId="3" fontId="0" fillId="0" borderId="563" xfId="0" applyNumberFormat="1" applyBorder="1"/>
    <xf numFmtId="3" fontId="0" fillId="0" borderId="563" xfId="0" applyNumberFormat="1" applyBorder="1" applyAlignment="1">
      <alignment horizontal="left" vertical="top"/>
    </xf>
    <xf numFmtId="164" fontId="8" fillId="0" borderId="563" xfId="0" applyNumberFormat="1" applyFont="1" applyBorder="1"/>
    <xf numFmtId="164" fontId="0" fillId="0" borderId="563" xfId="0" applyNumberFormat="1" applyBorder="1"/>
    <xf numFmtId="0" fontId="0" fillId="0" borderId="563" xfId="0" applyBorder="1"/>
    <xf numFmtId="0" fontId="9" fillId="0" borderId="563" xfId="0" applyFont="1" applyBorder="1"/>
    <xf numFmtId="170" fontId="0" fillId="0" borderId="563" xfId="0" applyNumberFormat="1" applyBorder="1"/>
    <xf numFmtId="0" fontId="0" fillId="8" borderId="564" xfId="0" applyFill="1" applyBorder="1"/>
    <xf numFmtId="0" fontId="0" fillId="8" borderId="565" xfId="0" applyFill="1" applyBorder="1"/>
    <xf numFmtId="0" fontId="0" fillId="8" borderId="563" xfId="0" applyFill="1" applyBorder="1"/>
    <xf numFmtId="0" fontId="0" fillId="8" borderId="566" xfId="0" applyFill="1" applyBorder="1"/>
    <xf numFmtId="0" fontId="0" fillId="0" borderId="565" xfId="0" applyBorder="1"/>
    <xf numFmtId="164" fontId="0" fillId="0" borderId="566" xfId="0" applyNumberFormat="1" applyBorder="1"/>
    <xf numFmtId="49" fontId="0" fillId="0" borderId="567" xfId="0" applyNumberFormat="1" applyBorder="1"/>
    <xf numFmtId="0" fontId="0" fillId="0" borderId="568" xfId="0" applyBorder="1"/>
    <xf numFmtId="2" fontId="0" fillId="0" borderId="568" xfId="0" applyNumberFormat="1" applyBorder="1"/>
    <xf numFmtId="170" fontId="0" fillId="0" borderId="568" xfId="0" applyNumberFormat="1" applyBorder="1"/>
    <xf numFmtId="11" fontId="0" fillId="0" borderId="568" xfId="0" applyNumberFormat="1" applyBorder="1"/>
    <xf numFmtId="0" fontId="0" fillId="0" borderId="567" xfId="0" applyBorder="1"/>
  </cellXfs>
  <cellStyles count="32404">
    <cellStyle name="???????????" xfId="39" xr:uid="{8E55C96E-B6C4-42C7-8A77-1D222F139B87}"/>
    <cellStyle name="20 % - Akzent1" xfId="971" hidden="1" xr:uid="{F6C29430-E793-433B-93A3-40C478BD78FF}"/>
    <cellStyle name="20 % - Akzent1" xfId="1530" hidden="1" xr:uid="{3774188B-D62F-4FD9-A5D8-637A54084CBD}"/>
    <cellStyle name="20 % - Akzent1" xfId="2163" hidden="1" xr:uid="{E46668C1-F0F5-412C-A935-95F76AA1F10A}"/>
    <cellStyle name="20 % - Akzent1" xfId="2176" hidden="1" xr:uid="{E0D63762-08D4-4E1C-81B2-9FFCB93F01DD}"/>
    <cellStyle name="20 % - Akzent1" xfId="2126" hidden="1" xr:uid="{20A60424-6A70-4542-AD38-0F417B62CB69}"/>
    <cellStyle name="20 % - Akzent1" xfId="3408" hidden="1" xr:uid="{0A154AFE-DD21-4F47-A5C2-B92EA7EB3DD3}"/>
    <cellStyle name="20 % - Akzent1" xfId="3680" hidden="1" xr:uid="{A113AB9C-867D-4091-B81B-7663EA513AEA}"/>
    <cellStyle name="20 % - Akzent1" xfId="3823" hidden="1" xr:uid="{A0F5F1FD-9188-4AD8-9605-88D382928AA5}"/>
    <cellStyle name="20 % - Akzent1" xfId="4960" hidden="1" xr:uid="{57524E07-300A-4F20-8EF0-4FFCB581EB8E}"/>
    <cellStyle name="20 % - Akzent1" xfId="5151" hidden="1" xr:uid="{866CB7DA-B0F1-42BE-9FCB-F95151BD6A44}"/>
    <cellStyle name="20 % - Akzent1" xfId="4451" hidden="1" xr:uid="{5617DD95-A4E0-4D1A-BA65-B61D8A89D058}"/>
    <cellStyle name="20 % - Akzent1" xfId="5098" hidden="1" xr:uid="{EB39DFE1-8D35-41FC-B58C-1BBB615B73E0}"/>
    <cellStyle name="20 % - Akzent1" xfId="3010" hidden="1" xr:uid="{5430284A-C1A5-4BE2-9737-574D819E5C8D}"/>
    <cellStyle name="20 % - Akzent1" xfId="5014" hidden="1" xr:uid="{D3A7AA7C-2347-4652-86F2-82E971351A1D}"/>
    <cellStyle name="20 % - Akzent1" xfId="5986" hidden="1" xr:uid="{7B75C491-8BA5-4214-A7DD-9634DF13EE3E}"/>
    <cellStyle name="20 % - Akzent1" xfId="6595" hidden="1" xr:uid="{03C3DDFF-8B36-48F6-858D-84B9AC2CE15E}"/>
    <cellStyle name="20 % - Akzent1" xfId="5829" hidden="1" xr:uid="{91BB4F5F-25A2-42E1-9180-AB480781F400}"/>
    <cellStyle name="20 % - Akzent1" xfId="6105" hidden="1" xr:uid="{ADD4B12B-C9D0-411E-8F03-00B1C4419895}"/>
    <cellStyle name="20 % - Akzent1" xfId="7069" hidden="1" xr:uid="{7048FF46-9641-44ED-88C5-BE157D52AC80}"/>
    <cellStyle name="20 % - Akzent1" xfId="7150" hidden="1" xr:uid="{F94E136C-07B9-4EDD-BA7E-CBFBE74113F7}"/>
    <cellStyle name="20 % - Akzent1" xfId="7624" hidden="1" xr:uid="{4202CC69-AD01-4922-B95C-37C67D7C5E88}"/>
    <cellStyle name="20 % - Akzent1" xfId="8235" hidden="1" xr:uid="{B261EC75-9CB0-4DA8-A295-DEE3E09D2B51}"/>
    <cellStyle name="20 % - Akzent1" xfId="8141" hidden="1" xr:uid="{32B7ED8D-BD49-4B47-AF21-1C9EA6DE03F3}"/>
    <cellStyle name="20 % - Akzent1" xfId="6745" hidden="1" xr:uid="{BE46B98F-55CE-4A64-8948-19EE5611623E}"/>
    <cellStyle name="20 % - Akzent1" xfId="8100" hidden="1" xr:uid="{BC4F9349-021B-4F5C-AFF3-05F8881859EC}"/>
    <cellStyle name="20 % - Akzent1" xfId="7794" hidden="1" xr:uid="{A558B9AB-DDED-4CCA-9E73-81F88A094B5E}"/>
    <cellStyle name="20 % - Akzent1" xfId="8278" hidden="1" xr:uid="{54C39DCD-5D91-427A-AA8E-379A2DCDB345}"/>
    <cellStyle name="20 % - Akzent1" xfId="8656" hidden="1" xr:uid="{84D21851-D65A-46D8-A7C8-E808C363C1C5}"/>
    <cellStyle name="20 % - Akzent1" xfId="8088" hidden="1" xr:uid="{2FD62724-DCE0-43D0-950F-2F4C10F3BCC3}"/>
    <cellStyle name="20 % - Akzent1" xfId="9000" hidden="1" xr:uid="{E53252AA-55DD-4A20-8840-F3EDDEE36B83}"/>
    <cellStyle name="20 % - Akzent1" xfId="9103" hidden="1" xr:uid="{66F34DE4-C1FF-425A-9280-B09D5FEC776E}"/>
    <cellStyle name="20 % - Akzent1" xfId="9259" hidden="1" xr:uid="{0AA4DCB4-3F5B-43EE-8B61-FFAC3E52E2FD}"/>
    <cellStyle name="20 % - Akzent1" xfId="9377" hidden="1" xr:uid="{761831AE-F897-4B58-A645-50DC6B33551B}"/>
    <cellStyle name="20 % - Akzent1" xfId="10325" hidden="1" xr:uid="{919D563E-32FA-4048-9E82-D92DE9E68765}"/>
    <cellStyle name="20 % - Akzent1" xfId="10812" hidden="1" xr:uid="{9CDB06C7-9F3F-4367-86D0-2893B68D8EDE}"/>
    <cellStyle name="20 % - Akzent1" xfId="10319" hidden="1" xr:uid="{032810BB-F021-47B9-85A0-304F55619E69}"/>
    <cellStyle name="20 % - Akzent1" xfId="10450" hidden="1" xr:uid="{3E139D29-CFE4-46FF-8304-F68E66FC8912}"/>
    <cellStyle name="20 % - Akzent1" xfId="11696" hidden="1" xr:uid="{DE01DDD1-D09B-4DDA-B69D-822838EE59F0}"/>
    <cellStyle name="20 % - Akzent1" xfId="12765" hidden="1" xr:uid="{FECAF590-6E89-423A-8A9C-36906A2C6DC7}"/>
    <cellStyle name="20 % - Akzent1" xfId="11558" hidden="1" xr:uid="{4A843904-1434-45EA-8C15-D46921DAB4F0}"/>
    <cellStyle name="20 % - Akzent1" xfId="13925" hidden="1" xr:uid="{37606705-084E-420B-9643-35F35A0D0467}"/>
    <cellStyle name="20 % - Akzent1" xfId="14271" hidden="1" xr:uid="{7DAA5286-D5C8-44F8-B855-DB0719D1DD16}"/>
    <cellStyle name="20 % - Akzent1" xfId="14770" hidden="1" xr:uid="{00CD6EB9-D00F-4D6A-A1C4-AA580FDF1C34}"/>
    <cellStyle name="20 % - Akzent1" xfId="15129" hidden="1" xr:uid="{12232FBA-F79D-4C2D-8AD6-E68D29107E33}"/>
    <cellStyle name="20 % - Akzent1" xfId="14740" hidden="1" xr:uid="{4AE21637-4C15-4AD3-B4A8-DA6C3D4EC29A}"/>
    <cellStyle name="20 % - Akzent1" xfId="15114" hidden="1" xr:uid="{15EF122C-1A47-4CCB-864B-C7B361E6D757}"/>
    <cellStyle name="20 % - Akzent1" xfId="15420" hidden="1" xr:uid="{8C88CC9F-2C8F-4BEB-B122-892BDF216597}"/>
    <cellStyle name="20 % - Akzent1" xfId="14757" hidden="1" xr:uid="{C283EAC4-B15B-486A-8644-74588A9D2F9D}"/>
    <cellStyle name="20 % - Akzent1" xfId="15737" hidden="1" xr:uid="{CF102E2C-730D-4A39-9CF9-7BE37068846E}"/>
    <cellStyle name="20 % - Akzent1" xfId="16097" hidden="1" xr:uid="{20EB7F56-2387-4D3B-A09B-F4D275A47BB5}"/>
    <cellStyle name="20 % - Akzent1" xfId="16205" hidden="1" xr:uid="{9701A089-638D-4CD1-AA2E-7DB0F4D0D207}"/>
    <cellStyle name="20 % - Akzent1" xfId="16368" hidden="1" xr:uid="{835146FC-210C-4097-AAA0-6721459244FD}"/>
    <cellStyle name="20 % - Akzent1" xfId="16144" hidden="1" xr:uid="{ADF73FF1-D043-4887-ABE6-82ACA8C8DFC8}"/>
    <cellStyle name="20 % - Akzent1" xfId="17530" hidden="1" xr:uid="{D31EDBAF-E717-4281-A616-237FD3BE98B0}"/>
    <cellStyle name="20 % - Akzent1" xfId="17916" hidden="1" xr:uid="{6737D948-6FB9-47CD-A3A9-7C9ABB138AF3}"/>
    <cellStyle name="20 % - Akzent1" xfId="17907" hidden="1" xr:uid="{BB3AC98F-4E51-417A-A8C1-5DEB190EA0A5}"/>
    <cellStyle name="20 % - Akzent1" xfId="18059" hidden="1" xr:uid="{8A0C5695-81AA-4148-B020-CDD14D65B7A2}"/>
    <cellStyle name="20 % - Akzent1" xfId="18006" hidden="1" xr:uid="{FB6A405F-10F9-4A77-AAD0-396116EE2B88}"/>
    <cellStyle name="20 % - Akzent1" xfId="19430" hidden="1" xr:uid="{7A7C3148-C5CD-47FB-A287-4CDACE615474}"/>
    <cellStyle name="20 % - Akzent1" xfId="19538" hidden="1" xr:uid="{992F856F-BAAF-420E-89D4-87FF55C47445}"/>
    <cellStyle name="20 % - Akzent1" xfId="20368" hidden="1" xr:uid="{B42364ED-404C-4258-95A1-9E7C3C3D6D53}"/>
    <cellStyle name="20 % - Akzent1" xfId="20440" hidden="1" xr:uid="{1FD61E86-4899-4F3E-9E1F-DFD9841FC2A1}"/>
    <cellStyle name="20 % - Akzent1" xfId="20561" hidden="1" xr:uid="{FF3FDCDD-D307-4DCE-8444-2CDC0AB06397}"/>
    <cellStyle name="20 % - Akzent1" xfId="21186" hidden="1" xr:uid="{87652C3C-B04D-40DF-9489-54FA42919C4F}"/>
    <cellStyle name="20 % - Akzent1" xfId="21463" hidden="1" xr:uid="{3DDFB5B8-9098-4609-9AA5-7FBC6A24E514}"/>
    <cellStyle name="20 % - Akzent1" xfId="22359" hidden="1" xr:uid="{67199E39-DC54-4E63-B1B9-DD2D21788026}"/>
    <cellStyle name="20 % - Akzent1" xfId="22612" hidden="1" xr:uid="{9952A307-4F8E-4115-AB99-1592143C58BB}"/>
    <cellStyle name="20 % - Akzent1" xfId="21799" hidden="1" xr:uid="{AF223D29-ADCE-43FF-B2B9-3C21D81B1687}"/>
    <cellStyle name="20 % - Akzent1" xfId="22975" hidden="1" xr:uid="{FD11CCDA-F45B-43EC-B600-21011D847391}"/>
    <cellStyle name="20 % - Akzent1" xfId="23448" hidden="1" xr:uid="{E1732422-43B5-4EBC-AFEE-CD664580F80E}"/>
    <cellStyle name="20 % - Akzent1" xfId="23701" hidden="1" xr:uid="{BEB1F298-0D9A-4D3B-8F06-B0B937BB6914}"/>
    <cellStyle name="20 % - Akzent1" xfId="23580" hidden="1" xr:uid="{B6CDEABD-536C-4193-8E43-13FD56BE163B}"/>
    <cellStyle name="20 % - Akzent1" xfId="24414" hidden="1" xr:uid="{90CBB152-6977-4E28-A982-05122BD77599}"/>
    <cellStyle name="20 % - Akzent1" xfId="24113" hidden="1" xr:uid="{672AFE0D-066B-4EB9-977E-4EF03DFC21F0}"/>
    <cellStyle name="20 % - Akzent1" xfId="26152" hidden="1" xr:uid="{C0A7B4B9-AAE8-4E03-8443-4A771641DB33}"/>
    <cellStyle name="20 % - Akzent1" xfId="25189" hidden="1" xr:uid="{4D90FEE0-CB57-43AB-AF14-3BAD8EE348FD}"/>
    <cellStyle name="20 % - Akzent1" xfId="26370" hidden="1" xr:uid="{CFF9AC1D-DAA6-481A-A5A0-78CFAA739823}"/>
    <cellStyle name="20 % - Akzent1" xfId="24127" hidden="1" xr:uid="{231DFE70-469C-49C4-8D72-BD5E7462324A}"/>
    <cellStyle name="20 % - Akzent1" xfId="26406" hidden="1" xr:uid="{0E1CC277-CC9A-48EB-97FC-85EF0AB7F2EC}"/>
    <cellStyle name="20 % - Akzent1" xfId="24594" hidden="1" xr:uid="{6F6BB70A-8441-409E-905B-2790D0BFF20F}"/>
    <cellStyle name="20 % - Akzent1" xfId="27653" hidden="1" xr:uid="{6D76F650-F0CA-4559-9CE5-40D739DCD27B}"/>
    <cellStyle name="20 % - Akzent1" xfId="27854" hidden="1" xr:uid="{A525360F-D36E-45DB-AF0B-7A482B685A31}"/>
    <cellStyle name="20 % - Akzent1" xfId="28206" hidden="1" xr:uid="{4B748670-99FB-41A2-9470-33EB94154194}"/>
    <cellStyle name="20 % - Akzent1" xfId="28218" hidden="1" xr:uid="{0B404864-6899-4E41-ACE3-736E6C61BAF7}"/>
    <cellStyle name="20 % - Akzent1" xfId="29508" hidden="1" xr:uid="{0631D364-5F91-4C5A-8E4E-5B4644510938}"/>
    <cellStyle name="20 % - Akzent1" xfId="30426" hidden="1" xr:uid="{F35A4510-5D21-421C-B924-0D7E4FA79C1C}"/>
    <cellStyle name="20 % - Akzent1" xfId="30967" hidden="1" xr:uid="{83752748-6731-481A-BD1D-0050705EA52B}"/>
    <cellStyle name="20 % - Akzent1" xfId="31641" hidden="1" xr:uid="{1A778883-4318-429E-8E12-14E6EDE84921}"/>
    <cellStyle name="20 % - Akzent1" xfId="31504" hidden="1" xr:uid="{BAE5A0B0-C9DB-498A-8E41-E346A646C739}"/>
    <cellStyle name="20 % - Akzent1" xfId="32281" hidden="1" xr:uid="{90149272-AD1F-464A-BF82-94E3FAF1F0D6}"/>
    <cellStyle name="20 % - Akzent1" xfId="32186" hidden="1" xr:uid="{3EDCE717-24B9-4483-B28E-D178167EAB51}"/>
    <cellStyle name="20 % - Akzent1" xfId="31507" hidden="1" xr:uid="{5A3ABC3D-DEAC-410F-856E-F3DF81E5EE49}"/>
    <cellStyle name="20 % - Akzent1" xfId="31461" hidden="1" xr:uid="{A635D3EA-D691-41E1-843C-0D9064C08255}"/>
    <cellStyle name="20 % - Akzent1" xfId="30941" hidden="1" xr:uid="{6E6611BA-F217-4057-8B70-658B8BC7F1A5}"/>
    <cellStyle name="20 % - Akzent1" xfId="29298" hidden="1" xr:uid="{11817FDA-8E4A-4D5D-BE28-16F3E0926E8B}"/>
    <cellStyle name="20 % - Akzent1" xfId="29399" hidden="1" xr:uid="{895F248C-B80B-4029-8271-BCBDA724B198}"/>
    <cellStyle name="20 % - Akzent1" xfId="28296" hidden="1" xr:uid="{8794998E-31E0-4599-B777-2D108620D8B2}"/>
    <cellStyle name="20 % - Akzent1" xfId="27944" hidden="1" xr:uid="{0A497394-E9A8-4D0F-81CB-578C9AAEB9CF}"/>
    <cellStyle name="20 % - Akzent1" xfId="27609" hidden="1" xr:uid="{059DB773-82B8-4820-90F8-944CE11A1D39}"/>
    <cellStyle name="20 % - Akzent1" xfId="27613" hidden="1" xr:uid="{519CE584-FB57-42D7-A935-6E308927F1F6}"/>
    <cellStyle name="20 % - Akzent1" xfId="25065" hidden="1" xr:uid="{EA36ECD7-7375-42CD-A9A5-4C17EBD01676}"/>
    <cellStyle name="20 % - Akzent1" xfId="26443" hidden="1" xr:uid="{FD76FC24-9D09-4E9B-9C1B-949EBCA18A12}"/>
    <cellStyle name="20 % - Akzent1" xfId="26063" hidden="1" xr:uid="{D51E272E-3252-46AC-B821-BBF482BC80F3}"/>
    <cellStyle name="20 % - Akzent1" xfId="25366" hidden="1" xr:uid="{8AB71810-6150-4004-B5B6-F283DFED8BF7}"/>
    <cellStyle name="20 % - Akzent1" xfId="25084" hidden="1" xr:uid="{C8AE91B0-75DA-4AE0-861D-AB6B32B23DBA}"/>
    <cellStyle name="20 % - Akzent1" xfId="25390" hidden="1" xr:uid="{26585E32-1D86-48CD-A1A1-F665B1A6F461}"/>
    <cellStyle name="20 % - Akzent1" xfId="25301" hidden="1" xr:uid="{58D15408-52B2-4A39-AA86-D8C08C56BD37}"/>
    <cellStyle name="20 % - Akzent1" xfId="24153" hidden="1" xr:uid="{201E721B-F608-4FE5-A315-6A0E53FDFE91}"/>
    <cellStyle name="20 % - Akzent1" xfId="23384" hidden="1" xr:uid="{700BE844-3E7F-4392-A84A-A25956917EAC}"/>
    <cellStyle name="20 % - Akzent1" xfId="22810" hidden="1" xr:uid="{14F48D31-6114-40BE-A5EC-4FBD2BABB7F1}"/>
    <cellStyle name="20 % - Akzent1" xfId="23326" hidden="1" xr:uid="{30E1BD18-180F-475B-A8E6-C1E25DB25A69}"/>
    <cellStyle name="20 % - Akzent1" xfId="21731" hidden="1" xr:uid="{32895DAD-8B1C-4045-9B3D-D01C0FD13026}"/>
    <cellStyle name="20 % - Akzent1" xfId="22168" hidden="1" xr:uid="{22F3BED8-481F-4CFE-8DA3-204E588AA755}"/>
    <cellStyle name="20 % - Akzent1" xfId="22452" hidden="1" xr:uid="{D3E344E5-09C2-4A78-B448-7316A0D4BF24}"/>
    <cellStyle name="20 % - Akzent1" xfId="22237" hidden="1" xr:uid="{F168C02B-7BCE-421A-8B5C-2FE87FE4D542}"/>
    <cellStyle name="20 % - Akzent1" xfId="21945" hidden="1" xr:uid="{1F8087F8-3E22-47BD-80DA-39E549E12A28}"/>
    <cellStyle name="20 % - Akzent1" xfId="20331" hidden="1" xr:uid="{A03C4A1F-1EBC-4640-9EC7-92196ABA3E00}"/>
    <cellStyle name="20 % - Akzent1" xfId="21253" hidden="1" xr:uid="{79B597AE-1793-4FEC-A33D-A6EB9AA9C663}"/>
    <cellStyle name="20 % - Akzent1" xfId="21014" hidden="1" xr:uid="{3489BE70-2481-491A-9D56-985421092BDF}"/>
    <cellStyle name="20 % - Akzent1" xfId="20742" hidden="1" xr:uid="{C609D457-FDDC-496D-855F-19E54EBF6B03}"/>
    <cellStyle name="20 % - Akzent1" xfId="19725" hidden="1" xr:uid="{E7B72257-8690-49E2-8FB6-51FABFFFC212}"/>
    <cellStyle name="20 % - Akzent1" xfId="17830" hidden="1" xr:uid="{BE16FCA4-6C56-4E9A-AB99-C1FA6CDA6D14}"/>
    <cellStyle name="20 % - Akzent1" xfId="17892" hidden="1" xr:uid="{78FC365D-2BAF-496C-A5FF-3D510536EDBE}"/>
    <cellStyle name="20 % - Akzent1" xfId="17102" hidden="1" xr:uid="{86A35A44-CA31-4DF6-BC7C-A6363B9E9301}"/>
    <cellStyle name="20 % - Akzent1" xfId="18369" hidden="1" xr:uid="{C44FBA2A-375C-4B2B-8298-C320190B9089}"/>
    <cellStyle name="20 % - Akzent1" xfId="17922" hidden="1" xr:uid="{BE2390E7-C1F2-48F4-94D1-E1504B51F32D}"/>
    <cellStyle name="20 % - Akzent1" xfId="17579" hidden="1" xr:uid="{27D4641F-6E46-4495-8C5E-D9CC0331A731}"/>
    <cellStyle name="20 % - Akzent1" xfId="17654" hidden="1" xr:uid="{DFB9C302-700F-4632-B5A7-EE89E11BE43D}"/>
    <cellStyle name="20 % - Akzent1" xfId="16471" hidden="1" xr:uid="{377180E7-3CBA-4846-A5D1-3F009E095050}"/>
    <cellStyle name="20 % - Akzent1" xfId="16391" hidden="1" xr:uid="{B21C92D7-592E-430C-921A-E758A8B328D5}"/>
    <cellStyle name="20 % - Akzent1" xfId="16032" hidden="1" xr:uid="{4C837CDB-73B6-4396-96FC-87F80E4EF5D0}"/>
    <cellStyle name="20 % - Akzent1" xfId="15921" hidden="1" xr:uid="{348C3954-4046-4A3B-AD42-F73D20033E13}"/>
    <cellStyle name="20 % - Akzent1" xfId="15544" hidden="1" xr:uid="{1DCE00A7-B761-4E56-8B7D-FFD8A0A61F7D}"/>
    <cellStyle name="20 % - Akzent1" xfId="14338" hidden="1" xr:uid="{6716AA84-34B0-4186-AE30-74DB0418BF02}"/>
    <cellStyle name="20 % - Akzent1" xfId="15048" hidden="1" xr:uid="{4B4F0581-E9E7-45EC-A5DB-72C27384F788}"/>
    <cellStyle name="20 % - Akzent1" xfId="13810" hidden="1" xr:uid="{3CB6CA4A-9FEF-4A63-8085-D9F8F0A74CAA}"/>
    <cellStyle name="20 % - Akzent1" xfId="14831" hidden="1" xr:uid="{C1A7FD99-684C-430D-B4D9-99EC483BC645}"/>
    <cellStyle name="20 % - Akzent1" xfId="14032" hidden="1" xr:uid="{061DAE2B-7A02-444F-B82A-790A0E1C8557}"/>
    <cellStyle name="20 % - Akzent1" xfId="14175" hidden="1" xr:uid="{A0895750-4A85-469D-972B-81BCC6A57A32}"/>
    <cellStyle name="20 % - Akzent1" xfId="11354" hidden="1" xr:uid="{26AFBB35-4E61-4A6E-8E6B-F496CF9D64D7}"/>
    <cellStyle name="20 % - Akzent1" xfId="12521" hidden="1" xr:uid="{9C224904-6D53-4590-A290-B03E6923E449}"/>
    <cellStyle name="20 % - Akzent1" xfId="11798" hidden="1" xr:uid="{6BE3A272-5FD1-4EDF-9CA3-AA8354517F7B}"/>
    <cellStyle name="20 % - Akzent1" xfId="11406" hidden="1" xr:uid="{C3CDAFC2-F8F9-4893-A532-C59F8C87A486}"/>
    <cellStyle name="20 % - Akzent1" xfId="10566" hidden="1" xr:uid="{6FA4F72E-BF29-4746-A89F-085FCC002E59}"/>
    <cellStyle name="20 % - Akzent1" xfId="11058" hidden="1" xr:uid="{94E4CC56-9920-48C7-BC62-19A78D97B79A}"/>
    <cellStyle name="20 % - Akzent1" xfId="11065" hidden="1" xr:uid="{5B326178-8D46-49FD-AF34-361F2E60A94F}"/>
    <cellStyle name="20 % - Akzent1" xfId="10073" hidden="1" xr:uid="{BF5F0A3B-1C69-4DE8-9D31-D7B868BD2A5B}"/>
    <cellStyle name="20 % - Akzent1" xfId="10505" hidden="1" xr:uid="{983437BD-2DC7-4FE4-9A77-043B32B2AC34}"/>
    <cellStyle name="20 % - Akzent1" xfId="9365" hidden="1" xr:uid="{CD02959C-01CE-4357-A6FE-CED61F317E6C}"/>
    <cellStyle name="20 % - Akzent1" xfId="9282" hidden="1" xr:uid="{86E544E0-8B63-4B2A-AEDF-D1AE62D42CB3}"/>
    <cellStyle name="20 % - Akzent1" xfId="8721" hidden="1" xr:uid="{C68ADB80-5187-40C0-A964-E20683175CA7}"/>
    <cellStyle name="20 % - Akzent1" xfId="7098" hidden="1" xr:uid="{AA0ABC9D-5E6B-439F-A66A-47B284B34FE0}"/>
    <cellStyle name="20 % - Akzent1" xfId="7948" hidden="1" xr:uid="{EB678377-9A22-47CC-821D-4B7CB7CCCB12}"/>
    <cellStyle name="20 % - Akzent1" xfId="8437" hidden="1" xr:uid="{DD0185EF-1F96-4882-9DC8-CB74B117A3BC}"/>
    <cellStyle name="20 % - Akzent1" xfId="7623" hidden="1" xr:uid="{1A17BC72-E09E-44A0-A4C5-47C94B9841FB}"/>
    <cellStyle name="20 % - Akzent1" xfId="8191" hidden="1" xr:uid="{730FDA01-345D-4560-B8D8-BF99D8D7CA86}"/>
    <cellStyle name="20 % - Akzent1" xfId="7390" hidden="1" xr:uid="{2CA79D46-C98A-4896-A71C-1827E13F5F16}"/>
    <cellStyle name="20 % - Akzent1" xfId="7896" hidden="1" xr:uid="{FA375DF9-5A5F-4DB3-A31D-823CF2A1A3FD}"/>
    <cellStyle name="20 % - Akzent1" xfId="7995" hidden="1" xr:uid="{33FD2A00-640B-4F15-943B-33A26A730D35}"/>
    <cellStyle name="20 % - Akzent1" xfId="7046" hidden="1" xr:uid="{7FB38AE0-C40E-40A4-8B9D-265A5FAF6B42}"/>
    <cellStyle name="20 % - Akzent1" xfId="6889" hidden="1" xr:uid="{1AAAE2C1-1A04-4910-927B-7F695EB58E90}"/>
    <cellStyle name="20 % - Akzent1" xfId="6788" hidden="1" xr:uid="{35A405E3-DE8E-4A8D-B239-5E6D0A563EC1}"/>
    <cellStyle name="20 % - Akzent1" xfId="3154" hidden="1" xr:uid="{A7A0B666-7462-4D0A-B644-4FEC81EFE244}"/>
    <cellStyle name="20 % - Akzent1" xfId="6064" hidden="1" xr:uid="{012A4FF4-027E-4905-BCD5-3919A38AC480}"/>
    <cellStyle name="20 % - Akzent1" xfId="6479" hidden="1" xr:uid="{2DF0F4E6-5E3A-41F3-9FA2-3E8615DF59A1}"/>
    <cellStyle name="20 % - Akzent1" xfId="6544" hidden="1" xr:uid="{80406ADC-2C13-4D92-B4E1-FC9F4A126D64}"/>
    <cellStyle name="20 % - Akzent1" xfId="5944" hidden="1" xr:uid="{C0403B0E-4C0B-4855-86A4-21B7782B4A76}"/>
    <cellStyle name="20 % - Akzent1" xfId="3512" hidden="1" xr:uid="{D0BC5130-C255-4A41-BB3E-83B952557AFF}"/>
    <cellStyle name="20 % - Akzent1" xfId="5097" hidden="1" xr:uid="{44EB42CF-6503-49B3-AA26-052EC5839483}"/>
    <cellStyle name="20 % - Akzent1" xfId="4770" hidden="1" xr:uid="{B7342BA6-5953-4143-A0A2-AE2277A8923B}"/>
    <cellStyle name="20 % - Akzent1" xfId="4955" hidden="1" xr:uid="{B7487F9C-3318-4189-A2C4-F8C7C30BF615}"/>
    <cellStyle name="20 % - Akzent1" xfId="4261" hidden="1" xr:uid="{BD0E42BE-AF47-4AC7-A3C1-BDE4117C0680}"/>
    <cellStyle name="20 % - Akzent1" xfId="3281" hidden="1" xr:uid="{3B27D3C3-3124-4446-8ECA-02E0C0E74D9C}"/>
    <cellStyle name="20 % - Akzent1" xfId="3053" hidden="1" xr:uid="{D15594E5-71B7-4754-91A1-47DE062F54E8}"/>
    <cellStyle name="20 % - Akzent1" xfId="1925" hidden="1" xr:uid="{E1525C48-9F8C-488E-A05D-5F10E7C22672}"/>
    <cellStyle name="20 % - Akzent1" xfId="3093" hidden="1" xr:uid="{62D216E4-A557-48AD-A453-EC223B299695}"/>
    <cellStyle name="20 % - Akzent1" xfId="1978" hidden="1" xr:uid="{2789AF9E-E4A4-49CE-948B-DFE8FD723D79}"/>
    <cellStyle name="20 % - Akzent1" xfId="1874" hidden="1" xr:uid="{81367C3D-234E-4B04-A0A1-F2099FC5BCD1}"/>
    <cellStyle name="20 % - Akzent1" xfId="1391" hidden="1" xr:uid="{5DB6C647-25B7-45F3-AB4B-1D3708E37156}"/>
    <cellStyle name="20 % - Akzent1" xfId="897" hidden="1" xr:uid="{742B2FB3-88C1-440E-ABD5-31D2E15EAE69}"/>
    <cellStyle name="20 % - Akzent1" xfId="50" hidden="1" xr:uid="{4CF27CCE-BDB1-477C-8444-DAF4AD78D0BB}"/>
    <cellStyle name="20 % - Akzent1 2" xfId="373" xr:uid="{F49C62F8-48F9-4014-B7E0-85FCD17B02E0}"/>
    <cellStyle name="20 % - Akzent1 3" xfId="242" xr:uid="{AF4F0FC3-D995-4C50-A4D6-5A767FDD2CD1}"/>
    <cellStyle name="20 % - Akzent2" xfId="9280" hidden="1" xr:uid="{6807931A-6650-4788-9E8A-D28E299DFE23}"/>
    <cellStyle name="20 % - Akzent2" xfId="9869" hidden="1" xr:uid="{E5ADAD55-DF55-468C-8C02-CE96784BFF46}"/>
    <cellStyle name="20 % - Akzent2" xfId="9886" hidden="1" xr:uid="{F4C1F956-DAEB-4877-A991-C970619ACC59}"/>
    <cellStyle name="20 % - Akzent2" xfId="9256" hidden="1" xr:uid="{368FC2A7-9E24-409D-9536-FE4F357C3D5C}"/>
    <cellStyle name="20 % - Akzent2" xfId="10892" hidden="1" xr:uid="{82232495-8BB2-4EB9-A22E-F00BE528F611}"/>
    <cellStyle name="20 % - Akzent2" xfId="10089" hidden="1" xr:uid="{E3A574FE-95AF-47B0-A32B-A3149F4429CB}"/>
    <cellStyle name="20 % - Akzent2" xfId="11170" hidden="1" xr:uid="{4B9AD731-0DC9-41EA-9110-6F057577A7E2}"/>
    <cellStyle name="20 % - Akzent2" xfId="11055" hidden="1" xr:uid="{C9B4D95E-AE7A-4916-976D-09DB9723B59A}"/>
    <cellStyle name="20 % - Akzent2" xfId="10398" hidden="1" xr:uid="{0D064C35-7B32-4431-8165-56A370864E6A}"/>
    <cellStyle name="20 % - Akzent2" xfId="11212" hidden="1" xr:uid="{DE94DFA7-AF6C-493D-9D86-CD03803F31C5}"/>
    <cellStyle name="20 % - Akzent2" xfId="11410" hidden="1" xr:uid="{0E367D8F-372B-4C50-9C2E-78858EAFCA99}"/>
    <cellStyle name="20 % - Akzent2" xfId="11694" hidden="1" xr:uid="{3F552579-0CB4-40A0-B5A5-F453FECF78FF}"/>
    <cellStyle name="20 % - Akzent2" xfId="12255" hidden="1" xr:uid="{AFDECB40-B477-433B-B0CB-B49FAA097657}"/>
    <cellStyle name="20 % - Akzent2" xfId="12267" hidden="1" xr:uid="{7B2F5AB0-5854-4F9C-A4B0-562115D91C8C}"/>
    <cellStyle name="20 % - Akzent2" xfId="11724" hidden="1" xr:uid="{8D9806CB-4614-44D6-8EF9-0A0D4EDD7DCF}"/>
    <cellStyle name="20 % - Akzent2" xfId="13957" hidden="1" xr:uid="{6E73FB6A-0557-467B-9B85-58683E16B792}"/>
    <cellStyle name="20 % - Akzent2" xfId="14436" hidden="1" xr:uid="{6463CBB8-D386-4EA1-B26A-28FD70457595}"/>
    <cellStyle name="20 % - Akzent2" xfId="14170" hidden="1" xr:uid="{3CA643D6-837D-4883-BA69-2D1F56BCB12D}"/>
    <cellStyle name="20 % - Akzent2" xfId="14162" hidden="1" xr:uid="{BDCF76F2-0918-4C45-8E15-1DE798E08C2A}"/>
    <cellStyle name="20 % - Akzent2" xfId="14672" hidden="1" xr:uid="{B2FA0079-386F-48B0-A809-870BCB298982}"/>
    <cellStyle name="20 % - Akzent2" xfId="14971" hidden="1" xr:uid="{BE034AE8-57C7-4AFD-95FF-1E07FB3C8712}"/>
    <cellStyle name="20 % - Akzent2" xfId="14186" hidden="1" xr:uid="{DFF22D0C-F637-4DFF-8116-D6AAEE74FBFA}"/>
    <cellStyle name="20 % - Akzent2" xfId="12332" hidden="1" xr:uid="{B43611E1-85A7-426C-ACEC-7FCB780B385F}"/>
    <cellStyle name="20 % - Akzent2" xfId="14941" hidden="1" xr:uid="{2BA247E2-1767-48C3-952B-F5385AAE2FAC}"/>
    <cellStyle name="20 % - Akzent2" xfId="15529" hidden="1" xr:uid="{114FD9D5-3D94-474C-899E-07132230C14E}"/>
    <cellStyle name="20 % - Akzent2" xfId="15127" hidden="1" xr:uid="{F5DC9E84-011F-4304-AB54-413545F29DB7}"/>
    <cellStyle name="20 % - Akzent2" xfId="14917" hidden="1" xr:uid="{9001D5F4-DCDA-4CDD-8761-A349A4A6D979}"/>
    <cellStyle name="20 % - Akzent2" xfId="15754" hidden="1" xr:uid="{96EEB4EF-3BF8-40A7-90D6-70E41B330E6A}"/>
    <cellStyle name="20 % - Akzent2" xfId="15691" hidden="1" xr:uid="{4DEDF318-F1A2-431B-AC82-B2B98A67359B}"/>
    <cellStyle name="20 % - Akzent2" xfId="16101" hidden="1" xr:uid="{F5EC6C5A-2CEF-4370-87D6-FF8DCEC6F3DC}"/>
    <cellStyle name="20 % - Akzent2" xfId="16389" hidden="1" xr:uid="{51267E0A-F635-4731-B43E-E42242BF972A}"/>
    <cellStyle name="20 % - Akzent2" xfId="16984" hidden="1" xr:uid="{0325B303-C21C-401F-9E7E-5B91C7F8A7B3}"/>
    <cellStyle name="20 % - Akzent2" xfId="17283" hidden="1" xr:uid="{B31D94ED-A35D-4A34-8F1B-EB3D4DA3DB06}"/>
    <cellStyle name="20 % - Akzent2" xfId="16366" hidden="1" xr:uid="{B5DE9E45-EDF4-4719-AFFA-38419F670AB7}"/>
    <cellStyle name="20 % - Akzent2" xfId="18194" hidden="1" xr:uid="{CBDF61C2-79A2-405F-B549-F50BE9BB0780}"/>
    <cellStyle name="20 % - Akzent2" xfId="17921" hidden="1" xr:uid="{60534E41-9767-4D22-A3FA-A7064E2D680C}"/>
    <cellStyle name="20 % - Akzent2" xfId="18070" hidden="1" xr:uid="{45060E2B-B752-4D8D-BB9C-6444D21FAD4A}"/>
    <cellStyle name="20 % - Akzent2" xfId="17941" hidden="1" xr:uid="{407A3CB8-F7F6-4376-BF28-6256E220A83E}"/>
    <cellStyle name="20 % - Akzent2" xfId="18292" hidden="1" xr:uid="{D7FE24F1-0241-4942-9024-CAFA4B7BA310}"/>
    <cellStyle name="20 % - Akzent2" xfId="19042" hidden="1" xr:uid="{849A54A1-8240-42CE-9A74-F84DCD041B87}"/>
    <cellStyle name="20 % - Akzent2" xfId="18988" hidden="1" xr:uid="{4F2380F8-09A8-4BFF-9204-1B997FB8C965}"/>
    <cellStyle name="20 % - Akzent2" xfId="19145" hidden="1" xr:uid="{E17F03BD-5FDD-411F-81E9-4B77C094EF96}"/>
    <cellStyle name="20 % - Akzent2" xfId="19267" hidden="1" xr:uid="{EA049BB3-AC76-484A-AC5A-6B9E0BDE739A}"/>
    <cellStyle name="20 % - Akzent2" xfId="19723" hidden="1" xr:uid="{AE29E81C-B251-4871-B89E-DCFD9C74E4CD}"/>
    <cellStyle name="20 % - Akzent2" xfId="20298" hidden="1" xr:uid="{A2BC7265-0D2E-4A4B-9CC5-BE3A85195BCE}"/>
    <cellStyle name="20 % - Akzent2" xfId="19664" hidden="1" xr:uid="{D87F74A8-EAD5-4AB2-84D3-F85DF112424A}"/>
    <cellStyle name="20 % - Akzent2" xfId="19704" hidden="1" xr:uid="{B5040986-7896-41A8-BBEC-9BE7E9ED5D90}"/>
    <cellStyle name="20 % - Akzent2" xfId="21276" hidden="1" xr:uid="{D45C2796-BD85-4A20-A338-D795C25530F0}"/>
    <cellStyle name="20 % - Akzent2" xfId="21291" hidden="1" xr:uid="{2A385ED9-3FF7-44BD-B61A-E84DA9444036}"/>
    <cellStyle name="20 % - Akzent2" xfId="21002" hidden="1" xr:uid="{4C588DF7-4689-4590-A06F-9D73079D91F0}"/>
    <cellStyle name="20 % - Akzent2" xfId="21226" hidden="1" xr:uid="{EBA8D740-8066-467A-93D3-ACEF951CC1D2}"/>
    <cellStyle name="20 % - Akzent2" xfId="21572" hidden="1" xr:uid="{5F55EA4C-DD00-4663-8C9A-2917886FDA2B}"/>
    <cellStyle name="20 % - Akzent2" xfId="22394" hidden="1" xr:uid="{4C44E7E6-986A-422F-AD2B-07A7E8044C90}"/>
    <cellStyle name="20 % - Akzent2" xfId="20335" hidden="1" xr:uid="{897AB9E8-EFC0-4A98-8DDB-8300BDED6040}"/>
    <cellStyle name="20 % - Akzent2" xfId="22931" hidden="1" xr:uid="{894E77FA-0ED4-470A-AE89-0FE664CBECD6}"/>
    <cellStyle name="20 % - Akzent2" xfId="22928" hidden="1" xr:uid="{FBF72E36-1C9A-44BF-8122-10BEB2367704}"/>
    <cellStyle name="20 % - Akzent2" xfId="23319" hidden="1" xr:uid="{B60A9554-5360-4576-AB83-3797EF029DE9}"/>
    <cellStyle name="20 % - Akzent2" xfId="23090" hidden="1" xr:uid="{1B300368-9C37-44AC-9C7D-EB52F2C04D33}"/>
    <cellStyle name="20 % - Akzent2" xfId="23457" hidden="1" xr:uid="{59025ADB-3991-4B49-B9C1-CFECE4594C8F}"/>
    <cellStyle name="20 % - Akzent2" xfId="23465" hidden="1" xr:uid="{9F0C082E-8999-4BC3-B40C-0F36F4F2F6EC}"/>
    <cellStyle name="20 % - Akzent2" xfId="23563" hidden="1" xr:uid="{B460557C-AD64-4BE1-854F-D9F0B2DD191D}"/>
    <cellStyle name="20 % - Akzent2" xfId="23546" hidden="1" xr:uid="{78279D09-6521-4BBD-AD1E-B0E109E45E1A}"/>
    <cellStyle name="20 % - Akzent2" xfId="24094" hidden="1" xr:uid="{BAD62BA4-0D3F-4E93-8D36-01439F2010BB}"/>
    <cellStyle name="20 % - Akzent2" xfId="24156" hidden="1" xr:uid="{6269D520-859B-4EF0-98E7-1F1AF81CA80A}"/>
    <cellStyle name="20 % - Akzent2" xfId="24496" hidden="1" xr:uid="{82BA50DB-855B-412F-8CD6-97C259C0898B}"/>
    <cellStyle name="20 % - Akzent2" xfId="25123" hidden="1" xr:uid="{AB66ED7E-B096-4842-859D-04A4BAB1FCC6}"/>
    <cellStyle name="20 % - Akzent2" xfId="25289" hidden="1" xr:uid="{42ADFCD6-5B9C-4D90-8841-A1421DE31354}"/>
    <cellStyle name="20 % - Akzent2" xfId="25198" hidden="1" xr:uid="{40BE7735-EFBB-4536-874E-33EBB3474F64}"/>
    <cellStyle name="20 % - Akzent2" xfId="26101" hidden="1" xr:uid="{278E42DE-BF5A-44BB-973C-A7ED665FBEEA}"/>
    <cellStyle name="20 % - Akzent2" xfId="26271" hidden="1" xr:uid="{409CE69B-5009-46CD-A1D8-E99DC6EF52B7}"/>
    <cellStyle name="20 % - Akzent2" xfId="26410" hidden="1" xr:uid="{4E067660-E911-4BF8-9116-075CED14FB08}"/>
    <cellStyle name="20 % - Akzent2" xfId="25961" hidden="1" xr:uid="{B9888E27-D245-49D7-89F0-DB5C51A51BC4}"/>
    <cellStyle name="20 % - Akzent2" xfId="24510" hidden="1" xr:uid="{FE0291FF-AE18-4F74-A7FF-C9F859618581}"/>
    <cellStyle name="20 % - Akzent2" xfId="25971" hidden="1" xr:uid="{6D96CC59-DC8A-42D5-9AC3-F3E8B0DFB9B1}"/>
    <cellStyle name="20 % - Akzent2" xfId="26070" hidden="1" xr:uid="{248A42A3-CECC-463A-80E4-5583F85A40E1}"/>
    <cellStyle name="20 % - Akzent2" xfId="26991" hidden="1" xr:uid="{A09C3C64-D49D-4B86-B0CC-A31DD80BC9ED}"/>
    <cellStyle name="20 % - Akzent2" xfId="27853" hidden="1" xr:uid="{96D2F2DE-EE2A-49C1-AA37-D56244DA5249}"/>
    <cellStyle name="20 % - Akzent2" xfId="27870" hidden="1" xr:uid="{D86BAD0F-5364-480D-A8B2-F2823C360BC2}"/>
    <cellStyle name="20 % - Akzent2" xfId="27948" hidden="1" xr:uid="{62BEA7A0-8283-48AE-B5C0-64A2B7F71917}"/>
    <cellStyle name="20 % - Akzent2" xfId="28742" hidden="1" xr:uid="{A1B931B4-44A0-478F-B47C-EC3E0672C9D2}"/>
    <cellStyle name="20 % - Akzent2" xfId="28275" hidden="1" xr:uid="{97C4B306-C848-429C-A4F7-52CE43F2664A}"/>
    <cellStyle name="20 % - Akzent2" xfId="28776" hidden="1" xr:uid="{24282F0B-A7E5-4733-B5EA-57A8495D3C5B}"/>
    <cellStyle name="20 % - Akzent2" xfId="30012" hidden="1" xr:uid="{FC1448E1-6F2B-4788-A1EC-F126EC9313D6}"/>
    <cellStyle name="20 % - Akzent2" xfId="29443" hidden="1" xr:uid="{E9A041DA-7CB6-41DC-966E-C354283F5B26}"/>
    <cellStyle name="20 % - Akzent2" xfId="28327" hidden="1" xr:uid="{D77075B2-DA03-4B3F-B2FA-5DC44E8951C4}"/>
    <cellStyle name="20 % - Akzent2" xfId="31464" hidden="1" xr:uid="{660F5AC3-7768-4640-89B7-0DC4CF77BF0B}"/>
    <cellStyle name="20 % - Akzent2" xfId="31628" hidden="1" xr:uid="{F3C0394F-09B0-41F0-8B85-36FEF7B0B78A}"/>
    <cellStyle name="20 % - Akzent2" xfId="32129" hidden="1" xr:uid="{E7BA5BAB-F52A-4584-8CA6-85FC44A0D1FA}"/>
    <cellStyle name="20 % - Akzent2" xfId="31621" hidden="1" xr:uid="{A5FEE42B-8559-4AF6-9884-F898C6A785FE}"/>
    <cellStyle name="20 % - Akzent2" xfId="31512" hidden="1" xr:uid="{B01F5D53-B04F-4E32-A47E-6C15F35AB5E0}"/>
    <cellStyle name="20 % - Akzent2" xfId="32227" hidden="1" xr:uid="{12C9B43B-0AF2-434D-8D3E-68A048465B5D}"/>
    <cellStyle name="20 % - Akzent2" xfId="30861" hidden="1" xr:uid="{DD49515C-89DF-4090-9617-2AE18499BCC8}"/>
    <cellStyle name="20 % - Akzent2" xfId="29202" hidden="1" xr:uid="{A144977B-B9EA-40E6-A84F-3E6423931950}"/>
    <cellStyle name="20 % - Akzent2" xfId="28205" hidden="1" xr:uid="{9D2FE586-2F7F-4762-9C85-BC83AF93843E}"/>
    <cellStyle name="20 % - Akzent2" xfId="27885" hidden="1" xr:uid="{FA755AA3-9854-466B-835A-E39B1B875FE7}"/>
    <cellStyle name="20 % - Akzent2" xfId="26155" hidden="1" xr:uid="{4BC39424-20B5-459F-9C43-16B3A2020F89}"/>
    <cellStyle name="20 % - Akzent2" xfId="26576" hidden="1" xr:uid="{219219A8-7B88-495A-BAAA-181CAEA29960}"/>
    <cellStyle name="20 % - Akzent2" xfId="25335" hidden="1" xr:uid="{A866E46F-CC8B-4BAA-99D7-D41F10594823}"/>
    <cellStyle name="20 % - Akzent2" xfId="24520" hidden="1" xr:uid="{9B90C609-8B76-4685-AD96-321212B826A3}"/>
    <cellStyle name="20 % - Akzent2" xfId="23046" hidden="1" xr:uid="{4C5FB436-8285-41DB-A10E-2E2DDE3DB250}"/>
    <cellStyle name="20 % - Akzent2" xfId="23338" hidden="1" xr:uid="{DD3FD981-6E2A-4E6E-A796-C97BB0CB02AD}"/>
    <cellStyle name="20 % - Akzent2" xfId="21507" hidden="1" xr:uid="{602FE1BF-C34E-4D2C-A0A1-3F3B28A597EE}"/>
    <cellStyle name="20 % - Akzent2" xfId="21555" hidden="1" xr:uid="{621F8715-7BAE-4A25-BB1F-7BCCBE511AE1}"/>
    <cellStyle name="20 % - Akzent2" xfId="20585" hidden="1" xr:uid="{FE88A26D-28F8-48A0-87FD-CDAF589C43AE}"/>
    <cellStyle name="20 % - Akzent2" xfId="20327" hidden="1" xr:uid="{ACE24574-AA1F-4CAD-AD74-32871FBA013F}"/>
    <cellStyle name="20 % - Akzent2" xfId="19434" hidden="1" xr:uid="{47F5852D-793B-4610-99AB-1344E05C906C}"/>
    <cellStyle name="20 % - Akzent2" xfId="18817" hidden="1" xr:uid="{DEF3AEB4-BFAB-4D07-B11F-395EED3592DE}"/>
    <cellStyle name="20 % - Akzent2" xfId="18046" hidden="1" xr:uid="{36D9BF91-7987-46F0-8CA0-740283C8D32D}"/>
    <cellStyle name="20 % - Akzent2" xfId="16555" hidden="1" xr:uid="{980AB5A5-AE75-4103-B6AC-69103AA8AC58}"/>
    <cellStyle name="20 % - Akzent2" xfId="16953" hidden="1" xr:uid="{CED624B7-7345-4568-96D5-81F2EA84BFD0}"/>
    <cellStyle name="20 % - Akzent2" xfId="15828" hidden="1" xr:uid="{D91037B2-CA36-4E9D-A66D-B9EB2E61F5E4}"/>
    <cellStyle name="20 % - Akzent2" xfId="14827" hidden="1" xr:uid="{BA97046B-422E-42CA-B3A0-A69A4DD77E0E}"/>
    <cellStyle name="20 % - Akzent2" xfId="14517" hidden="1" xr:uid="{0EF5CE03-1D4D-4994-94DC-105C6B955A82}"/>
    <cellStyle name="20 % - Akzent2" xfId="14214" hidden="1" xr:uid="{2C39E633-A1DC-465D-9BF1-38B46F5F788F}"/>
    <cellStyle name="20 % - Akzent2" xfId="13807" hidden="1" xr:uid="{30A6D6EF-9F6B-4B8E-8FEA-BFADA9EB60AA}"/>
    <cellStyle name="20 % - Akzent2" xfId="11495" hidden="1" xr:uid="{3D017B2B-55C1-4542-8033-E6279CD180C7}"/>
    <cellStyle name="20 % - Akzent2" xfId="9258" hidden="1" xr:uid="{EE3BABAF-2149-47DE-B76B-F55865FDECC5}"/>
    <cellStyle name="20 % - Akzent2" xfId="10780" hidden="1" xr:uid="{314F13A5-1726-4087-97CF-6931A827D61E}"/>
    <cellStyle name="20 % - Akzent2" xfId="10882" hidden="1" xr:uid="{5DD8555D-6CF0-403D-A250-2E217CDA4C1B}"/>
    <cellStyle name="20 % - Akzent2" xfId="9838" hidden="1" xr:uid="{BED9F3E4-ABD2-450D-AB68-F6490BEA5698}"/>
    <cellStyle name="20 % - Akzent2" xfId="3814" hidden="1" xr:uid="{D10A1362-F14B-4991-B2C0-8E4DE9BD8F10}"/>
    <cellStyle name="20 % - Akzent2" xfId="6151" hidden="1" xr:uid="{6EB8C495-F1B4-45F4-80FE-555BC6E89CD9}"/>
    <cellStyle name="20 % - Akzent2" xfId="5697" hidden="1" xr:uid="{78C9EB1F-06D8-4F64-A165-15814384BF44}"/>
    <cellStyle name="20 % - Akzent2" xfId="6351" hidden="1" xr:uid="{74E619C2-71B8-448D-964A-58F93D0F8DC8}"/>
    <cellStyle name="20 % - Akzent2" xfId="5148" hidden="1" xr:uid="{28E358D2-ED2D-42F0-93C8-153CFABB494C}"/>
    <cellStyle name="20 % - Akzent2" xfId="6535" hidden="1" xr:uid="{D746F132-B481-4349-9C4B-7E2FB536AEF2}"/>
    <cellStyle name="20 % - Akzent2" xfId="6627" hidden="1" xr:uid="{CB7576BA-C582-48A7-96D9-6A2FF6A0BB5A}"/>
    <cellStyle name="20 % - Akzent2" xfId="6641" hidden="1" xr:uid="{3011D115-2BE0-4A65-ADFC-0B59801184EF}"/>
    <cellStyle name="20 % - Akzent2" xfId="6651" hidden="1" xr:uid="{8562170D-5E2A-4625-87BA-2A79261D0373}"/>
    <cellStyle name="20 % - Akzent2" xfId="6663" hidden="1" xr:uid="{A495E889-FCB4-4697-A985-87DDA71D215D}"/>
    <cellStyle name="20 % - Akzent2" xfId="6791" hidden="1" xr:uid="{F0B7ABE2-6F97-4189-AB63-66D4FB08FA16}"/>
    <cellStyle name="20 % - Akzent2" xfId="7628" hidden="1" xr:uid="{7FDA4D0F-9D2A-47C6-9F7D-D735D34F5C59}"/>
    <cellStyle name="20 % - Akzent2" xfId="7658" hidden="1" xr:uid="{E1E728FC-1478-45FB-B958-D2D9AF87A450}"/>
    <cellStyle name="20 % - Akzent2" xfId="7949" hidden="1" xr:uid="{3155257B-BF3C-45CD-8DD4-8CF1D6737BE3}"/>
    <cellStyle name="20 % - Akzent2" xfId="8113" hidden="1" xr:uid="{F40EDA03-0F24-4D79-A1E8-79AD60E5D3E3}"/>
    <cellStyle name="20 % - Akzent2" xfId="8317" hidden="1" xr:uid="{1D8288E4-EBAA-4A58-A7B4-B47C48107736}"/>
    <cellStyle name="20 % - Akzent2" xfId="7812" hidden="1" xr:uid="{689870E1-6A68-4B2D-98FD-A99C751CC986}"/>
    <cellStyle name="20 % - Akzent2" xfId="7946" hidden="1" xr:uid="{5A28F5A2-4825-4C02-A4AA-B62D323CE6C3}"/>
    <cellStyle name="20 % - Akzent2" xfId="7859" hidden="1" xr:uid="{7556AEAD-C0F5-4A96-B2EB-2687597FD3E7}"/>
    <cellStyle name="20 % - Akzent2" xfId="8245" hidden="1" xr:uid="{5DFB29F8-70DE-4E9D-B69E-D48D5E923C85}"/>
    <cellStyle name="20 % - Akzent2" xfId="6822" hidden="1" xr:uid="{25E5DE9E-A3C4-4FF8-866C-DD718E13A754}"/>
    <cellStyle name="20 % - Akzent2" xfId="8121" hidden="1" xr:uid="{027CBEF7-C67A-4EA5-9F52-B8BF0989FB3E}"/>
    <cellStyle name="20 % - Akzent2" xfId="7931" hidden="1" xr:uid="{AE1DFA02-647A-4E42-AB37-C68991523A3C}"/>
    <cellStyle name="20 % - Akzent2" xfId="8391" hidden="1" xr:uid="{1F02873E-F462-40C7-84A3-621910754DDF}"/>
    <cellStyle name="20 % - Akzent2" xfId="8325" hidden="1" xr:uid="{28D64119-C911-419E-A9A1-FE73B43F0B67}"/>
    <cellStyle name="20 % - Akzent2" xfId="7754" hidden="1" xr:uid="{A8E2F95F-7486-487D-8092-6F49BDD2E14E}"/>
    <cellStyle name="20 % - Akzent2" xfId="6787" hidden="1" xr:uid="{9D167158-0A5D-4ACE-ACF6-E18D7D541198}"/>
    <cellStyle name="20 % - Akzent2" xfId="7769" hidden="1" xr:uid="{978F4A0F-260F-4FFF-8B0B-4A16EC402199}"/>
    <cellStyle name="20 % - Akzent2" xfId="8403" hidden="1" xr:uid="{32C684A0-51F9-4259-A188-7A641F02E344}"/>
    <cellStyle name="20 % - Akzent2" xfId="8571" hidden="1" xr:uid="{AA9ED39E-A530-419F-B854-2FE8B5D46892}"/>
    <cellStyle name="20 % - Akzent2" xfId="9004" hidden="1" xr:uid="{5807A150-77D5-4FD0-A2A2-9037386408C3}"/>
    <cellStyle name="20 % - Akzent2" xfId="8481" hidden="1" xr:uid="{660FF25C-FA50-474E-BD5F-FF1F29B1A431}"/>
    <cellStyle name="20 % - Akzent2" xfId="7835" hidden="1" xr:uid="{D3486CB5-1B63-4906-98D3-F8827E9B0348}"/>
    <cellStyle name="20 % - Akzent2" xfId="7067" hidden="1" xr:uid="{ABA48F6E-0860-4643-B02D-600A0D534E24}"/>
    <cellStyle name="20 % - Akzent2" xfId="5973" hidden="1" xr:uid="{A0FD10D6-4C8B-4A7E-A86E-9C48044DBD19}"/>
    <cellStyle name="20 % - Akzent2" xfId="3494" hidden="1" xr:uid="{0772F6AC-801A-4F7E-B352-BB71C382E066}"/>
    <cellStyle name="20 % - Akzent2" xfId="3265" hidden="1" xr:uid="{F49041D2-4BEF-4E31-9BE0-5C9906381E5F}"/>
    <cellStyle name="20 % - Akzent2" xfId="2728" hidden="1" xr:uid="{9ED3DD76-3623-497F-A800-C5BC30BD2084}"/>
    <cellStyle name="20 % - Akzent2" xfId="2262" hidden="1" xr:uid="{18774090-4198-4EA6-88C8-5843F08968F1}"/>
    <cellStyle name="20 % - Akzent2" xfId="3758" hidden="1" xr:uid="{820A4411-5588-40B4-B74C-1F6FE1BE4FC7}"/>
    <cellStyle name="20 % - Akzent2" xfId="3734" hidden="1" xr:uid="{ABC10DCA-47D2-426B-AA95-66010AA17214}"/>
    <cellStyle name="20 % - Akzent2" xfId="4868" hidden="1" xr:uid="{40B6B5D4-5652-4B03-BD6F-2146B61474B2}"/>
    <cellStyle name="20 % - Akzent2" xfId="4968" hidden="1" xr:uid="{95740E1F-53DD-44DA-919C-594C915C45CD}"/>
    <cellStyle name="20 % - Akzent2" xfId="5147" hidden="1" xr:uid="{A6501BC0-4355-4271-8859-E72C61C02D77}"/>
    <cellStyle name="20 % - Akzent2" xfId="5555" hidden="1" xr:uid="{790887DC-766B-49FB-B31B-7451AEE4A0A5}"/>
    <cellStyle name="20 % - Akzent2" xfId="5890" hidden="1" xr:uid="{A50557F7-714C-44C1-AA19-F211CBF8D506}"/>
    <cellStyle name="20 % - Akzent2" xfId="4973" hidden="1" xr:uid="{2155B726-7D87-4A6F-8163-91C6C32EC521}"/>
    <cellStyle name="20 % - Akzent2" xfId="5941" hidden="1" xr:uid="{1C7F6AF4-E80E-40D9-9AA9-D67381A0BCB2}"/>
    <cellStyle name="20 % - Akzent2" xfId="5705" hidden="1" xr:uid="{95E28371-A122-433F-B18B-ADC98EA52E85}"/>
    <cellStyle name="20 % - Akzent2" xfId="1878" hidden="1" xr:uid="{791F9AE1-C8BB-4FDA-836B-C32C4006AAF2}"/>
    <cellStyle name="20 % - Akzent2" xfId="2736" hidden="1" xr:uid="{126F4CC9-BCF9-4498-9862-768E37E3FD96}"/>
    <cellStyle name="20 % - Akzent2" xfId="3126" hidden="1" xr:uid="{55781CC2-5D24-4A31-AAE7-CA4AD116A176}"/>
    <cellStyle name="20 % - Akzent2" xfId="2973" hidden="1" xr:uid="{F53608FC-3BD7-426C-94ED-F3E507A7CF23}"/>
    <cellStyle name="20 % - Akzent2" xfId="2909" hidden="1" xr:uid="{D44E3821-B1C4-47BD-A17C-D6B7BC0E22CB}"/>
    <cellStyle name="20 % - Akzent2" xfId="2889" hidden="1" xr:uid="{25FC6897-30B8-4E56-8D5F-1EF47AB7BFD5}"/>
    <cellStyle name="20 % - Akzent2" xfId="2137" hidden="1" xr:uid="{CDE5A949-A370-4B88-9D3F-9240C1AA743E}"/>
    <cellStyle name="20 % - Akzent2" xfId="970" hidden="1" xr:uid="{5258DB7B-5FD3-4667-9C6C-76289DA0BAD0}"/>
    <cellStyle name="20 % - Akzent2" xfId="1394" hidden="1" xr:uid="{2C1AA855-D89B-4665-8062-EF2EFC1E2CC9}"/>
    <cellStyle name="20 % - Akzent2" xfId="1585" hidden="1" xr:uid="{31213AC6-C585-41AE-A20C-77A4B326340F}"/>
    <cellStyle name="20 % - Akzent2" xfId="900" hidden="1" xr:uid="{85D3D6AF-4AC8-41A4-ABBA-C4277DB56FC7}"/>
    <cellStyle name="20 % - Akzent2" xfId="53" hidden="1" xr:uid="{39DC5C72-D557-4819-B763-D00C7B53D0E9}"/>
    <cellStyle name="20 % - Akzent2 2" xfId="374" xr:uid="{D0A7CE44-B584-433D-9B5F-14CAB15EB167}"/>
    <cellStyle name="20 % - Akzent2 3" xfId="243" xr:uid="{72BCC5F1-7136-42FE-B124-F0ACE54CD89C}"/>
    <cellStyle name="20 % - Akzent3" xfId="21046" hidden="1" xr:uid="{24EF10F6-16C7-41FC-A486-CD7E11D7448A}"/>
    <cellStyle name="20 % - Akzent3" xfId="21478" hidden="1" xr:uid="{DCE7D05D-98A9-4EE3-A1F8-04E2C8624B33}"/>
    <cellStyle name="20 % - Akzent3" xfId="20829" hidden="1" xr:uid="{9E7F7849-1E59-4328-9B5D-417C0002E6E6}"/>
    <cellStyle name="20 % - Akzent3" xfId="20802" hidden="1" xr:uid="{A198298A-33EA-4136-A11A-6EE90DE42B54}"/>
    <cellStyle name="20 % - Akzent3" xfId="21977" hidden="1" xr:uid="{5B0DD305-9D41-48A6-8877-F55921680563}"/>
    <cellStyle name="20 % - Akzent3" xfId="21719" hidden="1" xr:uid="{EC4295F4-4B2F-4230-9EA8-14086844268C}"/>
    <cellStyle name="20 % - Akzent3" xfId="22408" hidden="1" xr:uid="{8D33056F-865E-41D8-A878-5D1BC0C9B4BA}"/>
    <cellStyle name="20 % - Akzent3" xfId="22847" hidden="1" xr:uid="{FD049818-2E9A-4E67-9BF4-F70E934BAFD2}"/>
    <cellStyle name="20 % - Akzent3" xfId="21737" hidden="1" xr:uid="{73272210-A0E2-4572-B61A-83066ECDE957}"/>
    <cellStyle name="20 % - Akzent3" xfId="23004" hidden="1" xr:uid="{B6D4CBA3-DB3B-437D-8A85-DB1296B5D173}"/>
    <cellStyle name="20 % - Akzent3" xfId="22758" hidden="1" xr:uid="{F7C421C9-AB8D-4829-B079-712A1705D993}"/>
    <cellStyle name="20 % - Akzent3" xfId="23155" hidden="1" xr:uid="{792DEC7C-CAF3-4025-BE0F-E010D8152A51}"/>
    <cellStyle name="20 % - Akzent3" xfId="23085" hidden="1" xr:uid="{9627FC83-F69D-4E5C-B6AE-2B589856B531}"/>
    <cellStyle name="20 % - Akzent3" xfId="22766" hidden="1" xr:uid="{E34E505B-E025-46F6-A9A0-5E12F828EA91}"/>
    <cellStyle name="20 % - Akzent3" xfId="23656" hidden="1" xr:uid="{816529D7-D0C0-4F51-B152-6E4C8DF75393}"/>
    <cellStyle name="20 % - Akzent3" xfId="23700" hidden="1" xr:uid="{49F3D721-B7B9-4504-AF52-D69114515E52}"/>
    <cellStyle name="20 % - Akzent3" xfId="23532" hidden="1" xr:uid="{3D2014DA-CF47-462F-8B3D-F82C605F41B6}"/>
    <cellStyle name="20 % - Akzent3" xfId="24160" hidden="1" xr:uid="{43603302-25F6-49FD-AA5F-EFE101B11372}"/>
    <cellStyle name="20 % - Akzent3" xfId="24585" hidden="1" xr:uid="{16755DC6-79AD-4E2F-83C1-77DF4A8AF313}"/>
    <cellStyle name="20 % - Akzent3" xfId="25287" hidden="1" xr:uid="{27C8F083-4922-4771-BFEE-54BFCA1C3117}"/>
    <cellStyle name="20 % - Akzent3" xfId="25124" hidden="1" xr:uid="{DD27ADBE-50AC-434C-87C7-0F4AFFBC85C1}"/>
    <cellStyle name="20 % - Akzent3" xfId="25429" hidden="1" xr:uid="{1A7984D5-2A48-4BB2-8440-619D94BF2CE0}"/>
    <cellStyle name="20 % - Akzent3" xfId="24194" hidden="1" xr:uid="{A2EEEDC5-72A0-4C94-8470-B558833D616C}"/>
    <cellStyle name="20 % - Akzent3" xfId="26491" hidden="1" xr:uid="{92773734-63CF-4E24-A534-8A2406A4AC74}"/>
    <cellStyle name="20 % - Akzent3" xfId="24580" hidden="1" xr:uid="{A31CBE39-5FD5-44CD-8C88-A7D6CADD5D19}"/>
    <cellStyle name="20 % - Akzent3" xfId="26597" hidden="1" xr:uid="{F2D860A9-CB71-41CC-9657-E9250AD3973C}"/>
    <cellStyle name="20 % - Akzent3" xfId="26077" hidden="1" xr:uid="{C0569D54-21CD-4204-A0D4-1DB40E18A15B}"/>
    <cellStyle name="20 % - Akzent3" xfId="24498" hidden="1" xr:uid="{9C723BDF-EF4D-47AB-8DC6-3B53461F575B}"/>
    <cellStyle name="20 % - Akzent3" xfId="27716" hidden="1" xr:uid="{0DE38FCF-71D9-4F86-B1BC-1B9B5B88243E}"/>
    <cellStyle name="20 % - Akzent3" xfId="27873" hidden="1" xr:uid="{D2793DCF-B717-463B-A6CA-1CFC34718B94}"/>
    <cellStyle name="20 % - Akzent3" xfId="27611" hidden="1" xr:uid="{44428596-4DBF-43D9-8680-8FE5983226E6}"/>
    <cellStyle name="20 % - Akzent3" xfId="27883" hidden="1" xr:uid="{D7AF86C0-E7AC-46C7-BE2D-547353D4619A}"/>
    <cellStyle name="20 % - Akzent3" xfId="27952" hidden="1" xr:uid="{E31041DD-2B58-428D-A402-9FC4B242967B}"/>
    <cellStyle name="20 % - Akzent3" xfId="28184" hidden="1" xr:uid="{F4B966D5-5B40-4998-B79A-F84149607EEB}"/>
    <cellStyle name="20 % - Akzent3" xfId="29424" hidden="1" xr:uid="{5BC42465-64A5-4C81-9CF5-51C71A6A1CC1}"/>
    <cellStyle name="20 % - Akzent3" xfId="29209" hidden="1" xr:uid="{E5F089E4-5643-4391-A5BC-A1872CD801A7}"/>
    <cellStyle name="20 % - Akzent3" xfId="29592" hidden="1" xr:uid="{AEF6BB58-965B-4E45-B50B-0204454826C0}"/>
    <cellStyle name="20 % - Akzent3" xfId="30425" hidden="1" xr:uid="{70EA625F-0F85-45DF-AA6E-BF41EE0F902A}"/>
    <cellStyle name="20 % - Akzent3" xfId="30004" hidden="1" xr:uid="{DDE725F6-E257-431D-AABF-A19274093B59}"/>
    <cellStyle name="20 % - Akzent3" xfId="30933" hidden="1" xr:uid="{F57E5426-AB7B-44DC-83F2-0DF27679D7C1}"/>
    <cellStyle name="20 % - Akzent3" xfId="31726" hidden="1" xr:uid="{D4E99E40-93DB-4C09-A1FE-FE0D27A976D7}"/>
    <cellStyle name="20 % - Akzent3" xfId="32240" hidden="1" xr:uid="{CB9F9EC7-1702-439E-A450-1A1F397E44A9}"/>
    <cellStyle name="20 % - Akzent3" xfId="32276" hidden="1" xr:uid="{662FBAA7-8D90-40B6-A7FE-A4AE71D49C61}"/>
    <cellStyle name="20 % - Akzent3" xfId="31634" hidden="1" xr:uid="{2DB931F6-2E36-4210-A1CD-2715EFB734F1}"/>
    <cellStyle name="20 % - Akzent3" xfId="32275" hidden="1" xr:uid="{73F99877-D97C-4892-B559-2649F26ED3DE}"/>
    <cellStyle name="20 % - Akzent3" xfId="31468" hidden="1" xr:uid="{44E01A65-0C5B-459B-A52F-AE2979BCB231}"/>
    <cellStyle name="20 % - Akzent3" xfId="29266" hidden="1" xr:uid="{F0935C7C-440D-48BC-9D70-D73E788105BE}"/>
    <cellStyle name="20 % - Akzent3" xfId="28797" hidden="1" xr:uid="{DC83EB59-136E-4E00-A9B1-4B5AD88AE90B}"/>
    <cellStyle name="20 % - Akzent3" xfId="27861" hidden="1" xr:uid="{3C1ED79B-33AF-4A2B-87B2-470A9FE2B025}"/>
    <cellStyle name="20 % - Akzent3" xfId="27739" hidden="1" xr:uid="{33DB4221-F9BE-4B5F-894B-4FD726CCD113}"/>
    <cellStyle name="20 % - Akzent3" xfId="26260" hidden="1" xr:uid="{C51DFCBC-3C80-49E1-9CD3-83BA1863B016}"/>
    <cellStyle name="20 % - Akzent3" xfId="25979" hidden="1" xr:uid="{6D4B9356-5018-4A09-A91E-BB64718F54F3}"/>
    <cellStyle name="20 % - Akzent3" xfId="25012" hidden="1" xr:uid="{CC704760-A102-4FFA-8D6F-EA7A32465F76}"/>
    <cellStyle name="20 % - Akzent3" xfId="24088" hidden="1" xr:uid="{F9B0A20C-A189-4B55-9153-FA4649E51950}"/>
    <cellStyle name="20 % - Akzent3" xfId="23565" hidden="1" xr:uid="{4487837E-6458-4A77-B9AC-B7A0F4A15CE2}"/>
    <cellStyle name="20 % - Akzent3" xfId="23247" hidden="1" xr:uid="{D5FBD916-7CF9-4138-8CA4-2FAA451E72B3}"/>
    <cellStyle name="20 % - Akzent3" xfId="21728" hidden="1" xr:uid="{11E537DA-C307-4B85-B383-3F37E7C4E4B8}"/>
    <cellStyle name="20 % - Akzent3" xfId="21632" hidden="1" xr:uid="{8F567E97-609A-41C6-A5E9-0A71F377093E}"/>
    <cellStyle name="20 % - Akzent3" xfId="20788" hidden="1" xr:uid="{9F0E90A4-CF9A-448B-B79D-D0124CDD6061}"/>
    <cellStyle name="20 % - Akzent3" xfId="7705" hidden="1" xr:uid="{F876AAA7-4D93-4C57-95C7-E394A01A0D25}"/>
    <cellStyle name="20 % - Akzent3" xfId="8307" hidden="1" xr:uid="{C43137A7-3F88-44D9-90CE-FB267B4AB8D0}"/>
    <cellStyle name="20 % - Akzent3" xfId="7804" hidden="1" xr:uid="{F6631F1A-D72A-4360-9A13-A065C1B38338}"/>
    <cellStyle name="20 % - Akzent3" xfId="8822" hidden="1" xr:uid="{0358C937-14CB-4804-8E2C-6979F0BFA25C}"/>
    <cellStyle name="20 % - Akzent3" xfId="8093" hidden="1" xr:uid="{652F935C-1B6F-46D9-9B9C-852E996E7412}"/>
    <cellStyle name="20 % - Akzent3" xfId="8813" hidden="1" xr:uid="{D71E2800-384C-4026-A8C3-03C7BD6D7EB1}"/>
    <cellStyle name="20 % - Akzent3" xfId="8920" hidden="1" xr:uid="{6E31ABE0-78BF-4B01-8DE5-EF4BD1A8DB82}"/>
    <cellStyle name="20 % - Akzent3" xfId="9008" hidden="1" xr:uid="{E6CA80DE-ED4A-4843-9833-AF4C9A6B79DF}"/>
    <cellStyle name="20 % - Akzent3" xfId="9254" hidden="1" xr:uid="{C78C7BA9-5311-4E0C-85C9-00A2F82386DC}"/>
    <cellStyle name="20 % - Akzent3" xfId="10122" hidden="1" xr:uid="{62F68414-C756-49A8-80D3-C9E37448B6C7}"/>
    <cellStyle name="20 % - Akzent3" xfId="10533" hidden="1" xr:uid="{CE32D03D-3487-4CFC-839D-B8B21767CB69}"/>
    <cellStyle name="20 % - Akzent3" xfId="10309" hidden="1" xr:uid="{B6356EA4-9720-4ED8-A670-2357A0644C3E}"/>
    <cellStyle name="20 % - Akzent3" xfId="10588" hidden="1" xr:uid="{DC9A9695-7431-4E82-A20A-1AF21C7A030E}"/>
    <cellStyle name="20 % - Akzent3" xfId="10596" hidden="1" xr:uid="{E82876E7-D848-4520-B516-7105BCCBA254}"/>
    <cellStyle name="20 % - Akzent3" xfId="10829" hidden="1" xr:uid="{4415E735-3B9C-405B-8556-22A93FFBF680}"/>
    <cellStyle name="20 % - Akzent3" xfId="10763" hidden="1" xr:uid="{1AE6902E-DAC5-4A7C-896C-841DF5473D40}"/>
    <cellStyle name="20 % - Akzent3" xfId="11253" hidden="1" xr:uid="{62BD662E-D3F0-487E-B5A1-B22A091B2880}"/>
    <cellStyle name="20 % - Akzent3" xfId="10460" hidden="1" xr:uid="{A5B93A8B-FE26-4E49-813A-F3A06FD86C9F}"/>
    <cellStyle name="20 % - Akzent3" xfId="11219" hidden="1" xr:uid="{8FDD18E0-3744-45F6-AC05-232A2232653E}"/>
    <cellStyle name="20 % - Akzent3" xfId="11082" hidden="1" xr:uid="{B05E8D31-667A-4AC7-BE51-D4D271193446}"/>
    <cellStyle name="20 % - Akzent3" xfId="11414" hidden="1" xr:uid="{E471E529-80C5-4C49-88E7-D99B898E4AE6}"/>
    <cellStyle name="20 % - Akzent3" xfId="11668" hidden="1" xr:uid="{B9E2EADA-5688-4D35-B46A-25E73C868ED7}"/>
    <cellStyle name="20 % - Akzent3" xfId="12314" hidden="1" xr:uid="{B23BAEE5-691C-4FD2-BD1C-C27B5E644924}"/>
    <cellStyle name="20 % - Akzent3" xfId="12764" hidden="1" xr:uid="{AF693BBC-D5C8-4F88-8272-B400CBBACD00}"/>
    <cellStyle name="20 % - Akzent3" xfId="13864" hidden="1" xr:uid="{5031E16E-FA5A-49C9-8228-C4AE380B61A5}"/>
    <cellStyle name="20 % - Akzent3" xfId="11578" hidden="1" xr:uid="{B5630324-6FB7-466F-B468-743DD4900DA4}"/>
    <cellStyle name="20 % - Akzent3" xfId="13714" hidden="1" xr:uid="{4DB32AD9-BB1D-4466-8C31-17175B90D4A3}"/>
    <cellStyle name="20 % - Akzent3" xfId="12316" hidden="1" xr:uid="{A10D76EC-3500-49B1-9AC1-D293893B2627}"/>
    <cellStyle name="20 % - Akzent3" xfId="14183" hidden="1" xr:uid="{DCC94BC8-489F-46ED-B9B8-A692F1239127}"/>
    <cellStyle name="20 % - Akzent3" xfId="14686" hidden="1" xr:uid="{E8EBDDBF-0082-4473-A0DC-33DAD5E8E957}"/>
    <cellStyle name="20 % - Akzent3" xfId="14467" hidden="1" xr:uid="{0F59F184-3B1A-44EF-96CC-5FB2ACE35CC8}"/>
    <cellStyle name="20 % - Akzent3" xfId="12720" hidden="1" xr:uid="{1154E79D-A68B-4AFC-8FA2-693EB4D7D24E}"/>
    <cellStyle name="20 % - Akzent3" xfId="14464" hidden="1" xr:uid="{4605678D-FD56-4B30-92FD-95D42422E1EB}"/>
    <cellStyle name="20 % - Akzent3" xfId="14549" hidden="1" xr:uid="{27CED997-F786-4E19-935E-68C338293CE8}"/>
    <cellStyle name="20 % - Akzent3" xfId="14085" hidden="1" xr:uid="{18ED8121-3547-46BE-A094-3068B2047D15}"/>
    <cellStyle name="20 % - Akzent3" xfId="15549" hidden="1" xr:uid="{76431944-FC4A-4498-80BE-38D0C36DA3C6}"/>
    <cellStyle name="20 % - Akzent3" xfId="15599" hidden="1" xr:uid="{7A461819-CDCD-4909-A41E-A9B6966EF64C}"/>
    <cellStyle name="20 % - Akzent3" xfId="15387" hidden="1" xr:uid="{887C61BB-FAF1-49F0-88F6-26B4D188B72C}"/>
    <cellStyle name="20 % - Akzent3" xfId="14546" hidden="1" xr:uid="{DB1E4E62-4B45-4A41-B960-7BE30D6E46F6}"/>
    <cellStyle name="20 % - Akzent3" xfId="15131" hidden="1" xr:uid="{7FA55A3B-9C94-445F-8274-E086E5073C4A}"/>
    <cellStyle name="20 % - Akzent3" xfId="15916" hidden="1" xr:uid="{8BA78021-4641-413E-BF9E-DDAC9D3CFB0B}"/>
    <cellStyle name="20 % - Akzent3" xfId="15893" hidden="1" xr:uid="{4DBED2FA-3CAC-4349-9424-0A0A12A5A6EE}"/>
    <cellStyle name="20 % - Akzent3" xfId="16105" hidden="1" xr:uid="{D2791AD6-14F5-413B-9457-A5FC7A0D0F96}"/>
    <cellStyle name="20 % - Akzent3" xfId="16364" hidden="1" xr:uid="{7255356B-3ECE-491B-89AC-8E59BF02553B}"/>
    <cellStyle name="20 % - Akzent3" xfId="17241" hidden="1" xr:uid="{45761BBB-05DA-4C41-B66D-3933EF270521}"/>
    <cellStyle name="20 % - Akzent3" xfId="17685" hidden="1" xr:uid="{3B787D25-70B4-4E9C-9746-0C237C9122AB}"/>
    <cellStyle name="20 % - Akzent3" xfId="17434" hidden="1" xr:uid="{9627D391-29EC-4343-B616-C75F951BC679}"/>
    <cellStyle name="20 % - Akzent3" xfId="18103" hidden="1" xr:uid="{C9C87587-0320-4F7B-8C32-F34DD8B46581}"/>
    <cellStyle name="20 % - Akzent3" xfId="17510" hidden="1" xr:uid="{42A19A4B-9B9B-4FDD-B78F-1F46B07C1332}"/>
    <cellStyle name="20 % - Akzent3" xfId="18000" hidden="1" xr:uid="{200B9C92-EE00-4D13-B4FF-A53B502C9958}"/>
    <cellStyle name="20 % - Akzent3" xfId="18188" hidden="1" xr:uid="{9C114B35-DB06-479B-989B-29B92C9B227B}"/>
    <cellStyle name="20 % - Akzent3" xfId="18310" hidden="1" xr:uid="{4FA97A66-BCCF-49C7-BAD1-D5A3A41D5F1A}"/>
    <cellStyle name="20 % - Akzent3" xfId="18959" hidden="1" xr:uid="{507800CF-F146-48AC-BE59-6E0B31825F47}"/>
    <cellStyle name="20 % - Akzent3" xfId="17440" hidden="1" xr:uid="{3DCE4EB2-C41B-44E2-BA14-7361D4C2EE0D}"/>
    <cellStyle name="20 % - Akzent3" xfId="18879" hidden="1" xr:uid="{60CB7DCA-8D2A-4B70-B263-18A9E44F2C6E}"/>
    <cellStyle name="20 % - Akzent3" xfId="18337" hidden="1" xr:uid="{96798F2F-58FA-4646-BF4B-8B61E1499F51}"/>
    <cellStyle name="20 % - Akzent3" xfId="19275" hidden="1" xr:uid="{3752BC4D-E83F-4B5A-80BE-3D303586C93A}"/>
    <cellStyle name="20 % - Akzent3" xfId="18937" hidden="1" xr:uid="{C32973B1-2B6F-475D-AAF3-454A02FBAE46}"/>
    <cellStyle name="20 % - Akzent3" xfId="19438" hidden="1" xr:uid="{0CA1131D-238B-416B-871F-B1BC7DBCCCE3}"/>
    <cellStyle name="20 % - Akzent3" xfId="20591" hidden="1" xr:uid="{5570FC1A-A8EF-4475-A48A-B6AD293608EE}"/>
    <cellStyle name="20 % - Akzent3" xfId="20278" hidden="1" xr:uid="{39B2974A-FAF7-4D86-811B-8B55F03CA843}"/>
    <cellStyle name="20 % - Akzent3" xfId="19697" hidden="1" xr:uid="{E5304F5C-3925-42BC-AEEC-A0969805BF8A}"/>
    <cellStyle name="20 % - Akzent3" xfId="18368" hidden="1" xr:uid="{277BFF72-6C0C-4650-98D4-D60C3C8B2628}"/>
    <cellStyle name="20 % - Akzent3" xfId="16210" hidden="1" xr:uid="{BD062F7E-E499-437C-9988-351F9A0BBFF4}"/>
    <cellStyle name="20 % - Akzent3" xfId="15173" hidden="1" xr:uid="{B482B833-479C-415B-B48C-32969693C084}"/>
    <cellStyle name="20 % - Akzent3" xfId="15103" hidden="1" xr:uid="{6F6A6CBA-C362-45FD-82B8-B86EC2D7C7B3}"/>
    <cellStyle name="20 % - Akzent3" xfId="11706" hidden="1" xr:uid="{BB98B0DE-3E8F-4CC0-B3F9-53478F8B4F49}"/>
    <cellStyle name="20 % - Akzent3" xfId="10968" hidden="1" xr:uid="{867A87AE-884C-4A43-87F3-CE3743B12F3E}"/>
    <cellStyle name="20 % - Akzent3" xfId="9108" hidden="1" xr:uid="{3576EC2E-92CC-4456-8F9A-3CBE9F6EAC10}"/>
    <cellStyle name="20 % - Akzent3" xfId="8482" hidden="1" xr:uid="{702B2575-1A30-49A2-9AD9-A609D77A4844}"/>
    <cellStyle name="20 % - Akzent3" xfId="5912" hidden="1" xr:uid="{B00CAB26-38D4-4350-98C9-CDE539E856E7}"/>
    <cellStyle name="20 % - Akzent3" xfId="5707" hidden="1" xr:uid="{4E958BCB-ABB5-4789-B740-9A7F063C105A}"/>
    <cellStyle name="20 % - Akzent3" xfId="6173" hidden="1" xr:uid="{DE14FAC5-BD97-4ABD-8361-8D69B19E93F6}"/>
    <cellStyle name="20 % - Akzent3" xfId="6228" hidden="1" xr:uid="{2E880998-BCEE-424E-B8A7-6D8241A9623F}"/>
    <cellStyle name="20 % - Akzent3" xfId="6230" hidden="1" xr:uid="{46C63954-8B37-4FCD-BA06-E518C010C7D9}"/>
    <cellStyle name="20 % - Akzent3" xfId="6078" hidden="1" xr:uid="{D26A772D-2074-4CCB-8064-E7F7BC9E10AE}"/>
    <cellStyle name="20 % - Akzent3" xfId="6439" hidden="1" xr:uid="{D083372A-7257-4F69-9BDE-CF5AB686C53E}"/>
    <cellStyle name="20 % - Akzent3" xfId="5845" hidden="1" xr:uid="{2FB157CF-1151-4A35-8DC6-936F462483B5}"/>
    <cellStyle name="20 % - Akzent3" xfId="6336" hidden="1" xr:uid="{3305272E-F00E-4CC7-BB34-8321910D8179}"/>
    <cellStyle name="20 % - Akzent3" xfId="5721" hidden="1" xr:uid="{08A67AEC-1CE9-443F-BE93-9AA85175C3EA}"/>
    <cellStyle name="20 % - Akzent3" xfId="6415" hidden="1" xr:uid="{07185490-E8DA-487E-BAC6-B0F1FC80B42C}"/>
    <cellStyle name="20 % - Akzent3" xfId="6271" hidden="1" xr:uid="{A8F4657F-C26B-42A7-8FC7-2D788F5AEB63}"/>
    <cellStyle name="20 % - Akzent3" xfId="6794" hidden="1" xr:uid="{CC2F00C4-C1AC-40C6-AB40-249AD7A6D76E}"/>
    <cellStyle name="20 % - Akzent3" xfId="7041" hidden="1" xr:uid="{D4C0C9A5-390E-4F22-B119-4BAFB59A1BE0}"/>
    <cellStyle name="20 % - Akzent3" xfId="7909" hidden="1" xr:uid="{D915458A-D7D3-4EAA-93B7-11D7A99E162A}"/>
    <cellStyle name="20 % - Akzent3" xfId="6894" hidden="1" xr:uid="{CD40AB63-84E1-49CD-BEFD-73AC750DE3BE}"/>
    <cellStyle name="20 % - Akzent3" xfId="8294" hidden="1" xr:uid="{3E97578E-F596-41B3-9BE3-755AC28F5815}"/>
    <cellStyle name="20 % - Akzent3" xfId="8140" hidden="1" xr:uid="{24E42DCE-72AE-409A-A857-F74085974688}"/>
    <cellStyle name="20 % - Akzent3" xfId="7997" hidden="1" xr:uid="{A6FECD2A-3EDD-4DA1-B88E-3EC251B0992A}"/>
    <cellStyle name="20 % - Akzent3" xfId="7739" hidden="1" xr:uid="{71308886-C7A4-4B95-9599-9CE0303DC68A}"/>
    <cellStyle name="20 % - Akzent3" xfId="8366" hidden="1" xr:uid="{2B699F7D-DD0B-429C-8178-4AA14001CD56}"/>
    <cellStyle name="20 % - Akzent3" xfId="6849" hidden="1" xr:uid="{14198D70-8A5B-4047-8CBC-1E2DA42CF410}"/>
    <cellStyle name="20 % - Akzent3" xfId="7746" hidden="1" xr:uid="{FBDC64CF-4DBB-44FC-A3B4-0DFF955A54C4}"/>
    <cellStyle name="20 % - Akzent3" xfId="7866" hidden="1" xr:uid="{F17D6F26-8B8B-4EA7-8735-F0E1BCA0C5A9}"/>
    <cellStyle name="20 % - Akzent3" xfId="7775" hidden="1" xr:uid="{F8E006F0-3450-4005-8E6F-F52EBD01832E}"/>
    <cellStyle name="20 % - Akzent3" xfId="8385" hidden="1" xr:uid="{F9BCC647-62E2-4401-8AEB-FD53B625C61E}"/>
    <cellStyle name="20 % - Akzent3" xfId="7799" hidden="1" xr:uid="{47E4B1D8-1641-4B4B-98DC-E066AD210A10}"/>
    <cellStyle name="20 % - Akzent3" xfId="6574" hidden="1" xr:uid="{54928460-BD0E-4312-955D-42FEFDF8C269}"/>
    <cellStyle name="20 % - Akzent3" xfId="3098" hidden="1" xr:uid="{94F58D08-2943-4987-B9A5-99D32CFF2EC0}"/>
    <cellStyle name="20 % - Akzent3" xfId="3032" hidden="1" xr:uid="{5D728896-5FD0-4453-8956-E88C1BBCB103}"/>
    <cellStyle name="20 % - Akzent3" xfId="3189" hidden="1" xr:uid="{9DA7A86D-D226-48A9-88AE-7A57FCF28DD4}"/>
    <cellStyle name="20 % - Akzent3" xfId="2324" hidden="1" xr:uid="{FD9C9834-479C-4D91-B5BB-EDAF1575055E}"/>
    <cellStyle name="20 % - Akzent3" xfId="3822" hidden="1" xr:uid="{EB1CEA86-2FC2-4696-A774-A68E8EB6A6FB}"/>
    <cellStyle name="20 % - Akzent3" xfId="4260" hidden="1" xr:uid="{11025AEF-16B1-4247-85F0-1CB613BD3ABF}"/>
    <cellStyle name="20 % - Akzent3" xfId="4771" hidden="1" xr:uid="{3223C37F-8E21-4C13-A8F0-9B52CE4AC8DC}"/>
    <cellStyle name="20 % - Akzent3" xfId="2158" hidden="1" xr:uid="{5B6651AF-4E0C-4816-AE93-FA95BCDD2043}"/>
    <cellStyle name="20 % - Akzent3" xfId="5149" hidden="1" xr:uid="{2CE5060C-4496-4EE5-8C9D-EAD721B962B4}"/>
    <cellStyle name="20 % - Akzent3" xfId="5726" hidden="1" xr:uid="{F3566920-BA32-462C-9064-5A522FAEB847}"/>
    <cellStyle name="20 % - Akzent3" xfId="5792" hidden="1" xr:uid="{46B19848-2EE6-4A27-997E-92450DB6DCAE}"/>
    <cellStyle name="20 % - Akzent3" xfId="5785" hidden="1" xr:uid="{C1648C99-F24E-43F6-A6F2-9FBD6F2BC796}"/>
    <cellStyle name="20 % - Akzent3" xfId="3605" hidden="1" xr:uid="{B60CD363-C92E-48D5-8C15-2234B267FC4F}"/>
    <cellStyle name="20 % - Akzent3" xfId="1882" hidden="1" xr:uid="{3191DF58-BCA7-44A4-B7E4-1E0E82E803FA}"/>
    <cellStyle name="20 % - Akzent3" xfId="2249" hidden="1" xr:uid="{A0AB7DD6-93C0-4673-92CA-E5FEBB7E9F6D}"/>
    <cellStyle name="20 % - Akzent3" xfId="3030" hidden="1" xr:uid="{1C595C3E-2056-47D5-AC67-044A62D3752C}"/>
    <cellStyle name="20 % - Akzent3" xfId="2079" hidden="1" xr:uid="{25A1AB21-BA1A-4A38-829F-F402BDE6D47A}"/>
    <cellStyle name="20 % - Akzent3" xfId="2879" hidden="1" xr:uid="{47FB3436-2A87-45F4-8EA7-08E151B4209A}"/>
    <cellStyle name="20 % - Akzent3" xfId="3510" hidden="1" xr:uid="{0CFF15E4-91FE-4672-A835-545BAF17C923}"/>
    <cellStyle name="20 % - Akzent3" xfId="965" hidden="1" xr:uid="{D508CE07-7ACF-4FC3-89D4-6AC0B205677C}"/>
    <cellStyle name="20 % - Akzent3" xfId="1397" hidden="1" xr:uid="{24C08171-01EB-44D5-BF70-8B5C082C8FCB}"/>
    <cellStyle name="20 % - Akzent3" xfId="1650" hidden="1" xr:uid="{7FC266BF-9BDF-4ECC-B8D5-3BA78D5BE69F}"/>
    <cellStyle name="20 % - Akzent3" xfId="903" hidden="1" xr:uid="{D551EB9B-1586-4B61-BA40-1EC9D8A92158}"/>
    <cellStyle name="20 % - Akzent3" xfId="56" hidden="1" xr:uid="{C27A76FA-7E9C-4E10-A5AF-08C219EFA868}"/>
    <cellStyle name="20 % - Akzent3 2" xfId="375" xr:uid="{8BA6554F-8CFD-4164-A288-9998545F1E67}"/>
    <cellStyle name="20 % - Akzent3 3" xfId="244" xr:uid="{7AAAB643-86B0-4984-BB8C-A24913301F6C}"/>
    <cellStyle name="20 % - Akzent4" xfId="11395" hidden="1" xr:uid="{74617672-78E9-4BB8-AEE2-8280A46ADF70}"/>
    <cellStyle name="20 % - Akzent4" xfId="13200" hidden="1" xr:uid="{FD77C855-891D-4A1E-8A2E-8872944A21B5}"/>
    <cellStyle name="20 % - Akzent4" xfId="11572" hidden="1" xr:uid="{9E13EC4B-BD56-4E9E-9901-80FCE3713007}"/>
    <cellStyle name="20 % - Akzent4" xfId="11450" hidden="1" xr:uid="{D5F9E9FF-C031-464D-B4BF-B6BB59DE6589}"/>
    <cellStyle name="20 % - Akzent4" xfId="14360" hidden="1" xr:uid="{3025F664-7EB2-4504-A539-EB73AF2FBD5C}"/>
    <cellStyle name="20 % - Akzent4" xfId="13961" hidden="1" xr:uid="{D6FFBA70-F803-475B-94D5-CC69A2F59597}"/>
    <cellStyle name="20 % - Akzent4" xfId="14730" hidden="1" xr:uid="{0E9CCF2F-FC6D-45B5-836E-BAE0568926CB}"/>
    <cellStyle name="20 % - Akzent4" xfId="11383" hidden="1" xr:uid="{AA1AD52D-5EEB-445C-B59C-AD6C4CBA0203}"/>
    <cellStyle name="20 % - Akzent4" xfId="15145" hidden="1" xr:uid="{3AD7E4CC-08CC-4ECA-99FF-5CF57A5C770F}"/>
    <cellStyle name="20 % - Akzent4" xfId="15152" hidden="1" xr:uid="{99C93C88-909F-4EFE-BD9D-9A28D11F1299}"/>
    <cellStyle name="20 % - Akzent4" xfId="11712" hidden="1" xr:uid="{4AF884C3-7283-4216-A2EB-034E667FBBC6}"/>
    <cellStyle name="20 % - Akzent4" xfId="15261" hidden="1" xr:uid="{2A943CA6-93AC-4960-9E65-77C1859D9CEE}"/>
    <cellStyle name="20 % - Akzent4" xfId="15580" hidden="1" xr:uid="{22FFBE69-03D9-4ED6-ACAE-55E3B3B3B405}"/>
    <cellStyle name="20 % - Akzent4" xfId="15670" hidden="1" xr:uid="{6549C789-6109-42A2-855A-DF8672F4927A}"/>
    <cellStyle name="20 % - Akzent4" xfId="15562" hidden="1" xr:uid="{30A3AB05-8990-4353-A563-4BB15077CA12}"/>
    <cellStyle name="20 % - Akzent4" xfId="13806" hidden="1" xr:uid="{FF0D9057-C47A-4044-B87D-C29EE8354955}"/>
    <cellStyle name="20 % - Akzent4" xfId="15867" hidden="1" xr:uid="{88DD846B-EC68-4CB0-963F-5B6708C49C0A}"/>
    <cellStyle name="20 % - Akzent4" xfId="15339" hidden="1" xr:uid="{B25A910E-A45E-48C8-BB3D-B022DF848F16}"/>
    <cellStyle name="20 % - Akzent4" xfId="16026" hidden="1" xr:uid="{1C49DD73-0503-4B57-A217-CB130713698D}"/>
    <cellStyle name="20 % - Akzent4" xfId="16109" hidden="1" xr:uid="{96166B77-DB9C-4950-B51E-D78905B0520F}"/>
    <cellStyle name="20 % - Akzent4" xfId="16473" hidden="1" xr:uid="{3A98DD6C-E796-41F1-B74D-E1F531E9766A}"/>
    <cellStyle name="20 % - Akzent4" xfId="16456" hidden="1" xr:uid="{DC294F6F-0CA4-4376-8AC6-0B94B8B9540F}"/>
    <cellStyle name="20 % - Akzent4" xfId="17164" hidden="1" xr:uid="{D85EE8D7-6B84-4261-89F8-6CDF15AF8450}"/>
    <cellStyle name="20 % - Akzent4" xfId="17070" hidden="1" xr:uid="{A3577A07-0D39-4039-9104-0609177EA896}"/>
    <cellStyle name="20 % - Akzent4" xfId="17624" hidden="1" xr:uid="{241DD152-C983-4D02-95AA-DA7F7E3FC4D8}"/>
    <cellStyle name="20 % - Akzent4" xfId="16497" hidden="1" xr:uid="{87A4DAD4-D6A2-4E0B-BCB4-C17B28BB9EBD}"/>
    <cellStyle name="20 % - Akzent4" xfId="17784" hidden="1" xr:uid="{95F1DD13-FF08-49D8-9919-A1FD2BE0BAEC}"/>
    <cellStyle name="20 % - Akzent4" xfId="17671" hidden="1" xr:uid="{9F5A1355-5F52-4813-B690-138856ACE7C3}"/>
    <cellStyle name="20 % - Akzent4" xfId="16270" hidden="1" xr:uid="{A46E7636-E95A-4C41-BA27-B44EDEE054F6}"/>
    <cellStyle name="20 % - Akzent4" xfId="17179" hidden="1" xr:uid="{F48B4CAA-EDA7-4C73-B61E-3807051D7BF7}"/>
    <cellStyle name="20 % - Akzent4" xfId="17072" hidden="1" xr:uid="{8FAEC1F5-38C3-4CD7-8830-05AF436A8CE3}"/>
    <cellStyle name="20 % - Akzent4" xfId="18270" hidden="1" xr:uid="{2691CD1F-664C-4065-8A8C-DB06ABBF4C39}"/>
    <cellStyle name="20 % - Akzent4" xfId="18997" hidden="1" xr:uid="{531E8D6C-7ABD-499E-AD01-9BBDFA253300}"/>
    <cellStyle name="20 % - Akzent4" xfId="18071" hidden="1" xr:uid="{433315C7-5627-4153-AA94-E1B2E4176A0F}"/>
    <cellStyle name="20 % - Akzent4" xfId="19149" hidden="1" xr:uid="{33454183-2FD6-4463-A5FF-D2F49A5B4F15}"/>
    <cellStyle name="20 % - Akzent4" xfId="19442" hidden="1" xr:uid="{7E5CF0AD-2C09-46E9-A32A-A4E2C4FC5DD8}"/>
    <cellStyle name="20 % - Akzent4" xfId="19809" hidden="1" xr:uid="{4E20F53D-ABA3-4780-833B-CC79DFB15EBC}"/>
    <cellStyle name="20 % - Akzent4" xfId="19891" hidden="1" xr:uid="{AE173A78-6C6C-47E9-9528-759A9E1440B6}"/>
    <cellStyle name="20 % - Akzent4" xfId="20489" hidden="1" xr:uid="{00F9B377-B129-4CAB-A8AB-493CFE00460F}"/>
    <cellStyle name="20 % - Akzent4" xfId="19832" hidden="1" xr:uid="{0D5A261F-B66C-4A78-BF4A-734E0FE1A520}"/>
    <cellStyle name="20 % - Akzent4" xfId="20967" hidden="1" xr:uid="{D33E0B57-6083-4B23-B81F-135654B9DA6D}"/>
    <cellStyle name="20 % - Akzent4" xfId="21144" hidden="1" xr:uid="{59B2603F-A09C-4174-85BA-BA049E1794AF}"/>
    <cellStyle name="20 % - Akzent4" xfId="21554" hidden="1" xr:uid="{C455A28B-1A11-41D3-A88A-60930B5573E9}"/>
    <cellStyle name="20 % - Akzent4" xfId="21069" hidden="1" xr:uid="{8E84330A-D5A3-4FC8-89B8-34D590E3C7ED}"/>
    <cellStyle name="20 % - Akzent4" xfId="21422" hidden="1" xr:uid="{A4298D32-0AB7-4C75-9D4F-5957C5F57B34}"/>
    <cellStyle name="20 % - Akzent4" xfId="22040" hidden="1" xr:uid="{DDC26660-9990-4EAE-86AE-56D95833519D}"/>
    <cellStyle name="20 % - Akzent4" xfId="22023" hidden="1" xr:uid="{9596C24D-2F76-43C3-9FB6-A287F86B6BCE}"/>
    <cellStyle name="20 % - Akzent4" xfId="22440" hidden="1" xr:uid="{698F9025-D083-4ADA-B566-1551BB94D4A9}"/>
    <cellStyle name="20 % - Akzent4" xfId="22592" hidden="1" xr:uid="{540F66E9-05C4-4AA1-AF9E-82F9B48ED2A7}"/>
    <cellStyle name="20 % - Akzent4" xfId="22952" hidden="1" xr:uid="{E9F35000-535F-45EC-9FB5-66489682400A}"/>
    <cellStyle name="20 % - Akzent4" xfId="22776" hidden="1" xr:uid="{CBFD63E9-40DA-4396-9C44-A1ECC19FF3E4}"/>
    <cellStyle name="20 % - Akzent4" xfId="22936" hidden="1" xr:uid="{F6F0C898-7AA7-40E3-ABE9-F0D6B82544BE}"/>
    <cellStyle name="20 % - Akzent4" xfId="23313" hidden="1" xr:uid="{D77587BA-48BE-4A5C-ADE1-4E9F5CB5C48E}"/>
    <cellStyle name="20 % - Akzent4" xfId="22909" hidden="1" xr:uid="{3E24EF78-94A1-456D-9DD4-B6AEFEB7ADB9}"/>
    <cellStyle name="20 % - Akzent4" xfId="22444" hidden="1" xr:uid="{7B2C28FA-3EAC-46A7-9C1C-78C42709FFD9}"/>
    <cellStyle name="20 % - Akzent4" xfId="23576" hidden="1" xr:uid="{17394CB3-A78E-44D6-A300-CA379E58D1D4}"/>
    <cellStyle name="20 % - Akzent4" xfId="19703" hidden="1" xr:uid="{9F5086AC-052A-4F1C-9EC2-CFF989B61802}"/>
    <cellStyle name="20 % - Akzent4" xfId="22964" hidden="1" xr:uid="{64289D25-FC0F-4080-9949-F60602239BD5}"/>
    <cellStyle name="20 % - Akzent4" xfId="24164" hidden="1" xr:uid="{5AAEC4CD-8D22-4BFD-8D71-09BC305728F8}"/>
    <cellStyle name="20 % - Akzent4" xfId="24583" hidden="1" xr:uid="{74C899A3-A5A3-4B8B-ADE4-615CF825C91E}"/>
    <cellStyle name="20 % - Akzent4" xfId="25210" hidden="1" xr:uid="{ADAE4907-7149-4EB5-BBDD-9904B5CD2064}"/>
    <cellStyle name="20 % - Akzent4" xfId="24993" hidden="1" xr:uid="{42555436-80CE-487C-A403-EA1DE9D0CEE5}"/>
    <cellStyle name="20 % - Akzent4" xfId="25395" hidden="1" xr:uid="{56AC6557-70E7-4966-83C5-4BF19CB5CCE7}"/>
    <cellStyle name="20 % - Akzent4" xfId="26069" hidden="1" xr:uid="{024CAA3E-2FC2-49FD-891C-6A39DA8B42C3}"/>
    <cellStyle name="20 % - Akzent4" xfId="26038" hidden="1" xr:uid="{E833BB24-150F-47F8-BAA5-C0A76E4A5471}"/>
    <cellStyle name="20 % - Akzent4" xfId="26527" hidden="1" xr:uid="{134BFF61-34CA-491C-9DD7-52B2D3B16CF5}"/>
    <cellStyle name="20 % - Akzent4" xfId="25515" hidden="1" xr:uid="{AAEA937B-FDAC-41EC-BF4A-CE3BF2DC9F0E}"/>
    <cellStyle name="20 % - Akzent4" xfId="26100" hidden="1" xr:uid="{2731E8A2-E2BA-407A-ACED-A9AFF0763C4B}"/>
    <cellStyle name="20 % - Akzent4" xfId="24261" hidden="1" xr:uid="{A63572C7-BB97-4902-BE57-3BE118E23B47}"/>
    <cellStyle name="20 % - Akzent4" xfId="26802" hidden="1" xr:uid="{CE4E92F1-51A0-4C69-AFD0-8A2C658F337E}"/>
    <cellStyle name="20 % - Akzent4" xfId="26596" hidden="1" xr:uid="{F143ADEE-4959-4324-98B7-1E88650133ED}"/>
    <cellStyle name="20 % - Akzent4" xfId="25936" hidden="1" xr:uid="{7C8D9266-6CD2-4125-B32B-35D97E220533}"/>
    <cellStyle name="20 % - Akzent4" xfId="26708" hidden="1" xr:uid="{CC42E3B8-E6D3-41CD-ABE8-A250A9175900}"/>
    <cellStyle name="20 % - Akzent4" xfId="27824" hidden="1" xr:uid="{E4DA4568-1B42-4BB8-BA04-9C53CE59FBF8}"/>
    <cellStyle name="20 % - Akzent4" xfId="27794" hidden="1" xr:uid="{0AB99F41-B695-4D29-B70C-12AF74BA83B2}"/>
    <cellStyle name="20 % - Akzent4" xfId="27669" hidden="1" xr:uid="{6D141EFB-8622-4A58-89F6-B1DB6FB976A2}"/>
    <cellStyle name="20 % - Akzent4" xfId="27956" hidden="1" xr:uid="{E6F0B86E-D9EB-45C1-B8C5-AD476F8ACD52}"/>
    <cellStyle name="20 % - Akzent4" xfId="28282" hidden="1" xr:uid="{D25AAA68-8B88-4A75-9D76-486F08CB121B}"/>
    <cellStyle name="20 % - Akzent4" xfId="28810" hidden="1" xr:uid="{D8137819-BE34-4ACE-82AE-CF36E59BAAAD}"/>
    <cellStyle name="20 % - Akzent4" xfId="28215" hidden="1" xr:uid="{0F764CEB-2954-4E31-82D0-9C85BA924285}"/>
    <cellStyle name="20 % - Akzent4" xfId="29602" hidden="1" xr:uid="{08C73F28-474D-4207-8978-163730056EFF}"/>
    <cellStyle name="20 % - Akzent4" xfId="30011" hidden="1" xr:uid="{B4D39100-65AB-48AC-88C6-14FC93979122}"/>
    <cellStyle name="20 % - Akzent4" xfId="28217" hidden="1" xr:uid="{9BB062BD-4718-47FE-8D22-519629C36457}"/>
    <cellStyle name="20 % - Akzent4" xfId="30888" hidden="1" xr:uid="{7743AEA8-4F74-426E-B589-BED5E2D5D0A2}"/>
    <cellStyle name="20 % - Akzent4" xfId="29241" hidden="1" xr:uid="{353240B8-517B-4B48-8BCF-B5CDFA0D0E14}"/>
    <cellStyle name="20 % - Akzent4" xfId="31471" hidden="1" xr:uid="{550A5EEB-2F04-4013-A832-6D8F60F71798}"/>
    <cellStyle name="20 % - Akzent4" xfId="32261" hidden="1" xr:uid="{42B088D5-EDD5-4C3C-977D-396422159906}"/>
    <cellStyle name="20 % - Akzent4" xfId="32322" hidden="1" xr:uid="{2DCD18A2-2B52-4D9A-B6FE-0F2BCCA4FC64}"/>
    <cellStyle name="20 % - Akzent4" xfId="32174" hidden="1" xr:uid="{26240CD7-AB08-4ED0-8769-0A3C229A7D22}"/>
    <cellStyle name="20 % - Akzent4" xfId="31562" hidden="1" xr:uid="{7D52E67A-0EFC-488A-A453-02644454D16C}"/>
    <cellStyle name="20 % - Akzent4" xfId="31618" hidden="1" xr:uid="{4D5B3A5C-A168-4735-A4D7-0DFBD17B848C}"/>
    <cellStyle name="20 % - Akzent4" xfId="28012" hidden="1" xr:uid="{5241D46F-3C90-4F84-BA32-ACF92902B4C8}"/>
    <cellStyle name="20 % - Akzent4" xfId="27827" hidden="1" xr:uid="{E0ABC41B-F278-439B-9D7A-2ADFF8A83E9D}"/>
    <cellStyle name="20 % - Akzent4" xfId="26006" hidden="1" xr:uid="{9E843BFF-A39D-46EB-8A5D-277AC540D76D}"/>
    <cellStyle name="20 % - Akzent4" xfId="23286" hidden="1" xr:uid="{B8B6D86C-A483-4849-90C1-6D34ED3B55B6}"/>
    <cellStyle name="20 % - Akzent4" xfId="21586" hidden="1" xr:uid="{D852977F-BD17-4CBD-97B3-71262E281805}"/>
    <cellStyle name="20 % - Akzent4" xfId="20839" hidden="1" xr:uid="{A7C279E3-CCA7-41B1-A0C9-28E0B2236B3F}"/>
    <cellStyle name="20 % - Akzent4" xfId="19790" hidden="1" xr:uid="{8C4DE5CA-0866-4396-A512-B2BDC5AE35E0}"/>
    <cellStyle name="20 % - Akzent4" xfId="17123" hidden="1" xr:uid="{776E46EA-27DF-416C-818F-4A4664D73B05}"/>
    <cellStyle name="20 % - Akzent4" xfId="16067" hidden="1" xr:uid="{F647B891-BBD9-4924-B92C-F4E2E8ED935D}"/>
    <cellStyle name="20 % - Akzent4" xfId="15668" hidden="1" xr:uid="{6EE1F6CC-3A3A-437C-B2F6-9B0043E76852}"/>
    <cellStyle name="20 % - Akzent4" xfId="15334" hidden="1" xr:uid="{431FEC09-F4CF-445B-8602-DB4198DA5189}"/>
    <cellStyle name="20 % - Akzent4" xfId="11801" hidden="1" xr:uid="{29589DAB-2E79-4BA9-8298-B77650C770F6}"/>
    <cellStyle name="20 % - Akzent4" xfId="6193" hidden="1" xr:uid="{4F6E2FD8-7552-49FF-8A03-FEF40637E025}"/>
    <cellStyle name="20 % - Akzent4" xfId="6798" hidden="1" xr:uid="{6620F68B-8C43-402D-9DAC-4CA4569CBACB}"/>
    <cellStyle name="20 % - Akzent4" xfId="7152" hidden="1" xr:uid="{DAF28EF7-C3A3-45FD-9C73-AA9057F95B01}"/>
    <cellStyle name="20 % - Akzent4" xfId="7134" hidden="1" xr:uid="{FD461012-C641-43EB-BB41-6A000C828E0E}"/>
    <cellStyle name="20 % - Akzent4" xfId="6758" hidden="1" xr:uid="{59458187-D716-4203-9630-178B753399BD}"/>
    <cellStyle name="20 % - Akzent4" xfId="8242" hidden="1" xr:uid="{D6F05F9F-E8CA-4B74-A0AC-4017577D1D81}"/>
    <cellStyle name="20 % - Akzent4" xfId="7612" hidden="1" xr:uid="{2150D635-2385-4CC7-858C-D1D010D847A3}"/>
    <cellStyle name="20 % - Akzent4" xfId="7684" hidden="1" xr:uid="{6BF97484-5774-45C6-9511-75C2426D6097}"/>
    <cellStyle name="20 % - Akzent4" xfId="8339" hidden="1" xr:uid="{210B3595-3DE1-4754-87A2-CF61C47E3F69}"/>
    <cellStyle name="20 % - Akzent4" xfId="8360" hidden="1" xr:uid="{BB9CBB58-F531-485E-AD6F-603742C0E867}"/>
    <cellStyle name="20 % - Akzent4" xfId="8319" hidden="1" xr:uid="{15549A2F-B00D-4DDF-BFCE-C9F3C4EA01D1}"/>
    <cellStyle name="20 % - Akzent4" xfId="8362" hidden="1" xr:uid="{E1F77F99-9CB3-4459-9E3D-6BDD8A33F74F}"/>
    <cellStyle name="20 % - Akzent4" xfId="8402" hidden="1" xr:uid="{CF8D9D7C-2619-4563-BB17-7CF42871B661}"/>
    <cellStyle name="20 % - Akzent4" xfId="8395" hidden="1" xr:uid="{365774AC-57A5-4B41-AD81-0C992EF19A32}"/>
    <cellStyle name="20 % - Akzent4" xfId="8446" hidden="1" xr:uid="{FF03CA56-B3B7-4F92-B525-3D96BF09009E}"/>
    <cellStyle name="20 % - Akzent4" xfId="8466" hidden="1" xr:uid="{7B4EEDE3-07AE-4D63-88CB-82DCF898C53D}"/>
    <cellStyle name="20 % - Akzent4" xfId="8484" hidden="1" xr:uid="{DC36257E-81AE-4299-880C-C8FCF01BDDB6}"/>
    <cellStyle name="20 % - Akzent4" xfId="8279" hidden="1" xr:uid="{F0E09FE6-A315-4FE6-8528-0E96BA7B4199}"/>
    <cellStyle name="20 % - Akzent4" xfId="8270" hidden="1" xr:uid="{C93E66E4-0A1E-49D4-ADF8-627D06CD8430}"/>
    <cellStyle name="20 % - Akzent4" xfId="8686" hidden="1" xr:uid="{BEB58EF7-056C-48D0-9021-5A5792F0BA23}"/>
    <cellStyle name="20 % - Akzent4" xfId="8801" hidden="1" xr:uid="{215275A2-AC60-46D1-8768-FCAA5BAFC134}"/>
    <cellStyle name="20 % - Akzent4" xfId="8417" hidden="1" xr:uid="{1ECA29B4-1594-44DA-BFC0-0BF1E9FB73CA}"/>
    <cellStyle name="20 % - Akzent4" xfId="9012" hidden="1" xr:uid="{304EBBA0-D7F7-4689-B2B2-D76483E37D9B}"/>
    <cellStyle name="20 % - Akzent4" xfId="9367" hidden="1" xr:uid="{AD94372A-295B-4C10-AB8B-9F30DDCBF700}"/>
    <cellStyle name="20 % - Akzent4" xfId="8968" hidden="1" xr:uid="{2B4A1CB4-6C49-48EF-9EAD-0DE4F88ECC60}"/>
    <cellStyle name="20 % - Akzent4" xfId="10046" hidden="1" xr:uid="{FDBE7C8D-C070-455E-A9FE-BF72520448DC}"/>
    <cellStyle name="20 % - Akzent4" xfId="10110" hidden="1" xr:uid="{F9D469DB-6231-4AEB-87A5-A22608C3E4B9}"/>
    <cellStyle name="20 % - Akzent4" xfId="9957" hidden="1" xr:uid="{9731CA96-7522-4D5E-88C9-178A1C11F356}"/>
    <cellStyle name="20 % - Akzent4" xfId="10220" hidden="1" xr:uid="{E2F3992D-ED4D-418E-98DA-B4E2DEC8EEA0}"/>
    <cellStyle name="20 % - Akzent4" xfId="10551" hidden="1" xr:uid="{435E1CEB-36B3-451A-8A66-C615891FBFCB}"/>
    <cellStyle name="20 % - Akzent4" xfId="10873" hidden="1" xr:uid="{A8B80AEF-2236-4281-AD5B-1CBC8ADCF4A9}"/>
    <cellStyle name="20 % - Akzent4" xfId="11214" hidden="1" xr:uid="{6097D9FC-4485-4D15-8DDD-580D9FB7A7C4}"/>
    <cellStyle name="20 % - Akzent4" xfId="10945" hidden="1" xr:uid="{DCD2BF5F-A406-43D9-B925-52D1B2BC9CE9}"/>
    <cellStyle name="20 % - Akzent4" xfId="11240" hidden="1" xr:uid="{F8EC2812-88E3-4D57-8D72-F0461FC9A885}"/>
    <cellStyle name="20 % - Akzent4" xfId="10710" hidden="1" xr:uid="{6AB043A9-E6A8-4834-9A45-DD958BA7D248}"/>
    <cellStyle name="20 % - Akzent4" xfId="10770" hidden="1" xr:uid="{A4DA43CB-E63F-48D8-8073-6D6658CFA202}"/>
    <cellStyle name="20 % - Akzent4" xfId="11418" hidden="1" xr:uid="{71CD6B13-3C50-407F-A49E-105E684CC7E1}"/>
    <cellStyle name="20 % - Akzent4" xfId="11780" hidden="1" xr:uid="{72F80734-866B-440D-A892-E61D84F51F90}"/>
    <cellStyle name="20 % - Akzent4" xfId="12328" hidden="1" xr:uid="{9139A9BD-B9A9-4F4B-AD82-EB0603A34EC4}"/>
    <cellStyle name="20 % - Akzent4" xfId="11111" hidden="1" xr:uid="{C866E9C0-791C-49EC-9B0B-D4677AF5F8DF}"/>
    <cellStyle name="20 % - Akzent4" xfId="8165" hidden="1" xr:uid="{B315B228-AD3C-4994-9EE8-502C5810D789}"/>
    <cellStyle name="20 % - Akzent4" xfId="7834" hidden="1" xr:uid="{0F219D1E-7CA1-4AC7-B352-0FC5F098F474}"/>
    <cellStyle name="20 % - Akzent4" xfId="3262" hidden="1" xr:uid="{AC53AF7C-72FA-46CF-94F0-419D2FA6525E}"/>
    <cellStyle name="20 % - Akzent4" xfId="4836" hidden="1" xr:uid="{091A9D0F-E03F-49C4-A192-D660E0C417F9}"/>
    <cellStyle name="20 % - Akzent4" xfId="4775" hidden="1" xr:uid="{F250B5BB-4D42-426A-8377-9C6D2A380004}"/>
    <cellStyle name="20 % - Akzent4" xfId="5138" hidden="1" xr:uid="{443AF74E-1B71-4070-8404-BEC54D46C9C5}"/>
    <cellStyle name="20 % - Akzent4" xfId="5766" hidden="1" xr:uid="{79F5A948-8E78-4DA2-84F1-C4BD954EE96B}"/>
    <cellStyle name="20 % - Akzent4" xfId="5883" hidden="1" xr:uid="{6ECBFA2D-85C9-4AC6-80AA-1D054441DAD2}"/>
    <cellStyle name="20 % - Akzent4" xfId="5129" hidden="1" xr:uid="{15935F27-0502-48BB-9B3B-C58D6E3946DC}"/>
    <cellStyle name="20 % - Akzent4" xfId="5822" hidden="1" xr:uid="{FA85B141-5444-4B5C-97DC-86F9397E5FDA}"/>
    <cellStyle name="20 % - Akzent4" xfId="6206" hidden="1" xr:uid="{6ABD19C6-B908-4DD7-AE54-C083B8DBEF2A}"/>
    <cellStyle name="20 % - Akzent4" xfId="6296" hidden="1" xr:uid="{41ECAEA9-DB62-4D4F-B7BA-B454E83FFC1D}"/>
    <cellStyle name="20 % - Akzent4" xfId="6231" hidden="1" xr:uid="{1254B1FC-20D1-4361-A6BE-0664409592A0}"/>
    <cellStyle name="20 % - Akzent4" xfId="6493" hidden="1" xr:uid="{6704A149-3EB6-4E35-A6DA-4A9C5CBFD6F9}"/>
    <cellStyle name="20 % - Akzent4" xfId="6473" hidden="1" xr:uid="{D6BE5607-8D7F-43D1-8336-494F8EE1E952}"/>
    <cellStyle name="20 % - Akzent4" xfId="6560" hidden="1" xr:uid="{E66EEEB3-90B8-44E9-ACD7-6309298BA68A}"/>
    <cellStyle name="20 % - Akzent4" xfId="6334" hidden="1" xr:uid="{D6ACE53D-AF93-4C5E-B6BC-3335640693A0}"/>
    <cellStyle name="20 % - Akzent4" xfId="6182" hidden="1" xr:uid="{8716C89F-09DF-459A-90D6-8734DD2BD600}"/>
    <cellStyle name="20 % - Akzent4" xfId="2127" hidden="1" xr:uid="{20ED18E0-D279-4B1B-8AA2-BABAC86C89CC}"/>
    <cellStyle name="20 % - Akzent4" xfId="5590" hidden="1" xr:uid="{FD9858C6-48E9-4D1B-88C4-018B0DCE236F}"/>
    <cellStyle name="20 % - Akzent4" xfId="4907" hidden="1" xr:uid="{D6405686-CB5A-4539-9A71-6A2228B9095B}"/>
    <cellStyle name="20 % - Akzent4" xfId="2748" hidden="1" xr:uid="{26F6CA55-5A19-4BA1-A81B-9834DE1954A4}"/>
    <cellStyle name="20 % - Akzent4" xfId="2309" hidden="1" xr:uid="{34AAB5B6-141B-4ED9-8205-C2AF09E155F4}"/>
    <cellStyle name="20 % - Akzent4" xfId="3180" hidden="1" xr:uid="{2726E5B4-5BA7-4275-AD41-4F1D6AA743FB}"/>
    <cellStyle name="20 % - Akzent4" xfId="3482" hidden="1" xr:uid="{9A3448E0-C1C6-4C25-BF25-D1342DD345C3}"/>
    <cellStyle name="20 % - Akzent4" xfId="2726" hidden="1" xr:uid="{A4BE47BD-2077-466D-B953-37E005F17380}"/>
    <cellStyle name="20 % - Akzent4" xfId="3524" hidden="1" xr:uid="{4562AF96-1A9D-4654-B7F1-FE2CC5E113CA}"/>
    <cellStyle name="20 % - Akzent4" xfId="3591" hidden="1" xr:uid="{CC4A800F-7683-4256-AF2B-FD2B5D53279C}"/>
    <cellStyle name="20 % - Akzent4" xfId="3115" hidden="1" xr:uid="{F18F558B-50B4-4E27-B240-42AA961443CF}"/>
    <cellStyle name="20 % - Akzent4" xfId="2043" hidden="1" xr:uid="{0B877C56-1A94-49E3-A0D2-28B88A39F960}"/>
    <cellStyle name="20 % - Akzent4" xfId="1670" hidden="1" xr:uid="{849B187B-ADBC-41E7-A7E5-4C33B7E1C31A}"/>
    <cellStyle name="20 % - Akzent4" xfId="1886" hidden="1" xr:uid="{9DD71FAE-8F65-451D-B846-CF743E2C976F}"/>
    <cellStyle name="20 % - Akzent4" xfId="2317" hidden="1" xr:uid="{DC178AFC-E9C6-49E3-AD93-C2CEF0473B84}"/>
    <cellStyle name="20 % - Akzent4" xfId="1943" hidden="1" xr:uid="{2A14BA09-B8F5-496A-A577-021A1AC68769}"/>
    <cellStyle name="20 % - Akzent4" xfId="981" hidden="1" xr:uid="{92C276FE-9F83-4AFB-A132-7F734CE2A588}"/>
    <cellStyle name="20 % - Akzent4" xfId="1400" hidden="1" xr:uid="{D7A7CE3E-98EB-4B9B-826E-B7F576CE5792}"/>
    <cellStyle name="20 % - Akzent4" xfId="906" hidden="1" xr:uid="{5C751A74-5F92-4AD4-B1C3-ACD6CAE5CFB5}"/>
    <cellStyle name="20 % - Akzent4" xfId="59" hidden="1" xr:uid="{A89BFD5D-55EA-43BF-9A8C-6B404439BE69}"/>
    <cellStyle name="20 % - Akzent4 2" xfId="376" xr:uid="{736169A7-F9F5-4D56-B800-29FDC2F8A4F5}"/>
    <cellStyle name="20 % - Akzent4 3" xfId="245" xr:uid="{CFDBA1EE-01B8-49EC-9542-2DACD8A3FBF3}"/>
    <cellStyle name="20 % - Akzent5" xfId="17001" hidden="1" xr:uid="{D756819B-987E-48D4-AF70-9145DD2B186E}"/>
    <cellStyle name="20 % - Akzent5" xfId="16044" hidden="1" xr:uid="{8DDD7058-AF9B-49DB-B281-1F8D63578D13}"/>
    <cellStyle name="20 % - Akzent5" xfId="17930" hidden="1" xr:uid="{3E869EB5-4767-4B04-8233-1789E33813E9}"/>
    <cellStyle name="20 % - Akzent5" xfId="18150" hidden="1" xr:uid="{3A1AF571-FE9E-4AE0-9EDD-24825B6EEFA7}"/>
    <cellStyle name="20 % - Akzent5" xfId="17441" hidden="1" xr:uid="{1559B4C9-70E5-4D8E-9611-75E8369C0BA9}"/>
    <cellStyle name="20 % - Akzent5" xfId="17992" hidden="1" xr:uid="{193D34AE-F827-4E25-A57E-9CB5977E3EE2}"/>
    <cellStyle name="20 % - Akzent5" xfId="17883" hidden="1" xr:uid="{258F5F2F-657C-437D-95D9-BFC50982F9DB}"/>
    <cellStyle name="20 % - Akzent5" xfId="17938" hidden="1" xr:uid="{2B8096C5-9FE1-40B4-BBCF-55786FF4634D}"/>
    <cellStyle name="20 % - Akzent5" xfId="19000" hidden="1" xr:uid="{0C90FF2F-C227-4713-BA13-0611A07195D6}"/>
    <cellStyle name="20 % - Akzent5" xfId="19105" hidden="1" xr:uid="{FE4905C7-D1D8-4AE0-83DF-78BE9F6A83B9}"/>
    <cellStyle name="20 % - Akzent5" xfId="19144" hidden="1" xr:uid="{7B8570AE-06CE-47B9-8802-B8FBC998C872}"/>
    <cellStyle name="20 % - Akzent5" xfId="18139" hidden="1" xr:uid="{44AC7057-C18C-4117-BC7D-F1308135344A}"/>
    <cellStyle name="20 % - Akzent5" xfId="19446" hidden="1" xr:uid="{3098BC25-4CA2-4618-8D8E-A1727DFC2A98}"/>
    <cellStyle name="20 % - Akzent5" xfId="19877" hidden="1" xr:uid="{011A0F65-3729-47CE-AC96-0A89FC4E026F}"/>
    <cellStyle name="20 % - Akzent5" xfId="20297" hidden="1" xr:uid="{2231066D-B0E4-45E8-8B98-C5242740525F}"/>
    <cellStyle name="20 % - Akzent5" xfId="20485" hidden="1" xr:uid="{7E06CFC0-6AB1-4576-846A-763DE6B05CDA}"/>
    <cellStyle name="20 % - Akzent5" xfId="20969" hidden="1" xr:uid="{628B5593-E7A0-4C78-9964-0BB763DD504A}"/>
    <cellStyle name="20 % - Akzent5" xfId="21560" hidden="1" xr:uid="{66139D09-9931-40B8-819B-4AD7FE293049}"/>
    <cellStyle name="20 % - Akzent5" xfId="21504" hidden="1" xr:uid="{D35B6582-F0E6-4828-9B86-F19FDB0C45AE}"/>
    <cellStyle name="20 % - Akzent5" xfId="21403" hidden="1" xr:uid="{34AE8719-6F73-43EB-9972-7909B72271DF}"/>
    <cellStyle name="20 % - Akzent5" xfId="21440" hidden="1" xr:uid="{44FC3AF8-0B21-46A2-8B25-DC7F3BB33C17}"/>
    <cellStyle name="20 % - Akzent5" xfId="21262" hidden="1" xr:uid="{F2003FE1-9299-4FA4-9DF3-66CCDDE5C1B4}"/>
    <cellStyle name="20 % - Akzent5" xfId="21477" hidden="1" xr:uid="{2FD30AF1-AFB8-483F-B105-D72C4B85818D}"/>
    <cellStyle name="20 % - Akzent5" xfId="22540" hidden="1" xr:uid="{AB5F4541-9B00-4A9E-ACDC-FBBA48B36EF1}"/>
    <cellStyle name="20 % - Akzent5" xfId="21013" hidden="1" xr:uid="{7D19B5CD-7ECC-42B1-8A66-01D9595F6C05}"/>
    <cellStyle name="20 % - Akzent5" xfId="22675" hidden="1" xr:uid="{F7AAE21C-23B8-44A0-A9A2-1211F58BC752}"/>
    <cellStyle name="20 % - Akzent5" xfId="22900" hidden="1" xr:uid="{D1A63781-ADAD-49A5-8764-2B503E04B4EB}"/>
    <cellStyle name="20 % - Akzent5" xfId="22856" hidden="1" xr:uid="{5F8B9B05-D75A-4C67-951E-01B125306A5B}"/>
    <cellStyle name="20 % - Akzent5" xfId="23096" hidden="1" xr:uid="{C479E798-14CB-4216-9A5B-BE50FD61677A}"/>
    <cellStyle name="20 % - Akzent5" xfId="23356" hidden="1" xr:uid="{508E35FB-C300-42B7-90BD-3924A451A185}"/>
    <cellStyle name="20 % - Akzent5" xfId="23618" hidden="1" xr:uid="{588FAED2-1F3E-405A-B934-1979422A47FE}"/>
    <cellStyle name="20 % - Akzent5" xfId="23585" hidden="1" xr:uid="{36FE14E5-4DA6-4451-B810-67FC1130D003}"/>
    <cellStyle name="20 % - Akzent5" xfId="23622" hidden="1" xr:uid="{FD4ACEDC-3B16-4943-824F-C21A712B0EA1}"/>
    <cellStyle name="20 % - Akzent5" xfId="22866" hidden="1" xr:uid="{03742880-F43D-4965-BBD8-FF7616790E71}"/>
    <cellStyle name="20 % - Akzent5" xfId="23507" hidden="1" xr:uid="{09F62BBD-8823-4980-966A-2A21E64EF046}"/>
    <cellStyle name="20 % - Akzent5" xfId="24079" hidden="1" xr:uid="{350D6D2C-E7F0-42D5-B754-8CB0CDBA7423}"/>
    <cellStyle name="20 % - Akzent5" xfId="24436" hidden="1" xr:uid="{4E108F76-9C2D-45A6-A898-F188E093F63D}"/>
    <cellStyle name="20 % - Akzent5" xfId="25254" hidden="1" xr:uid="{7784BD06-ACEC-465C-AFF1-47AD71B0070D}"/>
    <cellStyle name="20 % - Akzent5" xfId="24159" hidden="1" xr:uid="{83F8AE35-F710-4049-A9F5-594E259916C1}"/>
    <cellStyle name="20 % - Akzent5" xfId="25509" hidden="1" xr:uid="{328CABCE-B343-452C-A610-C8D4D67DF433}"/>
    <cellStyle name="20 % - Akzent5" xfId="26107" hidden="1" xr:uid="{A88626BD-CFED-4C0E-A265-CEDF498FCDB4}"/>
    <cellStyle name="20 % - Akzent5" xfId="26224" hidden="1" xr:uid="{DEFF03A2-BA29-46AE-A69D-95F71A24CD9B}"/>
    <cellStyle name="20 % - Akzent5" xfId="25422" hidden="1" xr:uid="{CD415B7F-131C-4387-B014-7B60BC81A73B}"/>
    <cellStyle name="20 % - Akzent5" xfId="26550" hidden="1" xr:uid="{573F6D0D-566A-4A2C-BA83-0FF0A7E54A3A}"/>
    <cellStyle name="20 % - Akzent5" xfId="26598" hidden="1" xr:uid="{85DBD380-EC6B-453E-A1BC-03B279C7AA45}"/>
    <cellStyle name="20 % - Akzent5" xfId="26575" hidden="1" xr:uid="{B325043B-DB8B-44F2-89FA-36C42E72BE8A}"/>
    <cellStyle name="20 % - Akzent5" xfId="26801" hidden="1" xr:uid="{F800C5DB-3635-4AB8-9DF5-A93BD1E022E1}"/>
    <cellStyle name="20 % - Akzent5" xfId="26651" hidden="1" xr:uid="{6A468099-8089-47E5-B6B3-E0E814F5F480}"/>
    <cellStyle name="20 % - Akzent5" xfId="26066" hidden="1" xr:uid="{0E6DD765-540F-409A-BEA4-ED148E21CE70}"/>
    <cellStyle name="20 % - Akzent5" xfId="27767" hidden="1" xr:uid="{8BA5FDBE-0251-42C3-99B8-67D79CACAAD9}"/>
    <cellStyle name="20 % - Akzent5" xfId="27856" hidden="1" xr:uid="{AAECFCE9-11D5-44E8-9B2B-6C87D9DA74CE}"/>
    <cellStyle name="20 % - Akzent5" xfId="27879" hidden="1" xr:uid="{7388D88B-7CB0-4EF3-8A63-A72CFBC30BF0}"/>
    <cellStyle name="20 % - Akzent5" xfId="26059" hidden="1" xr:uid="{873C41CF-DD44-4F2D-8BD5-CDD1144DDFB6}"/>
    <cellStyle name="20 % - Akzent5" xfId="27960" hidden="1" xr:uid="{FBAE160C-5D43-4AC4-863F-CB1C8691A1D2}"/>
    <cellStyle name="20 % - Akzent5" xfId="28337" hidden="1" xr:uid="{04CB5A26-A80D-423A-B961-C0FA3BFCF7EA}"/>
    <cellStyle name="20 % - Akzent5" xfId="28807" hidden="1" xr:uid="{82E49FDD-F246-4510-BCFB-C792FEDF9288}"/>
    <cellStyle name="20 % - Akzent5" xfId="28326" hidden="1" xr:uid="{91D33329-5665-4E56-A7AE-8D2AF8B978CD}"/>
    <cellStyle name="20 % - Akzent5" xfId="29598" hidden="1" xr:uid="{C54A5CED-54F9-477F-992D-2193F7F659F7}"/>
    <cellStyle name="20 % - Akzent5" xfId="29297" hidden="1" xr:uid="{E4B616D2-1A15-409E-844F-72EAD3D6633A}"/>
    <cellStyle name="20 % - Akzent5" xfId="29329" hidden="1" xr:uid="{4366520F-ACB3-4378-840F-4031159A79B0}"/>
    <cellStyle name="20 % - Akzent5" xfId="30913" hidden="1" xr:uid="{5BE34D89-71F0-4834-B86C-16032D30865B}"/>
    <cellStyle name="20 % - Akzent5" xfId="30991" hidden="1" xr:uid="{22ED008B-9D14-48E0-8993-863907BA2EDC}"/>
    <cellStyle name="20 % - Akzent5" xfId="31475" hidden="1" xr:uid="{7E29C684-9DBE-4B17-898C-8A9A07CAA110}"/>
    <cellStyle name="20 % - Akzent5" xfId="31678" hidden="1" xr:uid="{3D43A199-30E9-448A-B480-75A8EF5EC66A}"/>
    <cellStyle name="20 % - Akzent5" xfId="32178" hidden="1" xr:uid="{D5083C95-ED99-4640-A03E-E473D6929E7C}"/>
    <cellStyle name="20 % - Akzent5" xfId="32204" hidden="1" xr:uid="{F8BF2768-819F-40E1-8B3B-5AE41FEA700C}"/>
    <cellStyle name="20 % - Akzent5" xfId="32195" hidden="1" xr:uid="{8EE97634-ABC4-4FE8-83C7-7EED58915E42}"/>
    <cellStyle name="20 % - Akzent5" xfId="32197" hidden="1" xr:uid="{C54297EC-8BFB-4B7E-912C-565251E05449}"/>
    <cellStyle name="20 % - Akzent5" xfId="29365" hidden="1" xr:uid="{CD907469-323F-4FA5-8F6C-268A1CDA2F00}"/>
    <cellStyle name="20 % - Akzent5" xfId="26784" hidden="1" xr:uid="{667A6AA2-7EC5-4E97-BB50-5FB4AB94D1DC}"/>
    <cellStyle name="20 % - Akzent5" xfId="26425" hidden="1" xr:uid="{B2E48C03-8432-4A09-AB63-66443EBBB4A6}"/>
    <cellStyle name="20 % - Akzent5" xfId="24168" hidden="1" xr:uid="{3463C185-FF07-49CE-93EF-2D7FCDC7C849}"/>
    <cellStyle name="20 % - Akzent5" xfId="23282" hidden="1" xr:uid="{0208B7F0-D878-4AEB-B08E-CF8953E491F8}"/>
    <cellStyle name="20 % - Akzent5" xfId="21900" hidden="1" xr:uid="{4774579F-6933-438B-BAB3-D36C3D6E2843}"/>
    <cellStyle name="20 % - Akzent5" xfId="20536" hidden="1" xr:uid="{F9844637-60AC-469B-ADBA-CD8460A0ABC8}"/>
    <cellStyle name="20 % - Akzent5" xfId="18824" hidden="1" xr:uid="{FE4DD465-7162-450C-827F-054F180C3ED5}"/>
    <cellStyle name="20 % - Akzent5" xfId="17609" hidden="1" xr:uid="{11CF8B2C-F904-45C2-A953-1881FAC04864}"/>
    <cellStyle name="20 % - Akzent5" xfId="8306" hidden="1" xr:uid="{484CBFD3-7130-4D03-BA50-FD465521B9C9}"/>
    <cellStyle name="20 % - Akzent5" xfId="8198" hidden="1" xr:uid="{45889DAE-4715-4A89-8A7F-9C9C198390E5}"/>
    <cellStyle name="20 % - Akzent5" xfId="7902" hidden="1" xr:uid="{D1519825-716A-452C-B77D-04BCE79ED38C}"/>
    <cellStyle name="20 % - Akzent5" xfId="8080" hidden="1" xr:uid="{B35BD800-1948-4E3A-A6F1-81BB673B87B2}"/>
    <cellStyle name="20 % - Akzent5" xfId="7858" hidden="1" xr:uid="{228F0D29-7BBA-4F8C-92F5-3EAB17D32BE1}"/>
    <cellStyle name="20 % - Akzent5" xfId="8086" hidden="1" xr:uid="{38D62A04-6CFB-4B61-A1FB-7CDE59FD754F}"/>
    <cellStyle name="20 % - Akzent5" xfId="8608" hidden="1" xr:uid="{C0F53E98-54D7-4447-9C4C-DA8C25F703E9}"/>
    <cellStyle name="20 % - Akzent5" xfId="8407" hidden="1" xr:uid="{3387C87B-ED3D-4CCF-B718-20A56C53F1E8}"/>
    <cellStyle name="20 % - Akzent5" xfId="8766" hidden="1" xr:uid="{43B2D8F9-7970-4359-A7BE-FABC62694D09}"/>
    <cellStyle name="20 % - Akzent5" xfId="8818" hidden="1" xr:uid="{6ED97189-7CA8-4C08-B472-C55CC0CBF2AE}"/>
    <cellStyle name="20 % - Akzent5" xfId="8251" hidden="1" xr:uid="{37E26516-7752-422A-8B72-25EBA3D1AC35}"/>
    <cellStyle name="20 % - Akzent5" xfId="9016" hidden="1" xr:uid="{4858AB26-5A81-4738-BEB0-1A0187074864}"/>
    <cellStyle name="20 % - Akzent5" xfId="9431" hidden="1" xr:uid="{96514FC3-4492-4DFB-A7D4-8B38262B4EFD}"/>
    <cellStyle name="20 % - Akzent5" xfId="9837" hidden="1" xr:uid="{C448FE0E-A53B-4576-93F1-FE06F9383D0F}"/>
    <cellStyle name="20 % - Akzent5" xfId="9827" hidden="1" xr:uid="{B93E4479-51FB-4DF4-B3CC-58369DCF3E82}"/>
    <cellStyle name="20 % - Akzent5" xfId="9959" hidden="1" xr:uid="{7CEE2549-A138-474F-80F6-D1AC25505800}"/>
    <cellStyle name="20 % - Akzent5" xfId="10817" hidden="1" xr:uid="{1984AE85-E249-4F59-A6BC-84BD6457CC5E}"/>
    <cellStyle name="20 % - Akzent5" xfId="10872" hidden="1" xr:uid="{B8595FA4-06E9-4356-8671-CA90C7489ED0}"/>
    <cellStyle name="20 % - Akzent5" xfId="10784" hidden="1" xr:uid="{E12098BF-E0F2-473B-8A25-B39E991459C5}"/>
    <cellStyle name="20 % - Akzent5" xfId="11256" hidden="1" xr:uid="{4591BF67-8451-49E3-80AE-EFB62546DC55}"/>
    <cellStyle name="20 % - Akzent5" xfId="11191" hidden="1" xr:uid="{2B2517F3-7C0A-4880-975B-6E5B2EDB1471}"/>
    <cellStyle name="20 % - Akzent5" xfId="11224" hidden="1" xr:uid="{C748B77B-C7D7-41EA-91EE-EB19F3D1F2B7}"/>
    <cellStyle name="20 % - Akzent5" xfId="10367" hidden="1" xr:uid="{5009576A-1ECF-404C-A472-1BECEF8AF8C3}"/>
    <cellStyle name="20 % - Akzent5" xfId="10530" hidden="1" xr:uid="{F4843A23-23D6-4B50-BE76-DBCC0F818B60}"/>
    <cellStyle name="20 % - Akzent5" xfId="11147" hidden="1" xr:uid="{288F01CF-B5E0-432C-9A87-9AFCDD54EDAF}"/>
    <cellStyle name="20 % - Akzent5" xfId="11422" hidden="1" xr:uid="{16D4E621-4842-42F9-A87A-9C1C3AEDADE3}"/>
    <cellStyle name="20 % - Akzent5" xfId="11848" hidden="1" xr:uid="{DCE08963-1D88-450F-8ADA-D3D8D2FA9014}"/>
    <cellStyle name="20 % - Akzent5" xfId="12324" hidden="1" xr:uid="{D7F9C4E9-8851-490D-92AF-38CFD3AE479A}"/>
    <cellStyle name="20 % - Akzent5" xfId="11508" hidden="1" xr:uid="{B0B7C5B8-CE07-4733-A232-4249A109EF44}"/>
    <cellStyle name="20 % - Akzent5" xfId="13198" hidden="1" xr:uid="{B358E7DC-693B-437B-A785-FF34931D79D0}"/>
    <cellStyle name="20 % - Akzent5" xfId="11720" hidden="1" xr:uid="{2D58A8F9-8DF5-4741-AE8F-7F3024D3698D}"/>
    <cellStyle name="20 % - Akzent5" xfId="11377" hidden="1" xr:uid="{C33C858C-5E8D-4E33-BA33-122AB2D3923B}"/>
    <cellStyle name="20 % - Akzent5" xfId="14389" hidden="1" xr:uid="{B2298915-215F-41E0-B03F-F60023843570}"/>
    <cellStyle name="20 % - Akzent5" xfId="11721" hidden="1" xr:uid="{473FB8F1-FC63-4202-AD34-A1BC25A78C64}"/>
    <cellStyle name="20 % - Akzent5" xfId="14610" hidden="1" xr:uid="{74F9376E-8B25-4C1A-A858-78565A645085}"/>
    <cellStyle name="20 % - Akzent5" xfId="14864" hidden="1" xr:uid="{954933F0-C72F-4905-9A1B-540CD84F7879}"/>
    <cellStyle name="20 % - Akzent5" xfId="15032" hidden="1" xr:uid="{51D9A15C-612F-4FD2-83C4-E92673E266D9}"/>
    <cellStyle name="20 % - Akzent5" xfId="14830" hidden="1" xr:uid="{C95D3BD6-E82D-47EA-9F50-C010E14723CC}"/>
    <cellStyle name="20 % - Akzent5" xfId="14220" hidden="1" xr:uid="{049F12EA-2904-4260-ACF9-09C3DF69DF13}"/>
    <cellStyle name="20 % - Akzent5" xfId="15083" hidden="1" xr:uid="{EACE96B8-2FC4-46EB-A60C-ACB5760B535B}"/>
    <cellStyle name="20 % - Akzent5" xfId="15094" hidden="1" xr:uid="{39D01AF7-D9A6-407B-B75C-5AAAB8FA06D5}"/>
    <cellStyle name="20 % - Akzent5" xfId="15488" hidden="1" xr:uid="{E1205453-A3F3-49C6-BE0F-CDA0FE767832}"/>
    <cellStyle name="20 % - Akzent5" xfId="15461" hidden="1" xr:uid="{4FA3AF04-DA9B-4A0E-92E0-771B7CE21D60}"/>
    <cellStyle name="20 % - Akzent5" xfId="15095" hidden="1" xr:uid="{956B901E-B56B-4CBF-857A-279956355B40}"/>
    <cellStyle name="20 % - Akzent5" xfId="14820" hidden="1" xr:uid="{AECA6882-4130-4980-AD56-3CA3B76B08B4}"/>
    <cellStyle name="20 % - Akzent5" xfId="14843" hidden="1" xr:uid="{E681C60A-A3B9-43C4-889C-B9CB972B83D3}"/>
    <cellStyle name="20 % - Akzent5" xfId="15470" hidden="1" xr:uid="{62231381-E28A-4166-B4A6-B6A0350F6AAA}"/>
    <cellStyle name="20 % - Akzent5" xfId="16029" hidden="1" xr:uid="{D73D1DB0-04D7-4464-8A91-3A6E2477C3D5}"/>
    <cellStyle name="20 % - Akzent5" xfId="16113" hidden="1" xr:uid="{166FF286-4567-4B5D-B5E4-2F839FB2953F}"/>
    <cellStyle name="20 % - Akzent5" xfId="16540" hidden="1" xr:uid="{D91D8942-E369-4960-8C81-9F15FE977EC2}"/>
    <cellStyle name="20 % - Akzent5" xfId="16952" hidden="1" xr:uid="{460C9C75-57E9-42B4-A026-EB02E3C5DA41}"/>
    <cellStyle name="20 % - Akzent5" xfId="16939" hidden="1" xr:uid="{7D5F21C9-EBE9-4DD0-B79B-A56B903CB2F0}"/>
    <cellStyle name="20 % - Akzent5" xfId="15895" hidden="1" xr:uid="{2C95E59A-57EF-4326-99AB-93286808C77A}"/>
    <cellStyle name="20 % - Akzent5" xfId="13674" hidden="1" xr:uid="{C1A254D9-0596-402E-9F29-8C83F3C1E192}"/>
    <cellStyle name="20 % - Akzent5" xfId="10466" hidden="1" xr:uid="{795BD490-B215-4C75-B9F8-A817F3494467}"/>
    <cellStyle name="20 % - Akzent5" xfId="8196" hidden="1" xr:uid="{06954492-7084-465D-A6BE-0DB90B30FB45}"/>
    <cellStyle name="20 % - Akzent5" xfId="5844" hidden="1" xr:uid="{222707AF-2837-4E54-A3C5-D426E300456E}"/>
    <cellStyle name="20 % - Akzent5" xfId="5126" hidden="1" xr:uid="{028A10C9-4500-4EC8-9BFF-BDC47D3006CF}"/>
    <cellStyle name="20 % - Akzent5" xfId="5609" hidden="1" xr:uid="{910A7480-F553-41CE-8BB2-30D6441A032C}"/>
    <cellStyle name="20 % - Akzent5" xfId="6108" hidden="1" xr:uid="{AEF28BF2-FE99-44E4-A1D9-B5435B2EE05E}"/>
    <cellStyle name="20 % - Akzent5" xfId="6085" hidden="1" xr:uid="{4AE2A05F-2C7C-40FE-BD74-CA5A05C3204A}"/>
    <cellStyle name="20 % - Akzent5" xfId="6123" hidden="1" xr:uid="{8AD34DA9-7D41-4310-A2F7-65EFA18BECCD}"/>
    <cellStyle name="20 % - Akzent5" xfId="6516" hidden="1" xr:uid="{0000E6D6-61A1-40C9-8334-6A413513F886}"/>
    <cellStyle name="20 % - Akzent5" xfId="6591" hidden="1" xr:uid="{733D857A-281D-4A4E-BE19-51F695D49A43}"/>
    <cellStyle name="20 % - Akzent5" xfId="2045" hidden="1" xr:uid="{718E28CB-40CF-4180-AED6-519136425044}"/>
    <cellStyle name="20 % - Akzent5" xfId="6569" hidden="1" xr:uid="{56A11D23-9C45-45DF-8BED-E75186402685}"/>
    <cellStyle name="20 % - Akzent5" xfId="5101" hidden="1" xr:uid="{C99FC93F-32B7-415B-858F-D8A5CF6B867A}"/>
    <cellStyle name="20 % - Akzent5" xfId="6481" hidden="1" xr:uid="{4F779806-3B5B-44C8-896F-3E2D8D1E499F}"/>
    <cellStyle name="20 % - Akzent5" xfId="6226" hidden="1" xr:uid="{203B290C-9426-43A5-BDAC-13AB538A50C7}"/>
    <cellStyle name="20 % - Akzent5" xfId="6802" hidden="1" xr:uid="{8018BC94-C906-4EAF-8BCF-E3B479ED22F7}"/>
    <cellStyle name="20 % - Akzent5" xfId="7218" hidden="1" xr:uid="{48BB7E4D-1C62-4A9C-84F4-60FE8FB60418}"/>
    <cellStyle name="20 % - Akzent5" xfId="7627" hidden="1" xr:uid="{14A599AE-8DBA-4823-ABA9-0A057FA0C963}"/>
    <cellStyle name="20 % - Akzent5" xfId="7614" hidden="1" xr:uid="{D896B72D-59F5-40B7-BF52-716840846300}"/>
    <cellStyle name="20 % - Akzent5" xfId="7674" hidden="1" xr:uid="{B394E8D8-8577-4D08-95A8-EA3D91562A12}"/>
    <cellStyle name="20 % - Akzent5" xfId="8112" hidden="1" xr:uid="{BD4FA6D1-8810-4B51-8B10-05321EDF6CCB}"/>
    <cellStyle name="20 % - Akzent5" xfId="8138" hidden="1" xr:uid="{FB894B0F-2332-4807-AC72-F770141BE1CC}"/>
    <cellStyle name="20 % - Akzent5" xfId="8052" hidden="1" xr:uid="{8A3FE6E3-8C6C-4827-A265-5E8E9367848F}"/>
    <cellStyle name="20 % - Akzent5" xfId="7759" hidden="1" xr:uid="{6535BD94-BF5D-46D2-911B-A813E5AEB554}"/>
    <cellStyle name="20 % - Akzent5" xfId="8129" hidden="1" xr:uid="{C45CD7CA-8B67-436E-81C8-ECD69E375B75}"/>
    <cellStyle name="20 % - Akzent5" xfId="6741" hidden="1" xr:uid="{F3A44BBF-D9AE-4342-B1F7-BCB2C5D19D3E}"/>
    <cellStyle name="20 % - Akzent5" xfId="6235" hidden="1" xr:uid="{3603D835-1A83-4B3A-8162-22BD558B88C5}"/>
    <cellStyle name="20 % - Akzent5" xfId="3308" hidden="1" xr:uid="{3689E394-9F4C-4DF8-81F0-7BBFC6B849C1}"/>
    <cellStyle name="20 % - Akzent5" xfId="2962" hidden="1" xr:uid="{85AA6636-0F7A-4CA1-8A74-00908D747D5B}"/>
    <cellStyle name="20 % - Akzent5" xfId="3366" hidden="1" xr:uid="{00488530-62AC-497F-8096-5E2F5F2BAE07}"/>
    <cellStyle name="20 % - Akzent5" xfId="2944" hidden="1" xr:uid="{603A733C-C29C-4A66-8B4D-6ED1F9C6CE00}"/>
    <cellStyle name="20 % - Akzent5" xfId="3639" hidden="1" xr:uid="{3FFAFF4E-5482-4AE2-8F18-F3E9DF028F9E}"/>
    <cellStyle name="20 % - Akzent5" xfId="3119" hidden="1" xr:uid="{94ECD778-7B75-4B74-B84E-4595452A587B}"/>
    <cellStyle name="20 % - Akzent5" xfId="3339" hidden="1" xr:uid="{8E022940-54EF-4344-91BF-CFA264568F68}"/>
    <cellStyle name="20 % - Akzent5" xfId="4862" hidden="1" xr:uid="{D4966FBA-BC60-40DF-92B1-525502907B49}"/>
    <cellStyle name="20 % - Akzent5" xfId="2198" hidden="1" xr:uid="{28491F53-3015-409A-BBCF-3B9F693AB3FE}"/>
    <cellStyle name="20 % - Akzent5" xfId="4848" hidden="1" xr:uid="{3E073968-31B0-4BCD-907D-731E90CBC57B}"/>
    <cellStyle name="20 % - Akzent5" xfId="5665" hidden="1" xr:uid="{6F128F60-0A1A-4246-AE99-C4F92B06D3C7}"/>
    <cellStyle name="20 % - Akzent5" xfId="5639" hidden="1" xr:uid="{66BF0EBE-5485-4143-8180-EB76F8093F8E}"/>
    <cellStyle name="20 % - Akzent5" xfId="1890" hidden="1" xr:uid="{D37F5143-A3B6-4389-9E31-590B7EC7949A}"/>
    <cellStyle name="20 % - Akzent5" xfId="2315" hidden="1" xr:uid="{70CFE1E8-19D6-443A-8D29-5BD5E60DC1CD}"/>
    <cellStyle name="20 % - Akzent5" xfId="2735" hidden="1" xr:uid="{3ED0AAD0-C330-4E16-A065-07B1EACF4093}"/>
    <cellStyle name="20 % - Akzent5" xfId="2840" hidden="1" xr:uid="{F02D0E4F-F056-4504-8C8E-3DE3BD201FC4}"/>
    <cellStyle name="20 % - Akzent5" xfId="2026" hidden="1" xr:uid="{7E3927D2-792C-4766-825F-94EAC57E0B7E}"/>
    <cellStyle name="20 % - Akzent5" xfId="2229" hidden="1" xr:uid="{3E2A23FA-B02E-45D0-8989-85242375CECC}"/>
    <cellStyle name="20 % - Akzent5" xfId="988" hidden="1" xr:uid="{3E5490D8-496B-473C-B535-9C671E63ACC8}"/>
    <cellStyle name="20 % - Akzent5" xfId="1403" hidden="1" xr:uid="{4EA89299-1FEE-4A54-8CCE-CCDEDD870803}"/>
    <cellStyle name="20 % - Akzent5" xfId="1616" hidden="1" xr:uid="{4B058411-B134-489E-95B0-37BBCEF4A77B}"/>
    <cellStyle name="20 % - Akzent5" xfId="909" hidden="1" xr:uid="{8C8B9AE8-1980-4AE1-A86D-2917FC8C24B9}"/>
    <cellStyle name="20 % - Akzent5" xfId="62" hidden="1" xr:uid="{BAF91388-AED1-454A-9281-509DD4251F2D}"/>
    <cellStyle name="20 % - Akzent5 2" xfId="377" xr:uid="{FE988F92-8B2C-48C0-AA2B-E3D42B954A3C}"/>
    <cellStyle name="20 % - Akzent5 3" xfId="246" xr:uid="{9D6EF741-6748-47A1-8CD4-69B83540045C}"/>
    <cellStyle name="20 % - Akzent6" xfId="22084" hidden="1" xr:uid="{28878644-FB40-4AA0-B0D1-B8B1E0DCDAEA}"/>
    <cellStyle name="20 % - Akzent6" xfId="22764" hidden="1" xr:uid="{137FFB11-636C-4D5C-B68E-FA4C476AB90A}"/>
    <cellStyle name="20 % - Akzent6" xfId="22733" hidden="1" xr:uid="{6C2796CC-F4BE-4969-8176-8AF98D384989}"/>
    <cellStyle name="20 % - Akzent6" xfId="22502" hidden="1" xr:uid="{EE8E2ABA-CF61-4DF8-BAA1-9E45B0E5401F}"/>
    <cellStyle name="20 % - Akzent6" xfId="23172" hidden="1" xr:uid="{79C5FBF4-9878-4BE2-9D8C-36751E400E5E}"/>
    <cellStyle name="20 % - Akzent6" xfId="23145" hidden="1" xr:uid="{1F4E4E20-C575-44F4-B1CC-31B95D005E54}"/>
    <cellStyle name="20 % - Akzent6" xfId="23271" hidden="1" xr:uid="{CE39B517-37C6-4E7A-B94A-AB4371C11349}"/>
    <cellStyle name="20 % - Akzent6" xfId="23649" hidden="1" xr:uid="{63440B00-7C05-4530-88F0-0371A03D7BBF}"/>
    <cellStyle name="20 % - Akzent6" xfId="20984" hidden="1" xr:uid="{C28F556B-2401-4B54-BF9C-5A69EF98902D}"/>
    <cellStyle name="20 % - Akzent6" xfId="23654" hidden="1" xr:uid="{2DD7D9C2-7BE4-49FD-A0F2-C6DDAA1461FF}"/>
    <cellStyle name="20 % - Akzent6" xfId="20559" hidden="1" xr:uid="{05402DC0-65A0-482F-8FCC-396AFC79AC1B}"/>
    <cellStyle name="20 % - Akzent6" xfId="24082" hidden="1" xr:uid="{78082C69-CD23-41C0-9093-551671679836}"/>
    <cellStyle name="20 % - Akzent6" xfId="24081" hidden="1" xr:uid="{B7F7046C-F3C1-44C7-8ACA-B2A1B06193CF}"/>
    <cellStyle name="20 % - Akzent6" xfId="24171" hidden="1" xr:uid="{736F8123-BD73-40C5-9FD8-1D9E11BC5012}"/>
    <cellStyle name="20 % - Akzent6" xfId="25134" hidden="1" xr:uid="{DFECD38D-B58D-45E0-AE77-8CC78C7755D6}"/>
    <cellStyle name="20 % - Akzent6" xfId="25428" hidden="1" xr:uid="{B1311F11-CD7A-408F-AA74-A2F820C3EED9}"/>
    <cellStyle name="20 % - Akzent6" xfId="25275" hidden="1" xr:uid="{9496E3D5-43BD-4EB2-B1AD-350C2598D226}"/>
    <cellStyle name="20 % - Akzent6" xfId="25997" hidden="1" xr:uid="{CBB98F8D-DEFE-4BD9-929D-6E71FF5F8724}"/>
    <cellStyle name="20 % - Akzent6" xfId="26125" hidden="1" xr:uid="{E8B4C493-8D6E-48C5-9455-F88DB579399E}"/>
    <cellStyle name="20 % - Akzent6" xfId="26295" hidden="1" xr:uid="{08CBA5D0-2EB7-4E9E-B99F-F45657C8C2AD}"/>
    <cellStyle name="20 % - Akzent6" xfId="26448" hidden="1" xr:uid="{22CB048F-63EF-4956-A58D-82670B919495}"/>
    <cellStyle name="20 % - Akzent6" xfId="26424" hidden="1" xr:uid="{0332BF96-4268-4A43-9198-2BC2BC1C1AE3}"/>
    <cellStyle name="20 % - Akzent6" xfId="26465" hidden="1" xr:uid="{EDA7DBE7-361C-430E-929E-0A8F0F8F47B0}"/>
    <cellStyle name="20 % - Akzent6" xfId="26587" hidden="1" xr:uid="{1AF6C02E-500D-4B6A-AEB3-108AEBB6EFD4}"/>
    <cellStyle name="20 % - Akzent6" xfId="27219" hidden="1" xr:uid="{BB0B95C7-EF16-4721-81CF-89032DCE48F3}"/>
    <cellStyle name="20 % - Akzent6" xfId="27680" hidden="1" xr:uid="{6D1A3CBD-7AAF-4F01-9DD6-B84F10CC556D}"/>
    <cellStyle name="20 % - Akzent6" xfId="27815" hidden="1" xr:uid="{FAD2673E-1246-4AFC-8031-54488836DAB6}"/>
    <cellStyle name="20 % - Akzent6" xfId="27863" hidden="1" xr:uid="{739947DF-DF40-4FE3-863F-B8B63F78EC62}"/>
    <cellStyle name="20 % - Akzent6" xfId="27877" hidden="1" xr:uid="{85A7E5A6-12E7-4824-B64F-6F0417E2F53F}"/>
    <cellStyle name="20 % - Akzent6" xfId="27225" hidden="1" xr:uid="{C4441FEF-1829-4ED7-B358-E79EBDC61C4C}"/>
    <cellStyle name="20 % - Akzent6" xfId="27964" hidden="1" xr:uid="{1751BE74-B029-4879-AD6D-17E78AC81265}"/>
    <cellStyle name="20 % - Akzent6" xfId="28336" hidden="1" xr:uid="{7E88F180-D38A-4F78-AEF7-95B031FFCE54}"/>
    <cellStyle name="20 % - Akzent6" xfId="28808" hidden="1" xr:uid="{3ADB008D-7117-40EE-9D95-46B2E9A19FD6}"/>
    <cellStyle name="20 % - Akzent6" xfId="29351" hidden="1" xr:uid="{27E6D2D8-5744-47AD-B884-739D3E6B8F87}"/>
    <cellStyle name="20 % - Akzent6" xfId="28123" hidden="1" xr:uid="{5296B7CC-5685-4BD6-9B4B-672061F801BD}"/>
    <cellStyle name="20 % - Akzent6" xfId="28347" hidden="1" xr:uid="{880A8ED1-2536-4025-B5D6-0D07600AE7CC}"/>
    <cellStyle name="20 % - Akzent6" xfId="30198" hidden="1" xr:uid="{73776D95-C4A6-4D6F-9E27-055E592D8E75}"/>
    <cellStyle name="20 % - Akzent6" xfId="30848" hidden="1" xr:uid="{3CAE0948-C355-4790-929E-91EA6E24A91E}"/>
    <cellStyle name="20 % - Akzent6" xfId="28192" hidden="1" xr:uid="{B6F4F460-43E7-4B32-959A-CCC77C67D372}"/>
    <cellStyle name="20 % - Akzent6" xfId="31479" hidden="1" xr:uid="{4A1E6A41-10D2-4A03-8114-275AD0C06999}"/>
    <cellStyle name="20 % - Akzent6" xfId="31656" hidden="1" xr:uid="{4EEBCAC1-8E84-4B03-B017-661BB3E10224}"/>
    <cellStyle name="20 % - Akzent6" xfId="32211" hidden="1" xr:uid="{5D23082C-CBF7-4C04-B8ED-784D52AFDBBC}"/>
    <cellStyle name="20 % - Akzent6" xfId="31499" hidden="1" xr:uid="{65198A3A-0F66-4135-A4E1-02F3BE37849F}"/>
    <cellStyle name="20 % - Akzent6" xfId="32335" hidden="1" xr:uid="{1F60C79A-9C66-40ED-8C88-8F394EC6AC8F}"/>
    <cellStyle name="20 % - Akzent6" xfId="32223" hidden="1" xr:uid="{EA647872-2A59-449E-A721-368E250775BC}"/>
    <cellStyle name="20 % - Akzent6" xfId="29600" hidden="1" xr:uid="{50F3B08C-0BA7-4341-8F96-18143B65353A}"/>
    <cellStyle name="20 % - Akzent6" xfId="27860" hidden="1" xr:uid="{E7245439-B66A-458A-A8FE-C90D0AF891F5}"/>
    <cellStyle name="20 % - Akzent6" xfId="26495" hidden="1" xr:uid="{107DF55A-FEED-4B92-B1B1-F6062196BDBF}"/>
    <cellStyle name="20 % - Akzent6" xfId="24128" hidden="1" xr:uid="{8AED1208-E7EC-4329-8A92-FA885AAAC504}"/>
    <cellStyle name="20 % - Akzent6" xfId="22998" hidden="1" xr:uid="{E130C07D-69EB-4487-8431-25C9625D362C}"/>
    <cellStyle name="20 % - Akzent6" xfId="22321" hidden="1" xr:uid="{226350A5-4197-4577-AA04-20E2659C78CE}"/>
    <cellStyle name="20 % - Akzent6" xfId="9429" hidden="1" xr:uid="{38154590-52B6-45CB-81D1-1AADA51A6AF2}"/>
    <cellStyle name="20 % - Akzent6" xfId="10032" hidden="1" xr:uid="{F76EDE4C-002A-45EA-BDC7-157EC3561788}"/>
    <cellStyle name="20 % - Akzent6" xfId="9841" hidden="1" xr:uid="{F7E13B75-ACA5-4D94-9C32-C15B48BA409A}"/>
    <cellStyle name="20 % - Akzent6" xfId="10452" hidden="1" xr:uid="{12528008-112B-4CE6-B7F3-E4504A7F15AF}"/>
    <cellStyle name="20 % - Akzent6" xfId="9156" hidden="1" xr:uid="{CA4B0496-D2EF-4731-BB39-A877D17ED36E}"/>
    <cellStyle name="20 % - Akzent6" xfId="10851" hidden="1" xr:uid="{5DFBFF2F-F240-4DCD-A51F-3BFAC600D831}"/>
    <cellStyle name="20 % - Akzent6" xfId="10819" hidden="1" xr:uid="{02E640DF-ECDE-434B-894E-4183BBC4BC43}"/>
    <cellStyle name="20 % - Akzent6" xfId="10847" hidden="1" xr:uid="{935C58E1-78E9-4C86-9CA2-6CC6DBF42D9D}"/>
    <cellStyle name="20 % - Akzent6" xfId="8988" hidden="1" xr:uid="{0D928AF4-D134-4A13-9E64-72FA306EE930}"/>
    <cellStyle name="20 % - Akzent6" xfId="10564" hidden="1" xr:uid="{6AC3C10D-D83A-40AE-8C78-F48BA8E16214}"/>
    <cellStyle name="20 % - Akzent6" xfId="11246" hidden="1" xr:uid="{CCCCC012-0E83-42F1-98BF-7CD5375A16F2}"/>
    <cellStyle name="20 % - Akzent6" xfId="10334" hidden="1" xr:uid="{913F8725-7B89-48EF-AAD5-8365934337BC}"/>
    <cellStyle name="20 % - Akzent6" xfId="10976" hidden="1" xr:uid="{7389C8BD-054F-47A3-AD8F-24CBF2DA2FD1}"/>
    <cellStyle name="20 % - Akzent6" xfId="11425" hidden="1" xr:uid="{C1414332-F221-4DD8-92C1-23E37094E8DB}"/>
    <cellStyle name="20 % - Akzent6" xfId="11846" hidden="1" xr:uid="{E88F4DB3-1AD2-412E-B675-8349B013A0C3}"/>
    <cellStyle name="20 % - Akzent6" xfId="12326" hidden="1" xr:uid="{C99A7388-F19E-4F74-826E-847C3D7D72B2}"/>
    <cellStyle name="20 % - Akzent6" xfId="11788" hidden="1" xr:uid="{DA3C52EE-BE32-4782-AB12-4E2DDB3D2435}"/>
    <cellStyle name="20 % - Akzent6" xfId="12302" hidden="1" xr:uid="{7625AFCB-8EFF-4EE3-A85D-4A620EE2444D}"/>
    <cellStyle name="20 % - Akzent6" xfId="13771" hidden="1" xr:uid="{02D9D627-0AC2-41D3-AFCB-20DACA0AE4D5}"/>
    <cellStyle name="20 % - Akzent6" xfId="13738" hidden="1" xr:uid="{1C33D131-F94A-484A-8974-FDF57BCF8A41}"/>
    <cellStyle name="20 % - Akzent6" xfId="13667" hidden="1" xr:uid="{3143C6B0-436B-495E-88D9-142E0839CCC6}"/>
    <cellStyle name="20 % - Akzent6" xfId="14359" hidden="1" xr:uid="{C69A0EAD-2CF3-4C49-ACBB-CFC7AA344380}"/>
    <cellStyle name="20 % - Akzent6" xfId="13848" hidden="1" xr:uid="{03A29398-C146-4619-89E2-BFBBBD5A3C76}"/>
    <cellStyle name="20 % - Akzent6" xfId="14640" hidden="1" xr:uid="{30D4B727-2CFD-4DAB-99AC-B793CF73BF6D}"/>
    <cellStyle name="20 % - Akzent6" xfId="14104" hidden="1" xr:uid="{13442106-9C1A-4368-B8C1-C9F82D28A334}"/>
    <cellStyle name="20 % - Akzent6" xfId="15060" hidden="1" xr:uid="{1F3DE76E-65A6-4A3D-A47A-9F08362424B8}"/>
    <cellStyle name="20 % - Akzent6" xfId="13800" hidden="1" xr:uid="{4D20BE25-5F16-4087-A7D9-8BC9CAFC43D0}"/>
    <cellStyle name="20 % - Akzent6" xfId="13205" hidden="1" xr:uid="{8ED69111-73B9-42C4-A79B-BA5F34703930}"/>
    <cellStyle name="20 % - Akzent6" xfId="14915" hidden="1" xr:uid="{43623469-4239-4ECD-9EF5-67C442A5E8A7}"/>
    <cellStyle name="20 % - Akzent6" xfId="15509" hidden="1" xr:uid="{5002A2E2-C912-4CF7-8A83-6B7FD1DB84A4}"/>
    <cellStyle name="20 % - Akzent6" xfId="15524" hidden="1" xr:uid="{E9516EB1-89ED-43E9-8408-D94F6C458CDF}"/>
    <cellStyle name="20 % - Akzent6" xfId="13832" hidden="1" xr:uid="{6483347D-8402-415A-AE8A-60DD2D8F049F}"/>
    <cellStyle name="20 % - Akzent6" xfId="15362" hidden="1" xr:uid="{1214974B-7478-47E4-914C-68EA4908689D}"/>
    <cellStyle name="20 % - Akzent6" xfId="15421" hidden="1" xr:uid="{BDF94513-C545-44A7-A2AD-365A73C9800C}"/>
    <cellStyle name="20 % - Akzent6" xfId="15831" hidden="1" xr:uid="{8D6F639A-492B-49CB-B535-015062FD582E}"/>
    <cellStyle name="20 % - Akzent6" xfId="15989" hidden="1" xr:uid="{55E7482E-623E-4BE6-829A-27D83716A6F6}"/>
    <cellStyle name="20 % - Akzent6" xfId="16024" hidden="1" xr:uid="{E87658C2-B9D6-4A8C-A062-CB76DCF9C940}"/>
    <cellStyle name="20 % - Akzent6" xfId="16117" hidden="1" xr:uid="{0AD84828-E946-49E1-9C51-CE7B068F8C8B}"/>
    <cellStyle name="20 % - Akzent6" xfId="16538" hidden="1" xr:uid="{06C9F732-E262-4575-888A-496C6ECB57D7}"/>
    <cellStyle name="20 % - Akzent6" xfId="17149" hidden="1" xr:uid="{11C36865-6C94-49BA-BDF9-63B466D08B39}"/>
    <cellStyle name="20 % - Akzent6" xfId="16956" hidden="1" xr:uid="{F16CAE80-8EB0-4F01-8052-4D166629B4F6}"/>
    <cellStyle name="20 % - Akzent6" xfId="17595" hidden="1" xr:uid="{E2BC6293-F6F4-46DA-908B-9D1A75329532}"/>
    <cellStyle name="20 % - Akzent6" xfId="16157" hidden="1" xr:uid="{DAF7ED46-1E76-444C-812A-A0194FFD058E}"/>
    <cellStyle name="20 % - Akzent6" xfId="17990" hidden="1" xr:uid="{22253DA3-A0DE-4186-A81E-D39FAE51F08B}"/>
    <cellStyle name="20 % - Akzent6" xfId="18131" hidden="1" xr:uid="{8CD08DB8-6ABF-4660-8416-60D8C96B0882}"/>
    <cellStyle name="20 % - Akzent6" xfId="17336" hidden="1" xr:uid="{C7ED779E-BB35-4F9C-AB6A-FABCF4B63F97}"/>
    <cellStyle name="20 % - Akzent6" xfId="17075" hidden="1" xr:uid="{15A32525-4FB7-44C8-960C-1B158C86EF0C}"/>
    <cellStyle name="20 % - Akzent6" xfId="17358" hidden="1" xr:uid="{3EC8FDE1-A52F-40C8-A83C-A4720B1DF516}"/>
    <cellStyle name="20 % - Akzent6" xfId="18896" hidden="1" xr:uid="{C5F48B63-8DFF-48B6-9F60-D931ED410A6C}"/>
    <cellStyle name="20 % - Akzent6" xfId="18869" hidden="1" xr:uid="{2D82089E-21AE-4C9A-860C-CE4D18933CEE}"/>
    <cellStyle name="20 % - Akzent6" xfId="18985" hidden="1" xr:uid="{D4A0F389-F43D-4CCC-B1BF-7DAD8987FA34}"/>
    <cellStyle name="20 % - Akzent6" xfId="18968" hidden="1" xr:uid="{A3BC5B98-A272-41A0-A796-7506EC0CC4CC}"/>
    <cellStyle name="20 % - Akzent6" xfId="19238" hidden="1" xr:uid="{DB1F9579-03A2-4928-A942-FD100EDCF350}"/>
    <cellStyle name="20 % - Akzent6" xfId="19239" hidden="1" xr:uid="{CCE64596-859B-4E50-ACB7-8CDCE38E9CDE}"/>
    <cellStyle name="20 % - Akzent6" xfId="19450" hidden="1" xr:uid="{1F6B8B07-D626-4A05-A303-53A5AB3ECB90}"/>
    <cellStyle name="20 % - Akzent6" xfId="19875" hidden="1" xr:uid="{56DF2E64-515C-4A4F-AB1B-FB1D69CEAEA7}"/>
    <cellStyle name="20 % - Akzent6" xfId="20501" hidden="1" xr:uid="{8D7EC019-584F-4020-A2F2-B2F092FEC04A}"/>
    <cellStyle name="20 % - Akzent6" xfId="19792" hidden="1" xr:uid="{A7532804-6EAB-49A5-9978-FD340ECEE773}"/>
    <cellStyle name="20 % - Akzent6" xfId="20418" hidden="1" xr:uid="{F9678441-9E03-4D58-84F5-44BE51BC166B}"/>
    <cellStyle name="20 % - Akzent6" xfId="21627" hidden="1" xr:uid="{2DE328C7-D98B-4823-8DFB-7D749351B400}"/>
    <cellStyle name="20 % - Akzent6" xfId="20942" hidden="1" xr:uid="{C487CBD3-BA07-44E8-A2A4-7B1A5F5E3E91}"/>
    <cellStyle name="20 % - Akzent6" xfId="21088" hidden="1" xr:uid="{AE8D7C90-817C-444E-BB72-C71212D754A5}"/>
    <cellStyle name="20 % - Akzent6" xfId="21603" hidden="1" xr:uid="{F1C810F4-6A80-4486-B125-AC27E7B5E227}"/>
    <cellStyle name="20 % - Akzent6" xfId="21885" hidden="1" xr:uid="{C760355D-8B85-440A-8538-16847B5CF1B7}"/>
    <cellStyle name="20 % - Akzent6" xfId="21649" hidden="1" xr:uid="{558555D9-196F-4EC6-BB55-E6A3E63D66CA}"/>
    <cellStyle name="20 % - Akzent6" xfId="20956" hidden="1" xr:uid="{3A9A7E4F-A819-411F-AAFF-CCAC0A28123D}"/>
    <cellStyle name="20 % - Akzent6" xfId="18019" hidden="1" xr:uid="{6421BFAB-7B68-4750-ACEE-D0D5CA8623F3}"/>
    <cellStyle name="20 % - Akzent6" xfId="13976" hidden="1" xr:uid="{7717662F-E57A-428E-AA3B-8A22D684F118}"/>
    <cellStyle name="20 % - Akzent6" xfId="10507" hidden="1" xr:uid="{F93714B5-4B90-4612-8298-43902806526C}"/>
    <cellStyle name="20 % - Akzent6" xfId="6448" hidden="1" xr:uid="{CF6373F3-C67A-4299-953C-2FA2B6A9B159}"/>
    <cellStyle name="20 % - Akzent6" xfId="6525" hidden="1" xr:uid="{7F5B1B78-DB30-4A59-85E7-817A541010A2}"/>
    <cellStyle name="20 % - Akzent6" xfId="6350" hidden="1" xr:uid="{8B78C134-1091-4A6B-AD50-0A2AD472B3E3}"/>
    <cellStyle name="20 % - Akzent6" xfId="6352" hidden="1" xr:uid="{8BE9BC7D-49B9-4AF6-BDF1-D6B4C41E6E88}"/>
    <cellStyle name="20 % - Akzent6" xfId="6409" hidden="1" xr:uid="{569581CA-D726-4DDD-AB07-EAB55401AD9F}"/>
    <cellStyle name="20 % - Akzent6" xfId="6500" hidden="1" xr:uid="{CFA86CFD-FA82-421C-8C8F-52A043057432}"/>
    <cellStyle name="20 % - Akzent6" xfId="6572" hidden="1" xr:uid="{0343F3B8-D86E-42E9-B7CC-F9F8DC43E521}"/>
    <cellStyle name="20 % - Akzent6" xfId="5809" hidden="1" xr:uid="{BB25092B-C6E9-4D73-A57D-5F0466917D78}"/>
    <cellStyle name="20 % - Akzent6" xfId="6806" hidden="1" xr:uid="{35E2B70B-3303-49F2-BDB5-4E762BCBB3C9}"/>
    <cellStyle name="20 % - Akzent6" xfId="7216" hidden="1" xr:uid="{0F3EF017-464F-424A-B417-1022429BA1E7}"/>
    <cellStyle name="20 % - Akzent6" xfId="7819" hidden="1" xr:uid="{EA656861-C641-41F6-8F60-EA73AD8D090B}"/>
    <cellStyle name="20 % - Akzent6" xfId="7630" hidden="1" xr:uid="{8211AA73-3B53-4747-8E20-4BABE96614FB}"/>
    <cellStyle name="20 % - Akzent6" xfId="8218" hidden="1" xr:uid="{E267FB87-B30C-4A62-AC5B-17C1FCBB9798}"/>
    <cellStyle name="20 % - Akzent6" xfId="6919" hidden="1" xr:uid="{F91FF1A3-5224-4FF6-BEFA-1953263A7722}"/>
    <cellStyle name="20 % - Akzent6" xfId="7615" hidden="1" xr:uid="{393531B7-2708-4035-B983-D3B55F346A22}"/>
    <cellStyle name="20 % - Akzent6" xfId="6908" hidden="1" xr:uid="{315BA727-895C-4FA8-A78A-5AAC19D15C37}"/>
    <cellStyle name="20 % - Akzent6" xfId="8305" hidden="1" xr:uid="{71D6493F-340A-4EA9-9374-29DEB715B947}"/>
    <cellStyle name="20 % - Akzent6" xfId="7622" hidden="1" xr:uid="{433A7ECB-B1D0-40B6-9F3A-B8C3A783C049}"/>
    <cellStyle name="20 % - Akzent6" xfId="7796" hidden="1" xr:uid="{92131499-7DA8-4A65-B4BD-99F16AC62BD6}"/>
    <cellStyle name="20 % - Akzent6" xfId="7156" hidden="1" xr:uid="{3E16A9C9-2531-471A-B38B-59D4E6B9A867}"/>
    <cellStyle name="20 % - Akzent6" xfId="6831" hidden="1" xr:uid="{AE490786-CB3A-4584-A08A-42967C5DD828}"/>
    <cellStyle name="20 % - Akzent6" xfId="7124" hidden="1" xr:uid="{639E3861-002C-4739-A6C4-180548142474}"/>
    <cellStyle name="20 % - Akzent6" xfId="7089" hidden="1" xr:uid="{12B58951-5E5E-49C8-BD03-5A329CA9059B}"/>
    <cellStyle name="20 % - Akzent6" xfId="7894" hidden="1" xr:uid="{AEB867CC-B89B-4ABF-A6A1-39992CFB6F40}"/>
    <cellStyle name="20 % - Akzent6" xfId="7701" hidden="1" xr:uid="{6124B15D-314E-4829-928B-0ABA8B462A72}"/>
    <cellStyle name="20 % - Akzent6" xfId="6953" hidden="1" xr:uid="{F73CD533-99BE-4ADE-883C-F6D0A71EA7C8}"/>
    <cellStyle name="20 % - Akzent6" xfId="8779" hidden="1" xr:uid="{A0084931-6215-4D44-83F0-37D10A4F34E1}"/>
    <cellStyle name="20 % - Akzent6" xfId="8812" hidden="1" xr:uid="{8745409F-9173-446E-8F0C-F6F6678A5C0A}"/>
    <cellStyle name="20 % - Akzent6" xfId="8867" hidden="1" xr:uid="{E57069CA-78B9-43DE-813C-47725FB314E5}"/>
    <cellStyle name="20 % - Akzent6" xfId="7973" hidden="1" xr:uid="{1CC611F9-4915-442A-968A-A31D78937F95}"/>
    <cellStyle name="20 % - Akzent6" xfId="9020" hidden="1" xr:uid="{58ACF011-A672-47CB-B71E-3EA0EA99E326}"/>
    <cellStyle name="20 % - Akzent6" xfId="8017" hidden="1" xr:uid="{52F02931-11F5-45AC-AA06-756427A451CD}"/>
    <cellStyle name="20 % - Akzent6" xfId="3017" hidden="1" xr:uid="{F6C8AC4D-DF61-4F47-A4E5-C5CBFF3EAC35}"/>
    <cellStyle name="20 % - Akzent6" xfId="3744" hidden="1" xr:uid="{44B70485-8620-4495-88B7-96422208C161}"/>
    <cellStyle name="20 % - Akzent6" xfId="3608" hidden="1" xr:uid="{F16B5A52-FAF0-4214-AE43-0F8F0D0D6B02}"/>
    <cellStyle name="20 % - Akzent6" xfId="2960" hidden="1" xr:uid="{E6F3AD6D-3980-4B5F-9512-14A9A20A8F91}"/>
    <cellStyle name="20 % - Akzent6" xfId="4804" hidden="1" xr:uid="{BD4D84A3-7CF4-402E-95AF-BF32F3056CA9}"/>
    <cellStyle name="20 % - Akzent6" xfId="3495" hidden="1" xr:uid="{319E3011-DEC0-415C-9D6B-FDF1071A5EFC}"/>
    <cellStyle name="20 % - Akzent6" xfId="2908" hidden="1" xr:uid="{B0F7162B-154E-470A-8238-64EBF65A9BCF}"/>
    <cellStyle name="20 % - Akzent6" xfId="5688" hidden="1" xr:uid="{290C2219-185F-4CA9-92AB-A7A4DD2F90E0}"/>
    <cellStyle name="20 % - Akzent6" xfId="5701" hidden="1" xr:uid="{8747DD71-540E-4177-B30B-86DAADCD72CB}"/>
    <cellStyle name="20 % - Akzent6" xfId="5772" hidden="1" xr:uid="{34F07E34-A113-4395-B14A-F31DAB95BE30}"/>
    <cellStyle name="20 % - Akzent6" xfId="5720" hidden="1" xr:uid="{4C329E76-D99B-40E3-8502-98E670E2E55A}"/>
    <cellStyle name="20 % - Akzent6" xfId="4214" hidden="1" xr:uid="{A72E2461-D92D-441F-BE26-95EB92C09C34}"/>
    <cellStyle name="20 % - Akzent6" xfId="6133" hidden="1" xr:uid="{21ED3EF0-DA54-4666-93AA-142AEE0F1776}"/>
    <cellStyle name="20 % - Akzent6" xfId="6148" hidden="1" xr:uid="{CB80AEA7-9284-45C2-BF0F-FD57C8EFDACC}"/>
    <cellStyle name="20 % - Akzent6" xfId="6169" hidden="1" xr:uid="{4EF4CEFB-63C0-4DFB-9AC0-46FBB55CB1E1}"/>
    <cellStyle name="20 % - Akzent6" xfId="2938" hidden="1" xr:uid="{50E7C037-14A8-44F9-BEE8-F508B10AB86D}"/>
    <cellStyle name="20 % - Akzent6" xfId="2903" hidden="1" xr:uid="{D288E4E1-7108-4DD3-95C5-50FD13DA3A66}"/>
    <cellStyle name="20 % - Akzent6" xfId="2833" hidden="1" xr:uid="{9E8115A6-FB07-4A20-AA88-47A018BFB05B}"/>
    <cellStyle name="20 % - Akzent6" xfId="3420" hidden="1" xr:uid="{A0A2E647-AB03-4713-8251-10AE756F07E3}"/>
    <cellStyle name="20 % - Akzent6" xfId="3557" hidden="1" xr:uid="{1E694AB2-E701-4E46-8733-28B8FF7447EE}"/>
    <cellStyle name="20 % - Akzent6" xfId="3296" hidden="1" xr:uid="{D8FF96E5-2D22-4349-A546-C585BF9DFF5B}"/>
    <cellStyle name="20 % - Akzent6" xfId="2238" hidden="1" xr:uid="{B2E9EEF9-1E63-4114-9E6C-E6F40896F11C}"/>
    <cellStyle name="20 % - Akzent6" xfId="1406" hidden="1" xr:uid="{6F2E4FAA-A4AC-473D-BE45-50BD11447781}"/>
    <cellStyle name="20 % - Akzent6" xfId="1626" hidden="1" xr:uid="{643A797F-8900-46EA-BDF3-6A943271829E}"/>
    <cellStyle name="20 % - Akzent6" xfId="1894" hidden="1" xr:uid="{A30C03ED-6F1C-4C52-92CD-575134BAB74D}"/>
    <cellStyle name="20 % - Akzent6" xfId="2161" hidden="1" xr:uid="{F22565FE-998B-43B4-BD76-DE19F64C7F01}"/>
    <cellStyle name="20 % - Akzent6" xfId="912" hidden="1" xr:uid="{DB317E85-BE48-4BA7-BD0A-D21D0E129D90}"/>
    <cellStyle name="20 % - Akzent6" xfId="987" hidden="1" xr:uid="{CBC7FD8A-87FF-4A60-9AC1-31C60BCF29B4}"/>
    <cellStyle name="20 % - Akzent6" xfId="65" hidden="1" xr:uid="{9C0E854E-32DF-4B95-96FB-9BDDB5BF02A7}"/>
    <cellStyle name="20 % - Akzent6 2" xfId="378" xr:uid="{5850BF70-A2EC-4AB5-95C4-B74DA708EC03}"/>
    <cellStyle name="20 % - Akzent6 3" xfId="247" xr:uid="{A69A9D41-3CEC-4757-885B-E7827CF64CE4}"/>
    <cellStyle name="20% - Accent1 2" xfId="79" xr:uid="{4193717C-FFEC-4794-B249-323D150DEAAA}"/>
    <cellStyle name="20% - Accent1 3" xfId="199" xr:uid="{C9BAA905-758C-402F-815B-FCB0EA621BD3}"/>
    <cellStyle name="20% - Accent2 2" xfId="80" xr:uid="{3367C226-7B3A-4974-8F7E-518C6BCCFE09}"/>
    <cellStyle name="20% - Accent2 3" xfId="200" xr:uid="{36A78BAE-F5B7-4734-83A0-73A323ED0297}"/>
    <cellStyle name="20% - Accent3 2" xfId="81" xr:uid="{4751DC7A-BC27-43A2-A539-96B6D33685C7}"/>
    <cellStyle name="20% - Accent3 3" xfId="201" xr:uid="{0673E65C-C905-4031-8715-EFAEEB4105D7}"/>
    <cellStyle name="20% - Accent4 2" xfId="82" xr:uid="{1E7667DA-48AB-4E15-9321-A6A4761322F5}"/>
    <cellStyle name="20% - Accent4 3" xfId="202" xr:uid="{3E488966-8BE0-4181-8362-093FE6F82FB4}"/>
    <cellStyle name="20% - Accent5 2" xfId="83" xr:uid="{BE21D9F4-8FCB-43B7-94B9-5249D0C6B312}"/>
    <cellStyle name="20% - Accent5 3" xfId="203" xr:uid="{DC1A1614-93E3-4297-94ED-87DE3966017A}"/>
    <cellStyle name="20% - Accent6 2" xfId="84" xr:uid="{D96070ED-B653-4242-A32D-79B8B2727994}"/>
    <cellStyle name="20% - Accent6 3" xfId="204" xr:uid="{E843DBC9-5725-4D85-957B-433B18F3384A}"/>
    <cellStyle name="2x indented GHG Textfiels" xfId="9" xr:uid="{F7089D7B-3400-4E54-98E4-547CC2BEF91B}"/>
    <cellStyle name="2x indented GHG Textfiels 2" xfId="85" xr:uid="{CCF6551B-D6A7-4865-B7D6-4B5D864DFEC0}"/>
    <cellStyle name="2x indented GHG Textfiels 2 2" xfId="86" xr:uid="{73E2564E-CF61-409B-8CE5-AFEB2E3DE202}"/>
    <cellStyle name="2x indented GHG Textfiels 3" xfId="87" xr:uid="{F1C25705-7861-488C-92E9-B89B38F602C0}"/>
    <cellStyle name="2x indented GHG Textfiels 3 2" xfId="400" xr:uid="{C1F5881A-58D9-4F1B-BD47-1B7547073139}"/>
    <cellStyle name="2x indented GHG Textfiels 3 2 2" xfId="530" xr:uid="{D8876BF9-2D4D-4834-9234-5BDB78A13398}"/>
    <cellStyle name="2x indented GHG Textfiels 3 2 2 10" xfId="4905" xr:uid="{768429E1-809E-428B-A7CA-B2BC5264242A}"/>
    <cellStyle name="2x indented GHG Textfiels 3 2 2 11" xfId="5178" xr:uid="{5674B5FA-E48F-4149-B834-263F6907C633}"/>
    <cellStyle name="2x indented GHG Textfiels 3 2 2 12" xfId="4919" xr:uid="{5FA34038-AF08-478C-8A05-87D2E7CB21AF}"/>
    <cellStyle name="2x indented GHG Textfiels 3 2 2 13" xfId="6332" xr:uid="{CD188BD3-2D71-4F80-93FC-B0D4C730CEFA}"/>
    <cellStyle name="2x indented GHG Textfiels 3 2 2 14" xfId="6443" xr:uid="{850EA140-7BC2-4E2C-8C7A-4ED6E8D1A085}"/>
    <cellStyle name="2x indented GHG Textfiels 3 2 2 15" xfId="7250" xr:uid="{4A7CD1C7-FC63-4670-AF82-7D66C068C64D}"/>
    <cellStyle name="2x indented GHG Textfiels 3 2 2 16" xfId="7839" xr:uid="{62842630-CB9C-4EEE-B496-5F2B4A624C46}"/>
    <cellStyle name="2x indented GHG Textfiels 3 2 2 17" xfId="7686" xr:uid="{54D10889-AD31-4638-8F02-DB35F6CEEBE0}"/>
    <cellStyle name="2x indented GHG Textfiels 3 2 2 18" xfId="7875" xr:uid="{2351C8E1-DF9D-4A16-B9E3-6D400C876091}"/>
    <cellStyle name="2x indented GHG Textfiels 3 2 2 19" xfId="9464" xr:uid="{72EEFBE8-EC2D-486E-9B57-CEE4DD711127}"/>
    <cellStyle name="2x indented GHG Textfiels 3 2 2 2" xfId="745" xr:uid="{04BDF264-ACC0-49B0-96B5-52A5AA632BE7}"/>
    <cellStyle name="2x indented GHG Textfiels 3 2 2 2 10" xfId="5393" xr:uid="{0E619B84-0258-471E-81A6-6C0A3D7D6A77}"/>
    <cellStyle name="2x indented GHG Textfiels 3 2 2 2 11" xfId="3272" xr:uid="{816CACEC-D624-4204-8DFD-E3123F568C3E}"/>
    <cellStyle name="2x indented GHG Textfiels 3 2 2 2 12" xfId="6316" xr:uid="{A444C82B-9C42-4D6A-895A-7E5DC05203EC}"/>
    <cellStyle name="2x indented GHG Textfiels 3 2 2 2 13" xfId="6346" xr:uid="{413EF819-FE6C-4BF0-80AF-E2114DC467BD}"/>
    <cellStyle name="2x indented GHG Textfiels 3 2 2 2 14" xfId="7465" xr:uid="{AE76F034-E03F-41E3-B1CA-0495F938FA19}"/>
    <cellStyle name="2x indented GHG Textfiels 3 2 2 2 15" xfId="7193" xr:uid="{A2EF56D2-FF27-4504-BD67-E5F6BF22C5CB}"/>
    <cellStyle name="2x indented GHG Textfiels 3 2 2 2 16" xfId="7149" xr:uid="{1C38DBD5-F0FD-41C0-84D2-C8841F2E0038}"/>
    <cellStyle name="2x indented GHG Textfiels 3 2 2 2 17" xfId="8713" xr:uid="{CDFBB120-81E5-4E44-B9FB-A03D1BE2485B}"/>
    <cellStyle name="2x indented GHG Textfiels 3 2 2 2 18" xfId="9679" xr:uid="{EB827221-E097-4084-A4FE-6144B3805308}"/>
    <cellStyle name="2x indented GHG Textfiels 3 2 2 2 19" xfId="9406" xr:uid="{818F7DFE-D978-4934-B384-5A621D66CC59}"/>
    <cellStyle name="2x indented GHG Textfiels 3 2 2 2 2" xfId="1219" xr:uid="{AFBCC0A0-C51E-4E7C-86C3-CA5214DFC989}"/>
    <cellStyle name="2x indented GHG Textfiels 3 2 2 2 20" xfId="9914" xr:uid="{E133C78B-9506-4BFC-B3C7-F8E6AC3A8ACB}"/>
    <cellStyle name="2x indented GHG Textfiels 3 2 2 2 21" xfId="10646" xr:uid="{060BFF85-1B73-488B-A683-C635ABEBB63F}"/>
    <cellStyle name="2x indented GHG Textfiels 3 2 2 2 22" xfId="11054" xr:uid="{59D85CC7-E04D-4D7E-883E-2B0B55CA0329}"/>
    <cellStyle name="2x indented GHG Textfiels 3 2 2 2 23" xfId="12098" xr:uid="{0CC69A71-4407-4FF4-A411-A71ACC199C02}"/>
    <cellStyle name="2x indented GHG Textfiels 3 2 2 2 24" xfId="12571" xr:uid="{996F3583-9ED9-4560-8569-CB878F1A7C51}"/>
    <cellStyle name="2x indented GHG Textfiels 3 2 2 2 25" xfId="13005" xr:uid="{1107BBB5-4C49-4A01-B845-C337CA8C1EFC}"/>
    <cellStyle name="2x indented GHG Textfiels 3 2 2 2 26" xfId="13442" xr:uid="{5D79BA41-6A06-47ED-964B-CCA7FA6B6AB7}"/>
    <cellStyle name="2x indented GHG Textfiels 3 2 2 2 27" xfId="11824" xr:uid="{7850D400-40C7-4102-A03D-2864F9ECC3E7}"/>
    <cellStyle name="2x indented GHG Textfiels 3 2 2 2 28" xfId="11790" xr:uid="{61C98993-CCA0-4F39-871F-B541A3D86AA6}"/>
    <cellStyle name="2x indented GHG Textfiels 3 2 2 2 29" xfId="13392" xr:uid="{78886C00-518C-4C44-A219-D6200BE01511}"/>
    <cellStyle name="2x indented GHG Textfiels 3 2 2 2 3" xfId="1434" xr:uid="{646DDDA3-F706-4F6D-A9E3-BFC07DDE008C}"/>
    <cellStyle name="2x indented GHG Textfiels 3 2 2 2 30" xfId="15030" xr:uid="{B53E8F4B-9762-4214-9C58-B1AC52D64026}"/>
    <cellStyle name="2x indented GHG Textfiels 3 2 2 2 31" xfId="15368" xr:uid="{F7AB9582-B14E-4FFC-A68E-B6AFA8FEBBBC}"/>
    <cellStyle name="2x indented GHG Textfiels 3 2 2 2 32" xfId="15714" xr:uid="{B7449844-BA3A-4792-8AE0-2F99D4BC08C6}"/>
    <cellStyle name="2x indented GHG Textfiels 3 2 2 2 33" xfId="16790" xr:uid="{8F3DA545-9072-49E1-A051-48DAC4023AC5}"/>
    <cellStyle name="2x indented GHG Textfiels 3 2 2 2 34" xfId="16515" xr:uid="{6EB2116D-A33A-44C1-B6B8-056760CA7D37}"/>
    <cellStyle name="2x indented GHG Textfiels 3 2 2 2 35" xfId="17027" xr:uid="{BE0FE6AC-BAD1-4A92-97DF-5B9FF079D90D}"/>
    <cellStyle name="2x indented GHG Textfiels 3 2 2 2 36" xfId="16986" xr:uid="{8C101223-6816-40F3-B149-B34534385179}"/>
    <cellStyle name="2x indented GHG Textfiels 3 2 2 2 37" xfId="18608" xr:uid="{6B157A06-E4FF-4A8C-B3ED-C3E64A897ABB}"/>
    <cellStyle name="2x indented GHG Textfiels 3 2 2 2 38" xfId="18794" xr:uid="{176ED35B-27EC-4BB8-872B-B4FEA12990F7}"/>
    <cellStyle name="2x indented GHG Textfiels 3 2 2 2 39" xfId="16293" xr:uid="{08B526F1-8FF7-4F6D-A88C-C26682368DC5}"/>
    <cellStyle name="2x indented GHG Textfiels 3 2 2 2 4" xfId="2567" xr:uid="{96A874E8-F3CE-4048-BAF4-372F4E0B065C}"/>
    <cellStyle name="2x indented GHG Textfiels 3 2 2 2 40" xfId="20127" xr:uid="{9D6CD23A-B0A2-4A71-8248-3316CEBCC29D}"/>
    <cellStyle name="2x indented GHG Textfiels 3 2 2 2 41" xfId="19851" xr:uid="{5EF2770C-557D-4B98-8CA2-8A69331677FE}"/>
    <cellStyle name="2x indented GHG Textfiels 3 2 2 2 42" xfId="20518" xr:uid="{FA4C21B8-2FF9-4266-945D-DB71F84A3E2E}"/>
    <cellStyle name="2x indented GHG Textfiels 3 2 2 2 43" xfId="21258" xr:uid="{5579572A-0F6D-434A-8AF4-14B6216EA62A}"/>
    <cellStyle name="2x indented GHG Textfiels 3 2 2 2 44" xfId="20857" xr:uid="{9294A271-8D5D-42CE-89DE-AED4B1D7D9AF}"/>
    <cellStyle name="2x indented GHG Textfiels 3 2 2 2 45" xfId="21068" xr:uid="{6FF6AF64-24A7-4FFC-903C-D5F024551C89}"/>
    <cellStyle name="2x indented GHG Textfiels 3 2 2 2 46" xfId="22334" xr:uid="{45EF7F09-651B-467D-BFA7-8BA42E17B24D}"/>
    <cellStyle name="2x indented GHG Textfiels 3 2 2 2 47" xfId="23066" xr:uid="{0B3A0C92-0C95-42B7-982B-2025D229681B}"/>
    <cellStyle name="2x indented GHG Textfiels 3 2 2 2 48" xfId="23635" xr:uid="{EB6B2216-272D-4935-A05D-FF08B5959A82}"/>
    <cellStyle name="2x indented GHG Textfiels 3 2 2 2 49" xfId="23927" xr:uid="{329B6D2E-4D5B-4B8F-ADE4-A1FDC69F7BBE}"/>
    <cellStyle name="2x indented GHG Textfiels 3 2 2 2 5" xfId="1984" xr:uid="{06D9439A-F6EE-4768-B298-1323059E82D9}"/>
    <cellStyle name="2x indented GHG Textfiels 3 2 2 2 50" xfId="24835" xr:uid="{8563DA94-0DEA-470B-863B-EB8C61B661C5}"/>
    <cellStyle name="2x indented GHG Textfiels 3 2 2 2 51" xfId="24552" xr:uid="{44C47E97-423F-4542-833B-16136F452C76}"/>
    <cellStyle name="2x indented GHG Textfiels 3 2 2 2 52" xfId="25751" xr:uid="{79A86BED-E175-4452-8F46-48C1ED492CC7}"/>
    <cellStyle name="2x indented GHG Textfiels 3 2 2 2 53" xfId="24318" xr:uid="{FDA52B80-2196-42CD-A822-F969B36B8316}"/>
    <cellStyle name="2x indented GHG Textfiels 3 2 2 2 54" xfId="26593" xr:uid="{22A66E5E-16AF-464B-B63C-18067A48C43A}"/>
    <cellStyle name="2x indented GHG Textfiels 3 2 2 2 55" xfId="27039" xr:uid="{8C535A71-7582-4D11-A297-D2115B348327}"/>
    <cellStyle name="2x indented GHG Textfiels 3 2 2 2 56" xfId="27458" xr:uid="{562CEDD6-0C7B-4BEB-81C6-7CF353781365}"/>
    <cellStyle name="2x indented GHG Textfiels 3 2 2 2 57" xfId="26348" xr:uid="{1E5E0BED-D6EC-4D9A-820E-6B104C1CC3A2}"/>
    <cellStyle name="2x indented GHG Textfiels 3 2 2 2 58" xfId="28585" xr:uid="{9C2F783B-ADA0-46F8-9C07-92E158C02318}"/>
    <cellStyle name="2x indented GHG Textfiels 3 2 2 2 59" xfId="29052" xr:uid="{1EE7C055-F724-40AF-8F6A-6D7578C45597}"/>
    <cellStyle name="2x indented GHG Textfiels 3 2 2 2 6" xfId="3361" xr:uid="{6F6A582A-2735-4E0B-BBC7-69D758DEDC84}"/>
    <cellStyle name="2x indented GHG Textfiels 3 2 2 2 60" xfId="28784" xr:uid="{2B858F80-326F-4C83-ADE6-07CC12DB8CA1}"/>
    <cellStyle name="2x indented GHG Textfiels 3 2 2 2 61" xfId="29841" xr:uid="{40447C05-82FD-48EC-9196-72E323F19B01}"/>
    <cellStyle name="2x indented GHG Textfiels 3 2 2 2 62" xfId="30247" xr:uid="{369A8193-00C2-43B1-9C8D-C180E5A0E1BA}"/>
    <cellStyle name="2x indented GHG Textfiels 3 2 2 2 63" xfId="30664" xr:uid="{DA4AA68E-0D94-4480-9DAA-69B6E05D634E}"/>
    <cellStyle name="2x indented GHG Textfiels 3 2 2 2 64" xfId="29989" xr:uid="{D49B37CE-EDC1-4D89-A933-F09E14C229A7}"/>
    <cellStyle name="2x indented GHG Textfiels 3 2 2 2 65" xfId="31280" xr:uid="{6C6CFE19-7635-48D1-A1B4-95F419F01580}"/>
    <cellStyle name="2x indented GHG Textfiels 3 2 2 2 66" xfId="31971" xr:uid="{529F989E-9394-4110-8443-DAE67E2C04F1}"/>
    <cellStyle name="2x indented GHG Textfiels 3 2 2 2 67" xfId="31516" xr:uid="{36CB1754-5287-4B7D-84CA-AC20434C201D}"/>
    <cellStyle name="2x indented GHG Textfiels 3 2 2 2 7" xfId="4063" xr:uid="{4690F0F7-A58B-4BDB-99EA-C27CC37EE8CA}"/>
    <cellStyle name="2x indented GHG Textfiels 3 2 2 2 8" xfId="4500" xr:uid="{F585C6A6-73B3-4028-B28F-8BC8D95E8C6B}"/>
    <cellStyle name="2x indented GHG Textfiels 3 2 2 2 9" xfId="2995" xr:uid="{E7F79009-0885-4159-B2C0-6E193FFBFD97}"/>
    <cellStyle name="2x indented GHG Textfiels 3 2 2 20" xfId="10051" xr:uid="{04583B95-CB91-4DC0-9527-56F65C68E595}"/>
    <cellStyle name="2x indented GHG Textfiels 3 2 2 21" xfId="10471" xr:uid="{DB4FB35E-7693-4DFD-8A62-442DB5A57E8B}"/>
    <cellStyle name="2x indented GHG Textfiels 3 2 2 22" xfId="10975" xr:uid="{ABB7DDFF-21C8-4715-8DB4-DC4223521E21}"/>
    <cellStyle name="2x indented GHG Textfiels 3 2 2 23" xfId="10743" xr:uid="{BD53A43C-B24A-41A8-8291-46818249F6FB}"/>
    <cellStyle name="2x indented GHG Textfiels 3 2 2 24" xfId="11883" xr:uid="{8F1B398D-101F-46DC-B795-04CF1D3BC92E}"/>
    <cellStyle name="2x indented GHG Textfiels 3 2 2 25" xfId="12356" xr:uid="{C429C9AA-5C42-4F8F-9961-9ED2A22CA583}"/>
    <cellStyle name="2x indented GHG Textfiels 3 2 2 26" xfId="12790" xr:uid="{7BCC632F-0ED9-425E-AA84-9245974A307B}"/>
    <cellStyle name="2x indented GHG Textfiels 3 2 2 27" xfId="13227" xr:uid="{91292DA8-01AD-4D8A-97C1-55A305F9D06D}"/>
    <cellStyle name="2x indented GHG Textfiels 3 2 2 28" xfId="13946" xr:uid="{38F325D2-1865-4EDC-B258-4CF4E0E969CA}"/>
    <cellStyle name="2x indented GHG Textfiels 3 2 2 29" xfId="14116" xr:uid="{9DBBF6A1-99E4-479C-959E-2A74AC26C6B3}"/>
    <cellStyle name="2x indented GHG Textfiels 3 2 2 3" xfId="1013" xr:uid="{5875B3B2-D470-469F-A45B-074D534063F7}"/>
    <cellStyle name="2x indented GHG Textfiels 3 2 2 30" xfId="14593" xr:uid="{D6EF98BB-220D-4C21-B7BB-72ED821E22ED}"/>
    <cellStyle name="2x indented GHG Textfiels 3 2 2 31" xfId="14806" xr:uid="{14B90343-E087-44E9-A14C-693FBDB6EDCD}"/>
    <cellStyle name="2x indented GHG Textfiels 3 2 2 32" xfId="15471" xr:uid="{B834D765-4197-462F-8813-58AD4BDA7AFD}"/>
    <cellStyle name="2x indented GHG Textfiels 3 2 2 33" xfId="15881" xr:uid="{52864783-C1A8-4E8D-8EA5-C7355144CFEA}"/>
    <cellStyle name="2x indented GHG Textfiels 3 2 2 34" xfId="16575" xr:uid="{68DA7862-A6D1-4CC0-A496-9B9EA0F0E7DF}"/>
    <cellStyle name="2x indented GHG Textfiels 3 2 2 35" xfId="17169" xr:uid="{5BC4BF3E-B869-408C-A742-6C8357BDBDB6}"/>
    <cellStyle name="2x indented GHG Textfiels 3 2 2 36" xfId="17614" xr:uid="{53153037-3780-46EC-85B2-4E7B0EC85581}"/>
    <cellStyle name="2x indented GHG Textfiels 3 2 2 37" xfId="16411" xr:uid="{82298AC3-6B3A-40C6-BBED-A0560CE7A55C}"/>
    <cellStyle name="2x indented GHG Textfiels 3 2 2 38" xfId="18393" xr:uid="{E749B8C5-9210-4881-B7F2-6C9E11AE3A43}"/>
    <cellStyle name="2x indented GHG Textfiels 3 2 2 39" xfId="17578" xr:uid="{D258B36E-2C33-46A7-8FDF-FEFACC41B5E8}"/>
    <cellStyle name="2x indented GHG Textfiels 3 2 2 4" xfId="1660" xr:uid="{436315F3-75CC-4577-9116-E04845517F8A}"/>
    <cellStyle name="2x indented GHG Textfiels 3 2 2 40" xfId="19240" xr:uid="{44256B67-6FDD-41A4-A627-333845E81250}"/>
    <cellStyle name="2x indented GHG Textfiels 3 2 2 41" xfId="19912" xr:uid="{7CA5C860-2437-439C-801B-CA1E33455DEE}"/>
    <cellStyle name="2x indented GHG Textfiels 3 2 2 42" xfId="20521" xr:uid="{5347F695-9288-4FAA-BC36-5C020C3C09CD}"/>
    <cellStyle name="2x indented GHG Textfiels 3 2 2 43" xfId="20974" xr:uid="{68E24A1A-1FB1-4044-BD74-2C4660E9685F}"/>
    <cellStyle name="2x indented GHG Textfiels 3 2 2 44" xfId="21050" xr:uid="{7D20BF35-6438-421E-8B73-B867F473112C}"/>
    <cellStyle name="2x indented GHG Textfiels 3 2 2 45" xfId="21905" xr:uid="{6C12D41D-3AAE-49EA-8BF6-25D665CBA524}"/>
    <cellStyle name="2x indented GHG Textfiels 3 2 2 46" xfId="22339" xr:uid="{F6617481-5406-470F-903C-C95765E674C8}"/>
    <cellStyle name="2x indented GHG Textfiels 3 2 2 47" xfId="22920" xr:uid="{C5D09541-0CFF-4CC1-ACFF-70BA8E465B74}"/>
    <cellStyle name="2x indented GHG Textfiels 3 2 2 48" xfId="21379" xr:uid="{97DD4E68-3637-46FA-91CD-03D45BAE9404}"/>
    <cellStyle name="2x indented GHG Textfiels 3 2 2 49" xfId="23528" xr:uid="{7BC4F42A-5521-43B7-9880-BB26816E097E}"/>
    <cellStyle name="2x indented GHG Textfiels 3 2 2 5" xfId="2352" xr:uid="{FD061628-F954-40EF-BAB0-75A1A177DBEF}"/>
    <cellStyle name="2x indented GHG Textfiels 3 2 2 50" xfId="23721" xr:uid="{CB3B2CFF-5CDF-4CAB-973B-8B0B4E1240F5}"/>
    <cellStyle name="2x indented GHG Textfiels 3 2 2 51" xfId="24620" xr:uid="{C3EDFA23-C387-44B3-8D14-71A6A704D987}"/>
    <cellStyle name="2x indented GHG Textfiels 3 2 2 52" xfId="25230" xr:uid="{13F34DDB-3F45-41F6-9777-BC66D4FE00BC}"/>
    <cellStyle name="2x indented GHG Textfiels 3 2 2 53" xfId="25538" xr:uid="{3BB4953C-3DAE-40C8-B8CC-E52E5D54619A}"/>
    <cellStyle name="2x indented GHG Textfiels 3 2 2 54" xfId="26226" xr:uid="{B017DF86-C2CC-4A83-94C5-42D59BA1BC44}"/>
    <cellStyle name="2x indented GHG Textfiels 3 2 2 55" xfId="25944" xr:uid="{5698F68D-8CCA-47A4-95F1-BD5297664C50}"/>
    <cellStyle name="2x indented GHG Textfiels 3 2 2 56" xfId="26828" xr:uid="{2250F9A7-2783-4A12-BD41-4079FDF58F47}"/>
    <cellStyle name="2x indented GHG Textfiels 3 2 2 57" xfId="27247" xr:uid="{7775A8A0-0905-46CB-85AE-43A1E49B1D0E}"/>
    <cellStyle name="2x indented GHG Textfiels 3 2 2 58" xfId="27754" xr:uid="{27E00CF0-86F2-4992-B734-B0A1071EF757}"/>
    <cellStyle name="2x indented GHG Textfiels 3 2 2 59" xfId="28370" xr:uid="{5FA621CB-167D-4109-8B3A-3BB0D40CA43E}"/>
    <cellStyle name="2x indented GHG Textfiels 3 2 2 6" xfId="3114" xr:uid="{E9CC071E-4A46-4419-BA73-B1667419CFC0}"/>
    <cellStyle name="2x indented GHG Textfiels 3 2 2 60" xfId="28838" xr:uid="{7DCD7DEB-E7D1-457F-86B4-93F671849B7C}"/>
    <cellStyle name="2x indented GHG Textfiels 3 2 2 61" xfId="29369" xr:uid="{0C35F649-28F0-4F2F-942A-21E372F19F15}"/>
    <cellStyle name="2x indented GHG Textfiels 3 2 2 62" xfId="29628" xr:uid="{C27B4F12-522B-4B36-A50D-0E54FBFD151D}"/>
    <cellStyle name="2x indented GHG Textfiels 3 2 2 63" xfId="30036" xr:uid="{EB85FD37-5F6D-460A-B4DD-D4F1422A0A0B}"/>
    <cellStyle name="2x indented GHG Textfiels 3 2 2 64" xfId="30450" xr:uid="{74DBD34B-5D3F-42A7-B2C3-8FAD26C05812}"/>
    <cellStyle name="2x indented GHG Textfiels 3 2 2 65" xfId="30989" xr:uid="{735A7CE7-1188-4470-A46E-A01F25CD778F}"/>
    <cellStyle name="2x indented GHG Textfiels 3 2 2 66" xfId="31074" xr:uid="{5D6C148A-2F22-4D05-BD16-DFD9585C5BFD}"/>
    <cellStyle name="2x indented GHG Textfiels 3 2 2 67" xfId="31760" xr:uid="{785DB568-22DB-48C0-AB81-3DC30A550AA5}"/>
    <cellStyle name="2x indented GHG Textfiels 3 2 2 68" xfId="31434" xr:uid="{83D3B3E4-2126-4C66-8EDD-DB5B4BD3E65C}"/>
    <cellStyle name="2x indented GHG Textfiels 3 2 2 7" xfId="3293" xr:uid="{C8F13DE8-7BFC-4342-928C-A547C81BDF8E}"/>
    <cellStyle name="2x indented GHG Textfiels 3 2 2 8" xfId="3848" xr:uid="{86DC81DB-7F97-45A3-8AEC-CC355C39A93D}"/>
    <cellStyle name="2x indented GHG Textfiels 3 2 2 9" xfId="4286" xr:uid="{2B7AE233-FABB-4C66-A45D-AB398A283414}"/>
    <cellStyle name="2x indented GHG Textfiels 3 2 3" xfId="708" xr:uid="{701C347E-6889-48D3-B21D-28CBDD86F52B}"/>
    <cellStyle name="2x indented GHG Textfiels 3 2 3 10" xfId="5356" xr:uid="{07037DEE-4468-464B-A0F7-7C147EA73BDE}"/>
    <cellStyle name="2x indented GHG Textfiels 3 2 3 11" xfId="2055" xr:uid="{A64ECEB6-0BD7-4669-890E-73A86E532D19}"/>
    <cellStyle name="2x indented GHG Textfiels 3 2 3 12" xfId="6286" xr:uid="{E4D78378-8616-4E44-8326-0B7269FEA037}"/>
    <cellStyle name="2x indented GHG Textfiels 3 2 3 13" xfId="6456" xr:uid="{A7F85992-A4F7-470F-A022-4E7DBBB0F309}"/>
    <cellStyle name="2x indented GHG Textfiels 3 2 3 14" xfId="7428" xr:uid="{91533197-D26A-4C49-B1E1-6AEA3BB0118F}"/>
    <cellStyle name="2x indented GHG Textfiels 3 2 3 15" xfId="7209" xr:uid="{E72D8843-8E2A-454F-B9C6-841102323953}"/>
    <cellStyle name="2x indented GHG Textfiels 3 2 3 16" xfId="8426" xr:uid="{D6F911C1-F9EB-473F-AC66-B2840F4BBC23}"/>
    <cellStyle name="2x indented GHG Textfiels 3 2 3 17" xfId="8275" xr:uid="{D2F16A18-5A15-4384-90ED-DEDC6D266A5D}"/>
    <cellStyle name="2x indented GHG Textfiels 3 2 3 18" xfId="9642" xr:uid="{BA5C20EE-7E7B-4C7C-B9FF-09ADE4DC011F}"/>
    <cellStyle name="2x indented GHG Textfiels 3 2 3 19" xfId="9423" xr:uid="{821D3A82-041D-4498-9E28-24DB02EFB6AA}"/>
    <cellStyle name="2x indented GHG Textfiels 3 2 3 2" xfId="1182" xr:uid="{02AD6ADA-C412-4F31-B66D-62EE26B7A28E}"/>
    <cellStyle name="2x indented GHG Textfiels 3 2 3 20" xfId="10175" xr:uid="{623EF209-1211-45F1-8C14-3B3F27645511}"/>
    <cellStyle name="2x indented GHG Textfiels 3 2 3 21" xfId="10912" xr:uid="{0A6D4F7A-E78E-4D94-B670-DED1FE53EB6F}"/>
    <cellStyle name="2x indented GHG Textfiels 3 2 3 22" xfId="10938" xr:uid="{8CA1904E-7F5B-4842-99CC-C2E49325F6D9}"/>
    <cellStyle name="2x indented GHG Textfiels 3 2 3 23" xfId="12061" xr:uid="{A54CA93E-77B6-4663-86A0-5778BE384CFD}"/>
    <cellStyle name="2x indented GHG Textfiels 3 2 3 24" xfId="12534" xr:uid="{8BE23C49-4838-47CA-85BF-596CA06D0208}"/>
    <cellStyle name="2x indented GHG Textfiels 3 2 3 25" xfId="12968" xr:uid="{48C2D4EC-8F58-407E-9688-8676824FA325}"/>
    <cellStyle name="2x indented GHG Textfiels 3 2 3 26" xfId="13405" xr:uid="{076584AF-8FA5-4006-8E6A-106FEE829DFD}"/>
    <cellStyle name="2x indented GHG Textfiels 3 2 3 27" xfId="13936" xr:uid="{B17BF812-0103-4A81-9CCC-0903B729A943}"/>
    <cellStyle name="2x indented GHG Textfiels 3 2 3 28" xfId="14261" xr:uid="{66597B96-7778-433C-97E6-CBE0B6A0CE5A}"/>
    <cellStyle name="2x indented GHG Textfiels 3 2 3 29" xfId="12739" xr:uid="{674AEF9D-F84A-4BDB-893E-CECCBBA19F18}"/>
    <cellStyle name="2x indented GHG Textfiels 3 2 3 3" xfId="1472" xr:uid="{93E584BA-BD6F-4A25-B5AF-125E4C1F9D53}"/>
    <cellStyle name="2x indented GHG Textfiels 3 2 3 30" xfId="14838" xr:uid="{301548AC-6874-40EB-84A4-B061DBBE44E6}"/>
    <cellStyle name="2x indented GHG Textfiels 3 2 3 31" xfId="14177" xr:uid="{2B78D8B3-9A36-45C7-8775-E9D53CC83ECF}"/>
    <cellStyle name="2x indented GHG Textfiels 3 2 3 32" xfId="15074" xr:uid="{6C53C014-FF9A-4C7F-A173-A54C5549F078}"/>
    <cellStyle name="2x indented GHG Textfiels 3 2 3 33" xfId="16753" xr:uid="{C3E9A4DA-2730-4F38-B6D9-4C8CBA7FB118}"/>
    <cellStyle name="2x indented GHG Textfiels 3 2 3 34" xfId="16532" xr:uid="{9C53D182-9AEC-4033-91CA-7CF9CA70DCD3}"/>
    <cellStyle name="2x indented GHG Textfiels 3 2 3 35" xfId="17296" xr:uid="{B22974CF-BC72-41B4-A3F0-8D82112E11C1}"/>
    <cellStyle name="2x indented GHG Textfiels 3 2 3 36" xfId="18104" xr:uid="{C8B25AFB-9FE6-488B-B110-75D2FF782337}"/>
    <cellStyle name="2x indented GHG Textfiels 3 2 3 37" xfId="18571" xr:uid="{FC48E087-E9F2-49D4-8B83-0F8596DF19E1}"/>
    <cellStyle name="2x indented GHG Textfiels 3 2 3 38" xfId="18353" xr:uid="{84282FDB-D1AA-4AE1-A7C0-121591E4F840}"/>
    <cellStyle name="2x indented GHG Textfiels 3 2 3 39" xfId="19308" xr:uid="{CB2F690D-BF1C-47CF-976A-7B1BBD9365A9}"/>
    <cellStyle name="2x indented GHG Textfiels 3 2 3 4" xfId="2530" xr:uid="{C328E282-9333-4227-8767-507CBE91CE17}"/>
    <cellStyle name="2x indented GHG Textfiels 3 2 3 40" xfId="20090" xr:uid="{2B7D184E-98DC-4D32-971C-083A64996A44}"/>
    <cellStyle name="2x indented GHG Textfiels 3 2 3 41" xfId="19868" xr:uid="{9A8B9CEA-FF50-4332-A7D5-BD1B34C7F0F2}"/>
    <cellStyle name="2x indented GHG Textfiels 3 2 3 42" xfId="19762" xr:uid="{20C5BBFA-4209-4041-B84A-9DA184F5463A}"/>
    <cellStyle name="2x indented GHG Textfiels 3 2 3 43" xfId="20973" xr:uid="{A4594782-9BD4-429D-B9CD-DEE4443A9B3E}"/>
    <cellStyle name="2x indented GHG Textfiels 3 2 3 44" xfId="21691" xr:uid="{0E3BEA2A-1690-4E4E-892D-3330EB27C474}"/>
    <cellStyle name="2x indented GHG Textfiels 3 2 3 45" xfId="22130" xr:uid="{FB6F58A9-D129-45BE-8199-58B156AEB388}"/>
    <cellStyle name="2x indented GHG Textfiels 3 2 3 46" xfId="22911" xr:uid="{023FCD06-56EB-4FB3-93E0-EF7F40791DF6}"/>
    <cellStyle name="2x indented GHG Textfiels 3 2 3 47" xfId="22082" xr:uid="{E39DD038-3586-4513-B487-6A5EFC036ED2}"/>
    <cellStyle name="2x indented GHG Textfiels 3 2 3 48" xfId="23481" xr:uid="{917BE6F4-13EE-4CC5-A2C8-0293202A26C2}"/>
    <cellStyle name="2x indented GHG Textfiels 3 2 3 49" xfId="23890" xr:uid="{D9A367E4-9E33-4046-B0FF-E0F3FB249247}"/>
    <cellStyle name="2x indented GHG Textfiels 3 2 3 5" xfId="3104" xr:uid="{06B95D56-B814-433B-BCE2-45F549AD55C1}"/>
    <cellStyle name="2x indented GHG Textfiels 3 2 3 50" xfId="24798" xr:uid="{37A8DE65-A460-4AD5-AE15-3D0EC2DE83BB}"/>
    <cellStyle name="2x indented GHG Textfiels 3 2 3 51" xfId="24432" xr:uid="{0E1871C2-66BC-4130-8F4F-A4FA0F9E6960}"/>
    <cellStyle name="2x indented GHG Textfiels 3 2 3 52" xfId="25714" xr:uid="{E819620A-95AA-402E-A085-0B2933CAFDF4}"/>
    <cellStyle name="2x indented GHG Textfiels 3 2 3 53" xfId="26199" xr:uid="{14FFBD1A-1AE0-4AB0-A86A-D743AC676C31}"/>
    <cellStyle name="2x indented GHG Textfiels 3 2 3 54" xfId="26723" xr:uid="{AE08B6F4-F287-41BA-82EF-C380921E46FF}"/>
    <cellStyle name="2x indented GHG Textfiels 3 2 3 55" xfId="27002" xr:uid="{B86F26D6-FC5F-48AD-B702-C4863C4DC621}"/>
    <cellStyle name="2x indented GHG Textfiels 3 2 3 56" xfId="27421" xr:uid="{84528676-66AD-49AC-B100-ED906F926133}"/>
    <cellStyle name="2x indented GHG Textfiels 3 2 3 57" xfId="27726" xr:uid="{5233CB97-F2ED-4365-BD6B-B7054BEAC712}"/>
    <cellStyle name="2x indented GHG Textfiels 3 2 3 58" xfId="28548" xr:uid="{0D39E470-839B-4571-9601-B2E7895E2C17}"/>
    <cellStyle name="2x indented GHG Textfiels 3 2 3 59" xfId="29015" xr:uid="{D93B9574-CE06-4601-AB1D-C120745200C0}"/>
    <cellStyle name="2x indented GHG Textfiels 3 2 3 6" xfId="3071" xr:uid="{C6EDA51B-4FAC-4301-A199-EF6865ED92B4}"/>
    <cellStyle name="2x indented GHG Textfiels 3 2 3 60" xfId="27994" xr:uid="{DD8D9110-19BF-40EB-ABC5-8F1D2047594A}"/>
    <cellStyle name="2x indented GHG Textfiels 3 2 3 61" xfId="29804" xr:uid="{C2F07175-754D-4F4A-B840-861F77B29B83}"/>
    <cellStyle name="2x indented GHG Textfiels 3 2 3 62" xfId="30210" xr:uid="{88B40D9D-1B15-4603-8D88-8725C1D0A3B1}"/>
    <cellStyle name="2x indented GHG Textfiels 3 2 3 63" xfId="30627" xr:uid="{5E5C987E-9E34-4F78-9D11-8F64B3D08D8B}"/>
    <cellStyle name="2x indented GHG Textfiels 3 2 3 64" xfId="30925" xr:uid="{20E0CD72-105D-4BB0-9CCA-99D53D130F3A}"/>
    <cellStyle name="2x indented GHG Textfiels 3 2 3 65" xfId="31243" xr:uid="{C13D5A7D-DB27-4D37-ADCD-DEDA714760F0}"/>
    <cellStyle name="2x indented GHG Textfiels 3 2 3 66" xfId="31934" xr:uid="{60E02FBD-4756-4BE5-94A9-81AEAFCEB714}"/>
    <cellStyle name="2x indented GHG Textfiels 3 2 3 67" xfId="32268" xr:uid="{DA555146-3B5B-4499-80E8-1CCE5159B843}"/>
    <cellStyle name="2x indented GHG Textfiels 3 2 3 7" xfId="4026" xr:uid="{52900C8F-3613-4C08-994D-E59D4083337A}"/>
    <cellStyle name="2x indented GHG Textfiels 3 2 3 8" xfId="4463" xr:uid="{1D4A7ECF-4A29-40E6-95E9-662C82CF6E42}"/>
    <cellStyle name="2x indented GHG Textfiels 3 2 3 9" xfId="5048" xr:uid="{14F75BE7-7F65-466F-9919-661E5A135B3D}"/>
    <cellStyle name="2x indented GHG Textfiels 3 3" xfId="348" xr:uid="{69BB0C6B-D3B0-4FB0-B883-650C5371FDB3}"/>
    <cellStyle name="2x indented GHG Textfiels 3 3 10" xfId="3716" xr:uid="{46961871-7DED-4AC6-904D-15CE5460A0F9}"/>
    <cellStyle name="2x indented GHG Textfiels 3 3 11" xfId="3431" xr:uid="{CE31FDE3-1304-4174-A2C5-7A0D78BBF91B}"/>
    <cellStyle name="2x indented GHG Textfiels 3 3 12" xfId="4970" xr:uid="{7775E796-A89D-4DB8-8ACD-720432834D52}"/>
    <cellStyle name="2x indented GHG Textfiels 3 3 13" xfId="4450" xr:uid="{C636ADF0-42D9-4F73-A307-57B8643AA09F}"/>
    <cellStyle name="2x indented GHG Textfiels 3 3 14" xfId="3662" xr:uid="{6473E5A0-5C8B-4DCA-99E1-F43D79D4EBB8}"/>
    <cellStyle name="2x indented GHG Textfiels 3 3 15" xfId="5767" xr:uid="{A46E8C80-3EFC-421D-9B67-04167E92B175}"/>
    <cellStyle name="2x indented GHG Textfiels 3 3 16" xfId="6509" xr:uid="{AE524C53-45B3-41A5-8D3E-0DB8D1E12CFA}"/>
    <cellStyle name="2x indented GHG Textfiels 3 3 17" xfId="7076" xr:uid="{CB81CA91-1B02-480E-8252-E121F0F484E7}"/>
    <cellStyle name="2x indented GHG Textfiels 3 3 18" xfId="7976" xr:uid="{79F928DE-6F85-46C3-B839-4CE2C62472BC}"/>
    <cellStyle name="2x indented GHG Textfiels 3 3 19" xfId="6740" xr:uid="{66CB0916-1141-4A95-8EA4-3773A263EB38}"/>
    <cellStyle name="2x indented GHG Textfiels 3 3 2" xfId="635" xr:uid="{AF4E6AB3-3048-4EB7-AEF9-B5F81380EC44}"/>
    <cellStyle name="2x indented GHG Textfiels 3 3 2 10" xfId="3363" xr:uid="{14E6EA77-1090-40A6-9C3C-ADD8880A45A6}"/>
    <cellStyle name="2x indented GHG Textfiels 3 3 2 11" xfId="5283" xr:uid="{1C180293-0E46-4E43-B0AF-E106B9AE7F35}"/>
    <cellStyle name="2x indented GHG Textfiels 3 3 2 12" xfId="5019" xr:uid="{B961ABC6-1980-4E06-A997-00975D1BF3D3}"/>
    <cellStyle name="2x indented GHG Textfiels 3 3 2 13" xfId="6176" xr:uid="{7E6FF5A5-EDE9-4D1E-AAEF-C9ADE040FD2D}"/>
    <cellStyle name="2x indented GHG Textfiels 3 3 2 14" xfId="6113" xr:uid="{ECC6F638-CA7C-4275-8AF0-A34E75E6F044}"/>
    <cellStyle name="2x indented GHG Textfiels 3 3 2 15" xfId="7355" xr:uid="{973EBC27-7F1B-4CE4-8798-EA54442F082F}"/>
    <cellStyle name="2x indented GHG Textfiels 3 3 2 16" xfId="6976" xr:uid="{7DB0C34C-F53E-4530-8C00-E39A58CB4604}"/>
    <cellStyle name="2x indented GHG Textfiels 3 3 2 17" xfId="8652" xr:uid="{2DD25E8D-C832-40A2-981B-3077A3F33003}"/>
    <cellStyle name="2x indented GHG Textfiels 3 3 2 18" xfId="8762" xr:uid="{FC26883B-B816-4A7A-AE3A-247EA94A3732}"/>
    <cellStyle name="2x indented GHG Textfiels 3 3 2 19" xfId="9569" xr:uid="{F130F1D4-8BD6-42E2-BFD3-69AF0A1EC6A2}"/>
    <cellStyle name="2x indented GHG Textfiels 3 3 2 2" xfId="850" xr:uid="{F87089C7-60FC-403E-A939-C56BA2BC3A95}"/>
    <cellStyle name="2x indented GHG Textfiels 3 3 2 2 10" xfId="5498" xr:uid="{05C750D1-03E6-48D4-9641-0BE3417F08EC}"/>
    <cellStyle name="2x indented GHG Textfiels 3 3 2 2 11" xfId="5733" xr:uid="{3A1CC8C5-855D-4F2C-AF98-CE5AB071E498}"/>
    <cellStyle name="2x indented GHG Textfiels 3 3 2 2 12" xfId="6047" xr:uid="{02B0D26E-5D9B-4C13-A07E-9EEE17FBB2A8}"/>
    <cellStyle name="2x indented GHG Textfiels 3 3 2 2 13" xfId="6504" xr:uid="{E1A3BC1D-CC28-4E0E-AEBF-FD72CE70E125}"/>
    <cellStyle name="2x indented GHG Textfiels 3 3 2 2 14" xfId="7570" xr:uid="{D6265B8B-A987-4E21-8829-607385333DD1}"/>
    <cellStyle name="2x indented GHG Textfiels 3 3 2 2 15" xfId="7144" xr:uid="{5B153EC6-3D25-450D-A13D-261E5C2BE536}"/>
    <cellStyle name="2x indented GHG Textfiels 3 3 2 2 16" xfId="8520" xr:uid="{EB6BD827-5484-4876-9ED3-D485EE9F1AF4}"/>
    <cellStyle name="2x indented GHG Textfiels 3 3 2 2 17" xfId="8792" xr:uid="{98E77616-3890-4BD0-9095-B006818D39D8}"/>
    <cellStyle name="2x indented GHG Textfiels 3 3 2 2 18" xfId="9784" xr:uid="{EE6C7410-80BF-4579-AF9F-BE97384FDC5B}"/>
    <cellStyle name="2x indented GHG Textfiels 3 3 2 2 19" xfId="9359" xr:uid="{D342A65D-843A-4AAC-A77D-C7F383F06551}"/>
    <cellStyle name="2x indented GHG Textfiels 3 3 2 2 2" xfId="1324" xr:uid="{A8751235-AB7F-40C4-AA7D-43284C17EBFC}"/>
    <cellStyle name="2x indented GHG Textfiels 3 3 2 2 20" xfId="9931" xr:uid="{A7FC4C46-14A9-4057-8BE2-85D6BFB949BE}"/>
    <cellStyle name="2x indented GHG Textfiels 3 3 2 2 21" xfId="10622" xr:uid="{E752D557-46A5-436D-94DA-36753D419F87}"/>
    <cellStyle name="2x indented GHG Textfiels 3 3 2 2 22" xfId="10378" xr:uid="{6F01A493-7FDF-4563-B621-AE8EDEC8154B}"/>
    <cellStyle name="2x indented GHG Textfiels 3 3 2 2 23" xfId="12203" xr:uid="{F8333940-353F-4636-9C0D-EF3C49900D56}"/>
    <cellStyle name="2x indented GHG Textfiels 3 3 2 2 24" xfId="12676" xr:uid="{1132ABCA-1709-4980-8434-A5926C723510}"/>
    <cellStyle name="2x indented GHG Textfiels 3 3 2 2 25" xfId="13110" xr:uid="{D617C5BD-7F31-4204-9612-CF86BA23DDF5}"/>
    <cellStyle name="2x indented GHG Textfiels 3 3 2 2 26" xfId="13547" xr:uid="{D9670325-CFE6-4967-93FC-02471F0C9654}"/>
    <cellStyle name="2x indented GHG Textfiels 3 3 2 2 27" xfId="13401" xr:uid="{53ED7056-BE88-4934-8756-383EDBC202C1}"/>
    <cellStyle name="2x indented GHG Textfiels 3 3 2 2 28" xfId="13938" xr:uid="{A2E36660-EE49-4188-A384-BD2EBA9808F5}"/>
    <cellStyle name="2x indented GHG Textfiels 3 3 2 2 29" xfId="14193" xr:uid="{59A59872-0FF9-4E04-8A46-577B6540677A}"/>
    <cellStyle name="2x indented GHG Textfiels 3 3 2 2 3" xfId="1773" xr:uid="{FB1E4E39-9D8A-4561-8ADD-877C85142DAB}"/>
    <cellStyle name="2x indented GHG Textfiels 3 3 2 2 30" xfId="13958" xr:uid="{A855880C-0FB8-4AC5-B528-C7F4257AD13A}"/>
    <cellStyle name="2x indented GHG Textfiels 3 3 2 2 31" xfId="15748" xr:uid="{6781C5A8-2639-4B0C-BBED-688364C14406}"/>
    <cellStyle name="2x indented GHG Textfiels 3 3 2 2 32" xfId="15610" xr:uid="{F449EB06-6DEC-4141-9D3B-73E3B55C19F7}"/>
    <cellStyle name="2x indented GHG Textfiels 3 3 2 2 33" xfId="16895" xr:uid="{9E112744-CBBC-4A16-9412-F0DB647F751C}"/>
    <cellStyle name="2x indented GHG Textfiels 3 3 2 2 34" xfId="16466" xr:uid="{3D3EC564-4B2B-4995-A4A2-5DB08464A980}"/>
    <cellStyle name="2x indented GHG Textfiels 3 3 2 2 35" xfId="17045" xr:uid="{FAD3E8C2-C667-4463-98F2-02A7794CD03C}"/>
    <cellStyle name="2x indented GHG Textfiels 3 3 2 2 36" xfId="17447" xr:uid="{285CF404-6A50-43B2-8E2C-1A0EC4C8FE84}"/>
    <cellStyle name="2x indented GHG Textfiels 3 3 2 2 37" xfId="18713" xr:uid="{6338B2B1-40C9-4200-A58A-97B9A462EB3D}"/>
    <cellStyle name="2x indented GHG Textfiels 3 3 2 2 38" xfId="17427" xr:uid="{C38D43D4-6F7E-4BC9-9DCB-D789EA91D1B5}"/>
    <cellStyle name="2x indented GHG Textfiels 3 3 2 2 39" xfId="18850" xr:uid="{1CCA091C-6323-4E41-9B1D-86D356E5BB2B}"/>
    <cellStyle name="2x indented GHG Textfiels 3 3 2 2 4" xfId="2672" xr:uid="{A1078773-3012-4C98-B1A1-DE57022E8201}"/>
    <cellStyle name="2x indented GHG Textfiels 3 3 2 2 40" xfId="20232" xr:uid="{710CF30B-3A78-4155-A968-D3A8362224EB}"/>
    <cellStyle name="2x indented GHG Textfiels 3 3 2 2 41" xfId="19802" xr:uid="{C67DCA08-27E1-4277-99A9-20700B0181BA}"/>
    <cellStyle name="2x indented GHG Textfiels 3 3 2 2 42" xfId="20498" xr:uid="{1A87BFAC-9647-4A58-8F62-EACAE81D5538}"/>
    <cellStyle name="2x indented GHG Textfiels 3 3 2 2 43" xfId="21597" xr:uid="{2C98D549-443B-4729-AB47-F3643A8935A5}"/>
    <cellStyle name="2x indented GHG Textfiels 3 3 2 2 44" xfId="20783" xr:uid="{41D9095D-ED44-4C32-99FF-02DE3A5D6571}"/>
    <cellStyle name="2x indented GHG Textfiels 3 3 2 2 45" xfId="21969" xr:uid="{27EDB740-BB41-473E-9DD6-B2FD09395BDE}"/>
    <cellStyle name="2x indented GHG Textfiels 3 3 2 2 46" xfId="22081" xr:uid="{56352BE7-2CCE-4F24-A740-84CE7D29AF60}"/>
    <cellStyle name="2x indented GHG Textfiels 3 3 2 2 47" xfId="22649" xr:uid="{8655F11F-3683-4DFA-9545-2F67B20247C1}"/>
    <cellStyle name="2x indented GHG Textfiels 3 3 2 2 48" xfId="23442" xr:uid="{F5B804FF-37AE-44CF-8E66-5518EAF68C95}"/>
    <cellStyle name="2x indented GHG Textfiels 3 3 2 2 49" xfId="24032" xr:uid="{2E136F4C-231B-4B43-B6A5-19D5314DB9B7}"/>
    <cellStyle name="2x indented GHG Textfiels 3 3 2 2 5" xfId="2025" xr:uid="{D7DC9651-8E1A-4FA2-874C-27A9DA2CE74A}"/>
    <cellStyle name="2x indented GHG Textfiels 3 3 2 2 50" xfId="24940" xr:uid="{8FC7ABA8-9A7B-4FCE-A4CE-06AA3C8D8300}"/>
    <cellStyle name="2x indented GHG Textfiels 3 3 2 2 51" xfId="24106" xr:uid="{E418A7C2-52FD-44C1-A4E7-7EACDA6A2D75}"/>
    <cellStyle name="2x indented GHG Textfiels 3 3 2 2 52" xfId="25856" xr:uid="{EA9D5B63-BDE2-424F-8051-BC084960B67E}"/>
    <cellStyle name="2x indented GHG Textfiels 3 3 2 2 53" xfId="25930" xr:uid="{6CBEC142-A498-426D-B4FC-1535CCF1EEF1}"/>
    <cellStyle name="2x indented GHG Textfiels 3 3 2 2 54" xfId="26467" xr:uid="{B11C0368-4AE9-4DB6-9EF4-61BDBF12BE35}"/>
    <cellStyle name="2x indented GHG Textfiels 3 3 2 2 55" xfId="27144" xr:uid="{5B40EB38-2A3B-467C-9ECD-35C28A8C754D}"/>
    <cellStyle name="2x indented GHG Textfiels 3 3 2 2 56" xfId="27563" xr:uid="{1E92E20E-F6D2-4A40-B6A3-E1699B7FBF33}"/>
    <cellStyle name="2x indented GHG Textfiels 3 3 2 2 57" xfId="25977" xr:uid="{47B997D7-D721-49E6-9CA5-25AF05A1EB59}"/>
    <cellStyle name="2x indented GHG Textfiels 3 3 2 2 58" xfId="28690" xr:uid="{16D12BE7-B36A-4BB3-9CD1-EAF849434B46}"/>
    <cellStyle name="2x indented GHG Textfiels 3 3 2 2 59" xfId="29157" xr:uid="{4A2EF300-5584-4487-81A1-81A05A27C3AD}"/>
    <cellStyle name="2x indented GHG Textfiels 3 3 2 2 6" xfId="2263" xr:uid="{F4456848-14E5-43B0-A280-BA30446F3FDB}"/>
    <cellStyle name="2x indented GHG Textfiels 3 3 2 2 60" xfId="28755" xr:uid="{4EBA0EF8-3610-44AB-BADF-4185FA8A6B4E}"/>
    <cellStyle name="2x indented GHG Textfiels 3 3 2 2 61" xfId="29946" xr:uid="{6CBB49EC-03AA-4621-8CA8-3081B894383B}"/>
    <cellStyle name="2x indented GHG Textfiels 3 3 2 2 62" xfId="30352" xr:uid="{B80ACC18-85FE-49E9-BA93-6999B51D9CC2}"/>
    <cellStyle name="2x indented GHG Textfiels 3 3 2 2 63" xfId="30769" xr:uid="{B9B592D4-6D08-4586-AC8E-FE9C2091E47E}"/>
    <cellStyle name="2x indented GHG Textfiels 3 3 2 2 64" xfId="29991" xr:uid="{EAA1D78B-6A85-4C30-AB52-C86BB31F6F17}"/>
    <cellStyle name="2x indented GHG Textfiels 3 3 2 2 65" xfId="31385" xr:uid="{599032A6-BC93-46EC-8772-9C58E9E205DA}"/>
    <cellStyle name="2x indented GHG Textfiels 3 3 2 2 66" xfId="32076" xr:uid="{095E4CA2-814B-419A-9CDF-41E897D2C106}"/>
    <cellStyle name="2x indented GHG Textfiels 3 3 2 2 67" xfId="32138" xr:uid="{00816938-0160-4552-BD3C-F2F028B9D9E3}"/>
    <cellStyle name="2x indented GHG Textfiels 3 3 2 2 7" xfId="4168" xr:uid="{F00E6444-4106-4310-8D88-8A310CD5562A}"/>
    <cellStyle name="2x indented GHG Textfiels 3 3 2 2 8" xfId="4605" xr:uid="{D635462C-91EB-4780-BD19-A69BFAA0E2D8}"/>
    <cellStyle name="2x indented GHG Textfiels 3 3 2 2 9" xfId="2931" xr:uid="{10A1AF22-A8A5-47C7-80E8-59ABF4E64AE1}"/>
    <cellStyle name="2x indented GHG Textfiels 3 3 2 20" xfId="9317" xr:uid="{F5144F81-8EE2-4029-8DE5-CBD517475C49}"/>
    <cellStyle name="2x indented GHG Textfiels 3 3 2 21" xfId="9165" xr:uid="{A3F8A77E-B719-4408-89CB-31EF84CE5E86}"/>
    <cellStyle name="2x indented GHG Textfiels 3 3 2 22" xfId="10867" xr:uid="{90CE4A82-42AC-47EA-81BB-AE9AF6C099C0}"/>
    <cellStyle name="2x indented GHG Textfiels 3 3 2 23" xfId="11118" xr:uid="{C26CC97C-F409-41BA-BF59-D44821EB8414}"/>
    <cellStyle name="2x indented GHG Textfiels 3 3 2 24" xfId="11988" xr:uid="{F5378A8E-EBCB-4A25-8EE8-B47BF01471F4}"/>
    <cellStyle name="2x indented GHG Textfiels 3 3 2 25" xfId="12461" xr:uid="{741EA4C5-5726-4D51-A7A8-F6328EB3589D}"/>
    <cellStyle name="2x indented GHG Textfiels 3 3 2 26" xfId="12895" xr:uid="{CA73DC1B-9AB6-48C5-841C-A326EC8E9B7C}"/>
    <cellStyle name="2x indented GHG Textfiels 3 3 2 27" xfId="13332" xr:uid="{992E8178-AEE8-44F4-8CC5-409341C83B5B}"/>
    <cellStyle name="2x indented GHG Textfiels 3 3 2 28" xfId="13670" xr:uid="{9A95E35F-9A9E-4741-AB15-91CB084FE660}"/>
    <cellStyle name="2x indented GHG Textfiels 3 3 2 29" xfId="13153" xr:uid="{9009A53D-EDF0-4D14-854E-B2E0989B7435}"/>
    <cellStyle name="2x indented GHG Textfiels 3 3 2 3" xfId="1118" xr:uid="{00EA6642-7FA3-4B26-B99D-8D1D2CC98DAB}"/>
    <cellStyle name="2x indented GHG Textfiels 3 3 2 30" xfId="14710" xr:uid="{A12EFB32-EC86-44C8-8662-CE9F12444D28}"/>
    <cellStyle name="2x indented GHG Textfiels 3 3 2 31" xfId="15092" xr:uid="{E3EDEC1B-131E-44BD-B4E3-F0372750AFB9}"/>
    <cellStyle name="2x indented GHG Textfiels 3 3 2 32" xfId="15624" xr:uid="{A527C3D6-046B-4603-85DB-3D0F6D68D4DA}"/>
    <cellStyle name="2x indented GHG Textfiels 3 3 2 33" xfId="14667" xr:uid="{2C333808-602D-483A-A030-E4F91CD2465A}"/>
    <cellStyle name="2x indented GHG Textfiels 3 3 2 34" xfId="16680" xr:uid="{8B033B58-6E52-468F-94DF-8580C78DD3B6}"/>
    <cellStyle name="2x indented GHG Textfiels 3 3 2 35" xfId="16296" xr:uid="{0AEB8334-39E7-4D6C-92D1-A4077FF8B07C}"/>
    <cellStyle name="2x indented GHG Textfiels 3 3 2 36" xfId="17308" xr:uid="{DC8428FA-6B50-4EFF-97C5-A4C7486F7D09}"/>
    <cellStyle name="2x indented GHG Textfiels 3 3 2 37" xfId="18026" xr:uid="{6AA1F315-B2DE-4B4C-8BBD-DD0D97AEDB25}"/>
    <cellStyle name="2x indented GHG Textfiels 3 3 2 38" xfId="18498" xr:uid="{42D0E121-D6B6-4F04-BFBD-F41FEE946E17}"/>
    <cellStyle name="2x indented GHG Textfiels 3 3 2 39" xfId="18827" xr:uid="{EFE07F46-A7D3-414C-9087-6373D45B53A4}"/>
    <cellStyle name="2x indented GHG Textfiels 3 3 2 4" xfId="1745" xr:uid="{20052DA6-32FF-4430-AD19-873C30C48E27}"/>
    <cellStyle name="2x indented GHG Textfiels 3 3 2 40" xfId="18274" xr:uid="{E4DA7C7E-E6D0-4581-A0B1-87008907741E}"/>
    <cellStyle name="2x indented GHG Textfiels 3 3 2 41" xfId="20017" xr:uid="{D52D3D70-91F3-4536-92AA-0513950A3806}"/>
    <cellStyle name="2x indented GHG Textfiels 3 3 2 42" xfId="19626" xr:uid="{7882F42A-E553-4274-A641-ABA1403CB0EC}"/>
    <cellStyle name="2x indented GHG Textfiels 3 3 2 43" xfId="20322" xr:uid="{4D60B109-3294-496B-8A77-8B92375495FF}"/>
    <cellStyle name="2x indented GHG Textfiels 3 3 2 44" xfId="21539" xr:uid="{29AF47B7-1B43-4612-B0CE-7496D0708463}"/>
    <cellStyle name="2x indented GHG Textfiels 3 3 2 45" xfId="21320" xr:uid="{05CBDC0B-D3D1-4373-89CF-DBF7D6239731}"/>
    <cellStyle name="2x indented GHG Textfiels 3 3 2 46" xfId="21538" xr:uid="{BDC0BF16-FF90-4679-8E86-144AE3C4C298}"/>
    <cellStyle name="2x indented GHG Textfiels 3 3 2 47" xfId="22670" xr:uid="{3ED6F0F1-0B52-4C12-B820-055DFDF7FBEB}"/>
    <cellStyle name="2x indented GHG Textfiels 3 3 2 48" xfId="23099" xr:uid="{AD3C4401-71B8-4B04-AE97-6B71F834E608}"/>
    <cellStyle name="2x indented GHG Textfiels 3 3 2 49" xfId="23608" xr:uid="{D3F23F3A-5E1E-48BE-855D-BE8B0CC4BF2E}"/>
    <cellStyle name="2x indented GHG Textfiels 3 3 2 5" xfId="2457" xr:uid="{43DF861B-9B76-4666-BCDD-8AFC91156720}"/>
    <cellStyle name="2x indented GHG Textfiels 3 3 2 50" xfId="23826" xr:uid="{3862FC6F-2BBB-45C6-B377-A00EB0FA8700}"/>
    <cellStyle name="2x indented GHG Textfiels 3 3 2 51" xfId="24725" xr:uid="{98F3E305-0620-4BCE-823D-03C0A8C1BAE0}"/>
    <cellStyle name="2x indented GHG Textfiels 3 3 2 52" xfId="24987" xr:uid="{792BB416-E500-4BE9-BFD6-557ED9A1AD97}"/>
    <cellStyle name="2x indented GHG Textfiels 3 3 2 53" xfId="25643" xr:uid="{A30E6149-EF6F-42C3-A596-2CB1AEAFAC41}"/>
    <cellStyle name="2x indented GHG Textfiels 3 3 2 54" xfId="25974" xr:uid="{77678CFB-48D2-42E5-8CA6-AC6B5C7696F7}"/>
    <cellStyle name="2x indented GHG Textfiels 3 3 2 55" xfId="26652" xr:uid="{9ED35562-DF8A-4D0F-ACE8-A1DBD19CA699}"/>
    <cellStyle name="2x indented GHG Textfiels 3 3 2 56" xfId="26933" xr:uid="{0F730353-C625-4CB4-AD96-D9729EE30AFB}"/>
    <cellStyle name="2x indented GHG Textfiels 3 3 2 57" xfId="27352" xr:uid="{EFB872C2-2C95-4585-9A95-9C1713E33E4B}"/>
    <cellStyle name="2x indented GHG Textfiels 3 3 2 58" xfId="27758" xr:uid="{2F90D605-B538-4128-8C52-9BA6AAC886A9}"/>
    <cellStyle name="2x indented GHG Textfiels 3 3 2 59" xfId="28475" xr:uid="{41FC847A-1676-4A58-8729-429D5A849BF1}"/>
    <cellStyle name="2x indented GHG Textfiels 3 3 2 6" xfId="2836" xr:uid="{65B5FE89-79CC-458E-B68D-918ACE37B199}"/>
    <cellStyle name="2x indented GHG Textfiels 3 3 2 60" xfId="28943" xr:uid="{842EA4B8-7243-4FA7-9CB4-860C4E6F3D60}"/>
    <cellStyle name="2x indented GHG Textfiels 3 3 2 61" xfId="28077" xr:uid="{F603E8DF-7192-47C3-8CC1-ED4EBA748A98}"/>
    <cellStyle name="2x indented GHG Textfiels 3 3 2 62" xfId="29733" xr:uid="{ED8AA3DC-4453-4C53-ACF7-57A5EB5D366A}"/>
    <cellStyle name="2x indented GHG Textfiels 3 3 2 63" xfId="30141" xr:uid="{221E9144-CADD-409E-9D1A-DE8A2BA413CE}"/>
    <cellStyle name="2x indented GHG Textfiels 3 3 2 64" xfId="30555" xr:uid="{DC39CD7C-8E19-4FC1-AD1D-5736A15DD172}"/>
    <cellStyle name="2x indented GHG Textfiels 3 3 2 65" xfId="30932" xr:uid="{4AD2C636-2474-4E2F-A36B-2CD48DE35567}"/>
    <cellStyle name="2x indented GHG Textfiels 3 3 2 66" xfId="31179" xr:uid="{F810247D-F35F-4368-8FEA-D683F0485036}"/>
    <cellStyle name="2x indented GHG Textfiels 3 3 2 67" xfId="31865" xr:uid="{D243666C-13C1-41AE-9A45-5222B04AD480}"/>
    <cellStyle name="2x indented GHG Textfiels 3 3 2 68" xfId="32187" xr:uid="{ADB6BB0E-B201-4AC6-8227-1E30347E35A9}"/>
    <cellStyle name="2x indented GHG Textfiels 3 3 2 7" xfId="3754" xr:uid="{B5E8EC2E-8EE1-4B99-A948-B987C0E39466}"/>
    <cellStyle name="2x indented GHG Textfiels 3 3 2 8" xfId="3953" xr:uid="{5FA9E6F5-AF78-4800-90E3-6FE11A752727}"/>
    <cellStyle name="2x indented GHG Textfiels 3 3 2 9" xfId="4391" xr:uid="{9B76633D-40AF-4AB9-B7E2-124C8BBAFF6F}"/>
    <cellStyle name="2x indented GHG Textfiels 3 3 20" xfId="8300" xr:uid="{2F33EF67-36DA-431A-AAEE-6D50518919EA}"/>
    <cellStyle name="2x indented GHG Textfiels 3 3 21" xfId="9289" xr:uid="{45011D35-5642-42D4-A255-CAEEB7130045}"/>
    <cellStyle name="2x indented GHG Textfiels 3 3 22" xfId="10192" xr:uid="{E4AC5667-B879-487E-9D81-4310CB664E10}"/>
    <cellStyle name="2x indented GHG Textfiels 3 3 23" xfId="10597" xr:uid="{247862BB-CE1B-4778-BA69-46FD327A9E5B}"/>
    <cellStyle name="2x indented GHG Textfiels 3 3 24" xfId="10470" xr:uid="{17CD9CC3-A12F-466B-8506-C0DF4DFE4C24}"/>
    <cellStyle name="2x indented GHG Textfiels 3 3 25" xfId="10838" xr:uid="{BCBFE763-0351-4159-B94E-7152F045A7C9}"/>
    <cellStyle name="2x indented GHG Textfiels 3 3 26" xfId="11703" xr:uid="{12B73A57-D40F-4EEA-8D5A-B7E485385053}"/>
    <cellStyle name="2x indented GHG Textfiels 3 3 27" xfId="11743" xr:uid="{ECD0CD62-2974-431C-81EA-7BFD23DCE3A1}"/>
    <cellStyle name="2x indented GHG Textfiels 3 3 28" xfId="11372" xr:uid="{F11499F5-E571-493B-8CDC-9F3A4FE877F6}"/>
    <cellStyle name="2x indented GHG Textfiels 3 3 29" xfId="12303" xr:uid="{2E0ED66C-D3C2-4A4B-BDBD-45066A1BF1B8}"/>
    <cellStyle name="2x indented GHG Textfiels 3 3 3" xfId="637" xr:uid="{B882AD9F-4B0E-4D2C-9A9A-5583AF43EDE2}"/>
    <cellStyle name="2x indented GHG Textfiels 3 3 3 10" xfId="3726" xr:uid="{8E582A2D-EA37-46BD-AA2C-6E12ADC3B3D0}"/>
    <cellStyle name="2x indented GHG Textfiels 3 3 3 11" xfId="5285" xr:uid="{22BF4D87-37F9-4189-BB3C-F42AAFDEB83E}"/>
    <cellStyle name="2x indented GHG Textfiels 3 3 3 12" xfId="5605" xr:uid="{479D8223-2837-464F-922B-1CC6383D741D}"/>
    <cellStyle name="2x indented GHG Textfiels 3 3 3 13" xfId="5053" xr:uid="{FCA31E74-5E66-4C88-AE6F-BF97888541A6}"/>
    <cellStyle name="2x indented GHG Textfiels 3 3 3 14" xfId="6131" xr:uid="{53623914-1ED9-4E9F-9C3A-7B1897F0D77F}"/>
    <cellStyle name="2x indented GHG Textfiels 3 3 3 15" xfId="7357" xr:uid="{AEABE2E8-ED75-4D26-9B78-EA84E806520E}"/>
    <cellStyle name="2x indented GHG Textfiels 3 3 3 16" xfId="7844" xr:uid="{847C4F44-9293-4E39-AFEF-3AE2BACAFF0B}"/>
    <cellStyle name="2x indented GHG Textfiels 3 3 3 17" xfId="8523" xr:uid="{43BD7DE1-2DF8-4C59-BC30-CE10BF242E50}"/>
    <cellStyle name="2x indented GHG Textfiels 3 3 3 18" xfId="8389" xr:uid="{98ADB2F5-BCE6-4C4D-B445-0612D3A539C3}"/>
    <cellStyle name="2x indented GHG Textfiels 3 3 3 19" xfId="9571" xr:uid="{CB62A95E-3100-4AC3-AAC4-66ED1B1EB644}"/>
    <cellStyle name="2x indented GHG Textfiels 3 3 3 2" xfId="852" xr:uid="{979DDFEA-D618-4817-8F1C-6DE0B5D1DAC3}"/>
    <cellStyle name="2x indented GHG Textfiels 3 3 3 2 10" xfId="5500" xr:uid="{189D98D8-E2E9-4E67-A4A0-37021A2213F2}"/>
    <cellStyle name="2x indented GHG Textfiels 3 3 3 2 11" xfId="5095" xr:uid="{5D2E8655-4A76-4FB6-AF26-4C88C16C0003}"/>
    <cellStyle name="2x indented GHG Textfiels 3 3 3 2 12" xfId="5755" xr:uid="{7E03CD50-F320-45BF-BACB-4478B92E1988}"/>
    <cellStyle name="2x indented GHG Textfiels 3 3 3 2 13" xfId="6229" xr:uid="{D2E2054C-E9F9-41AB-A312-652E8D664121}"/>
    <cellStyle name="2x indented GHG Textfiels 3 3 3 2 14" xfId="7572" xr:uid="{5C60200F-822D-4817-B757-934760B972A5}"/>
    <cellStyle name="2x indented GHG Textfiels 3 3 3 2 15" xfId="6754" xr:uid="{8742F07C-4FEE-4989-BA4D-2ADFECD4A353}"/>
    <cellStyle name="2x indented GHG Textfiels 3 3 3 2 16" xfId="7142" xr:uid="{D2FE7FBF-1E71-445D-AC13-9BB194E4D5C8}"/>
    <cellStyle name="2x indented GHG Textfiels 3 3 3 2 17" xfId="8901" xr:uid="{9CFE1DD6-1453-4B88-A49A-5CA0D95B1C3C}"/>
    <cellStyle name="2x indented GHG Textfiels 3 3 3 2 18" xfId="9786" xr:uid="{2116EBD1-FC45-4A04-89BA-61C46769A840}"/>
    <cellStyle name="2x indented GHG Textfiels 3 3 3 2 19" xfId="8966" xr:uid="{C432BCB7-A9E6-4038-948C-09B12850D403}"/>
    <cellStyle name="2x indented GHG Textfiels 3 3 3 2 2" xfId="1326" xr:uid="{3AC65A83-D817-4E70-8F7E-0ABEC31C1BE8}"/>
    <cellStyle name="2x indented GHG Textfiels 3 3 3 2 20" xfId="10025" xr:uid="{6C221A12-6071-4154-A9B0-BF528B34F0F7}"/>
    <cellStyle name="2x indented GHG Textfiels 3 3 3 2 21" xfId="10703" xr:uid="{BAF69C9A-FBE9-4A06-9EF6-FFDD92B58162}"/>
    <cellStyle name="2x indented GHG Textfiels 3 3 3 2 22" xfId="11217" xr:uid="{ABDF9AB8-E5C4-4894-821B-63A5D4DB1F11}"/>
    <cellStyle name="2x indented GHG Textfiels 3 3 3 2 23" xfId="12205" xr:uid="{DF32B41B-6E54-486F-91F0-DAA5F67E3F3C}"/>
    <cellStyle name="2x indented GHG Textfiels 3 3 3 2 24" xfId="12678" xr:uid="{0D4D693B-CE61-4B0C-AFE7-D526D9EA1579}"/>
    <cellStyle name="2x indented GHG Textfiels 3 3 3 2 25" xfId="13112" xr:uid="{F20490AB-D83F-4175-96E7-9A653087C50B}"/>
    <cellStyle name="2x indented GHG Textfiels 3 3 3 2 26" xfId="13549" xr:uid="{374B462B-74DD-4C61-995A-F5B263FE2B87}"/>
    <cellStyle name="2x indented GHG Textfiels 3 3 3 2 27" xfId="13619" xr:uid="{77CC8B8D-BAD8-4042-98F3-CB00FAC7FCCA}"/>
    <cellStyle name="2x indented GHG Textfiels 3 3 3 2 28" xfId="12273" xr:uid="{FE9362B8-E2E3-445B-9374-74CA36C52E8C}"/>
    <cellStyle name="2x indented GHG Textfiels 3 3 3 2 29" xfId="11841" xr:uid="{098B4458-EF7D-44E7-B419-12D036AB87DC}"/>
    <cellStyle name="2x indented GHG Textfiels 3 3 3 2 3" xfId="1775" xr:uid="{45A58CE4-67DA-43FB-8117-4C2804D70100}"/>
    <cellStyle name="2x indented GHG Textfiels 3 3 3 2 30" xfId="14084" xr:uid="{1AF15F61-6AB5-4B43-A1EB-481A1D6019F7}"/>
    <cellStyle name="2x indented GHG Textfiels 3 3 3 2 31" xfId="14768" xr:uid="{7247558D-29CD-4A40-AAD1-B2948B5F5D4E}"/>
    <cellStyle name="2x indented GHG Textfiels 3 3 3 2 32" xfId="15756" xr:uid="{0AFCABB2-DE7C-4F17-AD3C-2025E987B15F}"/>
    <cellStyle name="2x indented GHG Textfiels 3 3 3 2 33" xfId="16897" xr:uid="{DB228C4F-8E0D-45D2-8907-240CEB0F3032}"/>
    <cellStyle name="2x indented GHG Textfiels 3 3 3 2 34" xfId="16063" xr:uid="{A281FA42-18C7-4180-A800-1FD99643B902}"/>
    <cellStyle name="2x indented GHG Textfiels 3 3 3 2 35" xfId="17142" xr:uid="{E20405F0-2A56-40B9-B3F9-63A4CC245EA3}"/>
    <cellStyle name="2x indented GHG Textfiels 3 3 3 2 36" xfId="18067" xr:uid="{69219657-F4DA-484D-A594-D582470E2039}"/>
    <cellStyle name="2x indented GHG Textfiels 3 3 3 2 37" xfId="18715" xr:uid="{DFDC0933-2E49-4778-920A-D96E80D72C97}"/>
    <cellStyle name="2x indented GHG Textfiels 3 3 3 2 38" xfId="18874" xr:uid="{9F7001D8-B641-4254-A4AD-9B98DF553AD4}"/>
    <cellStyle name="2x indented GHG Textfiels 3 3 3 2 39" xfId="19175" xr:uid="{84C2E51D-8D36-4864-89B8-A5F686E76CCC}"/>
    <cellStyle name="2x indented GHG Textfiels 3 3 3 2 4" xfId="2674" xr:uid="{2E1B68A2-71FF-4EC2-8A86-0ADD8B1AE018}"/>
    <cellStyle name="2x indented GHG Textfiels 3 3 3 2 40" xfId="20234" xr:uid="{1CDE2391-9D01-45C4-883B-B4CCCE0D9AC1}"/>
    <cellStyle name="2x indented GHG Textfiels 3 3 3 2 41" xfId="19396" xr:uid="{EE1CFA4C-AD20-4ACB-85B4-6BF08E158B10}"/>
    <cellStyle name="2x indented GHG Textfiels 3 3 3 2 42" xfId="20324" xr:uid="{CC558561-E7CC-4C68-9C50-23B19749AFCA}"/>
    <cellStyle name="2x indented GHG Textfiels 3 3 3 2 43" xfId="21332" xr:uid="{5367A473-F963-4B01-BB63-84781333282F}"/>
    <cellStyle name="2x indented GHG Textfiels 3 3 3 2 44" xfId="21546" xr:uid="{0DFBFDC7-19ED-4D1C-AED5-B7397D9A1D99}"/>
    <cellStyle name="2x indented GHG Textfiels 3 3 3 2 45" xfId="21493" xr:uid="{91A93C5A-D3E8-496F-B6B3-4107FDE96DF0}"/>
    <cellStyle name="2x indented GHG Textfiels 3 3 3 2 46" xfId="22628" xr:uid="{C216CED0-A91B-4A03-BE28-C30FDB9987AD}"/>
    <cellStyle name="2x indented GHG Textfiels 3 3 3 2 47" xfId="23151" xr:uid="{469985C1-995A-4B2D-AE8B-6715C0DE9747}"/>
    <cellStyle name="2x indented GHG Textfiels 3 3 3 2 48" xfId="23189" xr:uid="{AF3D1F7E-FFB4-4126-AEE5-021E631F2BDB}"/>
    <cellStyle name="2x indented GHG Textfiels 3 3 3 2 49" xfId="24034" xr:uid="{CF6D9079-D60F-4347-8024-10CBBC5741D1}"/>
    <cellStyle name="2x indented GHG Textfiels 3 3 3 2 5" xfId="2786" xr:uid="{F8E04711-F765-44C5-8A86-202687C88D1F}"/>
    <cellStyle name="2x indented GHG Textfiels 3 3 3 2 50" xfId="24942" xr:uid="{20147870-2043-434F-B296-3A494890C17F}"/>
    <cellStyle name="2x indented GHG Textfiels 3 3 3 2 51" xfId="24248" xr:uid="{3CF54FD2-3509-44A2-B37D-FD6758584B79}"/>
    <cellStyle name="2x indented GHG Textfiels 3 3 3 2 52" xfId="25858" xr:uid="{B45579AF-D48E-4834-BFD1-A5102ECE4DF1}"/>
    <cellStyle name="2x indented GHG Textfiels 3 3 3 2 53" xfId="25129" xr:uid="{E7BFA57B-97EE-49F4-B4A2-A77FC1F0043D}"/>
    <cellStyle name="2x indented GHG Textfiels 3 3 3 2 54" xfId="26382" xr:uid="{B0D50F25-34B0-4926-B4B5-DD2E24124655}"/>
    <cellStyle name="2x indented GHG Textfiels 3 3 3 2 55" xfId="27146" xr:uid="{DA35BD52-C512-476D-9087-9416D79853DF}"/>
    <cellStyle name="2x indented GHG Textfiels 3 3 3 2 56" xfId="27565" xr:uid="{5B0D65F9-FFFC-42F0-A5C1-7F736AC853DA}"/>
    <cellStyle name="2x indented GHG Textfiels 3 3 3 2 57" xfId="26496" xr:uid="{6AF28A52-5B75-4033-8CDE-CA4195F378AE}"/>
    <cellStyle name="2x indented GHG Textfiels 3 3 3 2 58" xfId="28692" xr:uid="{6434A962-1C5A-47B2-847A-00B064995132}"/>
    <cellStyle name="2x indented GHG Textfiels 3 3 3 2 59" xfId="29159" xr:uid="{3A5ED6D0-3466-44C7-A6E5-C8D5D1D54BAE}"/>
    <cellStyle name="2x indented GHG Textfiels 3 3 3 2 6" xfId="3321" xr:uid="{A47908A4-DD9B-404C-98A8-2521CFFABB6C}"/>
    <cellStyle name="2x indented GHG Textfiels 3 3 3 2 60" xfId="28818" xr:uid="{9E57E5F3-FDEB-410B-948B-3039070BAFEE}"/>
    <cellStyle name="2x indented GHG Textfiels 3 3 3 2 61" xfId="29948" xr:uid="{ABD0A129-9667-4AB2-AE67-D66EDA141A4C}"/>
    <cellStyle name="2x indented GHG Textfiels 3 3 3 2 62" xfId="30354" xr:uid="{C570296D-A1EE-4EAC-BEE4-6DFD0873C9CE}"/>
    <cellStyle name="2x indented GHG Textfiels 3 3 3 2 63" xfId="30771" xr:uid="{5C73B0BE-7914-4D0A-8317-97A705B454D3}"/>
    <cellStyle name="2x indented GHG Textfiels 3 3 3 2 64" xfId="29232" xr:uid="{4C0DC6B2-8427-40B8-BD93-E4A032CABA24}"/>
    <cellStyle name="2x indented GHG Textfiels 3 3 3 2 65" xfId="31387" xr:uid="{A1E5259B-B141-41BF-BF59-77A9F565992C}"/>
    <cellStyle name="2x indented GHG Textfiels 3 3 3 2 66" xfId="32078" xr:uid="{B3EBEB3A-27B4-43CF-8152-483970BAD129}"/>
    <cellStyle name="2x indented GHG Textfiels 3 3 3 2 67" xfId="32347" xr:uid="{E8FE1D64-11F2-420B-8352-A88E57E4EE12}"/>
    <cellStyle name="2x indented GHG Textfiels 3 3 3 2 7" xfId="4170" xr:uid="{6CAF643A-11ED-470D-A22E-131FC216E936}"/>
    <cellStyle name="2x indented GHG Textfiels 3 3 3 2 8" xfId="4607" xr:uid="{6B51AEA5-94B9-4A2C-A336-C7969F8615D9}"/>
    <cellStyle name="2x indented GHG Textfiels 3 3 3 2 9" xfId="3176" xr:uid="{170E17C3-30F3-4B3A-A0CB-9CD44D6168A3}"/>
    <cellStyle name="2x indented GHG Textfiels 3 3 3 20" xfId="10056" xr:uid="{E9987135-9AA0-4C0D-B139-DB9F04267C16}"/>
    <cellStyle name="2x indented GHG Textfiels 3 3 3 21" xfId="10476" xr:uid="{E05FFC4E-64F5-40ED-BDCA-E34842B06D84}"/>
    <cellStyle name="2x indented GHG Textfiels 3 3 3 22" xfId="10878" xr:uid="{52C339DC-9EAD-436B-9584-025DAB28275E}"/>
    <cellStyle name="2x indented GHG Textfiels 3 3 3 23" xfId="9948" xr:uid="{6A769384-D87A-470D-A8B5-B72738670312}"/>
    <cellStyle name="2x indented GHG Textfiels 3 3 3 24" xfId="11990" xr:uid="{A8B2C793-4955-432C-87C4-3D662010B241}"/>
    <cellStyle name="2x indented GHG Textfiels 3 3 3 25" xfId="12463" xr:uid="{93C1FD1C-9B52-4A1D-893D-5DFE72FB520B}"/>
    <cellStyle name="2x indented GHG Textfiels 3 3 3 26" xfId="12897" xr:uid="{51090FC1-CBA0-432E-92BE-B33F86AAA14A}"/>
    <cellStyle name="2x indented GHG Textfiels 3 3 3 27" xfId="13334" xr:uid="{18E80909-A975-4172-8D75-C82C71811AD2}"/>
    <cellStyle name="2x indented GHG Textfiels 3 3 3 28" xfId="13776" xr:uid="{0D1716D7-6641-4D68-B40A-49D350E40003}"/>
    <cellStyle name="2x indented GHG Textfiels 3 3 3 29" xfId="13163" xr:uid="{B93E8BB1-F19F-4DB3-9E3F-85189FA2432B}"/>
    <cellStyle name="2x indented GHG Textfiels 3 3 3 3" xfId="1120" xr:uid="{3B4631F1-1885-4A3A-88BE-47052D74B0A4}"/>
    <cellStyle name="2x indented GHG Textfiels 3 3 3 30" xfId="14696" xr:uid="{A8ED6247-CE0B-45AC-BE50-CB79EAA6D931}"/>
    <cellStyle name="2x indented GHG Textfiels 3 3 3 31" xfId="14106" xr:uid="{511B4870-C8F9-4EC8-8F05-996A65B645E9}"/>
    <cellStyle name="2x indented GHG Textfiels 3 3 3 32" xfId="15329" xr:uid="{45B6DE5B-805A-4A17-BEF9-2A7FDD499735}"/>
    <cellStyle name="2x indented GHG Textfiels 3 3 3 33" xfId="15886" xr:uid="{AD60B72B-4282-41F8-99C8-32E375181494}"/>
    <cellStyle name="2x indented GHG Textfiels 3 3 3 34" xfId="16682" xr:uid="{C0660C65-9C07-4783-B407-B11A33D5D724}"/>
    <cellStyle name="2x indented GHG Textfiels 3 3 3 35" xfId="17174" xr:uid="{7C74A658-8A4B-4DC9-8568-F491F00C2C4E}"/>
    <cellStyle name="2x indented GHG Textfiels 3 3 3 36" xfId="17619" xr:uid="{5D2AF9A4-7C94-4724-AF40-C5DAAD0960C9}"/>
    <cellStyle name="2x indented GHG Textfiels 3 3 3 37" xfId="18202" xr:uid="{C24EFA20-2957-4BCF-9A34-5ED358680DFF}"/>
    <cellStyle name="2x indented GHG Textfiels 3 3 3 38" xfId="18500" xr:uid="{6979BD1C-381E-458E-B9B0-5EF22EE216D2}"/>
    <cellStyle name="2x indented GHG Textfiels 3 3 3 39" xfId="18250" xr:uid="{F8465FE2-4523-4C6A-89D7-9AC46181D0B3}"/>
    <cellStyle name="2x indented GHG Textfiels 3 3 3 4" xfId="1576" xr:uid="{5F35E4F0-4B86-4E87-AA07-5BE247D234B6}"/>
    <cellStyle name="2x indented GHG Textfiels 3 3 3 40" xfId="19181" xr:uid="{970ED8F6-D08A-4AB1-9D41-B03D7050BEDC}"/>
    <cellStyle name="2x indented GHG Textfiels 3 3 3 41" xfId="20019" xr:uid="{53941AFA-E202-406C-86BE-8833B3E0A8D4}"/>
    <cellStyle name="2x indented GHG Textfiels 3 3 3 42" xfId="20526" xr:uid="{69C28E8F-B7F4-499E-A722-52E3A459ADA1}"/>
    <cellStyle name="2x indented GHG Textfiels 3 3 3 43" xfId="20979" xr:uid="{0786A740-59F2-4A53-A772-1F54FCC11B5D}"/>
    <cellStyle name="2x indented GHG Textfiels 3 3 3 44" xfId="21176" xr:uid="{C0AB2D72-4A98-4234-9412-27DBEC5D30F4}"/>
    <cellStyle name="2x indented GHG Textfiels 3 3 3 45" xfId="21910" xr:uid="{CEFC1B4E-3630-4CE2-B8BC-8497619B1539}"/>
    <cellStyle name="2x indented GHG Textfiels 3 3 3 46" xfId="22344" xr:uid="{9F7DA8EB-A3C0-4162-BF41-8E2358A9EC9C}"/>
    <cellStyle name="2x indented GHG Textfiels 3 3 3 47" xfId="22769" xr:uid="{9320E197-0341-4B81-A8B9-FBD39DA76CD0}"/>
    <cellStyle name="2x indented GHG Textfiels 3 3 3 48" xfId="21064" xr:uid="{8EDF1EBC-CA0F-423F-8ADE-08250EA4969B}"/>
    <cellStyle name="2x indented GHG Textfiels 3 3 3 49" xfId="23456" xr:uid="{B799D3C2-FEE5-4521-9182-8056F99C7444}"/>
    <cellStyle name="2x indented GHG Textfiels 3 3 3 5" xfId="2459" xr:uid="{8B7D15E5-BA70-4138-9BFA-EEE81E9B233B}"/>
    <cellStyle name="2x indented GHG Textfiels 3 3 3 50" xfId="23828" xr:uid="{0AA6BA22-6830-4FDB-9AF4-EB54CAB05400}"/>
    <cellStyle name="2x indented GHG Textfiels 3 3 3 51" xfId="24727" xr:uid="{DA446C72-29C1-4334-84ED-85F4674B9C87}"/>
    <cellStyle name="2x indented GHG Textfiels 3 3 3 52" xfId="25235" xr:uid="{7C580688-238B-4001-BC7F-6E293FA99C27}"/>
    <cellStyle name="2x indented GHG Textfiels 3 3 3 53" xfId="25645" xr:uid="{D18E12E4-3964-4C73-9FED-2DFA7DB6BA4B}"/>
    <cellStyle name="2x indented GHG Textfiels 3 3 3 54" xfId="26074" xr:uid="{64A11366-5A7F-4242-A852-347BFC78F781}"/>
    <cellStyle name="2x indented GHG Textfiels 3 3 3 55" xfId="26344" xr:uid="{284EEA52-4C1F-4DB5-A43F-0BEAAE199600}"/>
    <cellStyle name="2x indented GHG Textfiels 3 3 3 56" xfId="26935" xr:uid="{00F3EEDB-FDFB-4B1B-8C83-C1FBBC92FC57}"/>
    <cellStyle name="2x indented GHG Textfiels 3 3 3 57" xfId="27354" xr:uid="{1815F5AF-8471-41E8-9532-BB47794FB4E0}"/>
    <cellStyle name="2x indented GHG Textfiels 3 3 3 58" xfId="27783" xr:uid="{55387439-A34B-4C9F-9F81-BFFDA909F645}"/>
    <cellStyle name="2x indented GHG Textfiels 3 3 3 59" xfId="28477" xr:uid="{90BBAFA0-B842-491C-AEB5-0D18C578097D}"/>
    <cellStyle name="2x indented GHG Textfiels 3 3 3 6" xfId="2943" xr:uid="{ABD20A8B-F7B8-4ADA-94C2-C03E60EF23E9}"/>
    <cellStyle name="2x indented GHG Textfiels 3 3 3 60" xfId="28945" xr:uid="{F7412A83-8B50-4B78-8D51-53FD48347FEA}"/>
    <cellStyle name="2x indented GHG Textfiels 3 3 3 61" xfId="29374" xr:uid="{CF69B49A-3A74-468B-BF03-0F0562D6958B}"/>
    <cellStyle name="2x indented GHG Textfiels 3 3 3 62" xfId="29735" xr:uid="{803B461F-2D56-4855-B2E1-1475640E06FA}"/>
    <cellStyle name="2x indented GHG Textfiels 3 3 3 63" xfId="30143" xr:uid="{62A73116-30A2-4701-BF9F-C798ECA8D533}"/>
    <cellStyle name="2x indented GHG Textfiels 3 3 3 64" xfId="30557" xr:uid="{59221562-0101-4FEC-826D-5C909F1DD366}"/>
    <cellStyle name="2x indented GHG Textfiels 3 3 3 65" xfId="30891" xr:uid="{92D74FC5-9474-4EA2-BEA6-78ABC23983F8}"/>
    <cellStyle name="2x indented GHG Textfiels 3 3 3 66" xfId="31181" xr:uid="{BF08475A-1006-4002-9338-12EF6EC750D4}"/>
    <cellStyle name="2x indented GHG Textfiels 3 3 3 67" xfId="31867" xr:uid="{EF3945FE-8B26-433F-AE6E-7460CB73BB18}"/>
    <cellStyle name="2x indented GHG Textfiels 3 3 3 68" xfId="31723" xr:uid="{A0807ABD-DB01-4D62-9CF2-5210C7400C45}"/>
    <cellStyle name="2x indented GHG Textfiels 3 3 3 7" xfId="3086" xr:uid="{9A42D46D-233D-450C-8377-CC5F29E0A810}"/>
    <cellStyle name="2x indented GHG Textfiels 3 3 3 8" xfId="3955" xr:uid="{48593823-AB90-4C6D-83A5-193E4F6EE0D6}"/>
    <cellStyle name="2x indented GHG Textfiels 3 3 3 9" xfId="4393" xr:uid="{E2325432-E61B-4DB1-9A5B-0F888EE194C8}"/>
    <cellStyle name="2x indented GHG Textfiels 3 3 30" xfId="11535" xr:uid="{458AF167-A856-46B2-9BE4-8BDF4E9818F6}"/>
    <cellStyle name="2x indented GHG Textfiels 3 3 31" xfId="14185" xr:uid="{BA39511F-81EC-4F46-AE86-3E8DA6A068C7}"/>
    <cellStyle name="2x indented GHG Textfiels 3 3 32" xfId="11742" xr:uid="{F802A24F-5AAC-4791-ADF8-A279C6950CC2}"/>
    <cellStyle name="2x indented GHG Textfiels 3 3 33" xfId="14251" xr:uid="{46C2C7F6-25ED-45F4-A776-63F3B41E1D65}"/>
    <cellStyle name="2x indented GHG Textfiels 3 3 34" xfId="14357" xr:uid="{475AB399-5DF7-4060-B375-378CA4E70D94}"/>
    <cellStyle name="2x indented GHG Textfiels 3 3 35" xfId="15956" xr:uid="{D3D1FF1C-0503-41D0-B26F-A07D12B3C052}"/>
    <cellStyle name="2x indented GHG Textfiels 3 3 36" xfId="16397" xr:uid="{83BDB56E-55E0-4F69-9EFF-8C1DDBB70202}"/>
    <cellStyle name="2x indented GHG Textfiels 3 3 37" xfId="17313" xr:uid="{CD4A1E42-9724-47AD-939B-3F899502DB22}"/>
    <cellStyle name="2x indented GHG Textfiels 3 3 38" xfId="17756" xr:uid="{261BB441-DD17-4F52-8542-200962ABF1AE}"/>
    <cellStyle name="2x indented GHG Textfiels 3 3 39" xfId="18195" xr:uid="{68E51A6B-12DC-483C-9492-A68B69132759}"/>
    <cellStyle name="2x indented GHG Textfiels 3 3 4" xfId="533" xr:uid="{EA5FAD9A-31EB-4955-9C1F-AC47E7F333B7}"/>
    <cellStyle name="2x indented GHG Textfiels 3 3 4 10" xfId="4826" xr:uid="{DDEC0E65-FD8B-4876-B76C-4F0E32147AF9}"/>
    <cellStyle name="2x indented GHG Textfiels 3 3 4 11" xfId="5181" xr:uid="{ABBAA4A2-0F0D-4570-8E22-75E1DDA26457}"/>
    <cellStyle name="2x indented GHG Textfiels 3 3 4 12" xfId="5798" xr:uid="{508E21A8-15DF-4365-A1CE-00EF4D4D5C4F}"/>
    <cellStyle name="2x indented GHG Textfiels 3 3 4 13" xfId="6154" xr:uid="{F7A74837-7062-4D07-AC75-245381169101}"/>
    <cellStyle name="2x indented GHG Textfiels 3 3 4 14" xfId="6392" xr:uid="{A0F4062C-76FE-44D8-AA5F-9414D662A8F8}"/>
    <cellStyle name="2x indented GHG Textfiels 3 3 4 15" xfId="7253" xr:uid="{E3B1630A-8BDE-486C-B3AC-09323B206600}"/>
    <cellStyle name="2x indented GHG Textfiels 3 3 4 16" xfId="7872" xr:uid="{51B82A1B-00B1-4794-9E9F-9316C55BD49D}"/>
    <cellStyle name="2x indented GHG Textfiels 3 3 4 17" xfId="8045" xr:uid="{DC5D1D7A-8BA2-4305-8BF1-498693372C7C}"/>
    <cellStyle name="2x indented GHG Textfiels 3 3 4 18" xfId="8124" xr:uid="{996C4889-90A5-41FB-9BD0-662238A074E6}"/>
    <cellStyle name="2x indented GHG Textfiels 3 3 4 19" xfId="9467" xr:uid="{D01EB2BF-A274-43F9-94E7-C17A0A211184}"/>
    <cellStyle name="2x indented GHG Textfiels 3 3 4 2" xfId="748" xr:uid="{F4E1E718-131E-44F2-8B84-A54C06AE7149}"/>
    <cellStyle name="2x indented GHG Textfiels 3 3 4 2 10" xfId="5396" xr:uid="{58A39709-E593-42B5-AF21-6C05F92FD145}"/>
    <cellStyle name="2x indented GHG Textfiels 3 3 4 2 11" xfId="4658" xr:uid="{3CBFC223-A2F6-472B-AEBD-7CBA425FE894}"/>
    <cellStyle name="2x indented GHG Textfiels 3 3 4 2 12" xfId="3828" xr:uid="{C5D44712-A439-4D4A-AD48-115114113794}"/>
    <cellStyle name="2x indented GHG Textfiels 3 3 4 2 13" xfId="6057" xr:uid="{10E2D24A-2C7F-459C-918B-A7F203C6B90D}"/>
    <cellStyle name="2x indented GHG Textfiels 3 3 4 2 14" xfId="7468" xr:uid="{B2F6A459-5EE5-409F-8F10-6DCAB32FA972}"/>
    <cellStyle name="2x indented GHG Textfiels 3 3 4 2 15" xfId="7021" xr:uid="{DB6D61A5-CF71-486C-8DC1-37839F3D2FA0}"/>
    <cellStyle name="2x indented GHG Textfiels 3 3 4 2 16" xfId="8174" xr:uid="{461CEB42-9B70-456C-9227-47B1A21C3004}"/>
    <cellStyle name="2x indented GHG Textfiels 3 3 4 2 17" xfId="8855" xr:uid="{D7F87220-3535-43ED-A539-522D6134B130}"/>
    <cellStyle name="2x indented GHG Textfiels 3 3 4 2 18" xfId="9682" xr:uid="{11DA4195-A679-4240-A48F-743F8E58CACF}"/>
    <cellStyle name="2x indented GHG Textfiels 3 3 4 2 19" xfId="9235" xr:uid="{44A8C2DD-414C-4C4C-9A9C-7879091E933E}"/>
    <cellStyle name="2x indented GHG Textfiels 3 3 4 2 2" xfId="1222" xr:uid="{E310CF6B-655F-4DA4-8E8F-F499A598836A}"/>
    <cellStyle name="2x indented GHG Textfiels 3 3 4 2 20" xfId="10065" xr:uid="{6C59E9C3-6196-40A0-A53E-A0863D3FA1B2}"/>
    <cellStyle name="2x indented GHG Textfiels 3 3 4 2 21" xfId="10645" xr:uid="{F8088F4E-E975-43F3-A6B5-07D2A1564A44}"/>
    <cellStyle name="2x indented GHG Textfiels 3 3 4 2 22" xfId="11060" xr:uid="{B4C050DD-4190-46E2-978C-1AFA6C191946}"/>
    <cellStyle name="2x indented GHG Textfiels 3 3 4 2 23" xfId="12101" xr:uid="{A3E69F0E-4778-4BCE-B301-0CC5B0036A20}"/>
    <cellStyle name="2x indented GHG Textfiels 3 3 4 2 24" xfId="12574" xr:uid="{979872B1-FFF9-437B-9E1F-E0F9E9AB23CE}"/>
    <cellStyle name="2x indented GHG Textfiels 3 3 4 2 25" xfId="13008" xr:uid="{AD60777F-B996-4669-AC8B-AC233F736AB6}"/>
    <cellStyle name="2x indented GHG Textfiels 3 3 4 2 26" xfId="13445" xr:uid="{1669533C-9939-441B-A02B-8BC6CE0D1B8B}"/>
    <cellStyle name="2x indented GHG Textfiels 3 3 4 2 27" xfId="11800" xr:uid="{E0D06202-0056-4146-8AB6-D3B24DF2DD7F}"/>
    <cellStyle name="2x indented GHG Textfiels 3 3 4 2 28" xfId="13856" xr:uid="{6ABB81DA-7E53-4962-968F-DFE1EC8595A1}"/>
    <cellStyle name="2x indented GHG Textfiels 3 3 4 2 29" xfId="12280" xr:uid="{D0BEEDFA-31BD-4355-837A-BEB2D5013A5D}"/>
    <cellStyle name="2x indented GHG Textfiels 3 3 4 2 3" xfId="1515" xr:uid="{49DE6E74-2734-4DCC-BAD7-7F6226E80AC5}"/>
    <cellStyle name="2x indented GHG Textfiels 3 3 4 2 30" xfId="12732" xr:uid="{23FF5133-491E-4FF7-A041-386810C15508}"/>
    <cellStyle name="2x indented GHG Textfiels 3 3 4 2 31" xfId="15468" xr:uid="{26A92B82-EAAC-4771-9265-300D1BC33700}"/>
    <cellStyle name="2x indented GHG Textfiels 3 3 4 2 32" xfId="14353" xr:uid="{9BF9A9A5-E895-4235-9770-BC44944425BC}"/>
    <cellStyle name="2x indented GHG Textfiels 3 3 4 2 33" xfId="16793" xr:uid="{02D50A8D-4796-48D8-9F95-9661BB39A31F}"/>
    <cellStyle name="2x indented GHG Textfiels 3 3 4 2 34" xfId="16343" xr:uid="{E7541D84-6ADE-4C10-9C2F-CC49424DE678}"/>
    <cellStyle name="2x indented GHG Textfiels 3 3 4 2 35" xfId="17182" xr:uid="{B7E6CC9C-1046-4E62-970C-9A1DB2FBCA85}"/>
    <cellStyle name="2x indented GHG Textfiels 3 3 4 2 36" xfId="17642" xr:uid="{1066C435-B31F-4C95-9DD3-B8EF278BEB01}"/>
    <cellStyle name="2x indented GHG Textfiels 3 3 4 2 37" xfId="18611" xr:uid="{744D7614-A220-4B22-B6E1-E043B3AA438B}"/>
    <cellStyle name="2x indented GHG Textfiels 3 3 4 2 38" xfId="19016" xr:uid="{A03FD3E9-E288-4B84-A954-29F424E2D25D}"/>
    <cellStyle name="2x indented GHG Textfiels 3 3 4 2 39" xfId="18944" xr:uid="{438F5376-4CFC-4914-A9D7-7A0CFFB7AA11}"/>
    <cellStyle name="2x indented GHG Textfiels 3 3 4 2 4" xfId="2570" xr:uid="{3C925E64-D5DB-447C-8332-3DDBDB7D7A52}"/>
    <cellStyle name="2x indented GHG Textfiels 3 3 4 2 40" xfId="20130" xr:uid="{7DDF359F-70A1-488B-897E-C71FF91665C4}"/>
    <cellStyle name="2x indented GHG Textfiels 3 3 4 2 41" xfId="19676" xr:uid="{2DD72911-5AE3-47C3-89D3-FA9CE1968EA3}"/>
    <cellStyle name="2x indented GHG Textfiels 3 3 4 2 42" xfId="19403" xr:uid="{C656E904-A621-4AE4-9275-A54F20236D14}"/>
    <cellStyle name="2x indented GHG Textfiels 3 3 4 2 43" xfId="21438" xr:uid="{0B99084A-2F2B-4954-98BE-46D531E7A340}"/>
    <cellStyle name="2x indented GHG Textfiels 3 3 4 2 44" xfId="20296" xr:uid="{860A11B2-40B3-41F0-A557-8B460AC04B33}"/>
    <cellStyle name="2x indented GHG Textfiels 3 3 4 2 45" xfId="21460" xr:uid="{0AC4EF60-9BF9-43D2-9748-20AB1520C559}"/>
    <cellStyle name="2x indented GHG Textfiels 3 3 4 2 46" xfId="22012" xr:uid="{A551D9A5-B2F7-455D-8AEA-312A106D87AF}"/>
    <cellStyle name="2x indented GHG Textfiels 3 3 4 2 47" xfId="23295" xr:uid="{978E633E-36B1-4118-A320-AD6BE5B5A790}"/>
    <cellStyle name="2x indented GHG Textfiels 3 3 4 2 48" xfId="22609" xr:uid="{4820DE8F-70AE-40A7-803C-5A970AF93594}"/>
    <cellStyle name="2x indented GHG Textfiels 3 3 4 2 49" xfId="23930" xr:uid="{DC5624AE-56E1-40F2-8339-176D0882ED58}"/>
    <cellStyle name="2x indented GHG Textfiels 3 3 4 2 5" xfId="2033" xr:uid="{061246CB-9929-403D-A205-B390DEAC5A83}"/>
    <cellStyle name="2x indented GHG Textfiels 3 3 4 2 50" xfId="24838" xr:uid="{A0419D83-029D-41C8-B256-DFF6DAD549A3}"/>
    <cellStyle name="2x indented GHG Textfiels 3 3 4 2 51" xfId="24425" xr:uid="{876E1A23-A40C-4DED-BD3C-A231D81DE27A}"/>
    <cellStyle name="2x indented GHG Textfiels 3 3 4 2 52" xfId="25754" xr:uid="{AAFD4BD2-0D43-4843-BEF5-8BD64E4E6E11}"/>
    <cellStyle name="2x indented GHG Textfiels 3 3 4 2 53" xfId="25518" xr:uid="{372CBE16-09A5-4FA6-93A8-98A880305A1E}"/>
    <cellStyle name="2x indented GHG Textfiels 3 3 4 2 54" xfId="26688" xr:uid="{CFD21D0C-B776-4AF1-B6A9-8C3ADD4AE50F}"/>
    <cellStyle name="2x indented GHG Textfiels 3 3 4 2 55" xfId="27042" xr:uid="{E509CE45-4CC7-4077-ACBF-86956D1F5C6C}"/>
    <cellStyle name="2x indented GHG Textfiels 3 3 4 2 56" xfId="27461" xr:uid="{2F39EAED-D3E0-4FBB-93E2-F4D7D726348C}"/>
    <cellStyle name="2x indented GHG Textfiels 3 3 4 2 57" xfId="27198" xr:uid="{B80D29BD-F4BA-48B6-8693-1F8B76B2B3B2}"/>
    <cellStyle name="2x indented GHG Textfiels 3 3 4 2 58" xfId="28588" xr:uid="{78136D91-B369-4E3B-91FE-495F003EF29F}"/>
    <cellStyle name="2x indented GHG Textfiels 3 3 4 2 59" xfId="29055" xr:uid="{A41D0F4A-66A1-4058-8C2B-EB5773EC0289}"/>
    <cellStyle name="2x indented GHG Textfiels 3 3 4 2 6" xfId="3498" xr:uid="{CB9216A2-FCA1-4CDE-9496-422BD63DF97A}"/>
    <cellStyle name="2x indented GHG Textfiels 3 3 4 2 60" xfId="28786" xr:uid="{67D5EC27-7C61-43FD-9717-E42493BDEC57}"/>
    <cellStyle name="2x indented GHG Textfiels 3 3 4 2 61" xfId="29844" xr:uid="{C79F6563-C718-44A2-9758-6CB95A6B611C}"/>
    <cellStyle name="2x indented GHG Textfiels 3 3 4 2 62" xfId="30250" xr:uid="{B1DE0F1E-5DE0-40E4-89B3-9B946A9B2C36}"/>
    <cellStyle name="2x indented GHG Textfiels 3 3 4 2 63" xfId="30667" xr:uid="{C83A018E-3A74-46EC-B554-ED4A4C6BF877}"/>
    <cellStyle name="2x indented GHG Textfiels 3 3 4 2 64" xfId="29418" xr:uid="{9E0B9B8F-F910-44BD-B488-E6ECDFD1FD26}"/>
    <cellStyle name="2x indented GHG Textfiels 3 3 4 2 65" xfId="31283" xr:uid="{645AC805-EDCC-4581-86C4-D3DA9C0F74D3}"/>
    <cellStyle name="2x indented GHG Textfiels 3 3 4 2 66" xfId="31974" xr:uid="{5C973E77-17C3-4206-9469-AAB687B553D2}"/>
    <cellStyle name="2x indented GHG Textfiels 3 3 4 2 67" xfId="31685" xr:uid="{94275ED9-46D3-4F3B-AA09-DE214270EF0A}"/>
    <cellStyle name="2x indented GHG Textfiels 3 3 4 2 7" xfId="4066" xr:uid="{92DD2877-E25E-4EE9-B016-1CA71BC2D936}"/>
    <cellStyle name="2x indented GHG Textfiels 3 3 4 2 8" xfId="4503" xr:uid="{C98DFB9F-6217-49C5-849B-43C160D31064}"/>
    <cellStyle name="2x indented GHG Textfiels 3 3 4 2 9" xfId="2855" xr:uid="{0EF9D1D3-EDC9-4F36-9F11-A8A18B746606}"/>
    <cellStyle name="2x indented GHG Textfiels 3 3 4 20" xfId="10086" xr:uid="{D1986280-2245-4972-BB8D-0CCAFDE57ED9}"/>
    <cellStyle name="2x indented GHG Textfiels 3 3 4 21" xfId="10501" xr:uid="{95C2E5DD-52A6-4C00-A51F-6AEED8FAB35A}"/>
    <cellStyle name="2x indented GHG Textfiels 3 3 4 22" xfId="10943" xr:uid="{2F4ED273-9722-4472-B6E6-A9DCEED41544}"/>
    <cellStyle name="2x indented GHG Textfiels 3 3 4 23" xfId="10449" xr:uid="{5776575E-6E19-499B-B9B9-CCDBF71EA476}"/>
    <cellStyle name="2x indented GHG Textfiels 3 3 4 24" xfId="11886" xr:uid="{8984838B-DFCA-4FFD-938E-1F6DE122085D}"/>
    <cellStyle name="2x indented GHG Textfiels 3 3 4 25" xfId="12359" xr:uid="{9BF53670-FBD0-4C03-9CEA-35C4BB2963FD}"/>
    <cellStyle name="2x indented GHG Textfiels 3 3 4 26" xfId="12793" xr:uid="{CB0839C7-B83E-4097-A092-6E09E2E4A04E}"/>
    <cellStyle name="2x indented GHG Textfiels 3 3 4 27" xfId="13230" xr:uid="{161A8C1B-ADEF-4C8E-9F96-723568242641}"/>
    <cellStyle name="2x indented GHG Textfiels 3 3 4 28" xfId="13945" xr:uid="{1E9B9878-6600-4A14-9DF8-3D04BF276084}"/>
    <cellStyle name="2x indented GHG Textfiels 3 3 4 29" xfId="13187" xr:uid="{73357C9B-2164-4461-84B1-103244C80D82}"/>
    <cellStyle name="2x indented GHG Textfiels 3 3 4 3" xfId="1016" xr:uid="{C063B459-1749-4B08-A9A5-228C539BFC71}"/>
    <cellStyle name="2x indented GHG Textfiels 3 3 4 30" xfId="14606" xr:uid="{774BA1E0-6396-47CF-A255-5E92E3216344}"/>
    <cellStyle name="2x indented GHG Textfiels 3 3 4 31" xfId="15253" xr:uid="{2E8BD615-1990-4EC9-9F86-880FF97503A5}"/>
    <cellStyle name="2x indented GHG Textfiels 3 3 4 32" xfId="15671" xr:uid="{9506F6FA-D23F-4639-9938-CC577EC9C004}"/>
    <cellStyle name="2x indented GHG Textfiels 3 3 4 33" xfId="15901" xr:uid="{45B92A77-40B6-45F7-A1F3-77D46316EE98}"/>
    <cellStyle name="2x indented GHG Textfiels 3 3 4 34" xfId="16578" xr:uid="{B91F416B-3BD5-4329-930F-09F801AA2F9C}"/>
    <cellStyle name="2x indented GHG Textfiels 3 3 4 35" xfId="17204" xr:uid="{A12246AD-1AE4-4CBC-BDD9-733CD5F18A43}"/>
    <cellStyle name="2x indented GHG Textfiels 3 3 4 36" xfId="17650" xr:uid="{87AD1A52-CBC1-4BE1-8D5E-3DD4BE0633FC}"/>
    <cellStyle name="2x indented GHG Textfiels 3 3 4 37" xfId="17431" xr:uid="{60834A2B-266E-4D3C-8CB5-6CB87C27A2D8}"/>
    <cellStyle name="2x indented GHG Textfiels 3 3 4 38" xfId="18396" xr:uid="{5CBE871A-E1B1-4738-83B3-C147018FC510}"/>
    <cellStyle name="2x indented GHG Textfiels 3 3 4 39" xfId="18098" xr:uid="{F38F3BB5-E4CC-4A58-A8EB-4FF5656B0DCF}"/>
    <cellStyle name="2x indented GHG Textfiels 3 3 4 4" xfId="1677" xr:uid="{0A87A948-29CE-499B-B305-400215ABFE32}"/>
    <cellStyle name="2x indented GHG Textfiels 3 3 4 40" xfId="19221" xr:uid="{4EDBC7DC-2935-4461-96AE-2DEA89D41278}"/>
    <cellStyle name="2x indented GHG Textfiels 3 3 4 41" xfId="19915" xr:uid="{D102173F-CFB5-40FA-A127-7E33440CE6F9}"/>
    <cellStyle name="2x indented GHG Textfiels 3 3 4 42" xfId="20557" xr:uid="{D107FCD2-4B3A-4C5A-854E-5D5846EE00A3}"/>
    <cellStyle name="2x indented GHG Textfiels 3 3 4 43" xfId="21010" xr:uid="{CF55404D-8F6D-4329-841C-D0109A44994C}"/>
    <cellStyle name="2x indented GHG Textfiels 3 3 4 44" xfId="19642" xr:uid="{CB116CE5-AF55-451E-BD16-466A9FEB6883}"/>
    <cellStyle name="2x indented GHG Textfiels 3 3 4 45" xfId="21941" xr:uid="{9750EF05-957A-4B8D-811F-FBC483A7E5EA}"/>
    <cellStyle name="2x indented GHG Textfiels 3 3 4 46" xfId="22373" xr:uid="{A5A9564B-1230-408E-B876-F1AB755D8940}"/>
    <cellStyle name="2x indented GHG Textfiels 3 3 4 47" xfId="22919" xr:uid="{484ED363-9857-4C9A-A634-94CDF01F3F52}"/>
    <cellStyle name="2x indented GHG Textfiels 3 3 4 48" xfId="22634" xr:uid="{FF486903-C82F-465D-B73E-A05F9D29D2E1}"/>
    <cellStyle name="2x indented GHG Textfiels 3 3 4 49" xfId="23504" xr:uid="{CC3BCFA2-B838-49AA-89F2-6563AB3D4AF2}"/>
    <cellStyle name="2x indented GHG Textfiels 3 3 4 5" xfId="2355" xr:uid="{C4F4F0D2-BEEB-43EF-9059-CB161743257B}"/>
    <cellStyle name="2x indented GHG Textfiels 3 3 4 50" xfId="23724" xr:uid="{22636296-B82F-4BA6-B43E-55BECEC27E88}"/>
    <cellStyle name="2x indented GHG Textfiels 3 3 4 51" xfId="24623" xr:uid="{CB962465-5A36-49EF-B900-43698DC1A39C}"/>
    <cellStyle name="2x indented GHG Textfiels 3 3 4 52" xfId="25265" xr:uid="{E37BFD98-8D5E-4831-8494-6D270FE2C4EB}"/>
    <cellStyle name="2x indented GHG Textfiels 3 3 4 53" xfId="25541" xr:uid="{3861969C-40D0-4DEB-A849-B564E9568D5B}"/>
    <cellStyle name="2x indented GHG Textfiels 3 3 4 54" xfId="26225" xr:uid="{8316B7F7-CA8A-4022-9CF9-6F03CEF51C2D}"/>
    <cellStyle name="2x indented GHG Textfiels 3 3 4 55" xfId="26247" xr:uid="{0105493A-F4CD-4497-A814-8BDEDA316580}"/>
    <cellStyle name="2x indented GHG Textfiels 3 3 4 56" xfId="26831" xr:uid="{DE4FD2B5-421E-4A0C-84D9-ED50053731DC}"/>
    <cellStyle name="2x indented GHG Textfiels 3 3 4 57" xfId="27250" xr:uid="{261B2767-2EC5-4141-90E5-6E7E1539A277}"/>
    <cellStyle name="2x indented GHG Textfiels 3 3 4 58" xfId="25951" xr:uid="{FDD29D1C-220F-4DDD-B705-37A7303FB6D4}"/>
    <cellStyle name="2x indented GHG Textfiels 3 3 4 59" xfId="28373" xr:uid="{447975E0-23C1-43A6-9C03-2471357FCBA2}"/>
    <cellStyle name="2x indented GHG Textfiels 3 3 4 6" xfId="3113" xr:uid="{992F6BB8-993F-4EFE-9295-1BA7009942D8}"/>
    <cellStyle name="2x indented GHG Textfiels 3 3 4 60" xfId="28841" xr:uid="{9061D3CF-9EAB-4D73-86E3-098BB65BD6A7}"/>
    <cellStyle name="2x indented GHG Textfiels 3 3 4 61" xfId="29396" xr:uid="{023D4933-18EB-4E0E-A144-D1FE7FFD8EDA}"/>
    <cellStyle name="2x indented GHG Textfiels 3 3 4 62" xfId="29631" xr:uid="{B8AF6655-DD70-4CE1-A4F0-A9F117831ABE}"/>
    <cellStyle name="2x indented GHG Textfiels 3 3 4 63" xfId="30039" xr:uid="{680AFFAB-BBCC-48A5-802A-CAD25B1B5BAB}"/>
    <cellStyle name="2x indented GHG Textfiels 3 3 4 64" xfId="30453" xr:uid="{07FE9C15-A41D-4828-8379-8A00CDAAC219}"/>
    <cellStyle name="2x indented GHG Textfiels 3 3 4 65" xfId="30923" xr:uid="{E218C5FF-9DBD-409E-86A7-B574DC5F2E65}"/>
    <cellStyle name="2x indented GHG Textfiels 3 3 4 66" xfId="31077" xr:uid="{46052387-E853-4C66-A206-3A12B67509EB}"/>
    <cellStyle name="2x indented GHG Textfiels 3 3 4 67" xfId="31763" xr:uid="{F026366C-6C4E-4CB9-A7CB-276BB4324CEE}"/>
    <cellStyle name="2x indented GHG Textfiels 3 3 4 68" xfId="32226" xr:uid="{E64AB168-DDA6-40AE-A6C1-25916A101709}"/>
    <cellStyle name="2x indented GHG Textfiels 3 3 4 7" xfId="3389" xr:uid="{3A821969-05CA-48BB-84E6-5ED3669012CE}"/>
    <cellStyle name="2x indented GHG Textfiels 3 3 4 8" xfId="3851" xr:uid="{EADA87CB-EDC5-4CA5-B7BD-1E61FAE63CBE}"/>
    <cellStyle name="2x indented GHG Textfiels 3 3 4 9" xfId="4289" xr:uid="{16DDC1AD-3F3F-4BCB-9E4A-0CFF85A5E884}"/>
    <cellStyle name="2x indented GHG Textfiels 3 3 40" xfId="18008" xr:uid="{8FE1EA53-D771-4855-A76C-5F5B3D25BA7B}"/>
    <cellStyle name="2x indented GHG Textfiels 3 3 41" xfId="17832" xr:uid="{E1F0F211-6A52-448D-BEAC-DB106432ED0E}"/>
    <cellStyle name="2x indented GHG Textfiels 3 3 42" xfId="18955" xr:uid="{BF87EDF6-9656-4CC7-93D7-77672CABC8CA}"/>
    <cellStyle name="2x indented GHG Textfiels 3 3 43" xfId="19732" xr:uid="{61189DC5-AF39-471E-A6DE-B43DC2539123}"/>
    <cellStyle name="2x indented GHG Textfiels 3 3 44" xfId="20664" xr:uid="{C4BBA50C-6E5F-4154-8BDB-EE7EAD954473}"/>
    <cellStyle name="2x indented GHG Textfiels 3 3 45" xfId="21120" xr:uid="{0F911034-B1D0-44A4-BCDA-EB8577C126B7}"/>
    <cellStyle name="2x indented GHG Textfiels 3 3 46" xfId="21237" xr:uid="{A93647EA-A5AE-4114-8316-AA823FBEE0DF}"/>
    <cellStyle name="2x indented GHG Textfiels 3 3 47" xfId="22052" xr:uid="{18E76E4E-BD38-4F39-A737-F208075DA504}"/>
    <cellStyle name="2x indented GHG Textfiels 3 3 48" xfId="22480" xr:uid="{C335F467-10A4-412D-92F9-E61511C9869E}"/>
    <cellStyle name="2x indented GHG Textfiels 3 3 49" xfId="22221" xr:uid="{5ECC1A24-B45E-4578-B955-D6C3C8CB48A9}"/>
    <cellStyle name="2x indented GHG Textfiels 3 3 5" xfId="973" xr:uid="{9D812214-4BCF-4261-9DAA-8A1151378911}"/>
    <cellStyle name="2x indented GHG Textfiels 3 3 50" xfId="21732" xr:uid="{7280BB9A-10C6-41C0-8F8D-F6F3AFAE2707}"/>
    <cellStyle name="2x indented GHG Textfiels 3 3 51" xfId="23038" xr:uid="{ED148218-F95C-4775-8DA2-C73F63A40FEC}"/>
    <cellStyle name="2x indented GHG Textfiels 3 3 52" xfId="22724" xr:uid="{6A28C691-0E07-4B93-8297-11B6DB46F233}"/>
    <cellStyle name="2x indented GHG Textfiels 3 3 53" xfId="24447" xr:uid="{1B4432A1-4CB7-483B-B2B3-C49F2644E653}"/>
    <cellStyle name="2x indented GHG Textfiels 3 3 54" xfId="25367" xr:uid="{E4AA8302-FC79-45BC-BB89-AF4BC8BBA9BC}"/>
    <cellStyle name="2x indented GHG Textfiels 3 3 55" xfId="25137" xr:uid="{B48C3FFC-8E98-4506-B00C-12B23A71060A}"/>
    <cellStyle name="2x indented GHG Textfiels 3 3 56" xfId="24515" xr:uid="{29CA6A93-75A8-4BCA-9AE0-64C6D5078D33}"/>
    <cellStyle name="2x indented GHG Textfiels 3 3 57" xfId="25938" xr:uid="{9C261F7B-E3C1-4352-9129-E179A2601B7D}"/>
    <cellStyle name="2x indented GHG Textfiels 3 3 58" xfId="24281" xr:uid="{E2B7515B-AA2B-4F28-8434-4CF497899476}"/>
    <cellStyle name="2x indented GHG Textfiels 3 3 59" xfId="26404" xr:uid="{A8FFB93F-CB8D-49DE-AFEF-EB6A06373A67}"/>
    <cellStyle name="2x indented GHG Textfiels 3 3 6" xfId="1668" xr:uid="{131AC1A8-8956-474A-9BEA-7AA4BA0FA8A7}"/>
    <cellStyle name="2x indented GHG Textfiels 3 3 60" xfId="27814" xr:uid="{CE84F254-0DA8-4358-956F-2E6C0BC62143}"/>
    <cellStyle name="2x indented GHG Textfiels 3 3 61" xfId="28213" xr:uid="{D11D762F-1A80-48C4-9CFB-A605B0848A4D}"/>
    <cellStyle name="2x indented GHG Textfiels 3 3 62" xfId="28245" xr:uid="{8025CE17-79E9-47BC-96CC-5EBBF78E5B64}"/>
    <cellStyle name="2x indented GHG Textfiels 3 3 63" xfId="29490" xr:uid="{950EBB72-E7DC-4025-BAF9-2F4B7E2B36AB}"/>
    <cellStyle name="2x indented GHG Textfiels 3 3 64" xfId="28173" xr:uid="{37EB9961-4D84-4687-AF50-95D0B3903E32}"/>
    <cellStyle name="2x indented GHG Textfiels 3 3 65" xfId="28091" xr:uid="{2E9DFE77-CCF4-4F9B-A71A-43C84B0A230B}"/>
    <cellStyle name="2x indented GHG Textfiels 3 3 66" xfId="28288" xr:uid="{D463AD5F-02D8-4C2E-9838-6A4715F73F77}"/>
    <cellStyle name="2x indented GHG Textfiels 3 3 67" xfId="29223" xr:uid="{6F900D15-8BB5-4CD2-BA7E-6307A6F42134}"/>
    <cellStyle name="2x indented GHG Textfiels 3 3 68" xfId="30816" xr:uid="{B6132A78-4BA7-44B3-A1EB-D7441871C7C2}"/>
    <cellStyle name="2x indented GHG Textfiels 3 3 69" xfId="31649" xr:uid="{5E17F678-27A4-48F7-9113-3AD523DDFCCE}"/>
    <cellStyle name="2x indented GHG Textfiels 3 3 7" xfId="2171" xr:uid="{1C295813-4A88-4C9C-AC68-F5BA023123E5}"/>
    <cellStyle name="2x indented GHG Textfiels 3 3 70" xfId="31683" xr:uid="{D5B9005A-28AF-4CC1-9588-7BC56338624A}"/>
    <cellStyle name="2x indented GHG Textfiels 3 3 8" xfId="2056" xr:uid="{B2A89F51-3B18-4488-80A2-F0D81015E796}"/>
    <cellStyle name="2x indented GHG Textfiels 3 3 9" xfId="3477" xr:uid="{5D3470A3-CBEE-440F-B5AD-787C6D76B3BD}"/>
    <cellStyle name="40 % - Akzent1" xfId="19694" hidden="1" xr:uid="{34096D2E-D828-4E96-8576-39D5144DA299}"/>
    <cellStyle name="40 % - Akzent1" xfId="19570" hidden="1" xr:uid="{6E0664C6-908B-4CA5-97B0-725547C5DB6B}"/>
    <cellStyle name="40 % - Akzent1" xfId="20579" hidden="1" xr:uid="{E8CD29EA-D02E-40A1-9A84-345D32B0979F}"/>
    <cellStyle name="40 % - Akzent1" xfId="20359" hidden="1" xr:uid="{C0C1D80B-9258-478E-B33F-3E37CB803199}"/>
    <cellStyle name="40 % - Akzent1" xfId="19700" hidden="1" xr:uid="{90931597-8C0C-4383-8C96-C2437CB304F4}"/>
    <cellStyle name="40 % - Akzent1" xfId="21602" hidden="1" xr:uid="{1D85C3B1-4409-45F9-A41B-C3FBBC638A0A}"/>
    <cellStyle name="40 % - Akzent1" xfId="19558" hidden="1" xr:uid="{DD40ABBA-4747-4573-A00D-A00FB1C6D339}"/>
    <cellStyle name="40 % - Akzent1" xfId="20375" hidden="1" xr:uid="{D585C7F0-7561-4E40-8251-14FF4355FA28}"/>
    <cellStyle name="40 % - Akzent1" xfId="20383" hidden="1" xr:uid="{AD166E23-6391-4892-9D8F-548ACAD3B91F}"/>
    <cellStyle name="40 % - Akzent1" xfId="20873" hidden="1" xr:uid="{AFA08F44-67BA-4A39-B807-9CF811091F69}"/>
    <cellStyle name="40 % - Akzent1" xfId="21498" hidden="1" xr:uid="{6EC2E7C1-D334-4B92-A9BE-9C388B00BB31}"/>
    <cellStyle name="40 % - Akzent1" xfId="22158" hidden="1" xr:uid="{8A6B0C12-FB49-423F-BA3D-70ADE27853C4}"/>
    <cellStyle name="40 % - Akzent1" xfId="21341" hidden="1" xr:uid="{0E56DC3D-A9CD-435B-A885-8FA45B619408}"/>
    <cellStyle name="40 % - Akzent1" xfId="22396" hidden="1" xr:uid="{613A3DDF-C48D-4F8E-AB02-EF3C1BA84B36}"/>
    <cellStyle name="40 % - Akzent1" xfId="22683" hidden="1" xr:uid="{D0818063-222A-4E4C-9B9E-42B3926D3EC1}"/>
    <cellStyle name="40 % - Akzent1" xfId="21659" hidden="1" xr:uid="{69F8EAE8-8E3A-4498-8FA9-FF37A5888A6A}"/>
    <cellStyle name="40 % - Akzent1" xfId="20428" hidden="1" xr:uid="{DD9BCA9C-32A5-41D8-8992-12A620904011}"/>
    <cellStyle name="40 % - Akzent1" xfId="23035" hidden="1" xr:uid="{8E46FC50-5F4D-40E3-AA87-07E16A6EBA88}"/>
    <cellStyle name="40 % - Akzent1" xfId="22762" hidden="1" xr:uid="{36D9A998-3C8D-4460-BED6-F7E35E1E50E5}"/>
    <cellStyle name="40 % - Akzent1" xfId="23639" hidden="1" xr:uid="{A0293406-EE6C-4E65-8F6E-E8101BE78AEF}"/>
    <cellStyle name="40 % - Akzent1" xfId="22761" hidden="1" xr:uid="{12C7352B-CABC-413D-8C0E-DD4ED4170A22}"/>
    <cellStyle name="40 % - Akzent1" xfId="23274" hidden="1" xr:uid="{64841463-2A11-4053-8D1A-F18B172A0A07}"/>
    <cellStyle name="40 % - Akzent1" xfId="23453" hidden="1" xr:uid="{0A330873-A893-4A22-8300-A6AB5680622D}"/>
    <cellStyle name="40 % - Akzent1" xfId="23375" hidden="1" xr:uid="{5592D8FD-57F5-422E-8DA0-0EFD9B50A85C}"/>
    <cellStyle name="40 % - Akzent1" xfId="24154" hidden="1" xr:uid="{B370A41B-E3CF-462C-8610-4411FA8DDC39}"/>
    <cellStyle name="40 % - Akzent1" xfId="24398" hidden="1" xr:uid="{0486EA70-2AC9-41DD-8F2C-49738C2D26CF}"/>
    <cellStyle name="40 % - Akzent1" xfId="25093" hidden="1" xr:uid="{DBDF062D-5FB4-4207-B516-8E560C5A305B}"/>
    <cellStyle name="40 % - Akzent1" xfId="24547" hidden="1" xr:uid="{0EA39892-680C-4D2E-8D4E-49E736DB448F}"/>
    <cellStyle name="40 % - Akzent1" xfId="25397" hidden="1" xr:uid="{636C5D3A-2CDB-406E-9A9A-229B301246BA}"/>
    <cellStyle name="40 % - Akzent1" xfId="25958" hidden="1" xr:uid="{88C31CC6-D2BA-4E12-8746-F3B777D8EC70}"/>
    <cellStyle name="40 % - Akzent1" xfId="25973" hidden="1" xr:uid="{953BDADD-532E-4A46-B6A7-6BCDF6A0D170}"/>
    <cellStyle name="40 % - Akzent1" xfId="26015" hidden="1" xr:uid="{B60C0229-9B3C-42CE-ABF7-69AD3848EAF1}"/>
    <cellStyle name="40 % - Akzent1" xfId="26554" hidden="1" xr:uid="{EAE4B24C-EE68-4E3C-AE77-888103C6CD03}"/>
    <cellStyle name="40 % - Akzent1" xfId="26450" hidden="1" xr:uid="{109D9A3F-182F-470A-BBFB-B648E74EA261}"/>
    <cellStyle name="40 % - Akzent1" xfId="25038" hidden="1" xr:uid="{69555C6D-0B85-488C-8BBF-96B28BC55FA7}"/>
    <cellStyle name="40 % - Akzent1" xfId="24416" hidden="1" xr:uid="{EED981D5-631B-4EBF-B5D4-0FC1936C2D72}"/>
    <cellStyle name="40 % - Akzent1" xfId="26804" hidden="1" xr:uid="{7783CC20-1109-4E86-B379-EB94B035E1F1}"/>
    <cellStyle name="40 % - Akzent1" xfId="26714" hidden="1" xr:uid="{8E9D6B47-F4D8-41FA-8B26-4507D2FF49E8}"/>
    <cellStyle name="40 % - Akzent1" xfId="26479" hidden="1" xr:uid="{8E716090-BDE7-4BE0-9B90-98A26FBCE644}"/>
    <cellStyle name="40 % - Akzent1" xfId="26456" hidden="1" xr:uid="{BD776127-68C9-4F5D-AECC-9685AAC4E3B3}"/>
    <cellStyle name="40 % - Akzent1" xfId="27186" hidden="1" xr:uid="{D206F28D-784A-487E-ACDE-BDEF1B4D80BA}"/>
    <cellStyle name="40 % - Akzent1" xfId="27844" hidden="1" xr:uid="{0629DA0C-C849-4F0E-8A48-E6B5F39A426A}"/>
    <cellStyle name="40 % - Akzent1" xfId="27733" hidden="1" xr:uid="{0854FF14-D449-4D0D-A0A4-F91FD5E2FCFC}"/>
    <cellStyle name="40 % - Akzent1" xfId="27945" hidden="1" xr:uid="{49E54158-3EE8-4E5B-A41A-DA187C6FB67F}"/>
    <cellStyle name="40 % - Akzent1" xfId="28181" hidden="1" xr:uid="{C8B0146D-2EEC-4275-B3DD-1F50A3B7C524}"/>
    <cellStyle name="40 % - Akzent1" xfId="28187" hidden="1" xr:uid="{00DCEE6B-1DE7-479A-9F14-5C6E2ADB83C7}"/>
    <cellStyle name="40 % - Akzent1" xfId="27970" hidden="1" xr:uid="{75FFCC59-95D0-4E9A-A46A-3771BBD16719}"/>
    <cellStyle name="40 % - Akzent1" xfId="27897" hidden="1" xr:uid="{AF069FEA-F435-47D8-82B8-B82B22F11692}"/>
    <cellStyle name="40 % - Akzent1" xfId="29304" hidden="1" xr:uid="{EB7554F8-ADBF-4501-B5C5-16A0EF1772DB}"/>
    <cellStyle name="40 % - Akzent1" xfId="28325" hidden="1" xr:uid="{A7CE8BA5-75B5-4E4B-B3AD-EADAC9187FFD}"/>
    <cellStyle name="40 % - Akzent1" xfId="28292" hidden="1" xr:uid="{6368493C-8D94-42A2-A554-D06C8DCB42B3}"/>
    <cellStyle name="40 % - Akzent1" xfId="30824" hidden="1" xr:uid="{F09FF887-2ADF-420A-A983-32484C7E097B}"/>
    <cellStyle name="40 % - Akzent1" xfId="31462" hidden="1" xr:uid="{3E3031F5-4FDC-4D9D-85D7-3EEB1F86E7A3}"/>
    <cellStyle name="40 % - Akzent1" xfId="31729" hidden="1" xr:uid="{CCCE94E9-452E-4887-8F37-071CD792F5BC}"/>
    <cellStyle name="40 % - Akzent1" xfId="32280" hidden="1" xr:uid="{7670D493-37F3-4F80-AAA9-940421CB71F8}"/>
    <cellStyle name="40 % - Akzent1" xfId="32254" hidden="1" xr:uid="{C6225914-6C42-4176-B600-D8FCAC428890}"/>
    <cellStyle name="40 % - Akzent1" xfId="32191" hidden="1" xr:uid="{4DB3C5FB-FD27-445D-A0AA-8C5DA0951FC7}"/>
    <cellStyle name="40 % - Akzent1" xfId="32352" hidden="1" xr:uid="{82C504EA-95BB-498F-9AEC-26BE4E951DE1}"/>
    <cellStyle name="40 % - Akzent1" xfId="30952" hidden="1" xr:uid="{FD2D05B8-9567-4C91-AE4A-BBF5FB1CBAB0}"/>
    <cellStyle name="40 % - Akzent1" xfId="25013" hidden="1" xr:uid="{D3CDBA2A-4AA8-4B7B-A37C-985B4017E101}"/>
    <cellStyle name="40 % - Akzent1" xfId="23447" hidden="1" xr:uid="{CA6D5419-DD03-4F69-BCD2-E31753A5743F}"/>
    <cellStyle name="40 % - Akzent1" xfId="19734" hidden="1" xr:uid="{9E86B2FF-A6A5-423E-B9F1-E0320CF6C021}"/>
    <cellStyle name="40 % - Akzent1" xfId="7671" hidden="1" xr:uid="{D5C6BD37-324F-484C-8F56-6DA2BDDCBEC9}"/>
    <cellStyle name="40 % - Akzent1" xfId="8693" hidden="1" xr:uid="{B31B16D2-9D6A-4A0A-8A40-96421B033DB9}"/>
    <cellStyle name="40 % - Akzent1" xfId="8786" hidden="1" xr:uid="{1813D4C7-C53E-4C27-AA52-7F301B4FB1BD}"/>
    <cellStyle name="40 % - Akzent1" xfId="9001" hidden="1" xr:uid="{ECBE77F3-B62D-416C-BB9F-9E2A656D38C9}"/>
    <cellStyle name="40 % - Akzent1" xfId="9251" hidden="1" xr:uid="{5F2CF973-9526-4081-9C4E-F1E1348767A6}"/>
    <cellStyle name="40 % - Akzent1" xfId="10142" hidden="1" xr:uid="{71F9BC6E-F2BD-4249-B8DE-260A9F75DACB}"/>
    <cellStyle name="40 % - Akzent1" xfId="9867" hidden="1" xr:uid="{04551633-BCA0-4FE7-970D-C6A97A010870}"/>
    <cellStyle name="40 % - Akzent1" xfId="8962" hidden="1" xr:uid="{AA95552E-EE55-4CD8-BF5C-1FBF744EA4F0}"/>
    <cellStyle name="40 % - Akzent1" xfId="10219" hidden="1" xr:uid="{3905AA75-6E11-4526-B3CD-7B5068DAED7A}"/>
    <cellStyle name="40 % - Akzent1" xfId="9893" hidden="1" xr:uid="{5A6AB2DE-BC68-48C8-8B4D-52DB909C3F63}"/>
    <cellStyle name="40 % - Akzent1" xfId="10712" hidden="1" xr:uid="{44260691-7940-416F-A1A0-8FAC8B4F177A}"/>
    <cellStyle name="40 % - Akzent1" xfId="11235" hidden="1" xr:uid="{585DED07-6631-4811-AC12-586BC39E582C}"/>
    <cellStyle name="40 % - Akzent1" xfId="11142" hidden="1" xr:uid="{EA0E9409-52C7-4848-931A-2A2DCCCD9C3A}"/>
    <cellStyle name="40 % - Akzent1" xfId="11279" hidden="1" xr:uid="{5EC8B113-77D3-42F3-B7F2-634C163AC947}"/>
    <cellStyle name="40 % - Akzent1" xfId="10617" hidden="1" xr:uid="{897E0741-CFE9-4011-B1D3-06205109750A}"/>
    <cellStyle name="40 % - Akzent1" xfId="10746" hidden="1" xr:uid="{3425492B-3DD3-42B1-B63F-13AFDB97EA7A}"/>
    <cellStyle name="40 % - Akzent1" xfId="11186" hidden="1" xr:uid="{956AABDA-F382-458A-A1D9-87752FBBB467}"/>
    <cellStyle name="40 % - Akzent1" xfId="11407" hidden="1" xr:uid="{49C80C98-25C9-4AF9-8E4B-4CC6BF24B3DD}"/>
    <cellStyle name="40 % - Akzent1" xfId="11665" hidden="1" xr:uid="{C441F3A0-0B0B-44C9-BF2C-78D88260921C}"/>
    <cellStyle name="40 % - Akzent1" xfId="11671" hidden="1" xr:uid="{624F1909-409A-4EEA-9E87-EDEACB8FA735}"/>
    <cellStyle name="40 % - Akzent1" xfId="11457" hidden="1" xr:uid="{9BC89BB5-2AAB-4616-ACC4-5941AC955EE6}"/>
    <cellStyle name="40 % - Akzent1" xfId="13202" hidden="1" xr:uid="{E03EE7A0-5820-443D-AEE2-A3B26B9F3502}"/>
    <cellStyle name="40 % - Akzent1" xfId="11670" hidden="1" xr:uid="{1F598777-FED4-4EC2-91C8-68AD28E93EE4}"/>
    <cellStyle name="40 % - Akzent1" xfId="11856" hidden="1" xr:uid="{88C4E8D0-841A-46EB-98B2-F1A5B74D0A07}"/>
    <cellStyle name="40 % - Akzent1" xfId="11526" hidden="1" xr:uid="{6703EDBE-F629-4D2A-A054-68628E1BED0F}"/>
    <cellStyle name="40 % - Akzent1" xfId="12287" hidden="1" xr:uid="{3E750BFF-4643-4538-8C57-451B81C6E7A3}"/>
    <cellStyle name="40 % - Akzent1" xfId="14335" hidden="1" xr:uid="{2E43DC08-5B9C-4EA1-8420-7ABB6C0E047F}"/>
    <cellStyle name="40 % - Akzent1" xfId="14760" hidden="1" xr:uid="{5D92DBE6-97A9-422A-B60A-E63A6805473A}"/>
    <cellStyle name="40 % - Akzent1" xfId="14521" hidden="1" xr:uid="{18E8C3AF-6327-413F-9C8D-DCDBF50FEF06}"/>
    <cellStyle name="40 % - Akzent1" xfId="15181" hidden="1" xr:uid="{3A5C44D7-5250-4443-B6B6-3B7B6ED03EA8}"/>
    <cellStyle name="40 % - Akzent1" xfId="15162" hidden="1" xr:uid="{824A4FF2-12F4-4F29-B5E6-08105B6BB9BD}"/>
    <cellStyle name="40 % - Akzent1" xfId="14902" hidden="1" xr:uid="{BA81E35B-7777-4F6B-BBF0-9792F72D7195}"/>
    <cellStyle name="40 % - Akzent1" xfId="14699" hidden="1" xr:uid="{2A78C635-2102-4269-B800-6F2D45090C69}"/>
    <cellStyle name="40 % - Akzent1" xfId="11773" hidden="1" xr:uid="{ACF3B952-D2FB-40AC-B16A-3ADB34248A19}"/>
    <cellStyle name="40 % - Akzent1" xfId="15604" hidden="1" xr:uid="{2BAEB0D0-DB3D-424D-9B1B-92F0B1C280AB}"/>
    <cellStyle name="40 % - Akzent1" xfId="15568" hidden="1" xr:uid="{3554ED6A-6807-4143-9435-F6963A9756EF}"/>
    <cellStyle name="40 % - Akzent1" xfId="15533" hidden="1" xr:uid="{DF601C9E-5446-4461-A7B1-7C45957E388F}"/>
    <cellStyle name="40 % - Akzent1" xfId="15499" hidden="1" xr:uid="{591FD7AF-3188-4551-B459-F1894A86C1F4}"/>
    <cellStyle name="40 % - Akzent1" xfId="15809" hidden="1" xr:uid="{F191BFCA-BF40-4412-B207-EDE8BBC8038B}"/>
    <cellStyle name="40 % - Akzent1" xfId="15521" hidden="1" xr:uid="{81D15DA6-7201-428B-96DE-93E18FE68EE7}"/>
    <cellStyle name="40 % - Akzent1" xfId="16023" hidden="1" xr:uid="{A476F01D-23FE-42C1-8FC6-8D3BA0720D56}"/>
    <cellStyle name="40 % - Akzent1" xfId="16098" hidden="1" xr:uid="{F08F219D-EF67-452D-94FB-24134612DD54}"/>
    <cellStyle name="40 % - Akzent1" xfId="16361" hidden="1" xr:uid="{335FBA10-ED9E-4BA9-B96B-3E15954FE649}"/>
    <cellStyle name="40 % - Akzent1" xfId="16237" hidden="1" xr:uid="{BB093AAC-0AE6-4861-B345-5ADC5CAFF2BA}"/>
    <cellStyle name="40 % - Akzent1" xfId="17262" hidden="1" xr:uid="{D63A4D90-FFAE-45EE-8C10-9206616D28B5}"/>
    <cellStyle name="40 % - Akzent1" xfId="16982" hidden="1" xr:uid="{BD252254-6C25-44EE-8AFF-6EB72C3AD073}"/>
    <cellStyle name="40 % - Akzent1" xfId="16062" hidden="1" xr:uid="{D84E7776-BD61-4406-A4F7-02B2E484861C}"/>
    <cellStyle name="40 % - Akzent1" xfId="17432" hidden="1" xr:uid="{F773A585-352B-4F8B-8DC1-F9205A0B5EEC}"/>
    <cellStyle name="40 % - Akzent1" xfId="17389" hidden="1" xr:uid="{F632EB7F-65F8-491F-821B-160B8D753DBA}"/>
    <cellStyle name="40 % - Akzent1" xfId="17859" hidden="1" xr:uid="{28843697-CF97-45A2-96FD-814BA24AA512}"/>
    <cellStyle name="40 % - Akzent1" xfId="16238" hidden="1" xr:uid="{0696E3A0-905A-4ED2-9A6F-933FE30C886D}"/>
    <cellStyle name="40 % - Akzent1" xfId="16070" hidden="1" xr:uid="{E61E243B-DAB4-4A80-AD70-BBE606EBBD24}"/>
    <cellStyle name="40 % - Akzent1" xfId="18024" hidden="1" xr:uid="{90BB7905-B557-4FB0-B96C-439795F5AE4E}"/>
    <cellStyle name="40 % - Akzent1" xfId="16291" hidden="1" xr:uid="{A18133E6-91DB-446C-A780-ECE67E1D3702}"/>
    <cellStyle name="40 % - Akzent1" xfId="17926" hidden="1" xr:uid="{5F19C4DD-6A34-4B30-8CED-99113C23603B}"/>
    <cellStyle name="40 % - Akzent1" xfId="18767" hidden="1" xr:uid="{9FB4EAC4-073C-443F-BFA9-10ADC6285521}"/>
    <cellStyle name="40 % - Akzent1" xfId="18812" hidden="1" xr:uid="{0EA56F94-CD72-430E-B87A-7F015A813CF8}"/>
    <cellStyle name="40 % - Akzent1" xfId="17835" hidden="1" xr:uid="{7A29A365-947A-4C11-9D3A-BAF880E275B2}"/>
    <cellStyle name="40 % - Akzent1" xfId="19044" hidden="1" xr:uid="{D52BC425-EDFB-4DB7-B600-09BA0CF49F18}"/>
    <cellStyle name="40 % - Akzent1" xfId="19431" hidden="1" xr:uid="{B73B6ACB-3431-42D5-B598-D1817B2ED02D}"/>
    <cellStyle name="40 % - Akzent1" xfId="15534" hidden="1" xr:uid="{7557D6BA-DB12-4E58-8EFA-0F368FA56811}"/>
    <cellStyle name="40 % - Akzent1" xfId="9133" hidden="1" xr:uid="{B560C2C9-8CDF-4939-B0DA-434342152518}"/>
    <cellStyle name="40 % - Akzent1" xfId="4944" hidden="1" xr:uid="{0B0A3FB5-05AC-40FF-9FFD-325B5B946C3A}"/>
    <cellStyle name="40 % - Akzent1" xfId="6423" hidden="1" xr:uid="{2B854957-C445-4CE9-B768-DADFD0160144}"/>
    <cellStyle name="40 % - Akzent1" xfId="6436" hidden="1" xr:uid="{B979D1D4-2C20-44B2-BCF1-994075B7317A}"/>
    <cellStyle name="40 % - Akzent1" xfId="6559" hidden="1" xr:uid="{4A6F5031-F453-4DCC-AD07-6DC7C8853276}"/>
    <cellStyle name="40 % - Akzent1" xfId="5965" hidden="1" xr:uid="{6EFBFC4E-D3AE-48E9-96D8-092B574D121B}"/>
    <cellStyle name="40 % - Akzent1" xfId="6398" hidden="1" xr:uid="{13823322-7281-4761-88E9-DB71A75472BA}"/>
    <cellStyle name="40 % - Akzent1" xfId="6305" hidden="1" xr:uid="{C17835C1-A249-4C62-A12A-ED9C64073DF9}"/>
    <cellStyle name="40 % - Akzent1" xfId="6550" hidden="1" xr:uid="{6B441A4A-0941-4AF2-8D12-D31B642EDCEC}"/>
    <cellStyle name="40 % - Akzent1" xfId="6265" hidden="1" xr:uid="{2BC5D047-1FC5-431D-A4F1-188F1BBE9D4F}"/>
    <cellStyle name="40 % - Akzent1" xfId="6789" hidden="1" xr:uid="{D55B3005-BB58-4DA0-9FB9-77814F13B9BF}"/>
    <cellStyle name="40 % - Akzent1" xfId="7038" hidden="1" xr:uid="{0FDEF820-AC35-4498-85EE-0314348BDC12}"/>
    <cellStyle name="40 % - Akzent1" xfId="6920" hidden="1" xr:uid="{F6DFEE12-2E54-496E-9284-9AE785637B9A}"/>
    <cellStyle name="40 % - Akzent1" xfId="7929" hidden="1" xr:uid="{9C0D3A9C-4216-4688-9875-18C8B1417780}"/>
    <cellStyle name="40 % - Akzent1" xfId="7656" hidden="1" xr:uid="{6ACD3BD0-18D8-481E-BB98-716475BDA317}"/>
    <cellStyle name="40 % - Akzent1" xfId="7213" hidden="1" xr:uid="{A4AB700C-14B5-425A-A426-8D8DBB9EE1F8}"/>
    <cellStyle name="40 % - Akzent1" xfId="6935" hidden="1" xr:uid="{FEBA7B11-D0C9-4DB8-8A95-1E88BE2BCBF2}"/>
    <cellStyle name="40 % - Akzent1" xfId="6947" hidden="1" xr:uid="{8283993B-0544-4F53-BA59-3EF396E096FB}"/>
    <cellStyle name="40 % - Akzent1" xfId="8436" hidden="1" xr:uid="{E6C641F0-C9A2-47D8-82C8-B730CEDBFF18}"/>
    <cellStyle name="40 % - Akzent1" xfId="8416" hidden="1" xr:uid="{BC7DE36F-7F28-47BA-BC85-0CADCACEDB4B}"/>
    <cellStyle name="40 % - Akzent1" xfId="7665" hidden="1" xr:uid="{5ABB8FD8-5A21-452A-B3F7-39B5E5BCF546}"/>
    <cellStyle name="40 % - Akzent1" xfId="6913" hidden="1" xr:uid="{026F03D9-7F35-4839-878F-9663F8E1AF49}"/>
    <cellStyle name="40 % - Akzent1" xfId="7613" hidden="1" xr:uid="{F75EBB9C-68C9-4D1B-8FDF-FEB1AE4D0BB0}"/>
    <cellStyle name="40 % - Akzent1" xfId="6973" hidden="1" xr:uid="{E6B8C221-3C89-4BC6-8960-BF9AE6760BEE}"/>
    <cellStyle name="40 % - Akzent1" xfId="7926" hidden="1" xr:uid="{CE0AF9BA-9FAF-4A97-9394-2265D1C86EC5}"/>
    <cellStyle name="40 % - Akzent1" xfId="8338" hidden="1" xr:uid="{0C03F229-8231-49A4-BCA6-20F661624578}"/>
    <cellStyle name="40 % - Akzent1" xfId="8211" hidden="1" xr:uid="{B94C38C5-01E3-44F0-832F-0D3D1DA52A7C}"/>
    <cellStyle name="40 % - Akzent1" xfId="8606" hidden="1" xr:uid="{32524747-4C90-4104-96C5-FAA99DA21186}"/>
    <cellStyle name="40 % - Akzent1" xfId="8487" hidden="1" xr:uid="{92082975-18DF-43FA-BFC2-B2D37BBC7C88}"/>
    <cellStyle name="40 % - Akzent1" xfId="8540" hidden="1" xr:uid="{AC593E4B-EEC5-40F6-AA5E-0F101A559E6A}"/>
    <cellStyle name="40 % - Akzent1" xfId="3699" hidden="1" xr:uid="{B0F123C5-1244-44CF-AED6-E19E9C19FEDE}"/>
    <cellStyle name="40 % - Akzent1" xfId="2747" hidden="1" xr:uid="{6DAB6AC2-0548-4464-813D-056084996D08}"/>
    <cellStyle name="40 % - Akzent1" xfId="3059" hidden="1" xr:uid="{DE8D4318-7101-4BFC-880E-B12B962362BA}"/>
    <cellStyle name="40 % - Akzent1" xfId="3722" hidden="1" xr:uid="{AA1C4C28-993D-4600-8C56-5DDACAF24DA4}"/>
    <cellStyle name="40 % - Akzent1" xfId="4759" hidden="1" xr:uid="{AC20C325-7B62-409E-8080-865FB3DAB372}"/>
    <cellStyle name="40 % - Akzent1" xfId="4766" hidden="1" xr:uid="{940AD656-C0CB-4571-BAE3-32908C9737D7}"/>
    <cellStyle name="40 % - Akzent1" xfId="5152" hidden="1" xr:uid="{74251FE7-99E2-480A-B5C4-5731F984CF2D}"/>
    <cellStyle name="40 % - Akzent1" xfId="5799" hidden="1" xr:uid="{DEB51F85-D9E0-491A-B5C5-A7CB60AD968D}"/>
    <cellStyle name="40 % - Akzent1" xfId="5753" hidden="1" xr:uid="{8FC94A32-BFB4-4CA9-83BA-3052491CAA33}"/>
    <cellStyle name="40 % - Akzent1" xfId="5633" hidden="1" xr:uid="{166C8D64-D500-4B51-9BB5-5CD77A3C7E00}"/>
    <cellStyle name="40 % - Akzent1" xfId="5756" hidden="1" xr:uid="{4FD3DF33-E4D8-4E74-B8BA-174BD4224502}"/>
    <cellStyle name="40 % - Akzent1" xfId="5597" hidden="1" xr:uid="{85F399DF-C4E5-430C-9734-D1A287761315}"/>
    <cellStyle name="40 % - Akzent1" xfId="6233" hidden="1" xr:uid="{1E60616A-71E0-4782-B33F-555C60554B5C}"/>
    <cellStyle name="40 % - Akzent1" xfId="6192" hidden="1" xr:uid="{9D7C79B2-E460-4021-809F-CD0A60C3A0C2}"/>
    <cellStyle name="40 % - Akzent1" xfId="2012" hidden="1" xr:uid="{56E0DDA4-CEE2-412C-822A-D54B112AEDB0}"/>
    <cellStyle name="40 % - Akzent1" xfId="2520" hidden="1" xr:uid="{1F391F6E-6558-4E22-84E7-B966C1057707}"/>
    <cellStyle name="40 % - Akzent1" xfId="1922" hidden="1" xr:uid="{1F04EA8F-C1F8-4897-BA27-A18D9C0B9284}"/>
    <cellStyle name="40 % - Akzent1" xfId="1844" hidden="1" xr:uid="{92DA85E2-5E25-4E86-9E6F-B7DA5F0CCCA5}"/>
    <cellStyle name="40 % - Akzent1" xfId="3613" hidden="1" xr:uid="{34A1371C-C491-4693-A1E1-6BBE67BC086B}"/>
    <cellStyle name="40 % - Akzent1" xfId="2766" hidden="1" xr:uid="{74490DD9-02E1-4EE4-8589-238C50895BE1}"/>
    <cellStyle name="40 % - Akzent1" xfId="3602" hidden="1" xr:uid="{A2F04C6A-9DC9-4145-A890-89CA71AFFF68}"/>
    <cellStyle name="40 % - Akzent1" xfId="1392" hidden="1" xr:uid="{361C22AB-C54F-41B2-9DA2-F2E621107C08}"/>
    <cellStyle name="40 % - Akzent1" xfId="1688" hidden="1" xr:uid="{F9B9668A-2038-4FE3-B3EF-22555C631042}"/>
    <cellStyle name="40 % - Akzent1" xfId="1875" hidden="1" xr:uid="{2DBE3C90-59B0-4F95-B3D9-3A6584DC02E1}"/>
    <cellStyle name="40 % - Akzent1" xfId="2321" hidden="1" xr:uid="{A7D0ABA6-5332-455D-8FF2-FBD9DD17B5A8}"/>
    <cellStyle name="40 % - Akzent1" xfId="898" hidden="1" xr:uid="{54931308-1325-490A-B3FC-CA135017E7D0}"/>
    <cellStyle name="40 % - Akzent1" xfId="963" hidden="1" xr:uid="{A8D4DD3E-F870-4E99-866B-9DEEC184A63A}"/>
    <cellStyle name="40 % - Akzent1" xfId="51" hidden="1" xr:uid="{1116FDB7-DEC2-4E6A-95A9-2E1321CB8E91}"/>
    <cellStyle name="40 % - Akzent1 2" xfId="379" xr:uid="{8F1AB9A1-CC89-4947-A758-850A6CBB969C}"/>
    <cellStyle name="40 % - Akzent1 3" xfId="248" xr:uid="{A9FBB85D-0636-4B79-860B-785CBBFFCB1A}"/>
    <cellStyle name="40 % - Akzent2" xfId="21857" hidden="1" xr:uid="{FA735058-1499-44FD-90A7-3A46E1266422}"/>
    <cellStyle name="40 % - Akzent2" xfId="21458" hidden="1" xr:uid="{DD5D5183-A6BA-42FE-8290-C16811F26067}"/>
    <cellStyle name="40 % - Akzent2" xfId="22639" hidden="1" xr:uid="{C5C7A245-CEEB-40FD-B515-1D744A26DD5B}"/>
    <cellStyle name="40 % - Akzent2" xfId="22797" hidden="1" xr:uid="{272AD4E8-53B1-4810-930E-BE335A91419B}"/>
    <cellStyle name="40 % - Akzent2" xfId="23064" hidden="1" xr:uid="{B54ABDA5-3059-48CD-ADE8-CE2DC5CEF484}"/>
    <cellStyle name="40 % - Akzent2" xfId="22969" hidden="1" xr:uid="{203D1BD9-B701-4F08-AB46-3D34DA6111EC}"/>
    <cellStyle name="40 % - Akzent2" xfId="22921" hidden="1" xr:uid="{45526F93-6D8F-4D13-ACC5-48BD23157D1A}"/>
    <cellStyle name="40 % - Akzent2" xfId="23630" hidden="1" xr:uid="{B45E3189-7FC5-4EFE-A41F-270BB8916F69}"/>
    <cellStyle name="40 % - Akzent2" xfId="23449" hidden="1" xr:uid="{8B987EB1-2B09-4609-B332-3D7F8453376C}"/>
    <cellStyle name="40 % - Akzent2" xfId="22302" hidden="1" xr:uid="{4E7758DE-2F09-47FD-99B7-B729A198F14C}"/>
    <cellStyle name="40 % - Akzent2" xfId="22674" hidden="1" xr:uid="{4E5829B5-ACEC-416F-9D81-A8095E8D7BB1}"/>
    <cellStyle name="40 % - Akzent2" xfId="22818" hidden="1" xr:uid="{2060A748-174C-4CE8-A9B9-83E70FDD4FC1}"/>
    <cellStyle name="40 % - Akzent2" xfId="24074" hidden="1" xr:uid="{0A988695-6934-4EC1-9FDA-BF8D8CBA92CF}"/>
    <cellStyle name="40 % - Akzent2" xfId="24157" hidden="1" xr:uid="{9F937730-0D4A-44C4-BD99-B7924B14B297}"/>
    <cellStyle name="40 % - Akzent2" xfId="24586" hidden="1" xr:uid="{B163E41E-849C-4BB2-B0E9-AA82016DCB16}"/>
    <cellStyle name="40 % - Akzent2" xfId="25290" hidden="1" xr:uid="{44509EC2-C878-4639-8DBB-9286BEAEB31A}"/>
    <cellStyle name="40 % - Akzent2" xfId="25004" hidden="1" xr:uid="{36A4DAB9-0BEA-43D4-B0F7-B1DC4C131249}"/>
    <cellStyle name="40 % - Akzent2" xfId="25500" hidden="1" xr:uid="{CFA4A405-D10D-484A-B82C-76B1C97B4F01}"/>
    <cellStyle name="40 % - Akzent2" xfId="26141" hidden="1" xr:uid="{33F3F09D-FE90-44ED-A1C8-C7B016883F60}"/>
    <cellStyle name="40 % - Akzent2" xfId="26250" hidden="1" xr:uid="{47D5BFBA-69A3-4F3C-A147-0BCFC11885A9}"/>
    <cellStyle name="40 % - Akzent2" xfId="26076" hidden="1" xr:uid="{46D97DB8-D681-4287-88E1-62748429AD37}"/>
    <cellStyle name="40 % - Akzent2" xfId="26371" hidden="1" xr:uid="{EEEE16EB-A8DF-41B3-9175-018AD61D3207}"/>
    <cellStyle name="40 % - Akzent2" xfId="26339" hidden="1" xr:uid="{93A98551-D528-4E62-BC96-138ED6F59CE1}"/>
    <cellStyle name="40 % - Akzent2" xfId="25978" hidden="1" xr:uid="{069439C7-B656-4546-B16B-18D67237A937}"/>
    <cellStyle name="40 % - Akzent2" xfId="26312" hidden="1" xr:uid="{BC754604-BB3F-4AA3-AA3F-2E457CC1D38A}"/>
    <cellStyle name="40 % - Akzent2" xfId="25196" hidden="1" xr:uid="{6A085349-6BCE-4EA8-91D5-236078D754AC}"/>
    <cellStyle name="40 % - Akzent2" xfId="26148" hidden="1" xr:uid="{10C6931D-13C4-4FAC-9FE4-BAF12A8E5602}"/>
    <cellStyle name="40 % - Akzent2" xfId="26626" hidden="1" xr:uid="{E0DEE657-3E9B-44D5-9240-A375B6217F2A}"/>
    <cellStyle name="40 % - Akzent2" xfId="26782" hidden="1" xr:uid="{AD53BDA5-A773-4FBB-BC76-EFF21969A575}"/>
    <cellStyle name="40 % - Akzent2" xfId="27848" hidden="1" xr:uid="{75325DA0-5871-4535-8CB1-938A1CD689B2}"/>
    <cellStyle name="40 % - Akzent2" xfId="27608" hidden="1" xr:uid="{76B6D623-8744-4975-867C-7643DD50326C}"/>
    <cellStyle name="40 % - Akzent2" xfId="27707" hidden="1" xr:uid="{29589655-0ACA-4900-845F-E6BCA02FDF44}"/>
    <cellStyle name="40 % - Akzent2" xfId="27949" hidden="1" xr:uid="{D3BD089C-0485-4096-8AB8-21975621C2F9}"/>
    <cellStyle name="40 % - Akzent2" xfId="28341" hidden="1" xr:uid="{0E3B7C3B-5C20-45C2-B48E-60A969997BB0}"/>
    <cellStyle name="40 % - Akzent2" xfId="28759" hidden="1" xr:uid="{A7A78597-FED9-4B8C-878F-926F3E485A96}"/>
    <cellStyle name="40 % - Akzent2" xfId="29442" hidden="1" xr:uid="{78F7EC2A-9420-445F-B3C6-95A731F93B1F}"/>
    <cellStyle name="40 % - Akzent2" xfId="28129" hidden="1" xr:uid="{AE109737-310F-44BA-BC44-E1F994A9BAB7}"/>
    <cellStyle name="40 % - Akzent2" xfId="29489" hidden="1" xr:uid="{8A5CB943-59E8-4C30-80A6-21CE1076BE81}"/>
    <cellStyle name="40 % - Akzent2" xfId="29339" hidden="1" xr:uid="{7D01AD25-6FD4-4526-B347-2F948822ED65}"/>
    <cellStyle name="40 % - Akzent2" xfId="30936" hidden="1" xr:uid="{40DD5F6D-15BE-4B94-8DC3-97EDF7BAFDC8}"/>
    <cellStyle name="40 % - Akzent2" xfId="29237" hidden="1" xr:uid="{30AA7C60-50AA-46F4-9B9E-7F2449B0E8BF}"/>
    <cellStyle name="40 % - Akzent2" xfId="31465" hidden="1" xr:uid="{30A68835-EC48-4F7E-AEC2-D5C432BE727D}"/>
    <cellStyle name="40 % - Akzent2" xfId="31725" hidden="1" xr:uid="{0493D31F-91E2-4881-8A40-C47E985AADAB}"/>
    <cellStyle name="40 % - Akzent2" xfId="31679" hidden="1" xr:uid="{1FA8A86F-3D6E-445D-888A-6FC072909443}"/>
    <cellStyle name="40 % - Akzent2" xfId="32155" hidden="1" xr:uid="{DD13F75C-A6F5-4951-9DFC-37030A8BD23C}"/>
    <cellStyle name="40 % - Akzent2" xfId="32150" hidden="1" xr:uid="{42EF6038-2F80-4280-AFD6-7C72D8A286D8}"/>
    <cellStyle name="40 % - Akzent2" xfId="32237" hidden="1" xr:uid="{AE35E0E6-7A47-41E4-BB11-342131D92F66}"/>
    <cellStyle name="40 % - Akzent2" xfId="28743" hidden="1" xr:uid="{3CC75D5D-6DC1-47D4-8EFA-1591DF3118D2}"/>
    <cellStyle name="40 % - Akzent2" xfId="26093" hidden="1" xr:uid="{71890EB3-DB44-4408-A2FD-D295975F7D8C}"/>
    <cellStyle name="40 % - Akzent2" xfId="22772" hidden="1" xr:uid="{A0803AB1-920F-49C2-8621-9CB8EA9ECEAF}"/>
    <cellStyle name="40 % - Akzent2" xfId="8950" hidden="1" xr:uid="{91CE075C-447F-4418-ADF5-75445EDFEFE0}"/>
    <cellStyle name="40 % - Akzent2" xfId="9383" hidden="1" xr:uid="{72EB433E-4D2F-4284-8C14-CC3596500BF4}"/>
    <cellStyle name="40 % - Akzent2" xfId="10552" hidden="1" xr:uid="{A9E5D5B8-3DC8-4041-97F6-3F0E6765F4A7}"/>
    <cellStyle name="40 % - Akzent2" xfId="10728" hidden="1" xr:uid="{8DA9FFB9-5FD1-41C1-A52A-8375A3526F6D}"/>
    <cellStyle name="40 % - Akzent2" xfId="10707" hidden="1" xr:uid="{C8348C4F-7EFE-407D-868C-4EC04CA3C0F7}"/>
    <cellStyle name="40 % - Akzent2" xfId="9905" hidden="1" xr:uid="{B85147BB-0546-41C3-91A4-480B257D743A}"/>
    <cellStyle name="40 % - Akzent2" xfId="11206" hidden="1" xr:uid="{F7B4053E-6AFC-4318-8E89-E6C5B8DEE8B8}"/>
    <cellStyle name="40 % - Akzent2" xfId="9054" hidden="1" xr:uid="{B40762A4-9AEE-4763-A9F6-38ABA1D0E730}"/>
    <cellStyle name="40 % - Akzent2" xfId="11188" hidden="1" xr:uid="{A79B5CA5-5BB1-4846-812A-378717003F8F}"/>
    <cellStyle name="40 % - Akzent2" xfId="10352" hidden="1" xr:uid="{36A3DCE8-0729-49E6-BA75-44760EE359C0}"/>
    <cellStyle name="40 % - Akzent2" xfId="9900" hidden="1" xr:uid="{F3C23ADB-335D-49ED-B559-2615570FFEBA}"/>
    <cellStyle name="40 % - Akzent2" xfId="11411" hidden="1" xr:uid="{801AE349-599C-44A9-8268-A365B55EBFEA}"/>
    <cellStyle name="40 % - Akzent2" xfId="11852" hidden="1" xr:uid="{B1557EB4-DFD1-43F6-B681-4D0B4BC86DAD}"/>
    <cellStyle name="40 % - Akzent2" xfId="12256" hidden="1" xr:uid="{2C9BEA62-50D0-416D-A24C-25891544E3F9}"/>
    <cellStyle name="40 % - Akzent2" xfId="11816" hidden="1" xr:uid="{86C41E93-CCE6-4987-98E1-F301F4C2B9DD}"/>
    <cellStyle name="40 % - Akzent2" xfId="11612" hidden="1" xr:uid="{4B40BB88-9EF5-441E-9420-AD2422BA0D15}"/>
    <cellStyle name="40 % - Akzent2" xfId="11587" hidden="1" xr:uid="{2C668FCF-2ECC-4382-9CE1-4658E002B983}"/>
    <cellStyle name="40 % - Akzent2" xfId="13633" hidden="1" xr:uid="{E856DE8E-52B7-4D91-898B-A653F1BC542D}"/>
    <cellStyle name="40 % - Akzent2" xfId="11797" hidden="1" xr:uid="{EC88C795-BA27-40BA-9BF5-C42A3769714B}"/>
    <cellStyle name="40 % - Akzent2" xfId="14235" hidden="1" xr:uid="{F79AAA26-91F5-4925-A9F2-74641ABDF98A}"/>
    <cellStyle name="40 % - Akzent2" xfId="14029" hidden="1" xr:uid="{427F2312-839D-4694-8C91-7D87B205FCE2}"/>
    <cellStyle name="40 % - Akzent2" xfId="14103" hidden="1" xr:uid="{B0FB6F7A-969F-4693-A138-DA85FFCD0C01}"/>
    <cellStyle name="40 % - Akzent2" xfId="12722" hidden="1" xr:uid="{0E8F766F-449B-4AB5-9B69-8174E20B6C6A}"/>
    <cellStyle name="40 % - Akzent2" xfId="14409" hidden="1" xr:uid="{D2C2CD53-A3B0-4637-B660-FD5BCE40BEB3}"/>
    <cellStyle name="40 % - Akzent2" xfId="15004" hidden="1" xr:uid="{D9ABCD73-3F18-48D0-8F18-DD7072E602B6}"/>
    <cellStyle name="40 % - Akzent2" xfId="14767" hidden="1" xr:uid="{3604A651-4A41-4AD3-B3DA-A9FBC6274784}"/>
    <cellStyle name="40 % - Akzent2" xfId="15332" hidden="1" xr:uid="{8AC2E0B2-0A98-4851-B01F-C7C2A3E44B02}"/>
    <cellStyle name="40 % - Akzent2" xfId="15320" hidden="1" xr:uid="{3A5014C0-7C48-4419-B83C-FDD0996F18FA}"/>
    <cellStyle name="40 % - Akzent2" xfId="14434" hidden="1" xr:uid="{91BFCFD4-2118-4ED3-88A1-F691CB916668}"/>
    <cellStyle name="40 % - Akzent2" xfId="15425" hidden="1" xr:uid="{09742B19-F1F2-46E5-A52E-D1ED9BAD6B50}"/>
    <cellStyle name="40 % - Akzent2" xfId="15664" hidden="1" xr:uid="{BB7026D3-3A3B-492B-B794-AFF4F59CCE81}"/>
    <cellStyle name="40 % - Akzent2" xfId="15438" hidden="1" xr:uid="{9EF58A31-80B4-4344-8F81-C420F46E1EFA}"/>
    <cellStyle name="40 % - Akzent2" xfId="15125" hidden="1" xr:uid="{15E283F8-DEA4-47A8-AA22-3E5AA92F4748}"/>
    <cellStyle name="40 % - Akzent2" xfId="15917" hidden="1" xr:uid="{58F4645A-8869-4B68-89EA-37605005015F}"/>
    <cellStyle name="40 % - Akzent2" xfId="15498" hidden="1" xr:uid="{A526E7A8-EE19-40CD-9A45-8F8EAA98C913}"/>
    <cellStyle name="40 % - Akzent2" xfId="16031" hidden="1" xr:uid="{BC6AD0C0-1A9D-46DA-BB33-F9956D367F41}"/>
    <cellStyle name="40 % - Akzent2" xfId="16102" hidden="1" xr:uid="{C68B45E3-98ED-4BA7-924A-9ACABDDBF01C}"/>
    <cellStyle name="40 % - Akzent2" xfId="16544" hidden="1" xr:uid="{0E82EA95-84FB-42AD-8AC7-0354846E1B12}"/>
    <cellStyle name="40 % - Akzent2" xfId="16246" hidden="1" xr:uid="{8DF2BF44-6520-4C5A-AFF9-C62CE7A6C94A}"/>
    <cellStyle name="40 % - Akzent2" xfId="16489" hidden="1" xr:uid="{853E3C7F-58CA-4861-A231-D0B45DDC2D5E}"/>
    <cellStyle name="40 % - Akzent2" xfId="17706" hidden="1" xr:uid="{5A2B1D6B-D0D1-4163-B691-425011F1BCD6}"/>
    <cellStyle name="40 % - Akzent2" xfId="17341" hidden="1" xr:uid="{B6A090D6-6FE4-4C0A-B44C-41039B6FC066}"/>
    <cellStyle name="40 % - Akzent2" xfId="17891" hidden="1" xr:uid="{BC7E16CE-B473-4068-9AE8-8124D7BCE3FC}"/>
    <cellStyle name="40 % - Akzent2" xfId="17545" hidden="1" xr:uid="{BF353BC5-5561-4EB7-8CF4-FA224C56C54F}"/>
    <cellStyle name="40 % - Akzent2" xfId="16987" hidden="1" xr:uid="{0513302B-6346-4E51-AF5B-0630F9E14534}"/>
    <cellStyle name="40 % - Akzent2" xfId="18120" hidden="1" xr:uid="{601349E4-74CD-44BD-A50B-6AA5CB01ADAD}"/>
    <cellStyle name="40 % - Akzent2" xfId="16340" hidden="1" xr:uid="{CCC47005-370E-4D4D-A460-2289E0A14078}"/>
    <cellStyle name="40 % - Akzent2" xfId="16152" hidden="1" xr:uid="{F6C53834-06CF-4709-8D3E-E174FF962C21}"/>
    <cellStyle name="40 % - Akzent2" xfId="18792" hidden="1" xr:uid="{8FF6E6A3-F612-4483-97DB-53BB319229A2}"/>
    <cellStyle name="40 % - Akzent2" xfId="16370" hidden="1" xr:uid="{98187732-6F14-40F2-BD1B-F7BE9E8A60D3}"/>
    <cellStyle name="40 % - Akzent2" xfId="19036" hidden="1" xr:uid="{3893DBE2-2594-4FFE-9383-A2D20579661E}"/>
    <cellStyle name="40 % - Akzent2" xfId="18172" hidden="1" xr:uid="{01DFC95D-A761-4661-BA3F-E9242CBF4025}"/>
    <cellStyle name="40 % - Akzent2" xfId="19179" hidden="1" xr:uid="{D89BC93E-A5B5-4476-8FCD-528ABF20F738}"/>
    <cellStyle name="40 % - Akzent2" xfId="19435" hidden="1" xr:uid="{189EF10C-4964-4626-9DA4-3BA9EBF5444D}"/>
    <cellStyle name="40 % - Akzent2" xfId="19881" hidden="1" xr:uid="{149489F6-9008-42F5-B060-07A27999C986}"/>
    <cellStyle name="40 % - Akzent2" xfId="19579" hidden="1" xr:uid="{11928927-DF8D-4398-A68B-D41136B06A05}"/>
    <cellStyle name="40 % - Akzent2" xfId="20277" hidden="1" xr:uid="{08612ADD-B422-4D0F-BD05-9E17E414788B}"/>
    <cellStyle name="40 % - Akzent2" xfId="19785" hidden="1" xr:uid="{C4E2AD34-85AD-4642-93CE-45AD842FED4D}"/>
    <cellStyle name="40 % - Akzent2" xfId="21067" hidden="1" xr:uid="{0BD71590-3543-41A2-ACC6-DBC79CA9BB18}"/>
    <cellStyle name="40 % - Akzent2" xfId="21590" hidden="1" xr:uid="{0418DDC4-A01B-4191-B559-44BC812D3D17}"/>
    <cellStyle name="40 % - Akzent2" xfId="21254" hidden="1" xr:uid="{5E89475D-B8BD-4127-B411-3216B08B8E74}"/>
    <cellStyle name="40 % - Akzent2" xfId="20691" hidden="1" xr:uid="{8F954833-7564-4D8D-A19F-FA74023C158C}"/>
    <cellStyle name="40 % - Akzent2" xfId="19384" hidden="1" xr:uid="{5AEDF4E3-C3E6-4816-A70B-3A591D596069}"/>
    <cellStyle name="40 % - Akzent2" xfId="21592" hidden="1" xr:uid="{0C3C97BC-5077-4F32-98C5-B01D4217DCFD}"/>
    <cellStyle name="40 % - Akzent2" xfId="21998" hidden="1" xr:uid="{C0F57D74-FCB9-49AA-BD89-551C615EA3DF}"/>
    <cellStyle name="40 % - Akzent2" xfId="21467" hidden="1" xr:uid="{0B46CC45-1CE7-413B-A737-FC02ECA9B0D6}"/>
    <cellStyle name="40 % - Akzent2" xfId="16394" hidden="1" xr:uid="{7FB16D74-74EC-453D-ADF7-FB37A8000E21}"/>
    <cellStyle name="40 % - Akzent2" xfId="11169" hidden="1" xr:uid="{6998D604-90DD-439D-9834-B060666462AF}"/>
    <cellStyle name="40 % - Akzent2" xfId="6428" hidden="1" xr:uid="{7004A3D1-D1D2-4E36-88D2-291B2AD5DF1A}"/>
    <cellStyle name="40 % - Akzent2" xfId="6510" hidden="1" xr:uid="{9BE607A8-2AD4-4B5F-BBCD-7F14BE850868}"/>
    <cellStyle name="40 % - Akzent2" xfId="6114" hidden="1" xr:uid="{3488554D-705A-4CBF-AEB8-9E7B9471FB72}"/>
    <cellStyle name="40 % - Akzent2" xfId="6486" hidden="1" xr:uid="{8DF5BC76-405A-40D4-8B79-57CB0F3FC26C}"/>
    <cellStyle name="40 % - Akzent2" xfId="6466" hidden="1" xr:uid="{4ABCD465-2B3E-4728-BE4B-78C449FEE986}"/>
    <cellStyle name="40 % - Akzent2" xfId="6251" hidden="1" xr:uid="{1848640F-F63E-474D-A01F-E72B3685AEB9}"/>
    <cellStyle name="40 % - Akzent2" xfId="6792" hidden="1" xr:uid="{588C2083-01AE-46C4-9CCC-246870BD39AF}"/>
    <cellStyle name="40 % - Akzent2" xfId="7221" hidden="1" xr:uid="{1B6B4AF4-AE95-4F66-8A38-2E4FE858F864}"/>
    <cellStyle name="40 % - Akzent2" xfId="6929" hidden="1" xr:uid="{4F67582E-4151-4457-AB3F-540FC682B3DD}"/>
    <cellStyle name="40 % - Akzent2" xfId="7073" hidden="1" xr:uid="{3FA5456F-48FB-413E-A4B6-7C3AD3EFF107}"/>
    <cellStyle name="40 % - Akzent2" xfId="7168" hidden="1" xr:uid="{D425DD4E-BECC-44F8-96D7-9E9AC0EDCD5B}"/>
    <cellStyle name="40 % - Akzent2" xfId="7838" hidden="1" xr:uid="{58FB7592-618F-4C8A-89E6-1C70A4543571}"/>
    <cellStyle name="40 % - Akzent2" xfId="8404" hidden="1" xr:uid="{C1ECDAE1-EC89-48CA-B710-DCB530DA559D}"/>
    <cellStyle name="40 % - Akzent2" xfId="7735" hidden="1" xr:uid="{06237197-4C9F-4D25-89CC-36B447E0C175}"/>
    <cellStyle name="40 % - Akzent2" xfId="7967" hidden="1" xr:uid="{E284E17F-F1EC-45A6-8B32-302CAF23297D}"/>
    <cellStyle name="40 % - Akzent2" xfId="7689" hidden="1" xr:uid="{F1032B0C-80B2-43FC-ADFD-4E62D219A3D7}"/>
    <cellStyle name="40 % - Akzent2" xfId="8108" hidden="1" xr:uid="{739252A6-4814-49FB-879D-E508D1D60AFF}"/>
    <cellStyle name="40 % - Akzent2" xfId="8163" hidden="1" xr:uid="{789980B8-28C7-4601-BBA3-A884B06B4D50}"/>
    <cellStyle name="40 % - Akzent2" xfId="6781" hidden="1" xr:uid="{BE01D230-6CF3-43CB-9180-5B5BC65F01D9}"/>
    <cellStyle name="40 % - Akzent2" xfId="8320" hidden="1" xr:uid="{0DBE6AB7-1DFF-4FB2-A493-D50C845FE361}"/>
    <cellStyle name="40 % - Akzent2" xfId="8363" hidden="1" xr:uid="{47F71D4E-3D9C-4143-98E7-7DA937D550B0}"/>
    <cellStyle name="40 % - Akzent2" xfId="8443" hidden="1" xr:uid="{FB33F0DC-AB82-4AD1-A96F-9637B7A254A3}"/>
    <cellStyle name="40 % - Akzent2" xfId="8462" hidden="1" xr:uid="{EE953C52-2345-4FF2-B7DA-6526716F4A94}"/>
    <cellStyle name="40 % - Akzent2" xfId="7736" hidden="1" xr:uid="{55E2636C-1E2A-4F73-B84D-322E5DBD9E59}"/>
    <cellStyle name="40 % - Akzent2" xfId="8461" hidden="1" xr:uid="{0A695A19-9011-4656-8AA1-F271DF41AF76}"/>
    <cellStyle name="40 % - Akzent2" xfId="7045" hidden="1" xr:uid="{B7381C13-096C-4F93-9AB3-2BAF894F677B}"/>
    <cellStyle name="40 % - Akzent2" xfId="8711" hidden="1" xr:uid="{9E97EE3F-55DE-4E3B-9ED9-BE71FB642B05}"/>
    <cellStyle name="40 % - Akzent2" xfId="8223" hidden="1" xr:uid="{0FEF85B1-3E32-465B-BBE1-CA219B11E194}"/>
    <cellStyle name="40 % - Akzent2" xfId="8658" hidden="1" xr:uid="{85E615B6-FC86-4F07-8FB2-4887C8357D32}"/>
    <cellStyle name="40 % - Akzent2" xfId="9005" hidden="1" xr:uid="{60DA2458-3535-4DB8-8B63-7EAB17D53229}"/>
    <cellStyle name="40 % - Akzent2" xfId="9434" hidden="1" xr:uid="{FFD829C1-829E-4890-A5CB-691CAC8EB3C1}"/>
    <cellStyle name="40 % - Akzent2" xfId="9142" hidden="1" xr:uid="{2F664292-52FF-411D-B2A3-322DC6DB4B9A}"/>
    <cellStyle name="40 % - Akzent2" xfId="3188" hidden="1" xr:uid="{8C318B50-2FA3-44C4-A6F2-15F1F2BC8541}"/>
    <cellStyle name="40 % - Akzent2" xfId="2166" hidden="1" xr:uid="{F5BD2B77-588D-4D30-A31C-EE9132F20727}"/>
    <cellStyle name="40 % - Akzent2" xfId="2830" hidden="1" xr:uid="{375DA708-9CE5-474E-A5D7-F96A0C3E0B78}"/>
    <cellStyle name="40 % - Akzent2" xfId="5021" hidden="1" xr:uid="{9A4965C8-E967-4C42-A677-60C25FE7FB27}"/>
    <cellStyle name="40 % - Akzent2" xfId="3051" hidden="1" xr:uid="{55EF0B17-89E4-4D0B-8096-EA1E0D129001}"/>
    <cellStyle name="40 % - Akzent2" xfId="5150" hidden="1" xr:uid="{B3595F8E-B542-4BB9-B63C-F9EEB12D20C9}"/>
    <cellStyle name="40 % - Akzent2" xfId="4220" hidden="1" xr:uid="{0F4D85AF-694C-4EA0-81C9-5193A260BAE4}"/>
    <cellStyle name="40 % - Akzent2" xfId="5604" hidden="1" xr:uid="{CABF694D-B114-4F89-A967-A207C51B4F29}"/>
    <cellStyle name="40 % - Akzent2" xfId="5675" hidden="1" xr:uid="{B25A9B43-573C-4B0E-B8C9-A17DF1ACD0C5}"/>
    <cellStyle name="40 % - Akzent2" xfId="5773" hidden="1" xr:uid="{C0B7225B-9C63-45D3-84C5-715C734F8F06}"/>
    <cellStyle name="40 % - Akzent2" xfId="2279" hidden="1" xr:uid="{36B9C703-90CC-49B7-A058-45BBAFC956B9}"/>
    <cellStyle name="40 % - Akzent2" xfId="5923" hidden="1" xr:uid="{3A67118B-1D0D-4A4D-BE05-748CBB8DFF56}"/>
    <cellStyle name="40 % - Akzent2" xfId="6053" hidden="1" xr:uid="{8F33A821-F44D-424E-8B59-36F612CE6915}"/>
    <cellStyle name="40 % - Akzent2" xfId="6199" hidden="1" xr:uid="{6B48299E-4C7B-4F19-B5E9-C268696E36E5}"/>
    <cellStyle name="40 % - Akzent2" xfId="6537" hidden="1" xr:uid="{A39D1BA0-5E09-42FB-B7E7-A320DFB1040D}"/>
    <cellStyle name="40 % - Akzent2" xfId="6506" hidden="1" xr:uid="{28A67EA3-0E4E-461A-A874-3FE59DA07DA9}"/>
    <cellStyle name="40 % - Akzent2" xfId="1851" hidden="1" xr:uid="{F8D20EC6-FF66-449F-A30D-8478BD18F094}"/>
    <cellStyle name="40 % - Akzent2" xfId="2800" hidden="1" xr:uid="{9B6E592E-6A8B-4C56-8D15-9F8460A13EB9}"/>
    <cellStyle name="40 % - Akzent2" xfId="2254" hidden="1" xr:uid="{DD91FE9F-5818-41E7-B8CF-24450414A512}"/>
    <cellStyle name="40 % - Akzent2" xfId="2034" hidden="1" xr:uid="{AC827DA5-F62F-4FE0-996E-FA1C4959BDA9}"/>
    <cellStyle name="40 % - Akzent2" xfId="3586" hidden="1" xr:uid="{CA47C0A5-2F1A-446A-BBB4-B2A479693ED7}"/>
    <cellStyle name="40 % - Akzent2" xfId="3455" hidden="1" xr:uid="{9DC50A31-C44B-4214-BEF4-81F76447DE48}"/>
    <cellStyle name="40 % - Akzent2" xfId="3252" hidden="1" xr:uid="{AEA5004A-D0CA-423F-B753-29BDE1AD33FA}"/>
    <cellStyle name="40 % - Akzent2" xfId="3664" hidden="1" xr:uid="{F79B3883-25D9-4625-AFC3-32043CB50E02}"/>
    <cellStyle name="40 % - Akzent2" xfId="1395" hidden="1" xr:uid="{B46837C1-5C12-462E-B760-0D59F3DEF737}"/>
    <cellStyle name="40 % - Akzent2" xfId="1470" hidden="1" xr:uid="{82CD9350-D756-4AB8-98AE-47A0F10199C6}"/>
    <cellStyle name="40 % - Akzent2" xfId="1879" hidden="1" xr:uid="{22CBEB6D-E4F8-4331-88B2-FE4B45E1372F}"/>
    <cellStyle name="40 % - Akzent2" xfId="2119" hidden="1" xr:uid="{FD06347C-D413-4839-9D85-996597256E79}"/>
    <cellStyle name="40 % - Akzent2" xfId="901" hidden="1" xr:uid="{F0FC1111-89A4-48D5-A1FC-958CFF3809F7}"/>
    <cellStyle name="40 % - Akzent2" xfId="991" hidden="1" xr:uid="{CCCAB30D-7BBE-4D58-B7E2-B1543F40DA0C}"/>
    <cellStyle name="40 % - Akzent2" xfId="54" hidden="1" xr:uid="{BB7658DE-5FC8-44DA-8DD0-864E1D7978A5}"/>
    <cellStyle name="40 % - Akzent2 2" xfId="380" xr:uid="{CAA25B9B-C8CC-40A0-9389-8BD1DA02B807}"/>
    <cellStyle name="40 % - Akzent2 3" xfId="249" xr:uid="{AE7A220D-FAE0-4FFF-9EA4-425BFB48CD15}"/>
    <cellStyle name="40 % - Akzent3" xfId="24075" hidden="1" xr:uid="{B13A08EB-4BDE-49A6-B6E1-66A974632930}"/>
    <cellStyle name="40 % - Akzent3" xfId="24161" hidden="1" xr:uid="{B2040FC1-007B-4319-9DA2-77AE4C078AC5}"/>
    <cellStyle name="40 % - Akzent3" xfId="24437" hidden="1" xr:uid="{547CCFCD-F05C-4DDA-83B5-4CCC0714833C}"/>
    <cellStyle name="40 % - Akzent3" xfId="24257" hidden="1" xr:uid="{5EC7FFA6-0831-4EA5-8E60-207F7A884ED3}"/>
    <cellStyle name="40 % - Akzent3" xfId="24420" hidden="1" xr:uid="{89ADF7DC-325E-4A92-BC4F-FA2F9D0C6B29}"/>
    <cellStyle name="40 % - Akzent3" xfId="25512" hidden="1" xr:uid="{24024D85-F981-421A-B36B-A1A8D4D7F3C5}"/>
    <cellStyle name="40 % - Akzent3" xfId="25298" hidden="1" xr:uid="{002658A9-68D9-48AF-8350-9F30F4C76584}"/>
    <cellStyle name="40 % - Akzent3" xfId="25942" hidden="1" xr:uid="{486B7402-6B8E-457B-B6DB-70C85FA32DF7}"/>
    <cellStyle name="40 % - Akzent3" xfId="26259" hidden="1" xr:uid="{2A8AE14A-09E0-4993-94AC-D7C07EFA3176}"/>
    <cellStyle name="40 % - Akzent3" xfId="26617" hidden="1" xr:uid="{7C911CAB-FB14-48CE-B546-EE8904460236}"/>
    <cellStyle name="40 % - Akzent3" xfId="26412" hidden="1" xr:uid="{BE608992-B5FA-43D1-93A6-C58807BEF32C}"/>
    <cellStyle name="40 % - Akzent3" xfId="26674" hidden="1" xr:uid="{E8ECE8CD-D01F-4C88-88B6-0E0A2609F713}"/>
    <cellStyle name="40 % - Akzent3" xfId="25323" hidden="1" xr:uid="{587023A0-3C82-40FC-958A-9CE5BE6BF26D}"/>
    <cellStyle name="40 % - Akzent3" xfId="26803" hidden="1" xr:uid="{28309FCE-FED1-4B27-A6E8-C85FA4DCA6AB}"/>
    <cellStyle name="40 % - Akzent3" xfId="27211" hidden="1" xr:uid="{D46D3233-73CE-4776-8CFD-630869B02758}"/>
    <cellStyle name="40 % - Akzent3" xfId="27617" hidden="1" xr:uid="{E54B20AC-5133-4A1B-948F-255B85AC3EA8}"/>
    <cellStyle name="40 % - Akzent3" xfId="27849" hidden="1" xr:uid="{4FE0B613-C0B8-400A-8B68-5B7A878F7B78}"/>
    <cellStyle name="40 % - Akzent3" xfId="27855" hidden="1" xr:uid="{FF8757CF-C0D7-424A-B4BB-347883816ADD}"/>
    <cellStyle name="40 % - Akzent3" xfId="27876" hidden="1" xr:uid="{5D81D56E-482E-4FB4-A71E-455EB381393B}"/>
    <cellStyle name="40 % - Akzent3" xfId="27638" hidden="1" xr:uid="{2D218CE1-5000-4F54-BF13-B781693932FC}"/>
    <cellStyle name="40 % - Akzent3" xfId="27953" hidden="1" xr:uid="{E771FF05-8D49-4468-81B1-D342FB23AA71}"/>
    <cellStyle name="40 % - Akzent3" xfId="28168" hidden="1" xr:uid="{56390897-5E8A-4558-A17C-F9D26341DEAE}"/>
    <cellStyle name="40 % - Akzent3" xfId="28131" hidden="1" xr:uid="{0BE60733-B54A-4AE4-B29C-75FFD2E7A584}"/>
    <cellStyle name="40 % - Akzent3" xfId="29246" hidden="1" xr:uid="{269F5C42-DCE9-4B51-864C-9691736687CA}"/>
    <cellStyle name="40 % - Akzent3" xfId="28234" hidden="1" xr:uid="{9DBDB78B-098E-40A5-907A-820F0CC5C165}"/>
    <cellStyle name="40 % - Akzent3" xfId="28048" hidden="1" xr:uid="{BA95AC3A-19B3-49B3-815F-9E09F509EB47}"/>
    <cellStyle name="40 % - Akzent3" xfId="29422" hidden="1" xr:uid="{0F04A3C2-6EFD-43E9-80CA-AEB64BFD402C}"/>
    <cellStyle name="40 % - Akzent3" xfId="29521" hidden="1" xr:uid="{056F5CEA-F9F6-4962-AE25-89DFA15B54A7}"/>
    <cellStyle name="40 % - Akzent3" xfId="28761" hidden="1" xr:uid="{A8285974-5CD3-4381-83F8-21FDE08CFA7C}"/>
    <cellStyle name="40 % - Akzent3" xfId="28277" hidden="1" xr:uid="{BEEEB1A4-BBC8-4C30-A111-9E16B80F9E9B}"/>
    <cellStyle name="40 % - Akzent3" xfId="31469" hidden="1" xr:uid="{85D9F732-BAB8-4484-8933-871252592C54}"/>
    <cellStyle name="40 % - Akzent3" xfId="32317" hidden="1" xr:uid="{FF857968-7374-4A33-A7BF-C71B6D745456}"/>
    <cellStyle name="40 % - Akzent3" xfId="31520" hidden="1" xr:uid="{B66D91DD-DDFE-4E07-90EF-43FB0988A5EB}"/>
    <cellStyle name="40 % - Akzent3" xfId="31549" hidden="1" xr:uid="{1FA8E0F7-5C98-4BC5-BEF5-AD0A1222B37D}"/>
    <cellStyle name="40 % - Akzent3" xfId="31923" hidden="1" xr:uid="{B4C47A71-283D-4C53-BE7A-0E1F37D937C9}"/>
    <cellStyle name="40 % - Akzent3" xfId="31727" hidden="1" xr:uid="{E895C893-1F24-4EFD-8095-0560D29169C3}"/>
    <cellStyle name="40 % - Akzent3" xfId="26793" hidden="1" xr:uid="{02A8AF82-50DC-412F-BEFD-C18E4FCC4D5F}"/>
    <cellStyle name="40 % - Akzent3" xfId="24078" hidden="1" xr:uid="{7968CE16-1FC1-4185-9A7E-34C0C80A083C}"/>
    <cellStyle name="40 % - Akzent3" xfId="11154" hidden="1" xr:uid="{59AB30DE-957E-4D9A-A4A9-70002E648E54}"/>
    <cellStyle name="40 % - Akzent3" xfId="10647" hidden="1" xr:uid="{E48DF179-3126-4B1F-BCEE-AB01AAB80DF2}"/>
    <cellStyle name="40 % - Akzent3" xfId="10753" hidden="1" xr:uid="{EB85D19D-F7AA-47A1-8F1A-7758525B81BA}"/>
    <cellStyle name="40 % - Akzent3" xfId="10836" hidden="1" xr:uid="{5FBC332E-ED9B-47B2-A5A0-CC8F0A47A00C}"/>
    <cellStyle name="40 % - Akzent3" xfId="10973" hidden="1" xr:uid="{FC103128-299D-4F69-A7AD-E65404F780C5}"/>
    <cellStyle name="40 % - Akzent3" xfId="11159" hidden="1" xr:uid="{D2ACC27F-F3C8-4635-9442-5B0BF3C16949}"/>
    <cellStyle name="40 % - Akzent3" xfId="11415" hidden="1" xr:uid="{1612CBC5-F550-49A5-AB84-C5234B952529}"/>
    <cellStyle name="40 % - Akzent3" xfId="11650" hidden="1" xr:uid="{0639D592-AE4F-48DE-82FE-5DC116140E6D}"/>
    <cellStyle name="40 % - Akzent3" xfId="11614" hidden="1" xr:uid="{295E4CAD-BDCA-488F-8769-D9BE3C5223F5}"/>
    <cellStyle name="40 % - Akzent3" xfId="11555" hidden="1" xr:uid="{74E358BF-C9CF-4998-9073-27C0DA203559}"/>
    <cellStyle name="40 % - Akzent3" xfId="13201" hidden="1" xr:uid="{2E5AA544-B4B2-4861-A40E-75E0D0841D4D}"/>
    <cellStyle name="40 % - Akzent3" xfId="13669" hidden="1" xr:uid="{D2593E66-A241-4771-AE62-A1B29985A5F2}"/>
    <cellStyle name="40 % - Akzent3" xfId="13680" hidden="1" xr:uid="{46F7BBEF-6323-490C-85D6-7E4670DE047A}"/>
    <cellStyle name="40 % - Akzent3" xfId="14275" hidden="1" xr:uid="{B460712C-A877-4ACC-A791-B83A2C489B65}"/>
    <cellStyle name="40 % - Akzent3" xfId="13793" hidden="1" xr:uid="{244E1DD4-A606-4D6E-8592-D916536362EA}"/>
    <cellStyle name="40 % - Akzent3" xfId="14839" hidden="1" xr:uid="{2FDD397B-3D8C-4C47-87AC-CD90D3BCF195}"/>
    <cellStyle name="40 % - Akzent3" xfId="14664" hidden="1" xr:uid="{978C03AB-3713-467B-A368-BD91F1D4A3BF}"/>
    <cellStyle name="40 % - Akzent3" xfId="15252" hidden="1" xr:uid="{A0CA7F21-B53D-4D3C-B8FB-65CC59788934}"/>
    <cellStyle name="40 % - Akzent3" xfId="15248" hidden="1" xr:uid="{F710BF05-3C7E-4A8F-B5D3-FE5FD630B9F5}"/>
    <cellStyle name="40 % - Akzent3" xfId="14551" hidden="1" xr:uid="{A8B84A67-4007-4A0B-BA35-5DCCA02EE763}"/>
    <cellStyle name="40 % - Akzent3" xfId="14529" hidden="1" xr:uid="{9C235F35-F198-4B93-AD16-D6C2CFC7AE97}"/>
    <cellStyle name="40 % - Akzent3" xfId="14623" hidden="1" xr:uid="{EC18E5D6-DCC9-45E3-B9D9-46C0097FCA7E}"/>
    <cellStyle name="40 % - Akzent3" xfId="15663" hidden="1" xr:uid="{24D751B4-AC37-4864-84F0-BDF0CDF161ED}"/>
    <cellStyle name="40 % - Akzent3" xfId="15016" hidden="1" xr:uid="{EBD0B1B6-2F3C-4C72-B900-FC2C7C7AB588}"/>
    <cellStyle name="40 % - Akzent3" xfId="13997" hidden="1" xr:uid="{F7A2BDF4-DDB0-4800-B44F-D689085AE387}"/>
    <cellStyle name="40 % - Akzent3" xfId="15648" hidden="1" xr:uid="{741D5D52-8881-4238-9B86-84AAE67EE333}"/>
    <cellStyle name="40 % - Akzent3" xfId="15777" hidden="1" xr:uid="{624A71DC-7CFA-4E5E-949E-1B2061A9A1C4}"/>
    <cellStyle name="40 % - Akzent3" xfId="15563" hidden="1" xr:uid="{36343333-DE67-4172-9889-6919B74CD6BD}"/>
    <cellStyle name="40 % - Akzent3" xfId="14716" hidden="1" xr:uid="{3B29D1EC-01A8-4DA7-A63D-856CCD3F97B0}"/>
    <cellStyle name="40 % - Akzent3" xfId="15554" hidden="1" xr:uid="{AF54A9CA-D956-495F-9A34-A8271D45A11F}"/>
    <cellStyle name="40 % - Akzent3" xfId="16106" hidden="1" xr:uid="{9F1AE3FE-65A5-4AF7-90FD-98C37F939CAE}"/>
    <cellStyle name="40 % - Akzent3" xfId="16346" hidden="1" xr:uid="{1BF3097B-796F-4A84-AD57-70F75B2003BE}"/>
    <cellStyle name="40 % - Akzent3" xfId="17030" hidden="1" xr:uid="{FC7F7688-CE3E-4C5E-B251-B77AE9AFFE5F}"/>
    <cellStyle name="40 % - Akzent3" xfId="17125" hidden="1" xr:uid="{BEB64C27-7827-474E-A0C6-5C65D04ADA5B}"/>
    <cellStyle name="40 % - Akzent3" xfId="17478" hidden="1" xr:uid="{905F9BC8-B84C-4FB9-A935-535EA92B867C}"/>
    <cellStyle name="40 % - Akzent3" xfId="17104" hidden="1" xr:uid="{992A9123-60FF-4E57-9F20-F60AB8222148}"/>
    <cellStyle name="40 % - Akzent3" xfId="17908" hidden="1" xr:uid="{EF9AD2CB-3A98-4DB3-B1BE-5992C15DC5C0}"/>
    <cellStyle name="40 % - Akzent3" xfId="17924" hidden="1" xr:uid="{6C766C03-5737-4C3B-9AE2-E05936BFADF7}"/>
    <cellStyle name="40 % - Akzent3" xfId="18129" hidden="1" xr:uid="{E6EC4442-503E-4FB9-A03A-685475D85D57}"/>
    <cellStyle name="40 % - Akzent3" xfId="16051" hidden="1" xr:uid="{79E5587C-EA7B-49E6-893F-9E8D4B49609A}"/>
    <cellStyle name="40 % - Akzent3" xfId="16187" hidden="1" xr:uid="{633F8425-BB46-4C8E-BB8C-5A0C8D8C42B8}"/>
    <cellStyle name="40 % - Akzent3" xfId="18278" hidden="1" xr:uid="{803B2FEF-C6C1-465D-B6BA-4EADF2680830}"/>
    <cellStyle name="40 % - Akzent3" xfId="18819" hidden="1" xr:uid="{7FE5E2AB-0DF8-48BE-AA17-B668374099A6}"/>
    <cellStyle name="40 % - Akzent3" xfId="18983" hidden="1" xr:uid="{F320CBC6-4204-4D28-A7D2-14E3E1DC991E}"/>
    <cellStyle name="40 % - Akzent3" xfId="19078" hidden="1" xr:uid="{14E4910E-C22D-4140-9E15-61BA806BC707}"/>
    <cellStyle name="40 % - Akzent3" xfId="19185" hidden="1" xr:uid="{48740607-7463-47EA-AC11-0548639652D6}"/>
    <cellStyle name="40 % - Akzent3" xfId="19284" hidden="1" xr:uid="{AF1F1ABF-77D7-4FBC-BF67-C568524136F1}"/>
    <cellStyle name="40 % - Akzent3" xfId="19439" hidden="1" xr:uid="{510CC9D4-5E0D-4D01-9215-4E22667064BB}"/>
    <cellStyle name="40 % - Akzent3" xfId="19679" hidden="1" xr:uid="{D89A7473-B1E9-4588-86FE-7B75242677C6}"/>
    <cellStyle name="40 % - Akzent3" xfId="20382" hidden="1" xr:uid="{50ED3079-21A9-4D0D-81EF-6D32D70845B0}"/>
    <cellStyle name="40 % - Akzent3" xfId="19437" hidden="1" xr:uid="{C8EF6686-4298-465E-8FC7-71C9C06FE6CA}"/>
    <cellStyle name="40 % - Akzent3" xfId="20835" hidden="1" xr:uid="{EA0F3CFA-E635-4619-80DC-C58B1DDD221E}"/>
    <cellStyle name="40 % - Akzent3" xfId="20692" hidden="1" xr:uid="{1E3FFB57-BDF7-4C54-9A86-3C892A4FFE31}"/>
    <cellStyle name="40 % - Akzent3" xfId="21547" hidden="1" xr:uid="{FB6F3CD7-0913-4C45-942F-53453098D454}"/>
    <cellStyle name="40 % - Akzent3" xfId="21155" hidden="1" xr:uid="{53E4B1D7-11F6-44C1-8E7C-968CAC09D198}"/>
    <cellStyle name="40 % - Akzent3" xfId="21461" hidden="1" xr:uid="{015CD232-4C20-46E5-8049-2FDB905AC175}"/>
    <cellStyle name="40 % - Akzent3" xfId="21619" hidden="1" xr:uid="{FF068743-C92A-4F39-958C-509854CD2976}"/>
    <cellStyle name="40 % - Akzent3" xfId="21768" hidden="1" xr:uid="{FBD8E015-2A88-45C7-8FDB-D47C3AA35BAD}"/>
    <cellStyle name="40 % - Akzent3" xfId="20328" hidden="1" xr:uid="{00487057-17F2-4FBE-B145-8840F0B423B7}"/>
    <cellStyle name="40 % - Akzent3" xfId="22206" hidden="1" xr:uid="{1D515006-089F-42C7-968F-E867551F1278}"/>
    <cellStyle name="40 % - Akzent3" xfId="22336" hidden="1" xr:uid="{A9BFFAED-CD9B-441E-A122-8D72EEC36F18}"/>
    <cellStyle name="40 % - Akzent3" xfId="22656" hidden="1" xr:uid="{1E17FFA1-5E5D-4769-A0AF-49CEDFB4E971}"/>
    <cellStyle name="40 % - Akzent3" xfId="22669" hidden="1" xr:uid="{A4D38762-CF20-4F8F-8AD2-24A79BEB407C}"/>
    <cellStyle name="40 % - Akzent3" xfId="20484" hidden="1" xr:uid="{871F3C4C-062E-46EF-BC23-8A6494B35D2A}"/>
    <cellStyle name="40 % - Akzent3" xfId="23079" hidden="1" xr:uid="{6AA833B6-F476-4874-B771-5640937E5271}"/>
    <cellStyle name="40 % - Akzent3" xfId="23091" hidden="1" xr:uid="{442D2111-6276-41EA-B206-3CA3F1550A8F}"/>
    <cellStyle name="40 % - Akzent3" xfId="23270" hidden="1" xr:uid="{FC1251F5-A249-4293-8B0F-75E5FED7971E}"/>
    <cellStyle name="40 % - Akzent3" xfId="22728" hidden="1" xr:uid="{19973283-9CB7-422D-9EA7-C82A440A3431}"/>
    <cellStyle name="40 % - Akzent3" xfId="23611" hidden="1" xr:uid="{0AE875BE-CBE9-4F3E-A3C1-14FA1DD4C74B}"/>
    <cellStyle name="40 % - Akzent3" xfId="23050" hidden="1" xr:uid="{E997D280-8CA4-47F9-920A-99E46F90FFF9}"/>
    <cellStyle name="40 % - Akzent3" xfId="23089" hidden="1" xr:uid="{322F6E01-9E89-4613-AAAB-DCF22EFDCC1D}"/>
    <cellStyle name="40 % - Akzent3" xfId="22955" hidden="1" xr:uid="{98B8F9F1-AA81-44AB-89CA-E6503ADA06C1}"/>
    <cellStyle name="40 % - Akzent3" xfId="18806" hidden="1" xr:uid="{8D637625-1B88-4EAE-A075-8D1F68173375}"/>
    <cellStyle name="40 % - Akzent3" xfId="13652" hidden="1" xr:uid="{90C71D06-7BD7-4F26-842E-E7D58CA63627}"/>
    <cellStyle name="40 % - Akzent3" xfId="4897" hidden="1" xr:uid="{8C01917B-D53B-4B0A-BB1E-383A687A66E7}"/>
    <cellStyle name="40 % - Akzent3" xfId="6523" hidden="1" xr:uid="{8C3855E8-8C9D-4072-A340-6156F534CDF9}"/>
    <cellStyle name="40 % - Akzent3" xfId="6589" hidden="1" xr:uid="{AD5FAD05-3C38-4D4B-82E3-FAC8E224201D}"/>
    <cellStyle name="40 % - Akzent3" xfId="6795" hidden="1" xr:uid="{A9AAB203-F2C3-4C41-AD98-0C93BA5B72E3}"/>
    <cellStyle name="40 % - Akzent3" xfId="7024" hidden="1" xr:uid="{647EB268-E2A3-429B-BCCB-DD26C4D72CF3}"/>
    <cellStyle name="40 % - Akzent3" xfId="7703" hidden="1" xr:uid="{F26C6BDB-3738-4A09-800E-A3F6FF45FCEE}"/>
    <cellStyle name="40 % - Akzent3" xfId="7795" hidden="1" xr:uid="{F3885F8D-8F7E-4986-A92E-3109501B1154}"/>
    <cellStyle name="40 % - Akzent3" xfId="8125" hidden="1" xr:uid="{E8DB716A-FF3F-42BF-B056-13E8A2837186}"/>
    <cellStyle name="40 % - Akzent3" xfId="6965" hidden="1" xr:uid="{FB99E4E1-B77B-4B29-A08E-DF8826B9A129}"/>
    <cellStyle name="40 % - Akzent3" xfId="7169" hidden="1" xr:uid="{C1C4F2D6-D901-4743-A9C7-54150E89DBB1}"/>
    <cellStyle name="40 % - Akzent3" xfId="8225" hidden="1" xr:uid="{22A49BEB-E3B1-473C-B8E1-FC494A9B74A2}"/>
    <cellStyle name="40 % - Akzent3" xfId="8001" hidden="1" xr:uid="{F2BD4484-0195-4239-AD63-1118865183B0}"/>
    <cellStyle name="40 % - Akzent3" xfId="7006" hidden="1" xr:uid="{BCB017C2-2EDD-48C4-9199-4E6B515C4E16}"/>
    <cellStyle name="40 % - Akzent3" xfId="8207" hidden="1" xr:uid="{0CCEA8A0-20D6-40BD-A529-9E20E1A755D2}"/>
    <cellStyle name="40 % - Akzent3" xfId="7217" hidden="1" xr:uid="{046048F7-FB62-4066-AFEC-A0A2A54F21E9}"/>
    <cellStyle name="40 % - Akzent3" xfId="6895" hidden="1" xr:uid="{18242BAC-33FE-4370-967C-3F84E9B00024}"/>
    <cellStyle name="40 % - Akzent3" xfId="8195" hidden="1" xr:uid="{8FBD7C7C-5EAF-4709-B932-881F470ABE7C}"/>
    <cellStyle name="40 % - Akzent3" xfId="8343" hidden="1" xr:uid="{B3C3E969-0885-40C5-AF62-56D3BD493B47}"/>
    <cellStyle name="40 % - Akzent3" xfId="8021" hidden="1" xr:uid="{748FBE92-B33D-4345-93E4-FA6C1FDD8219}"/>
    <cellStyle name="40 % - Akzent3" xfId="8189" hidden="1" xr:uid="{B9D89DC9-4712-484D-AA01-636C21231BA1}"/>
    <cellStyle name="40 % - Akzent3" xfId="7864" hidden="1" xr:uid="{B44F2657-AB4B-416D-B542-111093F076F9}"/>
    <cellStyle name="40 % - Akzent3" xfId="8190" hidden="1" xr:uid="{F12C02DD-6E33-4ACD-BBE2-B4D7F84A7179}"/>
    <cellStyle name="40 % - Akzent3" xfId="8720" hidden="1" xr:uid="{3A72D255-F7A1-4598-89B8-BC4AD764EB39}"/>
    <cellStyle name="40 % - Akzent3" xfId="8772" hidden="1" xr:uid="{47C728B2-9123-4C93-8D36-2AB462AD7195}"/>
    <cellStyle name="40 % - Akzent3" xfId="8869" hidden="1" xr:uid="{6FB6C50F-49B8-4CE3-BCC1-0FB7A2CAFDF5}"/>
    <cellStyle name="40 % - Akzent3" xfId="8803" hidden="1" xr:uid="{5AF1A374-BA51-49B9-A1E3-DFC73D09BFE5}"/>
    <cellStyle name="40 % - Akzent3" xfId="9009" hidden="1" xr:uid="{FC368F4F-F47F-4602-9D7A-0280A4298277}"/>
    <cellStyle name="40 % - Akzent3" xfId="9237" hidden="1" xr:uid="{5928277C-CB57-47CE-B53F-CA0B46943B6F}"/>
    <cellStyle name="40 % - Akzent3" xfId="9917" hidden="1" xr:uid="{82B69F47-47B1-454A-8FD2-907539207CDC}"/>
    <cellStyle name="40 % - Akzent3" xfId="10009" hidden="1" xr:uid="{BF264A80-F992-44C4-9B04-3D245D8A603B}"/>
    <cellStyle name="40 % - Akzent3" xfId="10347" hidden="1" xr:uid="{53FB7513-8C08-4DCC-AB56-E9B58C3F7D5D}"/>
    <cellStyle name="40 % - Akzent3" xfId="9951" hidden="1" xr:uid="{531F6B3F-9862-4589-96AE-3EAA90750BEC}"/>
    <cellStyle name="40 % - Akzent3" xfId="10875" hidden="1" xr:uid="{D6BFBED0-4519-43F2-8376-491446E3A157}"/>
    <cellStyle name="40 % - Akzent3" xfId="10749" hidden="1" xr:uid="{F86082CB-918B-4B78-AAF8-D88A79D5F72F}"/>
    <cellStyle name="40 % - Akzent3" xfId="9880" hidden="1" xr:uid="{BD09843D-68A5-4177-8777-E8ED7E08AF53}"/>
    <cellStyle name="40 % - Akzent3" xfId="3728" hidden="1" xr:uid="{8413A616-999F-4569-BF99-6F98EC364DC6}"/>
    <cellStyle name="40 % - Akzent3" xfId="3720" hidden="1" xr:uid="{C5A9CF62-BE90-4A1E-9893-6B8CAC2C3B63}"/>
    <cellStyle name="40 % - Akzent3" xfId="4832" hidden="1" xr:uid="{B04DFFCC-2441-4391-A073-A59A53ADE6E1}"/>
    <cellStyle name="40 % - Akzent3" xfId="4799" hidden="1" xr:uid="{CE1D5699-AC33-4D92-B6B2-00F0165B370F}"/>
    <cellStyle name="40 % - Akzent3" xfId="5874" hidden="1" xr:uid="{CC2C98C0-B0EB-447A-B144-47D75AF3B2A1}"/>
    <cellStyle name="40 % - Akzent3" xfId="5055" hidden="1" xr:uid="{3959BED4-9BDA-4736-BB78-DD54B347D329}"/>
    <cellStyle name="40 % - Akzent3" xfId="3397" hidden="1" xr:uid="{902C2429-9CFF-41D7-9F4F-8682B8FFBF68}"/>
    <cellStyle name="40 % - Akzent3" xfId="5794" hidden="1" xr:uid="{ACA86CA3-18BD-4588-93E9-C758F654D1AB}"/>
    <cellStyle name="40 % - Akzent3" xfId="5877" hidden="1" xr:uid="{1A1EA9E3-B0BD-493A-84CA-58C4C018BA05}"/>
    <cellStyle name="40 % - Akzent3" xfId="6287" hidden="1" xr:uid="{55AC2867-60B1-4C46-8783-474BD2954AC5}"/>
    <cellStyle name="40 % - Akzent3" xfId="3271" hidden="1" xr:uid="{9375E10A-0A43-4571-8DC0-2CFD9A8DBBD1}"/>
    <cellStyle name="40 % - Akzent3" xfId="6186" hidden="1" xr:uid="{F4CC266F-FBE8-43C9-A5F6-919D576FD44F}"/>
    <cellStyle name="40 % - Akzent3" xfId="5942" hidden="1" xr:uid="{D407A65C-4216-42F6-97A8-D542FF384D8D}"/>
    <cellStyle name="40 % - Akzent3" xfId="6414" hidden="1" xr:uid="{DC5B8B8C-8245-4C04-9115-5172C91BA3F4}"/>
    <cellStyle name="40 % - Akzent3" xfId="6245" hidden="1" xr:uid="{2945A63F-51C7-4C64-BCD0-149A3C22FEA0}"/>
    <cellStyle name="40 % - Akzent3" xfId="6292" hidden="1" xr:uid="{F5931E68-9115-4CA5-9EA5-5A3F5F231C66}"/>
    <cellStyle name="40 % - Akzent3" xfId="6277" hidden="1" xr:uid="{9B05AEFF-0D6A-47C1-88FB-B1AA75101486}"/>
    <cellStyle name="40 % - Akzent3" xfId="3634" hidden="1" xr:uid="{3D8C9FB4-A4C2-4282-AAD6-8848FE1D2C90}"/>
    <cellStyle name="40 % - Akzent3" xfId="2835" hidden="1" xr:uid="{766D945B-B5B0-433F-B39C-4C9F251C7DD1}"/>
    <cellStyle name="40 % - Akzent3" xfId="2845" hidden="1" xr:uid="{0112AB63-26ED-4491-87EE-F478A8476296}"/>
    <cellStyle name="40 % - Akzent3" xfId="3299" hidden="1" xr:uid="{FA9514E2-6E14-4432-A224-9AC491CED373}"/>
    <cellStyle name="40 % - Akzent3" xfId="2773" hidden="1" xr:uid="{D8C41CE7-7BAE-49AA-B5AC-C4E5D1BCB8DC}"/>
    <cellStyle name="40 % - Akzent3" xfId="3192" hidden="1" xr:uid="{C8D8BB16-E7BD-4AC8-A38D-FB1E0065758E}"/>
    <cellStyle name="40 % - Akzent3" xfId="3210" hidden="1" xr:uid="{05ABAF2C-D34C-4ADD-8934-618619C9F9DA}"/>
    <cellStyle name="40 % - Akzent3" xfId="1825" hidden="1" xr:uid="{C948C156-BEBA-4169-806E-34AE95F11E39}"/>
    <cellStyle name="40 % - Akzent3" xfId="3497" hidden="1" xr:uid="{477D0058-C571-4D74-A5FE-F99A05D225EF}"/>
    <cellStyle name="40 % - Akzent3" xfId="1717" hidden="1" xr:uid="{B4D0CF0B-5265-4F90-B0A8-206DB36D7AC2}"/>
    <cellStyle name="40 % - Akzent3" xfId="1883" hidden="1" xr:uid="{FC9F7541-6EBC-4993-AFC2-E4F06B445FE5}"/>
    <cellStyle name="40 % - Akzent3" xfId="2318" hidden="1" xr:uid="{A8209E48-ABC1-45E4-9561-05E03C1B7578}"/>
    <cellStyle name="40 % - Akzent3" xfId="2818" hidden="1" xr:uid="{9CF3849C-18EC-4EAB-AA40-8E1891AF9A11}"/>
    <cellStyle name="40 % - Akzent3" xfId="962" hidden="1" xr:uid="{A107E949-65D5-4F38-9D50-062BA5610472}"/>
    <cellStyle name="40 % - Akzent3" xfId="1398" hidden="1" xr:uid="{E867C0AE-138D-4673-AEEE-CC895ED717BA}"/>
    <cellStyle name="40 % - Akzent3" xfId="904" hidden="1" xr:uid="{34736E43-686E-4033-86BA-33676ABF98DF}"/>
    <cellStyle name="40 % - Akzent3" xfId="57" hidden="1" xr:uid="{753232A9-9212-4054-B79B-6D0D98E69460}"/>
    <cellStyle name="40 % - Akzent3 2" xfId="381" xr:uid="{F74AA296-87D0-46BC-B934-2F7A2B494F0F}"/>
    <cellStyle name="40 % - Akzent3 3" xfId="250" xr:uid="{8D1F624A-A59A-421B-A3DE-D4EF9739334C}"/>
    <cellStyle name="40 % - Akzent4" xfId="26181" hidden="1" xr:uid="{6CB4FE03-3776-400B-9C48-F234A997DDC2}"/>
    <cellStyle name="40 % - Akzent4" xfId="26437" hidden="1" xr:uid="{ABB6E5A0-505E-4F13-AB50-653CE02D297F}"/>
    <cellStyle name="40 % - Akzent4" xfId="27222" hidden="1" xr:uid="{7E09C744-D1B6-46E3-9A5A-A69AE171AAAA}"/>
    <cellStyle name="40 % - Akzent4" xfId="27734" hidden="1" xr:uid="{BB01C22B-233E-4C61-8712-83B99D2E13DC}"/>
    <cellStyle name="40 % - Akzent4" xfId="27703" hidden="1" xr:uid="{D01A678D-B839-458C-8DFB-6535099D9F78}"/>
    <cellStyle name="40 % - Akzent4" xfId="27872" hidden="1" xr:uid="{F65F44F1-E767-445D-BD29-25953F18EF94}"/>
    <cellStyle name="40 % - Akzent4" xfId="27866" hidden="1" xr:uid="{56D7E4D6-CE23-4DDF-ABFF-F636E899A338}"/>
    <cellStyle name="40 % - Akzent4" xfId="27851" hidden="1" xr:uid="{138FF985-5550-40ED-AE8E-5B3A3B991CE9}"/>
    <cellStyle name="40 % - Akzent4" xfId="27868" hidden="1" xr:uid="{7945C6C6-8E66-4E97-805D-939BF98CBBCA}"/>
    <cellStyle name="40 % - Akzent4" xfId="27957" hidden="1" xr:uid="{2A2565B9-3E7F-4EB9-B075-2A53837F130A}"/>
    <cellStyle name="40 % - Akzent4" xfId="28338" hidden="1" xr:uid="{AD13F451-AFC2-41C9-9EF4-0E57A5904596}"/>
    <cellStyle name="40 % - Akzent4" xfId="28811" hidden="1" xr:uid="{92B6DD75-D7A6-41D2-907B-EED68CC81991}"/>
    <cellStyle name="40 % - Akzent4" xfId="29417" hidden="1" xr:uid="{509C9F24-7D28-4C68-9C5D-77547A61D164}"/>
    <cellStyle name="40 % - Akzent4" xfId="29603" hidden="1" xr:uid="{D370787E-D069-4219-A2FA-62F6709F65AF}"/>
    <cellStyle name="40 % - Akzent4" xfId="28767" hidden="1" xr:uid="{82C13551-2718-4DDB-9027-7E6492BAC601}"/>
    <cellStyle name="40 % - Akzent4" xfId="29583" hidden="1" xr:uid="{CEDAA9DB-AE21-4D42-8EA7-EACCDB25C31D}"/>
    <cellStyle name="40 % - Akzent4" xfId="30973" hidden="1" xr:uid="{9DB01F7A-EA4C-468B-BC08-487D950FA463}"/>
    <cellStyle name="40 % - Akzent4" xfId="29509" hidden="1" xr:uid="{D652A6A2-DBDF-4CFE-AA70-970829DA1006}"/>
    <cellStyle name="40 % - Akzent4" xfId="31472" hidden="1" xr:uid="{04871F11-87A7-49DC-883E-6BC9EC49BFA1}"/>
    <cellStyle name="40 % - Akzent4" xfId="31615" hidden="1" xr:uid="{590C8825-C307-4A4F-A505-5FED1585D9B6}"/>
    <cellStyle name="40 % - Akzent4" xfId="32346" hidden="1" xr:uid="{EF4AA3CF-5130-47A8-B468-24332D761C6C}"/>
    <cellStyle name="40 % - Akzent4" xfId="32355" hidden="1" xr:uid="{0D8457DE-D368-4503-B6FD-83FF0F2690AB}"/>
    <cellStyle name="40 % - Akzent4" xfId="31709" hidden="1" xr:uid="{6326A18D-10C1-4C7D-8354-3C6009772A35}"/>
    <cellStyle name="40 % - Akzent4" xfId="32208" hidden="1" xr:uid="{E81554DF-14CC-497E-AD6F-E98443CD28C7}"/>
    <cellStyle name="40 % - Akzent4" xfId="29331" hidden="1" xr:uid="{3C00C58D-15B8-44C6-A85F-F0A3845557BE}"/>
    <cellStyle name="40 % - Akzent4" xfId="11419" hidden="1" xr:uid="{04C4E97C-8F74-41AF-A021-6EE97415A52B}"/>
    <cellStyle name="40 % - Akzent4" xfId="11849" hidden="1" xr:uid="{585BB2EC-24D8-49CF-9C81-06B074547FB4}"/>
    <cellStyle name="40 % - Akzent4" xfId="12329" hidden="1" xr:uid="{E2527043-3580-4EEB-8A85-BB32B6D39833}"/>
    <cellStyle name="40 % - Akzent4" xfId="11601" hidden="1" xr:uid="{3E09163F-DDF3-4BA2-BB37-B447B1E09F5C}"/>
    <cellStyle name="40 % - Akzent4" xfId="11843" hidden="1" xr:uid="{D87CEFE2-8AC5-4A22-B637-C33F9C269595}"/>
    <cellStyle name="40 % - Akzent4" xfId="13853" hidden="1" xr:uid="{76420F5F-B9CA-423C-8939-D7E7AE1ED16F}"/>
    <cellStyle name="40 % - Akzent4" xfId="13799" hidden="1" xr:uid="{84165168-2960-4BB0-8C4C-017208D5857C}"/>
    <cellStyle name="40 % - Akzent4" xfId="13995" hidden="1" xr:uid="{CC9AC238-AD89-4F52-BB98-8CCD699A14BB}"/>
    <cellStyle name="40 % - Akzent4" xfId="14164" hidden="1" xr:uid="{F5360C7A-587A-406F-86E0-7DF766AA0DF1}"/>
    <cellStyle name="40 % - Akzent4" xfId="14368" hidden="1" xr:uid="{77EAC78A-CBFB-40D7-89BA-752983886BF5}"/>
    <cellStyle name="40 % - Akzent4" xfId="14901" hidden="1" xr:uid="{C2EE8815-C8BB-4F95-BC6F-9F5076EAA334}"/>
    <cellStyle name="40 % - Akzent4" xfId="14589" hidden="1" xr:uid="{2F23D104-F748-4816-9B68-9E27F3FDC4BE}"/>
    <cellStyle name="40 % - Akzent4" xfId="15313" hidden="1" xr:uid="{3788E2C8-66B2-484A-A5B0-FB1C3AFEA177}"/>
    <cellStyle name="40 % - Akzent4" xfId="15254" hidden="1" xr:uid="{8FC2EFFC-4E79-45C2-A044-838CC8B552C0}"/>
    <cellStyle name="40 % - Akzent4" xfId="15372" hidden="1" xr:uid="{103EF5A0-774C-486F-9C22-71CEE395DE12}"/>
    <cellStyle name="40 % - Akzent4" xfId="15218" hidden="1" xr:uid="{D35D156D-B36D-4299-AD4E-605C217D0CB1}"/>
    <cellStyle name="40 % - Akzent4" xfId="15716" hidden="1" xr:uid="{5F099765-42F3-4A36-8CAF-47B878BCB8F1}"/>
    <cellStyle name="40 % - Akzent4" xfId="15735" hidden="1" xr:uid="{938BA7ED-44DB-4B5E-912D-570E44DCF511}"/>
    <cellStyle name="40 % - Akzent4" xfId="15168" hidden="1" xr:uid="{59A67E1C-CD12-45F6-9E09-27B2D890B937}"/>
    <cellStyle name="40 % - Akzent4" xfId="15688" hidden="1" xr:uid="{1E6FAE86-BEB5-4A9D-BD7C-C071FAE7500D}"/>
    <cellStyle name="40 % - Akzent4" xfId="14518" hidden="1" xr:uid="{94C39DF6-D1E7-4E23-95DF-1583212A315C}"/>
    <cellStyle name="40 % - Akzent4" xfId="15954" hidden="1" xr:uid="{8D291F62-0B19-4BDD-A39D-AB88BE006BB8}"/>
    <cellStyle name="40 % - Akzent4" xfId="15878" hidden="1" xr:uid="{81C4C2A1-8EB0-4EE9-96C8-11E6CB03422C}"/>
    <cellStyle name="40 % - Akzent4" xfId="16034" hidden="1" xr:uid="{37CD1B0D-1D06-42AE-A332-684A37536E0B}"/>
    <cellStyle name="40 % - Akzent4" xfId="16110" hidden="1" xr:uid="{B3EF14B7-C334-4930-BF5F-F814A9B70AE1}"/>
    <cellStyle name="40 % - Akzent4" xfId="16541" hidden="1" xr:uid="{82D2999D-FE1F-4A0D-8360-F425CA72386F}"/>
    <cellStyle name="40 % - Akzent4" xfId="17230" hidden="1" xr:uid="{2167031B-62D5-4A14-A027-AB3CD3F706AE}"/>
    <cellStyle name="40 % - Akzent4" xfId="17022" hidden="1" xr:uid="{D48BD9F9-303F-4880-940C-8A0E703D3473}"/>
    <cellStyle name="40 % - Akzent4" xfId="17674" hidden="1" xr:uid="{E0209CE0-7A24-4242-BEBE-2333EAD32210}"/>
    <cellStyle name="40 % - Akzent4" xfId="17572" hidden="1" xr:uid="{6850FA0A-CF0F-4563-B417-9A8906686956}"/>
    <cellStyle name="40 % - Akzent4" xfId="18093" hidden="1" xr:uid="{27730AC7-AA9C-4DD8-B65E-16484D3A86E9}"/>
    <cellStyle name="40 % - Akzent4" xfId="18045" hidden="1" xr:uid="{CEF77EA8-4F72-476B-B923-08C50726C741}"/>
    <cellStyle name="40 % - Akzent4" xfId="17915" hidden="1" xr:uid="{4B6D1B1D-9FF8-43DA-B5C2-A4813CE69B60}"/>
    <cellStyle name="40 % - Akzent4" xfId="18055" hidden="1" xr:uid="{7D072426-DE7C-4B7D-957E-5D4BB17EF75D}"/>
    <cellStyle name="40 % - Akzent4" xfId="17539" hidden="1" xr:uid="{9D97A7B4-779B-44A2-8025-B295CC700FBE}"/>
    <cellStyle name="40 % - Akzent4" xfId="18183" hidden="1" xr:uid="{B0A6C35B-159C-436A-B09C-104541B3EC8B}"/>
    <cellStyle name="40 % - Akzent4" xfId="18950" hidden="1" xr:uid="{056DB781-A347-4D8E-A290-B3B1394ECE08}"/>
    <cellStyle name="40 % - Akzent4" xfId="18915" hidden="1" xr:uid="{410211FE-646F-486A-98DC-FC840930EA15}"/>
    <cellStyle name="40 % - Akzent4" xfId="18811" hidden="1" xr:uid="{6F069D23-3FB1-4A3B-AFEF-C1E00186E85F}"/>
    <cellStyle name="40 % - Akzent4" xfId="18273" hidden="1" xr:uid="{A43D37D2-E753-46F0-AEA3-A95840ED3613}"/>
    <cellStyle name="40 % - Akzent4" xfId="19270" hidden="1" xr:uid="{92222757-D990-4A74-9A17-BA928E1A9330}"/>
    <cellStyle name="40 % - Akzent4" xfId="19211" hidden="1" xr:uid="{807AAC9A-377D-468E-8A46-8E4F8EC5BC27}"/>
    <cellStyle name="40 % - Akzent4" xfId="19443" hidden="1" xr:uid="{D01CD58B-96EB-4589-A75B-A5DAB41A0734}"/>
    <cellStyle name="40 % - Akzent4" xfId="19878" hidden="1" xr:uid="{A253D4ED-96E3-4F97-8B06-8DB170F3D3E7}"/>
    <cellStyle name="40 % - Akzent4" xfId="20583" hidden="1" xr:uid="{031AC9CA-2F33-4B81-8388-9B27CB173246}"/>
    <cellStyle name="40 % - Akzent4" xfId="21035" hidden="1" xr:uid="{59C69352-127F-4F5C-A851-42E3193C4096}"/>
    <cellStyle name="40 % - Akzent4" xfId="20931" hidden="1" xr:uid="{E41E991F-A5BF-4CC0-BD46-0DE42BC630D5}"/>
    <cellStyle name="40 % - Akzent4" xfId="21446" hidden="1" xr:uid="{77E395DB-0C72-4E23-8A25-45AB9A7BE125}"/>
    <cellStyle name="40 % - Akzent4" xfId="21550" hidden="1" xr:uid="{F9A63D53-3425-4CB5-819C-4C4BD520DC6C}"/>
    <cellStyle name="40 % - Akzent4" xfId="21025" hidden="1" xr:uid="{FE583AE5-8934-4B94-9581-0570DB2BF8F5}"/>
    <cellStyle name="40 % - Akzent4" xfId="21630" hidden="1" xr:uid="{FF07D9B4-B054-427D-A606-2D81654D497E}"/>
    <cellStyle name="40 % - Akzent4" xfId="21966" hidden="1" xr:uid="{503F302B-006E-43B1-8E46-3F9A8DA52D27}"/>
    <cellStyle name="40 % - Akzent4" xfId="21860" hidden="1" xr:uid="{DD9CE3C5-D33F-41D8-BA81-99DD80CDB144}"/>
    <cellStyle name="40 % - Akzent4" xfId="22398" hidden="1" xr:uid="{F186F459-1649-41CD-9B33-574F4B5BE508}"/>
    <cellStyle name="40 % - Akzent4" xfId="21928" hidden="1" xr:uid="{04937B52-EE6A-402D-89D5-668257FD8DB3}"/>
    <cellStyle name="40 % - Akzent4" xfId="22838" hidden="1" xr:uid="{4EF05745-823C-48A8-A03B-A110AEFE6F67}"/>
    <cellStyle name="40 % - Akzent4" xfId="22790" hidden="1" xr:uid="{2849F44F-10C1-4914-B716-E4CA5D703A9D}"/>
    <cellStyle name="40 % - Akzent4" xfId="22701" hidden="1" xr:uid="{560D61D6-CF59-4036-B22C-0E86ADDE3DC2}"/>
    <cellStyle name="40 % - Akzent4" xfId="23236" hidden="1" xr:uid="{7CBDBC4B-DC59-47F5-962E-E84A9E5F1F5B}"/>
    <cellStyle name="40 % - Akzent4" xfId="23196" hidden="1" xr:uid="{5C64C808-197B-4C2B-B525-13C52893435E}"/>
    <cellStyle name="40 % - Akzent4" xfId="23084" hidden="1" xr:uid="{85F532E8-2539-46C6-B78A-B5B83B8E0B1F}"/>
    <cellStyle name="40 % - Akzent4" xfId="22906" hidden="1" xr:uid="{9EB2BC18-150E-4BBF-926F-0ACD374C7962}"/>
    <cellStyle name="40 % - Akzent4" xfId="23549" hidden="1" xr:uid="{B194900D-8298-4048-AFC1-792DB12B7338}"/>
    <cellStyle name="40 % - Akzent4" xfId="23613" hidden="1" xr:uid="{8587A4D7-3E76-495F-AEC7-402B3171811F}"/>
    <cellStyle name="40 % - Akzent4" xfId="23406" hidden="1" xr:uid="{019BBBB8-26FD-45FB-A10D-8C5A355333AE}"/>
    <cellStyle name="40 % - Akzent4" xfId="23568" hidden="1" xr:uid="{A76BEC07-792C-406C-A2D0-050366F1DD7B}"/>
    <cellStyle name="40 % - Akzent4" xfId="24087" hidden="1" xr:uid="{F8EB22EC-F6AE-4CE2-BFB0-04EBE5DF1F44}"/>
    <cellStyle name="40 % - Akzent4" xfId="24084" hidden="1" xr:uid="{999D117D-9077-4F79-A130-80FA764DE25F}"/>
    <cellStyle name="40 % - Akzent4" xfId="24165" hidden="1" xr:uid="{66FAC1B4-40DD-4853-A502-EFE46263CC06}"/>
    <cellStyle name="40 % - Akzent4" xfId="24435" hidden="1" xr:uid="{53A1E00C-232B-4EC9-ADEA-F5CB16E73811}"/>
    <cellStyle name="40 % - Akzent4" xfId="25364" hidden="1" xr:uid="{3A87F0CE-991B-4C72-80BF-67C5DB130DEE}"/>
    <cellStyle name="40 % - Akzent4" xfId="25225" hidden="1" xr:uid="{5C92B7B0-280F-4FD2-9272-90F29DF94729}"/>
    <cellStyle name="40 % - Akzent4" xfId="25508" hidden="1" xr:uid="{B632ECEC-33E9-44FC-B2E7-E51BD4F5E4C2}"/>
    <cellStyle name="40 % - Akzent4" xfId="26213" hidden="1" xr:uid="{2A9D31C2-983D-48DE-A0C8-060D6ED74DDC}"/>
    <cellStyle name="40 % - Akzent4" xfId="25350" hidden="1" xr:uid="{4D90DD45-040F-47AC-9CBF-2D46385B0B96}"/>
    <cellStyle name="40 % - Akzent4" xfId="24576" hidden="1" xr:uid="{B51F0388-6F1A-4F15-915A-740EA8FA4558}"/>
    <cellStyle name="40 % - Akzent4" xfId="26545" hidden="1" xr:uid="{2A88BA16-72F7-42AE-ABCF-5497B1C399A0}"/>
    <cellStyle name="40 % - Akzent4" xfId="25127" hidden="1" xr:uid="{F879B61E-3078-4C82-8FBF-DAA7D4EECE40}"/>
    <cellStyle name="40 % - Akzent4" xfId="26675" hidden="1" xr:uid="{EEB73CF7-AF16-4070-96B5-29F5F44BBB59}"/>
    <cellStyle name="40 % - Akzent4" xfId="20723" hidden="1" xr:uid="{55CABDB7-FE01-41E5-8D27-FDC59F6274B5}"/>
    <cellStyle name="40 % - Akzent4" xfId="15354" hidden="1" xr:uid="{262CF6B8-3188-4C57-A26C-4A0C3BBD4B3A}"/>
    <cellStyle name="40 % - Akzent4" xfId="6799" hidden="1" xr:uid="{517FF165-16EF-4807-B17F-1201F8829A07}"/>
    <cellStyle name="40 % - Akzent4" xfId="7219" hidden="1" xr:uid="{3E5AA20E-9E5D-4087-950C-574A81F512CA}"/>
    <cellStyle name="40 % - Akzent4" xfId="7898" hidden="1" xr:uid="{A5D15935-CB16-438A-99CE-E006B32589BB}"/>
    <cellStyle name="40 % - Akzent4" xfId="7694" hidden="1" xr:uid="{7F3E8FB1-B8AC-4EC8-9B38-253344044764}"/>
    <cellStyle name="40 % - Akzent4" xfId="8284" hidden="1" xr:uid="{78CC5F33-CCF0-4252-83F5-1C118376FEE2}"/>
    <cellStyle name="40 % - Akzent4" xfId="8269" hidden="1" xr:uid="{EAB5DFC1-8D92-4C1A-94AE-EFA0A4AE2EA2}"/>
    <cellStyle name="40 % - Akzent4" xfId="6833" hidden="1" xr:uid="{414D9A79-8B43-41C2-8C2F-249268F21AB6}"/>
    <cellStyle name="40 % - Akzent4" xfId="7762" hidden="1" xr:uid="{C74D8DEF-6AAD-4F05-A0F6-1BC0CCB4A9E0}"/>
    <cellStyle name="40 % - Akzent4" xfId="8434" hidden="1" xr:uid="{4997C3E8-627E-4718-BF9A-45876BD7D3A3}"/>
    <cellStyle name="40 % - Akzent4" xfId="6761" hidden="1" xr:uid="{36AA8B49-52FF-450C-85D0-E7083F5ED759}"/>
    <cellStyle name="40 % - Akzent4" xfId="8179" hidden="1" xr:uid="{1794ED2D-E319-4B78-9496-7DCBB042E3F7}"/>
    <cellStyle name="40 % - Akzent4" xfId="8162" hidden="1" xr:uid="{7A4E7FF6-F891-4272-9A2C-1156E116016A}"/>
    <cellStyle name="40 % - Akzent4" xfId="8312" hidden="1" xr:uid="{2AE5759F-D209-4FE8-AEE7-A151F38142DD}"/>
    <cellStyle name="40 % - Akzent4" xfId="8099" hidden="1" xr:uid="{EA149863-2E8C-4F32-9858-EFD5EBE7A025}"/>
    <cellStyle name="40 % - Akzent4" xfId="8384" hidden="1" xr:uid="{44DE149C-5626-4C5E-AAFE-2C7BFA233376}"/>
    <cellStyle name="40 % - Akzent4" xfId="7959" hidden="1" xr:uid="{7D53E473-CADD-47FB-A1E5-5CD3D131EB23}"/>
    <cellStyle name="40 % - Akzent4" xfId="6949" hidden="1" xr:uid="{C3C01DF1-05E4-4539-8C96-9A15CE6E2F12}"/>
    <cellStyle name="40 % - Akzent4" xfId="8551" hidden="1" xr:uid="{A0C5B314-D0D3-4A8A-83EB-2310C8B683A7}"/>
    <cellStyle name="40 % - Akzent4" xfId="8643" hidden="1" xr:uid="{8761F0F7-6119-4EFD-8604-AB7974642C20}"/>
    <cellStyle name="40 % - Akzent4" xfId="8816" hidden="1" xr:uid="{EDE95BE5-52ED-47BA-B401-7301C534DD73}"/>
    <cellStyle name="40 % - Akzent4" xfId="8808" hidden="1" xr:uid="{C1B5EE3D-62C9-416B-A549-41804A301E46}"/>
    <cellStyle name="40 % - Akzent4" xfId="8865" hidden="1" xr:uid="{CA90441C-7A73-4B9B-9CE3-893CC4D5899F}"/>
    <cellStyle name="40 % - Akzent4" xfId="7670" hidden="1" xr:uid="{C174A8A6-B72E-43F4-8E34-7C64EF738FC4}"/>
    <cellStyle name="40 % - Akzent4" xfId="9013" hidden="1" xr:uid="{CF2F2F8A-69AB-4014-979F-CCDE2222E816}"/>
    <cellStyle name="40 % - Akzent4" xfId="9432" hidden="1" xr:uid="{FD1BBAF5-F3B7-407E-B387-765735A3AF60}"/>
    <cellStyle name="40 % - Akzent4" xfId="10111" hidden="1" xr:uid="{5AED0F2B-03A3-49F6-8295-0A8D674DD2E6}"/>
    <cellStyle name="40 % - Akzent4" xfId="9910" hidden="1" xr:uid="{0AD1F445-B82B-43B7-A280-74163D6F68A3}"/>
    <cellStyle name="40 % - Akzent4" xfId="10525" hidden="1" xr:uid="{35EEFD51-8A8B-4694-99D5-C9DB37CD775C}"/>
    <cellStyle name="40 % - Akzent4" xfId="10432" hidden="1" xr:uid="{42EFB76F-4002-45F3-B33A-42CF35B13BB9}"/>
    <cellStyle name="40 % - Akzent4" xfId="10464" hidden="1" xr:uid="{46866873-B268-4132-AEA7-9BF9D17130CB}"/>
    <cellStyle name="40 % - Akzent4" xfId="10868" hidden="1" xr:uid="{EB5A8278-11EA-48AD-AF49-C4C6D3765A8B}"/>
    <cellStyle name="40 % - Akzent4" xfId="10440" hidden="1" xr:uid="{A8C5C936-FC59-4F62-9560-E819F47B0C02}"/>
    <cellStyle name="40 % - Akzent4" xfId="11101" hidden="1" xr:uid="{F0A7FD7F-0355-43B7-9213-CD8416FD8749}"/>
    <cellStyle name="40 % - Akzent4" xfId="10826" hidden="1" xr:uid="{F9040DEB-9E54-49C4-980A-2E9208302C99}"/>
    <cellStyle name="40 % - Akzent4" xfId="11002" hidden="1" xr:uid="{3D9C7333-D2B7-4EE3-87DE-1006AB46CFF5}"/>
    <cellStyle name="40 % - Akzent4" xfId="10731" hidden="1" xr:uid="{9565C897-487F-4753-BF83-5B82E6394014}"/>
    <cellStyle name="40 % - Akzent4" xfId="11133" hidden="1" xr:uid="{A777ABEE-9168-4F9D-A3C5-1FE67DAE90EF}"/>
    <cellStyle name="40 % - Akzent4" xfId="9007" hidden="1" xr:uid="{E1076784-F361-443E-BAEC-0A4F449C5763}"/>
    <cellStyle name="40 % - Akzent4" xfId="4949" hidden="1" xr:uid="{C5B30677-9ED5-4E7A-B3D2-8B7FB67A661C}"/>
    <cellStyle name="40 % - Akzent4" xfId="3686" hidden="1" xr:uid="{60F6B4E4-47BF-4BCC-AE4A-D0BFF8FDC091}"/>
    <cellStyle name="40 % - Akzent4" xfId="5146" hidden="1" xr:uid="{A8088A82-DBA6-47A2-86AD-2177BAF73946}"/>
    <cellStyle name="40 % - Akzent4" xfId="5936" hidden="1" xr:uid="{E308CD63-97F3-442D-8038-72C32480B42F}"/>
    <cellStyle name="40 % - Akzent4" xfId="5955" hidden="1" xr:uid="{9D917502-7F95-4C8F-AFDF-486000BE5D37}"/>
    <cellStyle name="40 % - Akzent4" xfId="5974" hidden="1" xr:uid="{F419A208-E083-4D14-9AEF-EA1CE76C6003}"/>
    <cellStyle name="40 % - Akzent4" xfId="5994" hidden="1" xr:uid="{07954A3E-2F3A-49CE-AC37-78137AAFC8CF}"/>
    <cellStyle name="40 % - Akzent4" xfId="4933" hidden="1" xr:uid="{5FF32F3A-A234-482C-80E3-E2376BE22849}"/>
    <cellStyle name="40 % - Akzent4" xfId="6341" hidden="1" xr:uid="{7BC1EC18-276B-412A-81A2-896E05388E38}"/>
    <cellStyle name="40 % - Akzent4" xfId="6356" hidden="1" xr:uid="{FD1C2454-2253-403A-9964-0DADE9D1C036}"/>
    <cellStyle name="40 % - Akzent4" xfId="5648" hidden="1" xr:uid="{931205D6-3B0E-4567-BA5C-0E55589E3BC7}"/>
    <cellStyle name="40 % - Akzent4" xfId="6583" hidden="1" xr:uid="{654D89D9-DD7D-4014-89E7-E0A5C28E10F5}"/>
    <cellStyle name="40 % - Akzent4" xfId="1963" hidden="1" xr:uid="{008BA4AA-9F8E-44CA-BA76-D760DB605DB8}"/>
    <cellStyle name="40 % - Akzent4" xfId="6402" hidden="1" xr:uid="{AB2E64F9-0650-4AC3-BF01-4292B1388ECC}"/>
    <cellStyle name="40 % - Akzent4" xfId="6566" hidden="1" xr:uid="{C8A977AA-1BE1-4740-8A91-DAC4CC9C6B79}"/>
    <cellStyle name="40 % - Akzent4" xfId="5857" hidden="1" xr:uid="{469D1263-5DA5-4C88-8D71-C26A8DDF4CFD}"/>
    <cellStyle name="40 % - Akzent4" xfId="6401" hidden="1" xr:uid="{231E0B21-A4CC-4A51-B41B-570532147C02}"/>
    <cellStyle name="40 % - Akzent4" xfId="6521" hidden="1" xr:uid="{5BC59791-08E9-4445-84E5-74E2767AC635}"/>
    <cellStyle name="40 % - Akzent4" xfId="6470" hidden="1" xr:uid="{0123B55A-5E30-4707-90FF-FAD5CDA98F5C}"/>
    <cellStyle name="40 % - Akzent4" xfId="3166" hidden="1" xr:uid="{89FD0760-CC46-4682-8BBA-8B1582BEB3B1}"/>
    <cellStyle name="40 % - Akzent4" xfId="3501" hidden="1" xr:uid="{DB675007-1D4F-4804-8D61-4B73BF15969D}"/>
    <cellStyle name="40 % - Akzent4" xfId="3473" hidden="1" xr:uid="{4DA475EF-9AF8-4ACF-A81F-03753088A78B}"/>
    <cellStyle name="40 % - Akzent4" xfId="2327" hidden="1" xr:uid="{C096F97F-E314-4871-B51C-7441A642E754}"/>
    <cellStyle name="40 % - Akzent4" xfId="3615" hidden="1" xr:uid="{5C3393FB-4109-49F5-836E-9F3B649BC164}"/>
    <cellStyle name="40 % - Akzent4" xfId="3045" hidden="1" xr:uid="{A69622B7-5B87-4CDD-9D74-97C3A85B4A22}"/>
    <cellStyle name="40 % - Akzent4" xfId="2847" hidden="1" xr:uid="{5D393338-BCF0-45FE-995E-3FEDDFC0A9BA}"/>
    <cellStyle name="40 % - Akzent4" xfId="1918" hidden="1" xr:uid="{E95864A4-8DB2-493F-914B-866E6CADAF30}"/>
    <cellStyle name="40 % - Akzent4" xfId="3643" hidden="1" xr:uid="{EE29F5DA-FC0E-475D-9BD1-6700779C442C}"/>
    <cellStyle name="40 % - Akzent4" xfId="1750" hidden="1" xr:uid="{6E28945A-6DBC-4A46-A59E-3E219D7B25A8}"/>
    <cellStyle name="40 % - Akzent4" xfId="1887" hidden="1" xr:uid="{8A436DAD-3113-4AF2-B928-2C1AD876103A}"/>
    <cellStyle name="40 % - Akzent4" xfId="2162" hidden="1" xr:uid="{06E46CF7-E67D-44EE-8DB5-3BCB3F538D49}"/>
    <cellStyle name="40 % - Akzent4" xfId="3019" hidden="1" xr:uid="{04FDC4C1-5B0F-45AE-BA7B-69D144A5FD79}"/>
    <cellStyle name="40 % - Akzent4" xfId="2966" hidden="1" xr:uid="{0C028C52-2449-4D55-897F-C26997BEFFFE}"/>
    <cellStyle name="40 % - Akzent4" xfId="989" hidden="1" xr:uid="{B230F99E-E014-47C0-AEEF-BA689B426B61}"/>
    <cellStyle name="40 % - Akzent4" xfId="1401" hidden="1" xr:uid="{465AE0F8-35C8-49DF-8401-833B67C98E46}"/>
    <cellStyle name="40 % - Akzent4" xfId="907" hidden="1" xr:uid="{90E8AC1A-2FA9-45B9-99FE-C66678BBBE28}"/>
    <cellStyle name="40 % - Akzent4" xfId="60" hidden="1" xr:uid="{8C225A08-17D4-4E8B-9272-2EB92E443870}"/>
    <cellStyle name="40 % - Akzent4 2" xfId="382" xr:uid="{A3239340-E897-4D73-B3E6-731E19A73927}"/>
    <cellStyle name="40 % - Akzent4 3" xfId="251" xr:uid="{9933D03B-068B-470F-AE62-805188C6127E}"/>
    <cellStyle name="40 % - Akzent5" xfId="28002" hidden="1" xr:uid="{4125EEB3-4C21-4DA6-B101-0F9656B187E6}"/>
    <cellStyle name="40 % - Akzent5" xfId="29239" hidden="1" xr:uid="{C5387146-117D-44D7-91AC-305BFC2EC867}"/>
    <cellStyle name="40 % - Akzent5" xfId="29601" hidden="1" xr:uid="{DBAE5216-2C49-4844-8E26-9450806AC11B}"/>
    <cellStyle name="40 % - Akzent5" xfId="29340" hidden="1" xr:uid="{ADF5177C-0C35-46B7-B20C-92F62F578370}"/>
    <cellStyle name="40 % - Akzent5" xfId="30422" hidden="1" xr:uid="{0A1EDEDF-4147-41A5-B300-E747FE9012DA}"/>
    <cellStyle name="40 % - Akzent5" xfId="31014" hidden="1" xr:uid="{24951610-FAC8-4FC8-8E80-17B43C197067}"/>
    <cellStyle name="40 % - Akzent5" xfId="29525" hidden="1" xr:uid="{681FCB00-D847-40FE-9350-6C28303194AD}"/>
    <cellStyle name="40 % - Akzent5" xfId="31476" hidden="1" xr:uid="{6C835FCD-9D8E-45B2-A44F-8AA85530D33F}"/>
    <cellStyle name="40 % - Akzent5" xfId="31722" hidden="1" xr:uid="{568E16C9-2518-40A0-B3F8-69333091BE10}"/>
    <cellStyle name="40 % - Akzent5" xfId="31700" hidden="1" xr:uid="{155ED785-E0E5-45BF-BB29-4BDA6AF4A706}"/>
    <cellStyle name="40 % - Akzent5" xfId="32251" hidden="1" xr:uid="{C5A81A6C-62B9-473D-B8B2-35965696E6EB}"/>
    <cellStyle name="40 % - Akzent5" xfId="32173" hidden="1" xr:uid="{B1AE4CF1-F5EB-414A-8F4D-206F22BE5C1D}"/>
    <cellStyle name="40 % - Akzent5" xfId="31646" hidden="1" xr:uid="{6D3D86BC-1D86-45F5-9204-52311D7396D9}"/>
    <cellStyle name="40 % - Akzent5" xfId="13632" hidden="1" xr:uid="{310CD29E-E05E-46DD-A3B7-1487372B0C74}"/>
    <cellStyle name="40 % - Akzent5" xfId="13769" hidden="1" xr:uid="{8997CC36-1924-498A-AFAF-E4139D305784}"/>
    <cellStyle name="40 % - Akzent5" xfId="14191" hidden="1" xr:uid="{DD8AE78D-EDD4-4F58-AB89-600BCFB73C99}"/>
    <cellStyle name="40 % - Akzent5" xfId="14277" hidden="1" xr:uid="{D27308EE-B1FF-4036-9BDB-7C5C0095C4C7}"/>
    <cellStyle name="40 % - Akzent5" xfId="14105" hidden="1" xr:uid="{3358ED80-7820-42A0-A578-4A2FA98BDA51}"/>
    <cellStyle name="40 % - Akzent5" xfId="14252" hidden="1" xr:uid="{738713B7-3749-4F43-9448-4128B75764F7}"/>
    <cellStyle name="40 % - Akzent5" xfId="11705" hidden="1" xr:uid="{2F179209-EED6-4253-A5FE-69AC0336EA8C}"/>
    <cellStyle name="40 % - Akzent5" xfId="15115" hidden="1" xr:uid="{981F1DF9-9B18-49F7-BF06-960B28A2B90A}"/>
    <cellStyle name="40 % - Akzent5" xfId="15044" hidden="1" xr:uid="{64C9CF0F-511F-4B19-82CF-C7738E5FF597}"/>
    <cellStyle name="40 % - Akzent5" xfId="14088" hidden="1" xr:uid="{E25058FA-A50F-4676-A4EB-B3194A599FBD}"/>
    <cellStyle name="40 % - Akzent5" xfId="14420" hidden="1" xr:uid="{C4B76EFF-5E58-4830-AC96-E1AC193DB43B}"/>
    <cellStyle name="40 % - Akzent5" xfId="14972" hidden="1" xr:uid="{938B71BB-B3AD-4245-8259-A2A90EEBF5B1}"/>
    <cellStyle name="40 % - Akzent5" xfId="14870" hidden="1" xr:uid="{70F95FD9-B67C-4628-8B26-B9797E460A5D}"/>
    <cellStyle name="40 % - Akzent5" xfId="15442" hidden="1" xr:uid="{A1284E0E-11B2-4795-92CB-EEE274CCE152}"/>
    <cellStyle name="40 % - Akzent5" xfId="14718" hidden="1" xr:uid="{775E6A6E-ED4E-4918-BE14-D81554EC8A52}"/>
    <cellStyle name="40 % - Akzent5" xfId="15424" hidden="1" xr:uid="{0210975E-D9F9-48C2-80AA-1D911DC5EB68}"/>
    <cellStyle name="40 % - Akzent5" xfId="15990" hidden="1" xr:uid="{7257B894-144B-491F-98F2-6513FDC9B55D}"/>
    <cellStyle name="40 % - Akzent5" xfId="16037" hidden="1" xr:uid="{97CAB9B6-2801-4DC9-ABC4-0733A273EF65}"/>
    <cellStyle name="40 % - Akzent5" xfId="16114" hidden="1" xr:uid="{9C546103-2E3C-4472-A1B6-66F4BF3C5F70}"/>
    <cellStyle name="40 % - Akzent5" xfId="16388" hidden="1" xr:uid="{BDC13E79-3776-43CC-A374-469876DC16CE}"/>
    <cellStyle name="40 % - Akzent5" xfId="16406" hidden="1" xr:uid="{F55F579E-4EE4-47B5-940A-66E3D6A803CE}"/>
    <cellStyle name="40 % - Akzent5" xfId="16488" hidden="1" xr:uid="{1EF4DA42-00B4-4F2B-A635-865836D72181}"/>
    <cellStyle name="40 % - Akzent5" xfId="16141" hidden="1" xr:uid="{28BD6384-C3FA-4DEA-B484-2D1ED16527AE}"/>
    <cellStyle name="40 % - Akzent5" xfId="17469" hidden="1" xr:uid="{DF826872-75BC-4D1C-8B4C-DDF7F308A6B8}"/>
    <cellStyle name="40 % - Akzent5" xfId="17607" hidden="1" xr:uid="{BD8524FF-3BEA-411F-825F-B2443DE659B9}"/>
    <cellStyle name="40 % - Akzent5" xfId="17890" hidden="1" xr:uid="{E4F9092C-CC73-4E53-8682-8E1F701CBE32}"/>
    <cellStyle name="40 % - Akzent5" xfId="16265" hidden="1" xr:uid="{3D1EC955-9BD8-4818-A693-C1FF807FC4B4}"/>
    <cellStyle name="40 % - Akzent5" xfId="18017" hidden="1" xr:uid="{07CDE25E-92E7-4178-92C2-BBECB8CB1E08}"/>
    <cellStyle name="40 % - Akzent5" xfId="18178" hidden="1" xr:uid="{CCEBF5D8-1F5A-440E-A77B-4BE8D69AEDB6}"/>
    <cellStyle name="40 % - Akzent5" xfId="18363" hidden="1" xr:uid="{937F67AD-B0C6-480E-AC88-0482E7D59A26}"/>
    <cellStyle name="40 % - Akzent5" xfId="18086" hidden="1" xr:uid="{DE7CA019-A282-42AF-A760-BEA2BF5FF7C3}"/>
    <cellStyle name="40 % - Akzent5" xfId="18791" hidden="1" xr:uid="{20FEAF10-D536-4935-BE2A-9926106D6507}"/>
    <cellStyle name="40 % - Akzent5" xfId="16745" hidden="1" xr:uid="{1450BB30-FAE0-4A6C-8547-B225FE20B0DD}"/>
    <cellStyle name="40 % - Akzent5" xfId="18994" hidden="1" xr:uid="{F6C2218D-64B5-4908-8CE7-FEBC83451097}"/>
    <cellStyle name="40 % - Akzent5" xfId="17456" hidden="1" xr:uid="{37B96718-4807-463F-BF33-3839DF808ACB}"/>
    <cellStyle name="40 % - Akzent5" xfId="19178" hidden="1" xr:uid="{3BDBCE4D-8898-4D96-9962-1DDC8F95CEAD}"/>
    <cellStyle name="40 % - Akzent5" xfId="19447" hidden="1" xr:uid="{6E43187C-B344-44C2-8DE8-78D9B529137C}"/>
    <cellStyle name="40 % - Akzent5" xfId="19722" hidden="1" xr:uid="{1E13A201-1B77-4E9B-8145-5A455FDA70CC}"/>
    <cellStyle name="40 % - Akzent5" xfId="19741" hidden="1" xr:uid="{6C5450E0-E095-4573-AC40-DF8989FFEDB8}"/>
    <cellStyle name="40 % - Akzent5" xfId="20301" hidden="1" xr:uid="{901DE727-C845-41C9-98E5-3FAB44D288AA}"/>
    <cellStyle name="40 % - Akzent5" xfId="20541" hidden="1" xr:uid="{158BCADE-BFFC-409D-8DD4-F031B18FA863}"/>
    <cellStyle name="40 % - Akzent5" xfId="20827" hidden="1" xr:uid="{4BEEE75A-425E-4378-BD82-87A6C6127835}"/>
    <cellStyle name="40 % - Akzent5" xfId="21347" hidden="1" xr:uid="{B31414D6-E3B0-4CEA-9008-249DF00EE8F3}"/>
    <cellStyle name="40 % - Akzent5" xfId="21247" hidden="1" xr:uid="{EA1682CB-BD79-4592-A150-ECEAD585CDEA}"/>
    <cellStyle name="40 % - Akzent5" xfId="20928" hidden="1" xr:uid="{673C66D3-EA6B-4738-9B0C-9238C6BF0F08}"/>
    <cellStyle name="40 % - Akzent5" xfId="21651" hidden="1" xr:uid="{31351015-AF10-4CD0-AA93-000E7373CD13}"/>
    <cellStyle name="40 % - Akzent5" xfId="19830" hidden="1" xr:uid="{133C95F2-7BBE-4A45-A49C-9A2569BA1FF3}"/>
    <cellStyle name="40 % - Akzent5" xfId="21759" hidden="1" xr:uid="{F73D8DB8-D931-4142-BBA3-2D64E9AD76B4}"/>
    <cellStyle name="40 % - Akzent5" xfId="22013" hidden="1" xr:uid="{07844119-F96F-40D2-AD84-8BAC61912DAD}"/>
    <cellStyle name="40 % - Akzent5" xfId="21092" hidden="1" xr:uid="{5F10F7FE-B7C0-4668-8534-20B307661FDB}"/>
    <cellStyle name="40 % - Akzent5" xfId="22638" hidden="1" xr:uid="{636929E3-0FF8-4180-A693-AB844C44F496}"/>
    <cellStyle name="40 % - Akzent5" xfId="22377" hidden="1" xr:uid="{A8FFF556-2FEB-457B-A3D5-2B89DC10886F}"/>
    <cellStyle name="40 % - Akzent5" xfId="22835" hidden="1" xr:uid="{DFEC21A5-5CF7-435E-A491-6922C95E1F70}"/>
    <cellStyle name="40 % - Akzent5" xfId="23063" hidden="1" xr:uid="{AE12AE4B-0706-4193-8269-E9021937A2A6}"/>
    <cellStyle name="40 % - Akzent5" xfId="22934" hidden="1" xr:uid="{3E277F9C-A329-404A-80C5-C45BD1F3D16E}"/>
    <cellStyle name="40 % - Akzent5" xfId="23372" hidden="1" xr:uid="{F031FCF6-FD42-4C96-A4F5-74AD69DF434C}"/>
    <cellStyle name="40 % - Akzent5" xfId="23499" hidden="1" xr:uid="{DD800818-7E49-411A-B36A-72060C3F5077}"/>
    <cellStyle name="40 % - Akzent5" xfId="23446" hidden="1" xr:uid="{7902D65E-872E-4F5D-B587-50101D77DA59}"/>
    <cellStyle name="40 % - Akzent5" xfId="23497" hidden="1" xr:uid="{AF036589-BD52-48F1-8DA6-C8FEF3C889CD}"/>
    <cellStyle name="40 % - Akzent5" xfId="23697" hidden="1" xr:uid="{23BFC2BB-D075-46A7-B9FF-9ADBDCB5654A}"/>
    <cellStyle name="40 % - Akzent5" xfId="23597" hidden="1" xr:uid="{71420E0A-9CD0-4D93-9D58-0D2AAA269FF2}"/>
    <cellStyle name="40 % - Akzent5" xfId="24073" hidden="1" xr:uid="{88E823BE-FA06-44FD-8911-A508F84A1FAD}"/>
    <cellStyle name="40 % - Akzent5" xfId="24169" hidden="1" xr:uid="{EBBD487D-638E-4E9D-B0CD-8AA68580C6E0}"/>
    <cellStyle name="40 % - Akzent5" xfId="24413" hidden="1" xr:uid="{97D445BA-EE93-488A-AE6B-0B59DB0743BA}"/>
    <cellStyle name="40 % - Akzent5" xfId="25431" hidden="1" xr:uid="{92F91197-AB95-4E4E-9F93-857A42BD111A}"/>
    <cellStyle name="40 % - Akzent5" xfId="24997" hidden="1" xr:uid="{72DA285F-4A3A-4A7E-AA93-42B6EFFE7B09}"/>
    <cellStyle name="40 % - Akzent5" xfId="25510" hidden="1" xr:uid="{D4398DEE-0833-424D-BF88-5C93E30B5AA6}"/>
    <cellStyle name="40 % - Akzent5" xfId="26276" hidden="1" xr:uid="{1A1D6C4D-8EFC-4012-864E-37ADD2B039C4}"/>
    <cellStyle name="40 % - Akzent5" xfId="26297" hidden="1" xr:uid="{1E728D48-012E-48C0-BD79-63BA5B3F7F31}"/>
    <cellStyle name="40 % - Akzent5" xfId="24391" hidden="1" xr:uid="{478B7A97-E1B3-44C0-AA06-77241EDCF5A2}"/>
    <cellStyle name="40 % - Akzent5" xfId="26138" hidden="1" xr:uid="{78D136C2-BD4D-4C83-9645-CA51AA002DC0}"/>
    <cellStyle name="40 % - Akzent5" xfId="26363" hidden="1" xr:uid="{3A57B4ED-2408-421D-9E59-158990DD295F}"/>
    <cellStyle name="40 % - Akzent5" xfId="25496" hidden="1" xr:uid="{403E79D3-6C4D-48C3-B428-286939037361}"/>
    <cellStyle name="40 % - Akzent5" xfId="26473" hidden="1" xr:uid="{D55D94FF-10DB-42E9-B9A4-D154E2A1CF2A}"/>
    <cellStyle name="40 % - Akzent5" xfId="26483" hidden="1" xr:uid="{2188F30E-74CE-4353-A4C3-FD4436880F97}"/>
    <cellStyle name="40 % - Akzent5" xfId="27218" hidden="1" xr:uid="{AA8F8441-6A76-401F-8556-3888F684661F}"/>
    <cellStyle name="40 % - Akzent5" xfId="25286" hidden="1" xr:uid="{0EEC6CEC-A08C-46A7-9EF3-17086A903419}"/>
    <cellStyle name="40 % - Akzent5" xfId="27691" hidden="1" xr:uid="{4E4E65F0-DECC-4881-BF20-3A3F908B56CD}"/>
    <cellStyle name="40 % - Akzent5" xfId="27700" hidden="1" xr:uid="{058CFBAF-4198-4737-A2B9-7CE8B285DF03}"/>
    <cellStyle name="40 % - Akzent5" xfId="27790" hidden="1" xr:uid="{A989DEF7-582A-4D07-BDEF-D18DB46C3A64}"/>
    <cellStyle name="40 % - Akzent5" xfId="27862" hidden="1" xr:uid="{EEE3238A-AE20-4494-B622-13C1DFF65206}"/>
    <cellStyle name="40 % - Akzent5" xfId="27961" hidden="1" xr:uid="{51007C43-355D-4BA0-8D0E-9B72054AFABC}"/>
    <cellStyle name="40 % - Akzent5" xfId="28204" hidden="1" xr:uid="{736814CD-1D06-4027-8368-F5D3FE7F98C3}"/>
    <cellStyle name="40 % - Akzent5" xfId="28809" hidden="1" xr:uid="{82769EC1-38FD-4F9C-AF4D-95C8C92A26BD}"/>
    <cellStyle name="40 % - Akzent5" xfId="27847" hidden="1" xr:uid="{6E06A22C-4AE3-4BD3-87BA-17E38F4AE856}"/>
    <cellStyle name="40 % - Akzent5" xfId="21898" hidden="1" xr:uid="{0016E655-84A4-4EE9-967F-CEEBEA4DE261}"/>
    <cellStyle name="40 % - Akzent5" xfId="15188" hidden="1" xr:uid="{366B72E5-10D3-4CD9-91B6-F426FDD521F1}"/>
    <cellStyle name="40 % - Akzent5" xfId="7167" hidden="1" xr:uid="{0AF57FE9-0BB8-49F4-A5A0-65E371B3DDC3}"/>
    <cellStyle name="40 % - Akzent5" xfId="6828" hidden="1" xr:uid="{F16B60D3-B6C6-4059-AA31-2C5924E681A9}"/>
    <cellStyle name="40 % - Akzent5" xfId="8133" hidden="1" xr:uid="{D2C657E1-9F2B-420B-A87B-35D3B01F9EBA}"/>
    <cellStyle name="40 % - Akzent5" xfId="7707" hidden="1" xr:uid="{4D2F1C38-B819-48E1-A476-73451C8C679B}"/>
    <cellStyle name="40 % - Akzent5" xfId="6734" hidden="1" xr:uid="{A71EE47E-AE81-4440-A695-91B100CC05DC}"/>
    <cellStyle name="40 % - Akzent5" xfId="8136" hidden="1" xr:uid="{E23BC1CB-D7BB-4ECD-BBD6-A644C51D0F5C}"/>
    <cellStyle name="40 % - Akzent5" xfId="7165" hidden="1" xr:uid="{A25AF14F-97CC-4B41-9579-2BE2965D5A77}"/>
    <cellStyle name="40 % - Akzent5" xfId="8292" hidden="1" xr:uid="{DB1EF004-2773-48CE-BBC2-234704481BA1}"/>
    <cellStyle name="40 % - Akzent5" xfId="7679" hidden="1" xr:uid="{94026E27-ABAB-4897-98A5-C4A09C924698}"/>
    <cellStyle name="40 % - Akzent5" xfId="8410" hidden="1" xr:uid="{05559EC6-7BD4-49B0-AC53-C6BA87D7E5EC}"/>
    <cellStyle name="40 % - Akzent5" xfId="7125" hidden="1" xr:uid="{08495B6F-0CA8-4497-9310-5E6E91A93D4F}"/>
    <cellStyle name="40 % - Akzent5" xfId="6893" hidden="1" xr:uid="{6AC8CCB9-D41F-4C2F-9D55-89CE11A67F66}"/>
    <cellStyle name="40 % - Akzent5" xfId="8431" hidden="1" xr:uid="{6EAB0CC8-57B4-48A2-8F87-1FA41A4B7D46}"/>
    <cellStyle name="40 % - Akzent5" xfId="7650" hidden="1" xr:uid="{9B4CF000-B620-45F0-A68B-4F16D0E471E2}"/>
    <cellStyle name="40 % - Akzent5" xfId="7017" hidden="1" xr:uid="{98626197-17CA-41DC-BABC-2839D9AA4CA5}"/>
    <cellStyle name="40 % - Akzent5" xfId="6890" hidden="1" xr:uid="{C04264E8-250F-49B5-A57A-3F12A674D5D5}"/>
    <cellStyle name="40 % - Akzent5" xfId="8548" hidden="1" xr:uid="{2280368B-C2D0-42EA-A6D0-0D1B40016649}"/>
    <cellStyle name="40 % - Akzent5" xfId="8710" hidden="1" xr:uid="{8BF5970D-A9FA-4FD4-9C74-5F237749721C}"/>
    <cellStyle name="40 % - Akzent5" xfId="8503" hidden="1" xr:uid="{EBE70AE1-49DE-437C-A79E-877CE68900FC}"/>
    <cellStyle name="40 % - Akzent5" xfId="8847" hidden="1" xr:uid="{ABB43E37-D15C-49E0-8AED-D93B8E5A59F2}"/>
    <cellStyle name="40 % - Akzent5" xfId="9017" hidden="1" xr:uid="{DAE9E5B6-071D-4951-B208-EBCEE6194667}"/>
    <cellStyle name="40 % - Akzent5" xfId="9279" hidden="1" xr:uid="{ADC03821-460C-4B41-9B6A-695EF8E9D1AC}"/>
    <cellStyle name="40 % - Akzent5" xfId="9298" hidden="1" xr:uid="{27A2C99E-2801-4554-9790-79B395C7814A}"/>
    <cellStyle name="40 % - Akzent5" xfId="9382" hidden="1" xr:uid="{B35C0A86-6D81-4274-84D4-AFE208BFA677}"/>
    <cellStyle name="40 % - Akzent5" xfId="9153" hidden="1" xr:uid="{716E0AF2-05C2-4E33-AD63-1BABE1C0474F}"/>
    <cellStyle name="40 % - Akzent5" xfId="10340" hidden="1" xr:uid="{17FB1128-10D8-4EB2-9720-DE9FB5410904}"/>
    <cellStyle name="40 % - Akzent5" xfId="10937" hidden="1" xr:uid="{E4DEB8C1-1F8E-468A-8C54-6ACFB6DE107E}"/>
    <cellStyle name="40 % - Akzent5" xfId="9011" hidden="1" xr:uid="{AE620398-014E-4594-A990-E733A9707271}"/>
    <cellStyle name="40 % - Akzent5" xfId="10932" hidden="1" xr:uid="{85649379-F3AD-476A-BB09-F3CFB682D5F1}"/>
    <cellStyle name="40 % - Akzent5" xfId="11135" hidden="1" xr:uid="{F3D4C120-8568-45D1-9A1A-664004526757}"/>
    <cellStyle name="40 % - Akzent5" xfId="11273" hidden="1" xr:uid="{8E8EFAB8-E85B-4E5C-A1B5-74F7BBE9C617}"/>
    <cellStyle name="40 % - Akzent5" xfId="11287" hidden="1" xr:uid="{9702FF3C-CF0F-4F9D-A046-CB2CB0A884CE}"/>
    <cellStyle name="40 % - Akzent5" xfId="11298" hidden="1" xr:uid="{97E3D09D-4D1D-4820-9AC0-1FBA07A5A3AD}"/>
    <cellStyle name="40 % - Akzent5" xfId="11308" hidden="1" xr:uid="{2C101193-AE14-4851-86FC-7D3AB029D851}"/>
    <cellStyle name="40 % - Akzent5" xfId="11314" hidden="1" xr:uid="{8C57A5DE-C6A0-49E2-BC8A-7BB87E730BA4}"/>
    <cellStyle name="40 % - Akzent5" xfId="11423" hidden="1" xr:uid="{91F502A3-0B52-4272-AFA0-1C244AA34AC3}"/>
    <cellStyle name="40 % - Akzent5" xfId="11693" hidden="1" xr:uid="{44BA478C-F026-449B-AFA0-24BF49C897C3}"/>
    <cellStyle name="40 % - Akzent5" xfId="12327" hidden="1" xr:uid="{9262B2F1-BC4E-404F-A8E0-CF5553104C0E}"/>
    <cellStyle name="40 % - Akzent5" xfId="12760" hidden="1" xr:uid="{9DE49A09-565D-440C-877C-0ACA3BA295B3}"/>
    <cellStyle name="40 % - Akzent5" xfId="11525" hidden="1" xr:uid="{D20B6203-8CF8-4250-A97D-DDC78434C271}"/>
    <cellStyle name="40 % - Akzent5" xfId="11739" hidden="1" xr:uid="{E4B3A31F-2F02-4A9B-84A3-A667234B3040}"/>
    <cellStyle name="40 % - Akzent5" xfId="4219" hidden="1" xr:uid="{E62185FD-9AF7-4BA3-8925-A4606CE39777}"/>
    <cellStyle name="40 % - Akzent5" xfId="5143" hidden="1" xr:uid="{9E4AC17D-3DEB-4994-AF4C-8F670D401197}"/>
    <cellStyle name="40 % - Akzent5" xfId="4946" hidden="1" xr:uid="{C555C37D-2C2A-4297-AD64-DF260C297AF4}"/>
    <cellStyle name="40 % - Akzent5" xfId="3493" hidden="1" xr:uid="{0EE4150A-85C1-4C46-83F9-320EBD4B0B7E}"/>
    <cellStyle name="40 % - Akzent5" xfId="4796" hidden="1" xr:uid="{13CA85E0-EB03-465B-B9D3-7ECAFA044E79}"/>
    <cellStyle name="40 % - Akzent5" xfId="5800" hidden="1" xr:uid="{B908EA07-397E-4CA4-B122-C7D7BCD1D012}"/>
    <cellStyle name="40 % - Akzent5" xfId="5918" hidden="1" xr:uid="{BD970698-421F-4F35-A2A6-C15912116D48}"/>
    <cellStyle name="40 % - Akzent5" xfId="5914" hidden="1" xr:uid="{9792382C-D541-4F36-8CD4-877C87EFFF35}"/>
    <cellStyle name="40 % - Akzent5" xfId="5627" hidden="1" xr:uid="{E7739B66-B646-4233-90A4-DC27F75C1286}"/>
    <cellStyle name="40 % - Akzent5" xfId="6270" hidden="1" xr:uid="{96F75342-E25C-4E5D-B115-F17AE817241C}"/>
    <cellStyle name="40 % - Akzent5" xfId="6622" hidden="1" xr:uid="{A17D2392-5DDF-4D36-8709-FAA2C6142AAE}"/>
    <cellStyle name="40 % - Akzent5" xfId="6637" hidden="1" xr:uid="{A6E1E95D-1104-47BE-89D4-F2AC07655A7B}"/>
    <cellStyle name="40 % - Akzent5" xfId="6648" hidden="1" xr:uid="{112C7BC1-AC7B-40A8-9314-D3B5FEE3D4B0}"/>
    <cellStyle name="40 % - Akzent5" xfId="6660" hidden="1" xr:uid="{EA5C0683-BA60-4EEB-9906-9B2F856A18F2}"/>
    <cellStyle name="40 % - Akzent5" xfId="6670" hidden="1" xr:uid="{F5DB7EDB-6AD1-4619-ACC3-60C3A3233172}"/>
    <cellStyle name="40 % - Akzent5" xfId="6691" hidden="1" xr:uid="{F73701A3-E7BB-4ABD-A0F5-21917B552BAA}"/>
    <cellStyle name="40 % - Akzent5" xfId="6697" hidden="1" xr:uid="{F20E349B-7E51-4D46-993E-C8B1985EF2D8}"/>
    <cellStyle name="40 % - Akzent5" xfId="6803" hidden="1" xr:uid="{44278E97-66A7-4BD0-9754-5C0FDD8001B7}"/>
    <cellStyle name="40 % - Akzent5" xfId="7066" hidden="1" xr:uid="{71088021-9C3F-4F3D-A5E2-DE173AC3B725}"/>
    <cellStyle name="40 % - Akzent5" xfId="7084" hidden="1" xr:uid="{D432AF52-74C7-4803-BF89-04DCD855F1A4}"/>
    <cellStyle name="40 % - Akzent5" xfId="6681" hidden="1" xr:uid="{BAB2C9E0-21A4-4E7D-87DF-70458ED266E4}"/>
    <cellStyle name="40 % - Akzent5" xfId="2936" hidden="1" xr:uid="{D46F3892-0A95-4F40-A82D-F6E09A8D1ACE}"/>
    <cellStyle name="40 % - Akzent5" xfId="3067" hidden="1" xr:uid="{1B82F8C6-BBAB-4300-8B1B-D14FD52D3991}"/>
    <cellStyle name="40 % - Akzent5" xfId="3028" hidden="1" xr:uid="{710F8C5F-0D2B-477A-AB67-01D462461507}"/>
    <cellStyle name="40 % - Akzent5" xfId="3044" hidden="1" xr:uid="{4653E1B6-2D81-4A5B-BB63-4E94B8C4DAE9}"/>
    <cellStyle name="40 % - Akzent5" xfId="3450" hidden="1" xr:uid="{102CFA8E-3BCA-49C2-A19E-C882A69C8B14}"/>
    <cellStyle name="40 % - Akzent5" xfId="2297" hidden="1" xr:uid="{CF3F749E-79B1-444A-9470-3BDB00396EDB}"/>
    <cellStyle name="40 % - Akzent5" xfId="2935" hidden="1" xr:uid="{3198A002-7C38-4B05-809F-EE2948729AD5}"/>
    <cellStyle name="40 % - Akzent5" xfId="3818" hidden="1" xr:uid="{C4349F2C-C4DC-4E4F-A7A2-2A3E26D086E0}"/>
    <cellStyle name="40 % - Akzent5" xfId="4255" hidden="1" xr:uid="{966763B9-FAC4-4356-8D34-F4B5F54C7316}"/>
    <cellStyle name="40 % - Akzent5" xfId="4976" hidden="1" xr:uid="{90D1189D-C0EE-496E-A2D1-F79BC613BABB}"/>
    <cellStyle name="40 % - Akzent5" xfId="1469" hidden="1" xr:uid="{69009A43-5AE8-4CEB-8A40-38C1889E9459}"/>
    <cellStyle name="40 % - Akzent5" xfId="1891" hidden="1" xr:uid="{28A97E03-6CB3-49D9-AEB3-28E2377A2571}"/>
    <cellStyle name="40 % - Akzent5" xfId="2160" hidden="1" xr:uid="{94806ECC-C0B2-4FED-BB8C-F9DC1DEF336A}"/>
    <cellStyle name="40 % - Akzent5" xfId="1849" hidden="1" xr:uid="{F89D15AD-5E0A-4C4B-9DE2-14151518B983}"/>
    <cellStyle name="40 % - Akzent5" xfId="2799" hidden="1" xr:uid="{73280C51-6B36-4424-B35C-9BC603CEB424}"/>
    <cellStyle name="40 % - Akzent5" xfId="969" hidden="1" xr:uid="{1440ADC8-3C1D-49A0-91ED-9AC882B459EF}"/>
    <cellStyle name="40 % - Akzent5" xfId="1404" hidden="1" xr:uid="{B98ABFEC-9786-408C-9473-AFF2BA939B93}"/>
    <cellStyle name="40 % - Akzent5" xfId="910" hidden="1" xr:uid="{D7035AF8-4CB7-40A8-897B-1456048E2F9D}"/>
    <cellStyle name="40 % - Akzent5" xfId="63" hidden="1" xr:uid="{F0E72AC6-1BB1-4588-98E1-05458798C8E0}"/>
    <cellStyle name="40 % - Akzent5 2" xfId="383" xr:uid="{CF74D0EA-14A0-4294-AC99-F566B137052A}"/>
    <cellStyle name="40 % - Akzent5 3" xfId="252" xr:uid="{5ED70F5E-F7FF-4F30-8C63-C651B3CA6A47}"/>
    <cellStyle name="40 % - Akzent6" xfId="32194" hidden="1" xr:uid="{87B94CA4-BD85-4372-8BDD-CBC38FD42DCE}"/>
    <cellStyle name="40 % - Akzent6" xfId="15283" hidden="1" xr:uid="{4FDD19BF-16D8-46C3-B11B-0AF1F2C150D6}"/>
    <cellStyle name="40 % - Akzent6" xfId="15063" hidden="1" xr:uid="{4FDE0E31-FDC2-4E38-82BF-CEB530C7A41A}"/>
    <cellStyle name="40 % - Akzent6" xfId="14862" hidden="1" xr:uid="{2CC52764-1312-412D-9F6B-9989058A184E}"/>
    <cellStyle name="40 % - Akzent6" xfId="15214" hidden="1" xr:uid="{067A2586-BA91-4EA4-899C-456460C7F51F}"/>
    <cellStyle name="40 % - Akzent6" xfId="15316" hidden="1" xr:uid="{2DAE3A13-F022-44B7-8492-9D4F8C8A5937}"/>
    <cellStyle name="40 % - Akzent6" xfId="15689" hidden="1" xr:uid="{0F31471B-5BBF-4574-B11A-07F8930B3F43}"/>
    <cellStyle name="40 % - Akzent6" xfId="14668" hidden="1" xr:uid="{04E38613-C171-4977-BC90-C6ACB40B22D0}"/>
    <cellStyle name="40 % - Akzent6" xfId="14755" hidden="1" xr:uid="{AB76F904-F982-40F5-8B49-219FC67B8FF1}"/>
    <cellStyle name="40 % - Akzent6" xfId="15501" hidden="1" xr:uid="{BD4080CB-1464-4D34-B8E1-568888DD589D}"/>
    <cellStyle name="40 % - Akzent6" xfId="15456" hidden="1" xr:uid="{2584C388-0DC9-4067-B402-58427CC8846B}"/>
    <cellStyle name="40 % - Akzent6" xfId="15353" hidden="1" xr:uid="{24006FEA-AA52-4881-8382-984B9FA54065}"/>
    <cellStyle name="40 % - Akzent6" xfId="15758" hidden="1" xr:uid="{CC09C672-BE5B-4EEE-89F4-ED559CF48CD5}"/>
    <cellStyle name="40 % - Akzent6" xfId="15207" hidden="1" xr:uid="{7AF4D6BE-7861-4DC2-A3A9-49843F677D89}"/>
    <cellStyle name="40 % - Akzent6" xfId="16118" hidden="1" xr:uid="{21BA55F4-3C27-4C0E-A0A7-67EB4F6837BE}"/>
    <cellStyle name="40 % - Akzent6" xfId="16386" hidden="1" xr:uid="{CCA972D6-552B-4F85-82C7-DE383E51EF4F}"/>
    <cellStyle name="40 % - Akzent6" xfId="17309" hidden="1" xr:uid="{6FA4FE79-92C5-4219-AFBB-BBD5CD32361E}"/>
    <cellStyle name="40 % - Akzent6" xfId="16352" hidden="1" xr:uid="{16173646-DC98-4629-8556-8DA0EDE7FC5E}"/>
    <cellStyle name="40 % - Akzent6" xfId="17752" hidden="1" xr:uid="{7EF8B3BA-9E44-4100-AF8B-66EB6187DD4C}"/>
    <cellStyle name="40 % - Akzent6" xfId="16248" hidden="1" xr:uid="{C1B2BF41-4F2E-4FB3-8601-D468C3F81F0A}"/>
    <cellStyle name="40 % - Akzent6" xfId="18171" hidden="1" xr:uid="{C8E2F720-8654-42AF-859E-CB3B2DE9E26A}"/>
    <cellStyle name="40 % - Akzent6" xfId="17870" hidden="1" xr:uid="{DD85A846-ECB6-4EF1-A4C5-8D4E455F8C98}"/>
    <cellStyle name="40 % - Akzent6" xfId="17686" hidden="1" xr:uid="{81F450E4-C5A3-40C3-8A7B-41F94DB8DCE0}"/>
    <cellStyle name="40 % - Akzent6" xfId="18293" hidden="1" xr:uid="{939BB0B4-FCFB-497F-8D65-C6630BB050C6}"/>
    <cellStyle name="40 % - Akzent6" xfId="17885" hidden="1" xr:uid="{5F6CB290-D45A-4318-9ADE-CBAE5D41AE00}"/>
    <cellStyle name="40 % - Akzent6" xfId="19019" hidden="1" xr:uid="{1EAD21DD-047E-40DD-95CB-EFB381DC5FCC}"/>
    <cellStyle name="40 % - Akzent6" xfId="18211" hidden="1" xr:uid="{A04F2ADD-50BD-42F5-A6D6-A171A06B9DC8}"/>
    <cellStyle name="40 % - Akzent6" xfId="18775" hidden="1" xr:uid="{658A7085-8622-4ADD-9D89-EA34B5CC3190}"/>
    <cellStyle name="40 % - Akzent6" xfId="16548" hidden="1" xr:uid="{F1DDB5E6-5BB8-48E5-BAD9-60C74DFD5B97}"/>
    <cellStyle name="40 % - Akzent6" xfId="19307" hidden="1" xr:uid="{F163F7A6-84BC-4E68-A912-DBAF6D8D9B36}"/>
    <cellStyle name="40 % - Akzent6" xfId="18359" hidden="1" xr:uid="{08A4549D-EEE8-451D-961D-E30648F0B415}"/>
    <cellStyle name="40 % - Akzent6" xfId="19451" hidden="1" xr:uid="{30D903C6-040F-4810-900A-6E89F9816104}"/>
    <cellStyle name="40 % - Akzent6" xfId="19720" hidden="1" xr:uid="{361FCE74-5A39-47FD-832D-62BD9A8FD082}"/>
    <cellStyle name="40 % - Akzent6" xfId="20660" hidden="1" xr:uid="{3C5708A0-8164-4C4C-8DA8-7B0BE2CF68EC}"/>
    <cellStyle name="40 % - Akzent6" xfId="20740" hidden="1" xr:uid="{56CBD908-A867-4873-BE56-CCD559664395}"/>
    <cellStyle name="40 % - Akzent6" xfId="21116" hidden="1" xr:uid="{46EB9DA2-F596-4F03-947B-B51BF5A61DB7}"/>
    <cellStyle name="40 % - Akzent6" xfId="19392" hidden="1" xr:uid="{DCB56EA0-411C-435E-A400-2DE6AF9A1920}"/>
    <cellStyle name="40 % - Akzent6" xfId="21414" hidden="1" xr:uid="{704A8693-56DE-4D9D-AC27-0F176FD66BA4}"/>
    <cellStyle name="40 % - Akzent6" xfId="21160" hidden="1" xr:uid="{506B2395-D8BE-473F-AF79-FFB83B849210}"/>
    <cellStyle name="40 % - Akzent6" xfId="21185" hidden="1" xr:uid="{16A82C21-1738-4B3E-A007-1D78CCD39509}"/>
    <cellStyle name="40 % - Akzent6" xfId="21614" hidden="1" xr:uid="{A3E03BF1-D49E-4289-94BF-4F141D9438B1}"/>
    <cellStyle name="40 % - Akzent6" xfId="22048" hidden="1" xr:uid="{78F3F199-39D7-4E80-A6FF-6043EB607D02}"/>
    <cellStyle name="40 % - Akzent6" xfId="21105" hidden="1" xr:uid="{00699B6E-CD5C-44DC-ADD1-BD9FF3E34CF4}"/>
    <cellStyle name="40 % - Akzent6" xfId="22476" hidden="1" xr:uid="{FDE16449-3873-45B8-93D6-68AAD39D1973}"/>
    <cellStyle name="40 % - Akzent6" xfId="22309" hidden="1" xr:uid="{222D6EEC-49E7-4EDD-BFB9-EE255ACC1307}"/>
    <cellStyle name="40 % - Akzent6" xfId="22908" hidden="1" xr:uid="{30C0A28C-C523-4C7E-8AD9-EDCB5CAE1EED}"/>
    <cellStyle name="40 % - Akzent6" xfId="21297" hidden="1" xr:uid="{DF3AEEC9-948C-4412-AA6D-E08E57D24976}"/>
    <cellStyle name="40 % - Akzent6" xfId="22988" hidden="1" xr:uid="{A027912B-D0B6-46BA-A057-D2014F194AB2}"/>
    <cellStyle name="40 % - Akzent6" xfId="23298" hidden="1" xr:uid="{E2ED54F8-3DC8-46B4-8C7D-07DF1D8F7C26}"/>
    <cellStyle name="40 % - Akzent6" xfId="23000" hidden="1" xr:uid="{47543F83-B632-46DF-BF48-D32221679F67}"/>
    <cellStyle name="40 % - Akzent6" xfId="23044" hidden="1" xr:uid="{6D19EF25-70FE-48C0-8995-60387777735C}"/>
    <cellStyle name="40 % - Akzent6" xfId="23182" hidden="1" xr:uid="{153D932B-E94F-4B9A-8A53-41E614893961}"/>
    <cellStyle name="40 % - Akzent6" xfId="22544" hidden="1" xr:uid="{1386F711-D206-4224-87A5-EE8885FF8AFC}"/>
    <cellStyle name="40 % - Akzent6" xfId="23054" hidden="1" xr:uid="{16D82BFD-758E-47D8-83E0-93FAA3231AED}"/>
    <cellStyle name="40 % - Akzent6" xfId="23556" hidden="1" xr:uid="{3F509FB5-8BF4-4EAC-A9E9-12577F32FA5A}"/>
    <cellStyle name="40 % - Akzent6" xfId="24093" hidden="1" xr:uid="{5F803531-0938-436B-9FA9-31033AC1CD42}"/>
    <cellStyle name="40 % - Akzent6" xfId="23591" hidden="1" xr:uid="{0EC47CEA-A19A-4371-A572-B0894A2ED1E1}"/>
    <cellStyle name="40 % - Akzent6" xfId="24172" hidden="1" xr:uid="{D2EA32D6-3011-473A-940C-F7B2A0CF75A8}"/>
    <cellStyle name="40 % - Akzent6" xfId="24577" hidden="1" xr:uid="{07C89964-B217-4DC0-8ECD-687089EFE879}"/>
    <cellStyle name="40 % - Akzent6" xfId="24258" hidden="1" xr:uid="{8C7D8E24-28CD-4E63-AA0C-233A47C40959}"/>
    <cellStyle name="40 % - Akzent6" xfId="24352" hidden="1" xr:uid="{CC8E3D86-5FE9-4336-9119-0084F9BE355C}"/>
    <cellStyle name="40 % - Akzent6" xfId="25501" hidden="1" xr:uid="{386BFA26-18A5-403D-A063-44F1C33B52C8}"/>
    <cellStyle name="40 % - Akzent6" xfId="24354" hidden="1" xr:uid="{1F16291A-DC88-423B-AF40-20069EEE6282}"/>
    <cellStyle name="40 % - Akzent6" xfId="25941" hidden="1" xr:uid="{2B32F45E-29AC-48B6-BF73-4170593D6EBE}"/>
    <cellStyle name="40 % - Akzent6" xfId="26086" hidden="1" xr:uid="{759D78B9-B16A-4B3D-9881-DB028AE58388}"/>
    <cellStyle name="40 % - Akzent6" xfId="26646" hidden="1" xr:uid="{680BE885-213D-47B5-940B-21CFA0DD3A06}"/>
    <cellStyle name="40 % - Akzent6" xfId="26161" hidden="1" xr:uid="{6C5A53C3-856E-44E8-B138-DF49FDE620A8}"/>
    <cellStyle name="40 % - Akzent6" xfId="25982" hidden="1" xr:uid="{1F469B65-FCC4-4664-B917-3F637C807D02}"/>
    <cellStyle name="40 % - Akzent6" xfId="26494" hidden="1" xr:uid="{7A985417-83E9-456A-8718-409EA03F5D21}"/>
    <cellStyle name="40 % - Akzent6" xfId="25058" hidden="1" xr:uid="{D0B99695-E0BB-43F8-859D-B81617316C0B}"/>
    <cellStyle name="40 % - Akzent6" xfId="27220" hidden="1" xr:uid="{9DC626EB-8CE6-41A1-8B7F-A7841F88A088}"/>
    <cellStyle name="40 % - Akzent6" xfId="27773" hidden="1" xr:uid="{5509494A-5427-4738-AF25-BCAA93158467}"/>
    <cellStyle name="40 % - Akzent6" xfId="27628" hidden="1" xr:uid="{D0C23902-3926-4952-A902-B0F836F058E1}"/>
    <cellStyle name="40 % - Akzent6" xfId="27881" hidden="1" xr:uid="{A48EAA04-AA11-4C04-8520-DD715CEB68A1}"/>
    <cellStyle name="40 % - Akzent6" xfId="27746" hidden="1" xr:uid="{F384E9D5-2032-405F-87A8-6B77BEA5533A}"/>
    <cellStyle name="40 % - Akzent6" xfId="27845" hidden="1" xr:uid="{CEEBDFC0-BBEC-4C63-A13B-F8C7CDAE326F}"/>
    <cellStyle name="40 % - Akzent6" xfId="26605" hidden="1" xr:uid="{90A0AACF-CF5E-4A5B-ADB5-D712CB6A7ED6}"/>
    <cellStyle name="40 % - Akzent6" xfId="27965" hidden="1" xr:uid="{14617D66-3ED1-4370-8E0B-3A8A15CA71BA}"/>
    <cellStyle name="40 % - Akzent6" xfId="28202" hidden="1" xr:uid="{CA952B78-C269-4508-A075-F0EA25DAE039}"/>
    <cellStyle name="40 % - Akzent6" xfId="27993" hidden="1" xr:uid="{47D88CBB-C5A0-437B-9A68-C91449D1B3C9}"/>
    <cellStyle name="40 % - Akzent6" xfId="29486" hidden="1" xr:uid="{5CDC3C04-A67C-4E05-88AF-3566766CF89D}"/>
    <cellStyle name="40 % - Akzent6" xfId="28772" hidden="1" xr:uid="{0579940B-A30B-45F9-8AE6-D56141E65F38}"/>
    <cellStyle name="40 % - Akzent6" xfId="28260" hidden="1" xr:uid="{14A681AD-64C6-47B2-92DC-E5E5B22C399A}"/>
    <cellStyle name="40 % - Akzent6" xfId="29459" hidden="1" xr:uid="{B1B4FE6F-CDAE-4BF9-950D-8FBEB51A5F56}"/>
    <cellStyle name="40 % - Akzent6" xfId="29455" hidden="1" xr:uid="{E4E856BC-4EEA-4C60-B18F-CC2F8D1B4FA2}"/>
    <cellStyle name="40 % - Akzent6" xfId="27990" hidden="1" xr:uid="{7CE1581B-A4ED-4099-97C2-4B1756BCB524}"/>
    <cellStyle name="40 % - Akzent6" xfId="31480" hidden="1" xr:uid="{1F71E886-50BA-4815-BD71-0EB93F40D69C}"/>
    <cellStyle name="40 % - Akzent6" xfId="31721" hidden="1" xr:uid="{1612023F-E455-476A-BE47-3B0ECF855097}"/>
    <cellStyle name="40 % - Akzent6" xfId="32332" hidden="1" xr:uid="{CD7F8D65-B98C-4F87-A51E-DB00825A0ED6}"/>
    <cellStyle name="40 % - Akzent6" xfId="31664" hidden="1" xr:uid="{C112E0F9-424E-49A2-BABE-2B94F86BC7F9}"/>
    <cellStyle name="40 % - Akzent6" xfId="31710" hidden="1" xr:uid="{AFE2C5EE-DC7B-40DD-A752-A739C5DC4713}"/>
    <cellStyle name="40 % - Akzent6" xfId="30007" hidden="1" xr:uid="{1B714973-85C9-405C-94D8-72D26E82EB4D}"/>
    <cellStyle name="40 % - Akzent6" xfId="23534" hidden="1" xr:uid="{95E0371E-3C8C-41D7-AD23-907D6B6235F8}"/>
    <cellStyle name="40 % - Akzent6" xfId="17428" hidden="1" xr:uid="{B05C8A19-4F23-40ED-9E40-C0CFB54BB477}"/>
    <cellStyle name="40 % - Akzent6" xfId="8332" hidden="1" xr:uid="{41AA3690-A5C5-4565-BFF8-6E1CD357B044}"/>
    <cellStyle name="40 % - Akzent6" xfId="8323" hidden="1" xr:uid="{ADC68FA1-6BF2-4A4B-AD9B-7D5D571D32E2}"/>
    <cellStyle name="40 % - Akzent6" xfId="7629" hidden="1" xr:uid="{CC983968-1617-40B6-B0F4-033B645BF1DE}"/>
    <cellStyle name="40 % - Akzent6" xfId="6841" hidden="1" xr:uid="{3371ECA8-3A2E-4E9F-982B-DCD2FE47CE17}"/>
    <cellStyle name="40 % - Akzent6" xfId="7180" hidden="1" xr:uid="{32125AEA-5CE9-414D-B08F-C9822C20C4CC}"/>
    <cellStyle name="40 % - Akzent6" xfId="8273" hidden="1" xr:uid="{46AB321C-221D-48EF-B825-A72439E09B05}"/>
    <cellStyle name="40 % - Akzent6" xfId="8171" hidden="1" xr:uid="{AE48A358-D14D-4AAA-B0CC-076114362073}"/>
    <cellStyle name="40 % - Akzent6" xfId="8415" hidden="1" xr:uid="{0B723AA2-C05A-45B9-93BB-6567CD902576}"/>
    <cellStyle name="40 % - Akzent6" xfId="8302" hidden="1" xr:uid="{714A51AB-3EC2-4BCA-85FD-B70F350D795D}"/>
    <cellStyle name="40 % - Akzent6" xfId="6936" hidden="1" xr:uid="{2F41CD38-0C8D-472A-85DE-B4E121C5A2E5}"/>
    <cellStyle name="40 % - Akzent6" xfId="7631" hidden="1" xr:uid="{38A42FE7-EA57-495A-AB3C-61343759BA21}"/>
    <cellStyle name="40 % - Akzent6" xfId="7226" hidden="1" xr:uid="{70EEF206-E0F8-4258-BC97-729E7F97A705}"/>
    <cellStyle name="40 % - Akzent6" xfId="8489" hidden="1" xr:uid="{93B02EC0-4628-4A35-B215-D05DE3CE8AC8}"/>
    <cellStyle name="40 % - Akzent6" xfId="8857" hidden="1" xr:uid="{6A42B992-2E50-4CD7-9AD3-0B0D60D30ABA}"/>
    <cellStyle name="40 % - Akzent6" xfId="8496" hidden="1" xr:uid="{E05DCBC8-2A61-42ED-B244-D58E09FEE7AB}"/>
    <cellStyle name="40 % - Akzent6" xfId="8699" hidden="1" xr:uid="{8A1885D7-4E20-4A7D-BD3F-238EFF45C36B}"/>
    <cellStyle name="40 % - Akzent6" xfId="8910" hidden="1" xr:uid="{DF1460D0-6A6C-4B47-A65E-ECD44FE6FD3E}"/>
    <cellStyle name="40 % - Akzent6" xfId="9021" hidden="1" xr:uid="{AA4F62D0-B4B0-4220-83BD-81C8A2FC8284}"/>
    <cellStyle name="40 % - Akzent6" xfId="9277" hidden="1" xr:uid="{FCEEDECB-1636-4197-8389-291A1A04966E}"/>
    <cellStyle name="40 % - Akzent6" xfId="10188" hidden="1" xr:uid="{76250A06-C531-4907-865B-43DC119C672E}"/>
    <cellStyle name="40 % - Akzent6" xfId="9242" hidden="1" xr:uid="{9F225EF4-0E83-4138-9F11-135627752C84}"/>
    <cellStyle name="40 % - Akzent6" xfId="10594" hidden="1" xr:uid="{8D2FE8A2-B681-468A-940C-1CA65FAFD6C4}"/>
    <cellStyle name="40 % - Akzent6" xfId="9144" hidden="1" xr:uid="{D5ED5DD4-719F-4E46-81E0-B8FB2995AFE2}"/>
    <cellStyle name="40 % - Akzent6" xfId="10982" hidden="1" xr:uid="{B2B28568-D076-43B8-B806-802B560DC928}"/>
    <cellStyle name="40 % - Akzent6" xfId="10523" hidden="1" xr:uid="{63CAAB88-BC63-4FF4-8D51-0B0B17D480B4}"/>
    <cellStyle name="40 % - Akzent6" xfId="10732" hidden="1" xr:uid="{AC920ED4-0939-409F-9F9F-57051040309D}"/>
    <cellStyle name="40 % - Akzent6" xfId="11150" hidden="1" xr:uid="{4066304E-797A-4645-9BD9-219F27A6F974}"/>
    <cellStyle name="40 % - Akzent6" xfId="11051" hidden="1" xr:uid="{2DC14D04-134C-4CE9-8E7A-C343FFF3354D}"/>
    <cellStyle name="40 % - Akzent6" xfId="11113" hidden="1" xr:uid="{BA992C86-C53E-4836-99A1-501D8DCF0B4E}"/>
    <cellStyle name="40 % - Akzent6" xfId="10843" hidden="1" xr:uid="{2BF55750-9423-460D-8BD1-D8AC59847C2C}"/>
    <cellStyle name="40 % - Akzent6" xfId="10733" hidden="1" xr:uid="{709599BD-C5DA-477F-849C-FD024FFB90CA}"/>
    <cellStyle name="40 % - Akzent6" xfId="10708" hidden="1" xr:uid="{373DA0AD-7047-4637-A80C-0EC0DFFF33F9}"/>
    <cellStyle name="40 % - Akzent6" xfId="11426" hidden="1" xr:uid="{87D0F89B-E564-4A5E-B643-B20A3C70931A}"/>
    <cellStyle name="40 % - Akzent6" xfId="11691" hidden="1" xr:uid="{A10FD8EC-8C29-4C20-8C4E-A6513DA810C9}"/>
    <cellStyle name="40 % - Akzent6" xfId="11459" hidden="1" xr:uid="{1ABC1A24-BB50-4754-8F18-21685220BD07}"/>
    <cellStyle name="40 % - Akzent6" xfId="11729" hidden="1" xr:uid="{61A1D6BE-A0A0-4BE2-93B7-891FBBAEC61D}"/>
    <cellStyle name="40 % - Akzent6" xfId="12263" hidden="1" xr:uid="{CAB4ADFA-24F2-46F2-8432-244E741FB9A2}"/>
    <cellStyle name="40 % - Akzent6" xfId="13933" hidden="1" xr:uid="{E76691A6-BB90-4A93-82FC-7C6117141191}"/>
    <cellStyle name="40 % - Akzent6" xfId="11417" hidden="1" xr:uid="{4547D5D6-668D-4EEC-A1D1-173C4F1ECE0C}"/>
    <cellStyle name="40 % - Akzent6" xfId="13638" hidden="1" xr:uid="{DAC124C2-F22F-401F-A52C-8F5AA5E8161C}"/>
    <cellStyle name="40 % - Akzent6" xfId="14163" hidden="1" xr:uid="{A52C49EA-BE69-4053-BC19-22B597F3DD9D}"/>
    <cellStyle name="40 % - Akzent6" xfId="11469" hidden="1" xr:uid="{60E02B2D-B81C-4B7D-9A3D-47C4D6B466B2}"/>
    <cellStyle name="40 % - Akzent6" xfId="14871" hidden="1" xr:uid="{8645DC79-C845-4A55-88D7-C284D353DCAE}"/>
    <cellStyle name="40 % - Akzent6" xfId="14601" hidden="1" xr:uid="{31B0115C-A980-4904-8D2E-729BD402E7B1}"/>
    <cellStyle name="40 % - Akzent6" xfId="8126" hidden="1" xr:uid="{A40D9BB9-6590-4ADE-897A-EF1314E38520}"/>
    <cellStyle name="40 % - Akzent6" xfId="5905" hidden="1" xr:uid="{9C0E2DC1-13CE-4365-A6BC-A287E82F26E5}"/>
    <cellStyle name="40 % - Akzent6" xfId="3099" hidden="1" xr:uid="{B6EF7816-E221-4585-BE53-CF83A98F29FC}"/>
    <cellStyle name="40 % - Akzent6" xfId="5840" hidden="1" xr:uid="{515A2DDB-A0E6-415C-9CFD-83418CDD395E}"/>
    <cellStyle name="40 % - Akzent6" xfId="4972" hidden="1" xr:uid="{9CC170A7-0889-4C06-848B-970F1069AD9A}"/>
    <cellStyle name="40 % - Akzent6" xfId="5123" hidden="1" xr:uid="{C28BE1D6-A272-455C-B7D3-3642268129A2}"/>
    <cellStyle name="40 % - Akzent6" xfId="6314" hidden="1" xr:uid="{BB54F900-0B8F-49EE-B14B-2AD97BC510C9}"/>
    <cellStyle name="40 % - Akzent6" xfId="3653" hidden="1" xr:uid="{A101FFF0-1DB5-4513-8D26-71891EC5CB64}"/>
    <cellStyle name="40 % - Akzent6" xfId="4699" hidden="1" xr:uid="{799AC3FF-C6CE-40AB-9D7B-903476331B7D}"/>
    <cellStyle name="40 % - Akzent6" xfId="4675" hidden="1" xr:uid="{62599BDC-0DF6-4732-93C2-3B46B1404FB6}"/>
    <cellStyle name="40 % - Akzent6" xfId="6413" hidden="1" xr:uid="{B0829874-3F4C-4B7F-8192-6452B252AF91}"/>
    <cellStyle name="40 % - Akzent6" xfId="3329" hidden="1" xr:uid="{3E0DD4A7-235F-4688-907F-D7539A9A1A79}"/>
    <cellStyle name="40 % - Akzent6" xfId="6068" hidden="1" xr:uid="{4D1675F5-172D-4F0B-B8C5-8B2BA354BEAF}"/>
    <cellStyle name="40 % - Akzent6" xfId="6432" hidden="1" xr:uid="{A9751039-08CA-4ED2-A30C-8003D2D36670}"/>
    <cellStyle name="40 % - Akzent6" xfId="6558" hidden="1" xr:uid="{D1AE235B-3783-4301-8063-11AEECA6E72C}"/>
    <cellStyle name="40 % - Akzent6" xfId="5700" hidden="1" xr:uid="{61AD0B7C-1274-4876-AEF4-ADEAD923D6DD}"/>
    <cellStyle name="40 % - Akzent6" xfId="5006" hidden="1" xr:uid="{209C737E-5D2A-4235-A926-C7FAA45664DC}"/>
    <cellStyle name="40 % - Akzent6" xfId="6807" hidden="1" xr:uid="{1CA19A95-5387-47B4-A143-0607ACD74FC9}"/>
    <cellStyle name="40 % - Akzent6" xfId="7064" hidden="1" xr:uid="{086AAA56-FD2B-48D5-87E3-5310598A0843}"/>
    <cellStyle name="40 % - Akzent6" xfId="7972" hidden="1" xr:uid="{B4DAB354-5032-4DC4-9509-D2BEC781E9FD}"/>
    <cellStyle name="40 % - Akzent6" xfId="7029" hidden="1" xr:uid="{97D9A914-CD11-4C58-8C4F-84067537F8E1}"/>
    <cellStyle name="40 % - Akzent6" xfId="8351" hidden="1" xr:uid="{1492581E-EC70-4D85-BE1F-63DF37EAA1F3}"/>
    <cellStyle name="40 % - Akzent6" xfId="3579" hidden="1" xr:uid="{592AF1F8-4EE1-47D3-9CC8-4E846A36919B}"/>
    <cellStyle name="40 % - Akzent6" xfId="3249" hidden="1" xr:uid="{6BFC4C7C-2664-4CBC-95AA-5E0E31CAD58A}"/>
    <cellStyle name="40 % - Akzent6" xfId="3241" hidden="1" xr:uid="{AA45C51D-C567-49F7-933D-AC72AB2B0EAE}"/>
    <cellStyle name="40 % - Akzent6" xfId="3476" hidden="1" xr:uid="{9E87C5C2-3002-44F0-B357-905A6E76495A}"/>
    <cellStyle name="40 % - Akzent6" xfId="2820" hidden="1" xr:uid="{59D8C1D6-E0C2-46A0-9BDE-E592B1BBE562}"/>
    <cellStyle name="40 % - Akzent6" xfId="3274" hidden="1" xr:uid="{F3636C4A-E88E-4E7F-959F-C2BCC12DB9A3}"/>
    <cellStyle name="40 % - Akzent6" xfId="3536" hidden="1" xr:uid="{09E4EC23-CD94-465C-93DF-34821112DF69}"/>
    <cellStyle name="40 % - Akzent6" xfId="3624" hidden="1" xr:uid="{5F9F9A9D-1C8D-4EC8-AA14-E61CEF66CCA5}"/>
    <cellStyle name="40 % - Akzent6" xfId="4948" hidden="1" xr:uid="{714F53D9-BE3B-44A3-A09D-B8D1A1486310}"/>
    <cellStyle name="40 % - Akzent6" xfId="3738" hidden="1" xr:uid="{7C455882-4823-4D2C-B5DE-7026D5CAA9F0}"/>
    <cellStyle name="40 % - Akzent6" xfId="5139" hidden="1" xr:uid="{49EC7833-8C5E-4778-B8FF-C93A77955EF8}"/>
    <cellStyle name="40 % - Akzent6" xfId="1895" hidden="1" xr:uid="{F59E298E-6956-4C0B-98CD-2FA4953B8548}"/>
    <cellStyle name="40 % - Akzent6" xfId="2136" hidden="1" xr:uid="{EDA17275-09AF-40C7-BC8B-E375E1BABF56}"/>
    <cellStyle name="40 % - Akzent6" xfId="3101" hidden="1" xr:uid="{AD5D345C-A581-40A6-9DD1-B94394876381}"/>
    <cellStyle name="40 % - Akzent6" xfId="2189" hidden="1" xr:uid="{F5BA3AB4-A187-4742-94BC-8F1BA193AB8D}"/>
    <cellStyle name="40 % - Akzent6" xfId="2805" hidden="1" xr:uid="{1BC4D4AC-78D1-47DC-9843-2122E7084DE8}"/>
    <cellStyle name="40 % - Akzent6" xfId="968" hidden="1" xr:uid="{107575DB-CDED-45AC-8E89-35B0CA0AAE07}"/>
    <cellStyle name="40 % - Akzent6" xfId="1407" hidden="1" xr:uid="{BFE3945F-22CE-4B9F-8B89-6B3C8950C31C}"/>
    <cellStyle name="40 % - Akzent6" xfId="1736" hidden="1" xr:uid="{C634E771-B734-4DD6-A76F-AE6E7DCB3056}"/>
    <cellStyle name="40 % - Akzent6" xfId="913" hidden="1" xr:uid="{411462E9-1FEB-46C4-AE76-337DC083EDBE}"/>
    <cellStyle name="40 % - Akzent6" xfId="66" hidden="1" xr:uid="{08271F9F-9A5A-4881-A19F-930C6DFC324D}"/>
    <cellStyle name="40 % - Akzent6 2" xfId="384" xr:uid="{DB22614E-8FEC-4578-B4AD-FBCCBAC18346}"/>
    <cellStyle name="40 % - Akzent6 3" xfId="253" xr:uid="{E5927E5E-7705-4476-971F-F5BDCC9D52E7}"/>
    <cellStyle name="40% - Accent1 2" xfId="88" xr:uid="{6EA4D19C-9799-446A-A274-40668EB8F728}"/>
    <cellStyle name="40% - Accent1 3" xfId="205" xr:uid="{1EF3A8D3-3DE4-4861-A9C3-04BC54F34BF6}"/>
    <cellStyle name="40% - Accent2 2" xfId="89" xr:uid="{10370418-D1F6-4C2A-9528-79EE03D23523}"/>
    <cellStyle name="40% - Accent2 3" xfId="206" xr:uid="{11360B46-B0AB-4EB7-9CE4-7B8666A7165A}"/>
    <cellStyle name="40% - Accent3 2" xfId="90" xr:uid="{6F7E7786-26D4-4E5D-AB82-48D5346EEB7D}"/>
    <cellStyle name="40% - Accent3 3" xfId="207" xr:uid="{65B69500-D307-49C3-9665-C8BBDB9A5BB6}"/>
    <cellStyle name="40% - Accent4 2" xfId="91" xr:uid="{C02091DC-9CE0-4EB9-952F-4D6576856CC1}"/>
    <cellStyle name="40% - Accent4 3" xfId="208" xr:uid="{5D2F47A7-E6C6-4EF6-841E-C1B580364C83}"/>
    <cellStyle name="40% - Accent5 2" xfId="92" xr:uid="{2FC63498-D7FD-425A-AA38-217F01A5EFC3}"/>
    <cellStyle name="40% - Accent5 3" xfId="209" xr:uid="{1FA4611A-EB98-46A9-9BA9-7650EB0675DF}"/>
    <cellStyle name="40% - Accent6 2" xfId="93" xr:uid="{801E359F-5427-4B40-ADD2-6DA68D7D8C4E}"/>
    <cellStyle name="40% - Accent6 3" xfId="210" xr:uid="{1CDAFEF5-28D0-4FD5-929E-8460A87ACA4B}"/>
    <cellStyle name="5x indented GHG Textfiels" xfId="13" xr:uid="{AAEC2FE7-D252-468E-8DBD-F1DABE055202}"/>
    <cellStyle name="5x indented GHG Textfiels 2" xfId="94" xr:uid="{8AF138E5-36F0-44C9-A045-795C0EDE420C}"/>
    <cellStyle name="5x indented GHG Textfiels 2 2" xfId="95" xr:uid="{94083574-A87A-4CD6-8C28-B28F70BFA2B9}"/>
    <cellStyle name="5x indented GHG Textfiels 3" xfId="96" xr:uid="{EE811506-EE3C-4234-A241-975285613CFE}"/>
    <cellStyle name="5x indented GHG Textfiels 3 2" xfId="401" xr:uid="{529368B6-F0CA-42DD-9019-CD491E356F83}"/>
    <cellStyle name="5x indented GHG Textfiels 3 2 2" xfId="3447" xr:uid="{D0B621C5-7218-42FE-BD77-69F54884B73A}"/>
    <cellStyle name="5x indented GHG Textfiels 3 2 3" xfId="18248" xr:uid="{0C737D98-EB77-4E91-BDED-C5CC6FB1C429}"/>
    <cellStyle name="5x indented GHG Textfiels 3 3" xfId="349" xr:uid="{CC26FF87-F3FC-42E8-A0CC-441B017D38F9}"/>
    <cellStyle name="5x indented GHG Textfiels 3 3 10" xfId="3006" xr:uid="{1193C3C3-DCAE-4802-9BF1-DCFD7E3B80AD}"/>
    <cellStyle name="5x indented GHG Textfiels 3 3 11" xfId="3102" xr:uid="{50C8E538-45D9-414D-B460-F77925C41548}"/>
    <cellStyle name="5x indented GHG Textfiels 3 3 12" xfId="3181" xr:uid="{98CE3907-1BF9-4155-9C41-8B9253762170}"/>
    <cellStyle name="5x indented GHG Textfiels 3 3 13" xfId="4768" xr:uid="{652C5789-5A53-4770-A5A6-355BA2A34721}"/>
    <cellStyle name="5x indented GHG Textfiels 3 3 14" xfId="4927" xr:uid="{2839DF9F-3050-423F-BBDB-7A8D5D9B24AA}"/>
    <cellStyle name="5x indented GHG Textfiels 3 3 15" xfId="4858" xr:uid="{437A1125-0E10-4D48-85DE-B7FE51CCD07B}"/>
    <cellStyle name="5x indented GHG Textfiels 3 3 16" xfId="6312" xr:uid="{93E882DC-7A45-46BD-A982-6D37F132DFA6}"/>
    <cellStyle name="5x indented GHG Textfiels 3 3 17" xfId="6425" xr:uid="{0A3AE288-A7BF-4600-BD87-CAB04B26B0A3}"/>
    <cellStyle name="5x indented GHG Textfiels 3 3 18" xfId="7077" xr:uid="{F0CF335F-693A-4771-97BC-BFF17BBDC614}"/>
    <cellStyle name="5x indented GHG Textfiels 3 3 19" xfId="7774" xr:uid="{B233C6F9-333B-4FEE-B2CB-4FA42727EC20}"/>
    <cellStyle name="5x indented GHG Textfiels 3 3 2" xfId="636" xr:uid="{8436DB46-35A0-4475-9F9F-897EE6005F05}"/>
    <cellStyle name="5x indented GHG Textfiels 3 3 2 10" xfId="3056" xr:uid="{FEA38512-5DFF-4DC1-8C7F-F2815F1859A8}"/>
    <cellStyle name="5x indented GHG Textfiels 3 3 2 11" xfId="5284" xr:uid="{8F4E4416-33B5-493F-A76F-EED851CE9C46}"/>
    <cellStyle name="5x indented GHG Textfiels 3 3 2 12" xfId="5666" xr:uid="{D38ECCAC-49F5-4B4C-A059-00F203DF7F2D}"/>
    <cellStyle name="5x indented GHG Textfiels 3 3 2 13" xfId="5679" xr:uid="{FC024B36-D2A9-49DC-A23B-012B0CD152A1}"/>
    <cellStyle name="5x indented GHG Textfiels 3 3 2 14" xfId="6703" xr:uid="{E49475A9-D108-4AFC-86A9-110216F6ED5D}"/>
    <cellStyle name="5x indented GHG Textfiels 3 3 2 15" xfId="7356" xr:uid="{073D62FD-B395-4663-9F43-50F061FB6F45}"/>
    <cellStyle name="5x indented GHG Textfiels 3 3 2 16" xfId="8043" xr:uid="{967B5BBE-DDED-4E65-AE72-D6CE53769AD0}"/>
    <cellStyle name="5x indented GHG Textfiels 3 3 2 17" xfId="7836" xr:uid="{6EFC2A26-6986-474E-8690-BA140C3B3326}"/>
    <cellStyle name="5x indented GHG Textfiels 3 3 2 18" xfId="8916" xr:uid="{4E796D82-D54A-4417-B207-D99067508150}"/>
    <cellStyle name="5x indented GHG Textfiels 3 3 2 19" xfId="9570" xr:uid="{9165C6D2-A14A-435F-B44A-008D348CD820}"/>
    <cellStyle name="5x indented GHG Textfiels 3 3 2 2" xfId="851" xr:uid="{5304F04D-A160-429C-B0E0-0A625113CF54}"/>
    <cellStyle name="5x indented GHG Textfiels 3 3 2 2 10" xfId="5499" xr:uid="{A7A8A322-6025-467D-99CC-04283D752CD2}"/>
    <cellStyle name="5x indented GHG Textfiels 3 3 2 2 11" xfId="4669" xr:uid="{0A6F4C52-B1BD-4E7C-B354-995F69C734C8}"/>
    <cellStyle name="5x indented GHG Textfiels 3 3 2 2 12" xfId="6077" xr:uid="{A37C6AE8-227F-45B1-B422-BDD5A98E9466}"/>
    <cellStyle name="5x indented GHG Textfiels 3 3 2 2 13" xfId="5910" xr:uid="{DB1667C9-F192-41DA-AAA7-38C2930ED165}"/>
    <cellStyle name="5x indented GHG Textfiels 3 3 2 2 14" xfId="7571" xr:uid="{1132A732-3001-4E76-9FD5-6285565B67CD}"/>
    <cellStyle name="5x indented GHG Textfiels 3 3 2 2 15" xfId="7050" xr:uid="{CEB27FAE-0132-46D0-AFB8-F487DEA36846}"/>
    <cellStyle name="5x indented GHG Textfiels 3 3 2 2 16" xfId="8153" xr:uid="{3574CD79-9974-4283-BD96-680352380770}"/>
    <cellStyle name="5x indented GHG Textfiels 3 3 2 2 17" xfId="8830" xr:uid="{C8B37766-9F3D-4EDC-99AF-EF7A38AD903A}"/>
    <cellStyle name="5x indented GHG Textfiels 3 3 2 2 18" xfId="9785" xr:uid="{E4102401-6382-4466-A365-79D1195E8E5B}"/>
    <cellStyle name="5x indented GHG Textfiels 3 3 2 2 19" xfId="9263" xr:uid="{63E99ED0-0118-4D39-8DA6-AAFD3343D3A7}"/>
    <cellStyle name="5x indented GHG Textfiels 3 3 2 2 2" xfId="1325" xr:uid="{C2ED9743-F2FE-4CBD-89DD-4180AC9D8E59}"/>
    <cellStyle name="5x indented GHG Textfiels 3 3 2 2 20" xfId="10127" xr:uid="{62C978A8-E4D2-4AAF-9EDB-8AC4E9C10922}"/>
    <cellStyle name="5x indented GHG Textfiels 3 3 2 2 21" xfId="10768" xr:uid="{E30C5606-BD3C-4457-8422-167942C71ED0}"/>
    <cellStyle name="5x indented GHG Textfiels 3 3 2 2 22" xfId="11129" xr:uid="{E1038043-B4EE-4CA4-89D2-B555A7ED7744}"/>
    <cellStyle name="5x indented GHG Textfiels 3 3 2 2 23" xfId="12204" xr:uid="{6CBF7A8C-E623-4185-B21D-37093F261DB4}"/>
    <cellStyle name="5x indented GHG Textfiels 3 3 2 2 24" xfId="12677" xr:uid="{5293EACE-F0AE-469E-948A-257F65708CE2}"/>
    <cellStyle name="5x indented GHG Textfiels 3 3 2 2 25" xfId="13111" xr:uid="{7FBD2312-1EC0-4101-A034-F1624AF4D41B}"/>
    <cellStyle name="5x indented GHG Textfiels 3 3 2 2 26" xfId="13548" xr:uid="{4EB38EF9-B871-433C-A0D4-758D2372EBCA}"/>
    <cellStyle name="5x indented GHG Textfiels 3 3 2 2 27" xfId="13694" xr:uid="{3C34D7D8-3E15-4ED4-8FF6-E1E36EB0AA0F}"/>
    <cellStyle name="5x indented GHG Textfiels 3 3 2 2 28" xfId="14008" xr:uid="{A7716AC6-2E08-4A0D-AFBA-AEF2C0CC92BB}"/>
    <cellStyle name="5x indented GHG Textfiels 3 3 2 2 29" xfId="13947" xr:uid="{A2E6334E-81C4-455A-B6C9-94F4AE1422AB}"/>
    <cellStyle name="5x indented GHG Textfiels 3 3 2 2 3" xfId="1774" xr:uid="{3EA8B3F7-0E24-4465-BB86-DA1724015D8E}"/>
    <cellStyle name="5x indented GHG Textfiels 3 3 2 2 30" xfId="14316" xr:uid="{7411C7DC-47C1-4753-B092-AC68E69A3EA4}"/>
    <cellStyle name="5x indented GHG Textfiels 3 3 2 2 31" xfId="15513" xr:uid="{1B120121-7C8D-4D97-ACBB-AF6759E85427}"/>
    <cellStyle name="5x indented GHG Textfiels 3 3 2 2 32" xfId="15414" xr:uid="{4070EF24-FD56-4D8C-BB26-AED0ACF76526}"/>
    <cellStyle name="5x indented GHG Textfiels 3 3 2 2 33" xfId="16896" xr:uid="{0D26884B-A7A6-4C64-B351-A3F49347C24E}"/>
    <cellStyle name="5x indented GHG Textfiels 3 3 2 2 34" xfId="16372" xr:uid="{D6586321-C459-4383-B610-6B7B218CA7EB}"/>
    <cellStyle name="5x indented GHG Textfiels 3 3 2 2 35" xfId="17246" xr:uid="{86676BD5-2AA5-4D32-8C2F-BF7E737C941C}"/>
    <cellStyle name="5x indented GHG Textfiels 3 3 2 2 36" xfId="16951" xr:uid="{7F5C6BFA-CFB1-4C40-AF8C-9765C42821AF}"/>
    <cellStyle name="5x indented GHG Textfiels 3 3 2 2 37" xfId="18714" xr:uid="{A3AAE971-EE75-4D3C-8C4B-5820ECE187C9}"/>
    <cellStyle name="5x indented GHG Textfiels 3 3 2 2 38" xfId="18124" xr:uid="{D1F1023C-E0BC-4D33-B334-630DDEA5CB58}"/>
    <cellStyle name="5x indented GHG Textfiels 3 3 2 2 39" xfId="19202" xr:uid="{4B800662-EC59-45D6-8993-130D344E6096}"/>
    <cellStyle name="5x indented GHG Textfiels 3 3 2 2 4" xfId="2673" xr:uid="{8C857103-BFB4-4417-850E-F723437F2621}"/>
    <cellStyle name="5x indented GHG Textfiels 3 3 2 2 40" xfId="20233" xr:uid="{DE86F6A3-7584-4E06-854F-9DCA9D0EF42B}"/>
    <cellStyle name="5x indented GHG Textfiels 3 3 2 2 41" xfId="19706" xr:uid="{DB5DD329-3D7E-4B50-A286-73F09823B390}"/>
    <cellStyle name="5x indented GHG Textfiels 3 3 2 2 42" xfId="20703" xr:uid="{BB66B226-F907-497E-9591-4809A2CFA440}"/>
    <cellStyle name="5x indented GHG Textfiels 3 3 2 2 43" xfId="21402" xr:uid="{12EAF575-DE45-4127-AFB3-B95736309CBC}"/>
    <cellStyle name="5x indented GHG Textfiels 3 3 2 2 44" xfId="20799" xr:uid="{0D8950BA-3085-42DA-AD3C-E51E48221BFC}"/>
    <cellStyle name="5x indented GHG Textfiels 3 3 2 2 45" xfId="21901" xr:uid="{E0DFF74E-91B5-496B-92F2-065E5E81D688}"/>
    <cellStyle name="5x indented GHG Textfiels 3 3 2 2 46" xfId="22691" xr:uid="{4B65D919-8CA7-42DD-8D3E-80DAA9D4A907}"/>
    <cellStyle name="5x indented GHG Textfiels 3 3 2 2 47" xfId="22655" xr:uid="{23125580-0B77-452E-8A22-74C6353485D4}"/>
    <cellStyle name="5x indented GHG Textfiels 3 3 2 2 48" xfId="23598" xr:uid="{7E33CB79-AB8C-4691-805A-48F63C7D3EA1}"/>
    <cellStyle name="5x indented GHG Textfiels 3 3 2 2 49" xfId="24033" xr:uid="{E1E0D8FC-4DD5-4F20-B6C8-2A7CDDD75E0C}"/>
    <cellStyle name="5x indented GHG Textfiels 3 3 2 2 5" xfId="2859" xr:uid="{2E43D566-D499-45A7-AF97-3A472180987F}"/>
    <cellStyle name="5x indented GHG Textfiels 3 3 2 2 50" xfId="24941" xr:uid="{906D485A-3DC4-4166-8816-4D632BDE77B3}"/>
    <cellStyle name="5x indented GHG Textfiels 3 3 2 2 51" xfId="24569" xr:uid="{6BC8513F-981F-4808-943E-AC0EC3B5709B}"/>
    <cellStyle name="5x indented GHG Textfiels 3 3 2 2 52" xfId="25857" xr:uid="{8AA75629-E1A1-4B27-A09B-388BB22B3D9E}"/>
    <cellStyle name="5x indented GHG Textfiels 3 3 2 2 53" xfId="26021" xr:uid="{235B61E9-4A29-4949-8331-539141FDCC15}"/>
    <cellStyle name="5x indented GHG Textfiels 3 3 2 2 54" xfId="26659" xr:uid="{D4BAC37B-D518-4E77-A725-04AEA93275F0}"/>
    <cellStyle name="5x indented GHG Textfiels 3 3 2 2 55" xfId="27145" xr:uid="{643C5DB8-D936-4510-8E56-1622FB1286B9}"/>
    <cellStyle name="5x indented GHG Textfiels 3 3 2 2 56" xfId="27564" xr:uid="{215BFD6A-BD16-4EE9-9DC8-F8989239AA32}"/>
    <cellStyle name="5x indented GHG Textfiels 3 3 2 2 57" xfId="26535" xr:uid="{29936316-655A-4A65-BBF7-5830C738F05B}"/>
    <cellStyle name="5x indented GHG Textfiels 3 3 2 2 58" xfId="28691" xr:uid="{DE5B453D-B2AB-46E8-B3BF-E0D5AEF8A872}"/>
    <cellStyle name="5x indented GHG Textfiels 3 3 2 2 59" xfId="29158" xr:uid="{275DDE29-3C3C-499D-B413-F2DDAC8AA8AA}"/>
    <cellStyle name="5x indented GHG Textfiels 3 3 2 2 6" xfId="3236" xr:uid="{1D16905E-CD2C-4F1A-B196-E987CF1EF9AF}"/>
    <cellStyle name="5x indented GHG Textfiels 3 3 2 2 60" xfId="28800" xr:uid="{FAEF5E79-A6DC-4D80-9FBA-06C22C3776E8}"/>
    <cellStyle name="5x indented GHG Textfiels 3 3 2 2 61" xfId="29947" xr:uid="{71609F1E-1CB7-4AF9-AAC2-A5D6872CDC47}"/>
    <cellStyle name="5x indented GHG Textfiels 3 3 2 2 62" xfId="30353" xr:uid="{4B0CB11C-FBC2-47DC-93EC-830D8A2E1C4A}"/>
    <cellStyle name="5x indented GHG Textfiels 3 3 2 2 63" xfId="30770" xr:uid="{EC57E7B4-7720-4D9D-9E66-096E3505F24D}"/>
    <cellStyle name="5x indented GHG Textfiels 3 3 2 2 64" xfId="29236" xr:uid="{8190D212-00F3-45AA-8DF3-F1F0EB2BFB96}"/>
    <cellStyle name="5x indented GHG Textfiels 3 3 2 2 65" xfId="31386" xr:uid="{56635DCC-A300-48DF-8B64-4EFC762A603F}"/>
    <cellStyle name="5x indented GHG Textfiels 3 3 2 2 66" xfId="32077" xr:uid="{B4330B1F-CF06-4DD1-B386-9108EB11FF1C}"/>
    <cellStyle name="5x indented GHG Textfiels 3 3 2 2 67" xfId="31688" xr:uid="{CAD4C986-10DD-4561-9FF7-1696D7E77503}"/>
    <cellStyle name="5x indented GHG Textfiels 3 3 2 2 7" xfId="4169" xr:uid="{A3B2F8D0-8482-4CBD-8448-8A8FA9DA8054}"/>
    <cellStyle name="5x indented GHG Textfiels 3 3 2 2 8" xfId="4606" xr:uid="{7743FD85-BF99-4159-84FD-DAB6E8892265}"/>
    <cellStyle name="5x indented GHG Textfiels 3 3 2 2 9" xfId="3801" xr:uid="{8EF33DA9-6ED3-4796-AF34-444B5E1F78FA}"/>
    <cellStyle name="5x indented GHG Textfiels 3 3 2 20" xfId="10262" xr:uid="{AA0C3B6E-C1C2-4B6D-8740-271D3B5DE2C6}"/>
    <cellStyle name="5x indented GHG Textfiels 3 3 2 21" xfId="10655" xr:uid="{1CD37053-5575-4B73-8257-21F066D839CD}"/>
    <cellStyle name="5x indented GHG Textfiels 3 3 2 22" xfId="11008" xr:uid="{0374BC5A-8C2A-40D0-8B31-B60E83ECDCE3}"/>
    <cellStyle name="5x indented GHG Textfiels 3 3 2 23" xfId="11320" xr:uid="{3E871CEB-860A-40A5-A8C6-45F879E720E5}"/>
    <cellStyle name="5x indented GHG Textfiels 3 3 2 24" xfId="11989" xr:uid="{BD1105F4-9BC7-4D40-BC6A-022961503EA0}"/>
    <cellStyle name="5x indented GHG Textfiels 3 3 2 25" xfId="12462" xr:uid="{1F9FA73E-ACD9-4028-B77B-38481507AA8E}"/>
    <cellStyle name="5x indented GHG Textfiels 3 3 2 26" xfId="12896" xr:uid="{29055844-2AFA-4246-8D8A-17EF4F4B95A5}"/>
    <cellStyle name="5x indented GHG Textfiels 3 3 2 27" xfId="13333" xr:uid="{DC0359D0-2887-49FF-9DBC-BAF9FC07F5B7}"/>
    <cellStyle name="5x indented GHG Textfiels 3 3 2 28" xfId="14027" xr:uid="{E7EAE29A-CE20-4460-A77C-0F97B36AEF0C}"/>
    <cellStyle name="5x indented GHG Textfiels 3 3 2 29" xfId="13783" xr:uid="{BEEB904F-E8C6-4AD4-8483-5B07A8427508}"/>
    <cellStyle name="5x indented GHG Textfiels 3 3 2 3" xfId="1119" xr:uid="{0E024B7C-4C34-4D57-BE49-629A97EC7374}"/>
    <cellStyle name="5x indented GHG Textfiels 3 3 2 30" xfId="14896" xr:uid="{B1A99A65-E4D5-46F6-B79C-E05CEF16B3D5}"/>
    <cellStyle name="5x indented GHG Textfiels 3 3 2 31" xfId="14793" xr:uid="{C01C2756-5218-4A81-B490-A4EEAC0C81F2}"/>
    <cellStyle name="5x indented GHG Textfiels 3 3 2 32" xfId="15771" xr:uid="{730A92B3-1B57-4628-AA20-423CC52D495E}"/>
    <cellStyle name="5x indented GHG Textfiels 3 3 2 33" xfId="15996" xr:uid="{AF50D384-F4AF-40EA-930E-8F7950C8D7E4}"/>
    <cellStyle name="5x indented GHG Textfiels 3 3 2 34" xfId="16681" xr:uid="{3D082DCB-D073-4B78-8574-A6E2E20749A3}"/>
    <cellStyle name="5x indented GHG Textfiels 3 3 2 35" xfId="17384" xr:uid="{543B1AF2-692A-4050-BF23-ED3A1D67B78F}"/>
    <cellStyle name="5x indented GHG Textfiels 3 3 2 36" xfId="17826" xr:uid="{3EE13D9C-DA08-455F-85A0-3D676D66E874}"/>
    <cellStyle name="5x indented GHG Textfiels 3 3 2 37" xfId="18302" xr:uid="{FE36D779-12A6-4004-AB7A-355B283B6E4A}"/>
    <cellStyle name="5x indented GHG Textfiels 3 3 2 38" xfId="18499" xr:uid="{31B46358-8E71-4B47-86B8-2E088FC0984C}"/>
    <cellStyle name="5x indented GHG Textfiels 3 3 2 39" xfId="19113" xr:uid="{E85F7F0B-9FE8-48DC-8630-C6404D6C1CD3}"/>
    <cellStyle name="5x indented GHG Textfiels 3 3 2 4" xfId="1654" xr:uid="{79F808A4-1E98-42A5-A65A-DDC024FBB2AA}"/>
    <cellStyle name="5x indented GHG Textfiels 3 3 2 40" xfId="19345" xr:uid="{8B3F5680-CD3D-499F-BA6C-5D2398A02F3A}"/>
    <cellStyle name="5x indented GHG Textfiels 3 3 2 41" xfId="20018" xr:uid="{2DE89078-883A-47D3-8EFD-D7640B1CD552}"/>
    <cellStyle name="5x indented GHG Textfiels 3 3 2 42" xfId="20733" xr:uid="{41C8D34B-6796-419B-ADCC-19967578BBD1}"/>
    <cellStyle name="5x indented GHG Textfiels 3 3 2 43" xfId="21192" xr:uid="{445863F3-3DEA-4B5B-992E-577D4403E7A7}"/>
    <cellStyle name="5x indented GHG Textfiels 3 3 2 44" xfId="21684" xr:uid="{9DFF7475-A28C-4F5C-B017-D484EAE80556}"/>
    <cellStyle name="5x indented GHG Textfiels 3 3 2 45" xfId="22123" xr:uid="{73220986-E672-47D4-98C5-CB9A872A2727}"/>
    <cellStyle name="5x indented GHG Textfiels 3 3 2 46" xfId="22550" xr:uid="{F0DF5A5B-624A-41CB-9A7B-EE9475D0B9CA}"/>
    <cellStyle name="5x indented GHG Textfiels 3 3 2 47" xfId="22996" xr:uid="{EE7A164E-5EEF-4011-B1ED-198F97BCFF9C}"/>
    <cellStyle name="5x indented GHG Textfiels 3 3 2 48" xfId="23400" xr:uid="{CA358C6F-625D-4C3C-B330-F61935B64C3D}"/>
    <cellStyle name="5x indented GHG Textfiels 3 3 2 49" xfId="23666" xr:uid="{119D63FF-E704-4502-A06D-39646820741F}"/>
    <cellStyle name="5x indented GHG Textfiels 3 3 2 5" xfId="2458" xr:uid="{1F3933F6-A9CD-479B-9044-0735D6F33A15}"/>
    <cellStyle name="5x indented GHG Textfiels 3 3 2 50" xfId="23827" xr:uid="{EEA8630A-38EB-4A41-AABB-F245A70693E5}"/>
    <cellStyle name="5x indented GHG Textfiels 3 3 2 51" xfId="24726" xr:uid="{6AB56C50-AE3A-475D-A477-23B1B8CFB23D}"/>
    <cellStyle name="5x indented GHG Textfiels 3 3 2 52" xfId="25438" xr:uid="{80243856-5EB4-48E5-BD15-E18B7A9D26F5}"/>
    <cellStyle name="5x indented GHG Textfiels 3 3 2 53" xfId="25644" xr:uid="{B1E75EA8-0936-4EA5-957E-D1CCC56A14CF}"/>
    <cellStyle name="5x indented GHG Textfiels 3 3 2 54" xfId="26304" xr:uid="{1FF36CA7-4BE5-4F46-B279-608AD76902A2}"/>
    <cellStyle name="5x indented GHG Textfiels 3 3 2 55" xfId="26464" xr:uid="{7F3F5CD1-F622-4E6A-ADC1-A9AC80BFAC17}"/>
    <cellStyle name="5x indented GHG Textfiels 3 3 2 56" xfId="26934" xr:uid="{61A83034-D890-4D13-ADA5-7A644CD3950C}"/>
    <cellStyle name="5x indented GHG Textfiels 3 3 2 57" xfId="27353" xr:uid="{DC718CBD-F0B2-41F1-A52C-CEEC58CBFE15}"/>
    <cellStyle name="5x indented GHG Textfiels 3 3 2 58" xfId="27635" xr:uid="{8CF3ADE6-FF8F-40AE-809C-AA334A4940B8}"/>
    <cellStyle name="5x indented GHG Textfiels 3 3 2 59" xfId="28476" xr:uid="{6B8FC83E-4B7B-4388-ACEF-C5B8308DA11E}"/>
    <cellStyle name="5x indented GHG Textfiels 3 3 2 6" xfId="3200" xr:uid="{CF783105-C159-446D-A2A6-1F4581BC5F30}"/>
    <cellStyle name="5x indented GHG Textfiels 3 3 2 60" xfId="28944" xr:uid="{A10847DA-1891-47BA-8189-B22C701DCCC4}"/>
    <cellStyle name="5x indented GHG Textfiels 3 3 2 61" xfId="29547" xr:uid="{1A464609-A716-4901-B3F3-107D5458A8B2}"/>
    <cellStyle name="5x indented GHG Textfiels 3 3 2 62" xfId="29734" xr:uid="{8A5F62EF-853A-4A08-B61F-24989D87E87D}"/>
    <cellStyle name="5x indented GHG Textfiels 3 3 2 63" xfId="30142" xr:uid="{F8EF7F24-3D29-45B2-8C35-31A8A19B64BB}"/>
    <cellStyle name="5x indented GHG Textfiels 3 3 2 64" xfId="30556" xr:uid="{A44682ED-B152-4369-9575-64A2DD24557B}"/>
    <cellStyle name="5x indented GHG Textfiels 3 3 2 65" xfId="31007" xr:uid="{D127EF5B-609C-48AA-98E0-EDD53122EE13}"/>
    <cellStyle name="5x indented GHG Textfiels 3 3 2 66" xfId="31180" xr:uid="{BEB2F2ED-B526-46AE-9266-F64170D09575}"/>
    <cellStyle name="5x indented GHG Textfiels 3 3 2 67" xfId="31866" xr:uid="{F50FB086-7172-450F-AFAE-D371380B3FB1}"/>
    <cellStyle name="5x indented GHG Textfiels 3 3 2 68" xfId="32378" xr:uid="{216657ED-E1F3-44A5-8664-88756E394000}"/>
    <cellStyle name="5x indented GHG Textfiels 3 3 2 7" xfId="3421" xr:uid="{488CCAA8-ED12-45F2-8E6E-75B866239B0D}"/>
    <cellStyle name="5x indented GHG Textfiels 3 3 2 8" xfId="3954" xr:uid="{780D5AEA-88B7-4E3E-98CF-1099D0464D7A}"/>
    <cellStyle name="5x indented GHG Textfiels 3 3 2 9" xfId="4392" xr:uid="{FCB590C7-C9CC-4161-A582-EC3E7DD25739}"/>
    <cellStyle name="5x indented GHG Textfiels 3 3 20" xfId="7626" xr:uid="{371CAAA1-A4F8-4A0F-A1D7-88CA511BA6B5}"/>
    <cellStyle name="5x indented GHG Textfiels 3 3 21" xfId="8727" xr:uid="{4DD0B208-BF46-418F-ACA0-3B4572A08BB3}"/>
    <cellStyle name="5x indented GHG Textfiels 3 3 22" xfId="9290" xr:uid="{249971E9-1973-4FB6-AC28-F8101286B2E3}"/>
    <cellStyle name="5x indented GHG Textfiels 3 3 23" xfId="9987" xr:uid="{D4EAE08C-7972-4B7F-8EAA-E683C24837CF}"/>
    <cellStyle name="5x indented GHG Textfiels 3 3 24" xfId="10412" xr:uid="{AE8DC372-7041-49E8-AB23-5586BA349F85}"/>
    <cellStyle name="5x indented GHG Textfiels 3 3 25" xfId="10734" xr:uid="{9450B0B4-6E6A-4DD1-95EF-8DD67E469B6F}"/>
    <cellStyle name="5x indented GHG Textfiels 3 3 26" xfId="10382" xr:uid="{01972E68-8635-4F04-AD70-D053E0067D7C}"/>
    <cellStyle name="5x indented GHG Textfiels 3 3 27" xfId="11704" xr:uid="{95C2A724-21BA-4A63-AC72-5228B5D7A5FC}"/>
    <cellStyle name="5x indented GHG Textfiels 3 3 28" xfId="11613" xr:uid="{B9351292-A24D-4DB8-8877-730110DBB709}"/>
    <cellStyle name="5x indented GHG Textfiels 3 3 29" xfId="11822" xr:uid="{C9ACA4FE-6C1D-4E62-B566-55A36BAB7328}"/>
    <cellStyle name="5x indented GHG Textfiels 3 3 3" xfId="583" xr:uid="{33656A2F-5481-4B2D-9C64-694300B997CA}"/>
    <cellStyle name="5x indented GHG Textfiels 3 3 3 10" xfId="4913" xr:uid="{6B25251F-4303-4111-8FDA-478060F39D35}"/>
    <cellStyle name="5x indented GHG Textfiels 3 3 3 11" xfId="5231" xr:uid="{79D96B78-5C0C-4C9D-B113-0E3E9AE9629B}"/>
    <cellStyle name="5x indented GHG Textfiels 3 3 3 12" xfId="5642" xr:uid="{5921D3B0-01B1-4B20-AE26-0454363C7EEE}"/>
    <cellStyle name="5x indented GHG Textfiels 3 3 3 13" xfId="3499" xr:uid="{BC8561FF-BF70-40E5-AFFD-BB8C3916307D}"/>
    <cellStyle name="5x indented GHG Textfiels 3 3 3 14" xfId="6433" xr:uid="{9623667D-A414-41DB-B664-4284310E02CF}"/>
    <cellStyle name="5x indented GHG Textfiels 3 3 3 15" xfId="7303" xr:uid="{3711F84B-A519-468D-963B-9CF9F18994C4}"/>
    <cellStyle name="5x indented GHG Textfiels 3 3 3 16" xfId="7789" xr:uid="{403C6C8E-289B-477F-A161-3AFA9AFAE0AE}"/>
    <cellStyle name="5x indented GHG Textfiels 3 3 3 17" xfId="8600" xr:uid="{9AB55A1D-F167-40A9-8E36-E9C1F6FCD322}"/>
    <cellStyle name="5x indented GHG Textfiels 3 3 3 18" xfId="8760" xr:uid="{94C63624-9646-4518-AAFF-CB47D8317581}"/>
    <cellStyle name="5x indented GHG Textfiels 3 3 3 19" xfId="9517" xr:uid="{F0B6A6F4-3CC4-4A2E-BE0B-0D71C16CFD33}"/>
    <cellStyle name="5x indented GHG Textfiels 3 3 3 2" xfId="798" xr:uid="{9BF57869-6B20-4C72-BFDA-40D4ECC3ACAB}"/>
    <cellStyle name="5x indented GHG Textfiels 3 3 3 2 10" xfId="5446" xr:uid="{AFEF9192-373E-4283-B340-0FD30B0A0F07}"/>
    <cellStyle name="5x indented GHG Textfiels 3 3 3 2 11" xfId="4690" xr:uid="{BA625C18-830F-4DAE-8A1F-55ED5D15487B}"/>
    <cellStyle name="5x indented GHG Textfiels 3 3 3 2 12" xfId="6335" xr:uid="{59649F93-ADC0-40FE-9BD7-1FA59A686AE2}"/>
    <cellStyle name="5x indented GHG Textfiels 3 3 3 2 13" xfId="6693" xr:uid="{07CDB1B7-C91D-4B16-B2D9-3A6061C87B01}"/>
    <cellStyle name="5x indented GHG Textfiels 3 3 3 2 14" xfId="7518" xr:uid="{A66FB385-06C6-486C-B605-4AD9F1FC22BA}"/>
    <cellStyle name="5x indented GHG Textfiels 3 3 3 2 15" xfId="7814" xr:uid="{183BDEC3-A839-46EB-9562-23872EC6E4CB}"/>
    <cellStyle name="5x indented GHG Textfiels 3 3 3 2 16" xfId="7854" xr:uid="{F4D49FCB-B242-4E39-B779-517651F267B9}"/>
    <cellStyle name="5x indented GHG Textfiels 3 3 3 2 17" xfId="8906" xr:uid="{34A207DB-2230-4E5A-84A1-5EF405C5BC15}"/>
    <cellStyle name="5x indented GHG Textfiels 3 3 3 2 18" xfId="9732" xr:uid="{BAEBDB6B-4E40-4902-8E93-B76F71BC0CBE}"/>
    <cellStyle name="5x indented GHG Textfiels 3 3 3 2 19" xfId="10027" xr:uid="{6B2BB2C2-045A-49AC-8CED-A53CA398E5A7}"/>
    <cellStyle name="5x indented GHG Textfiels 3 3 3 2 2" xfId="1272" xr:uid="{F563BF76-E83B-445A-BE2D-1C5B91FDEC0E}"/>
    <cellStyle name="5x indented GHG Textfiels 3 3 3 2 20" xfId="10447" xr:uid="{5515D87D-B143-40B6-861D-F79D4851688B}"/>
    <cellStyle name="5x indented GHG Textfiels 3 3 3 2 21" xfId="10947" xr:uid="{D9C4D01B-88A2-4FE4-A202-4A9910A478C3}"/>
    <cellStyle name="5x indented GHG Textfiels 3 3 3 2 22" xfId="11310" xr:uid="{B22C5CCA-AB50-4F4A-94BB-6CAE7A5F5D67}"/>
    <cellStyle name="5x indented GHG Textfiels 3 3 3 2 23" xfId="12151" xr:uid="{44B9DEF9-7BE8-4786-A130-E66BD9F26FBE}"/>
    <cellStyle name="5x indented GHG Textfiels 3 3 3 2 24" xfId="12624" xr:uid="{3DB904CF-ABC6-498C-90BA-84B82E941B8A}"/>
    <cellStyle name="5x indented GHG Textfiels 3 3 3 2 25" xfId="13058" xr:uid="{7F477AE8-C069-4945-8904-4D4F6B09B20B}"/>
    <cellStyle name="5x indented GHG Textfiels 3 3 3 2 26" xfId="13495" xr:uid="{6A21FD05-EB61-41D8-8B55-7D2FE940FD9A}"/>
    <cellStyle name="5x indented GHG Textfiels 3 3 3 2 27" xfId="14006" xr:uid="{2D76B1FA-5334-4E48-B52E-0CD47B8CA996}"/>
    <cellStyle name="5x indented GHG Textfiels 3 3 3 2 28" xfId="13903" xr:uid="{A625CDA5-EF35-43C9-959B-2A1E6E2F8A87}"/>
    <cellStyle name="5x indented GHG Textfiels 3 3 3 2 29" xfId="14681" xr:uid="{A8EA9C5F-A296-49F2-9923-686F90BBE65D}"/>
    <cellStyle name="5x indented GHG Textfiels 3 3 3 2 3" xfId="1741" xr:uid="{35872052-8CCD-4B0D-9675-40C054953D6D}"/>
    <cellStyle name="5x indented GHG Textfiels 3 3 3 2 30" xfId="15305" xr:uid="{A4A0B859-6539-435F-997C-D2896AC9FF38}"/>
    <cellStyle name="5x indented GHG Textfiels 3 3 3 2 31" xfId="15285" xr:uid="{B2FFAC34-29FE-4621-9D47-D85F9EBB8E9A}"/>
    <cellStyle name="5x indented GHG Textfiels 3 3 3 2 32" xfId="15865" xr:uid="{3F8AE9EA-3F0A-4F76-8176-BB9BF7A938C9}"/>
    <cellStyle name="5x indented GHG Textfiels 3 3 3 2 33" xfId="16843" xr:uid="{FAE3E375-AB11-48EB-9402-64CED5DEB750}"/>
    <cellStyle name="5x indented GHG Textfiels 3 3 3 2 34" xfId="17144" xr:uid="{7EA44BDA-6781-492D-A81F-38B6718E4E24}"/>
    <cellStyle name="5x indented GHG Textfiels 3 3 3 2 35" xfId="17591" xr:uid="{C1DD9BEF-4CC3-4FBF-90AB-2C2F35217CE6}"/>
    <cellStyle name="5x indented GHG Textfiels 3 3 3 2 36" xfId="18281" xr:uid="{66AB5C7F-1499-4F5B-A34F-673D6810A62F}"/>
    <cellStyle name="5x indented GHG Textfiels 3 3 3 2 37" xfId="18661" xr:uid="{84C3289A-6266-4CCB-AFBD-C37D7CA59F87}"/>
    <cellStyle name="5x indented GHG Textfiels 3 3 3 2 38" xfId="19100" xr:uid="{F26F52FD-BA43-4E66-B7CD-03605F58C8E1}"/>
    <cellStyle name="5x indented GHG Textfiels 3 3 3 2 39" xfId="19312" xr:uid="{CE3BAC50-80AB-4D67-8D73-6616AF384582}"/>
    <cellStyle name="5x indented GHG Textfiels 3 3 3 2 4" xfId="2620" xr:uid="{64A4053E-DF74-424E-A3DF-D32C78D66D74}"/>
    <cellStyle name="5x indented GHG Textfiels 3 3 3 2 40" xfId="20180" xr:uid="{2947448E-0AC0-4492-9960-49F1B01E2AA7}"/>
    <cellStyle name="5x indented GHG Textfiels 3 3 3 2 41" xfId="20496" xr:uid="{27C5602D-0692-44AB-8891-F10AA16586AA}"/>
    <cellStyle name="5x indented GHG Textfiels 3 3 3 2 42" xfId="20951" xr:uid="{3D79D732-033D-4DDF-AF22-1C16E78B73ED}"/>
    <cellStyle name="5x indented GHG Textfiels 3 3 3 2 43" xfId="21662" xr:uid="{E31DB3D6-7D0E-470E-BE76-7CA31CCF46D4}"/>
    <cellStyle name="5x indented GHG Textfiels 3 3 3 2 44" xfId="21880" xr:uid="{25504A0C-CF70-44AC-9F3E-AC3ED646F244}"/>
    <cellStyle name="5x indented GHG Textfiels 3 3 3 2 45" xfId="22316" xr:uid="{B42E33CA-7F9F-47F8-B7A7-E36A50BAE771}"/>
    <cellStyle name="5x indented GHG Textfiels 3 3 3 2 46" xfId="22976" xr:uid="{EF1BC3A2-2E8B-4A2C-9D04-4B8118F8655E}"/>
    <cellStyle name="5x indented GHG Textfiels 3 3 3 2 47" xfId="23382" xr:uid="{7AA8D3B5-C9E9-4AFB-987D-8CD901E13764}"/>
    <cellStyle name="5x indented GHG Textfiels 3 3 3 2 48" xfId="23508" xr:uid="{600C380E-6A1B-47FD-A9C8-034FA05236A3}"/>
    <cellStyle name="5x indented GHG Textfiels 3 3 3 2 49" xfId="23980" xr:uid="{8FD94CC0-8F65-4B8B-815C-B2628C927D07}"/>
    <cellStyle name="5x indented GHG Textfiels 3 3 3 2 5" xfId="3177" xr:uid="{CC4A8796-885A-4064-921D-FEC6F8962C51}"/>
    <cellStyle name="5x indented GHG Textfiels 3 3 3 2 50" xfId="24888" xr:uid="{414679D5-B14C-434B-9E7D-1A9D55447CCB}"/>
    <cellStyle name="5x indented GHG Textfiels 3 3 3 2 51" xfId="25205" xr:uid="{BD2B7B6E-5873-45B3-9F0E-DA0CC21EDC8F}"/>
    <cellStyle name="5x indented GHG Textfiels 3 3 3 2 52" xfId="25804" xr:uid="{A6E2FED1-D38C-44E8-A6AB-DA5DD54F0F74}"/>
    <cellStyle name="5x indented GHG Textfiels 3 3 3 2 53" xfId="26283" xr:uid="{A8F79E1F-C63B-4E2F-9DA6-4F21B67F0C94}"/>
    <cellStyle name="5x indented GHG Textfiels 3 3 3 2 54" xfId="24221" xr:uid="{9E5DC92B-00A4-43FC-B9E3-A43F652C684F}"/>
    <cellStyle name="5x indented GHG Textfiels 3 3 3 2 55" xfId="27092" xr:uid="{8D98B508-58D4-4466-B87A-BD338F8693FF}"/>
    <cellStyle name="5x indented GHG Textfiels 3 3 3 2 56" xfId="27511" xr:uid="{E1F52678-DFEF-4298-8CB4-D7C31307821B}"/>
    <cellStyle name="5x indented GHG Textfiels 3 3 3 2 57" xfId="26468" xr:uid="{DDAD19FE-26EE-42D0-9586-A3F3FDC87863}"/>
    <cellStyle name="5x indented GHG Textfiels 3 3 3 2 58" xfId="28638" xr:uid="{F0BDF9BD-884A-48CA-B220-9BEB9597D084}"/>
    <cellStyle name="5x indented GHG Textfiels 3 3 3 2 59" xfId="29105" xr:uid="{B60DFF0E-93B2-48FE-9CE9-6B88A1DBB6D8}"/>
    <cellStyle name="5x indented GHG Textfiels 3 3 3 2 6" xfId="3616" xr:uid="{607E30FE-4984-491E-8720-F2CF78B4B393}"/>
    <cellStyle name="5x indented GHG Textfiels 3 3 3 2 60" xfId="29347" xr:uid="{B5CB7026-9345-4C7B-9248-1FED00F09C4F}"/>
    <cellStyle name="5x indented GHG Textfiels 3 3 3 2 61" xfId="29894" xr:uid="{D0A7D5B7-B624-4DB4-A599-183CD78E1A22}"/>
    <cellStyle name="5x indented GHG Textfiels 3 3 3 2 62" xfId="30300" xr:uid="{2201B7E7-DC98-490C-ACF4-382A30C47AEF}"/>
    <cellStyle name="5x indented GHG Textfiels 3 3 3 2 63" xfId="30717" xr:uid="{585B9448-7008-47A9-8A39-A26BE57A5BEB}"/>
    <cellStyle name="5x indented GHG Textfiels 3 3 3 2 64" xfId="28732" xr:uid="{AE21CA17-7EA5-4D5C-80CD-C4B8F5728F49}"/>
    <cellStyle name="5x indented GHG Textfiels 3 3 3 2 65" xfId="31333" xr:uid="{60FC8048-53F1-4DE9-9C5A-5374F4877CB5}"/>
    <cellStyle name="5x indented GHG Textfiels 3 3 3 2 66" xfId="32024" xr:uid="{B4F3FFAC-B28F-418A-9EC1-6375537855DB}"/>
    <cellStyle name="5x indented GHG Textfiels 3 3 3 2 67" xfId="31572" xr:uid="{7DE4687F-8DCD-49EC-B4A4-6D05AC7570DC}"/>
    <cellStyle name="5x indented GHG Textfiels 3 3 3 2 7" xfId="4116" xr:uid="{2241F1CE-A98E-485A-8690-E3E087B2082F}"/>
    <cellStyle name="5x indented GHG Textfiels 3 3 3 2 8" xfId="4553" xr:uid="{420213AF-2408-4694-BD81-616DBD1ACDDC}"/>
    <cellStyle name="5x indented GHG Textfiels 3 3 3 2 9" xfId="4242" xr:uid="{07EEFAF8-6727-4C17-93D4-5F474BE67D65}"/>
    <cellStyle name="5x indented GHG Textfiels 3 3 3 20" xfId="10002" xr:uid="{C79B82E6-BE34-4305-BE03-9EF523A86A38}"/>
    <cellStyle name="5x indented GHG Textfiels 3 3 3 21" xfId="10427" xr:uid="{A4B72074-8AB1-4C26-8387-4FDFBCFDF98A}"/>
    <cellStyle name="5x indented GHG Textfiels 3 3 3 22" xfId="10922" xr:uid="{53A70F8D-DAF5-4EA8-A3BA-5E2972ECFD2E}"/>
    <cellStyle name="5x indented GHG Textfiels 3 3 3 23" xfId="11068" xr:uid="{86507492-3559-431D-A4F4-29F06F7D2D00}"/>
    <cellStyle name="5x indented GHG Textfiels 3 3 3 24" xfId="11936" xr:uid="{15F55451-C531-457E-913F-288621340A86}"/>
    <cellStyle name="5x indented GHG Textfiels 3 3 3 25" xfId="12409" xr:uid="{935F60AA-E0C9-4E4C-94FF-21435B4DF412}"/>
    <cellStyle name="5x indented GHG Textfiels 3 3 3 26" xfId="12843" xr:uid="{F8904205-DFAF-4A04-97BE-5F7D749F21CD}"/>
    <cellStyle name="5x indented GHG Textfiels 3 3 3 27" xfId="13280" xr:uid="{57FE8C55-F49E-4A34-AB33-31EBDE34E4B3}"/>
    <cellStyle name="5x indented GHG Textfiels 3 3 3 28" xfId="13739" xr:uid="{AC244A18-F5FE-49A6-AF0E-51DFB008FBC4}"/>
    <cellStyle name="5x indented GHG Textfiels 3 3 3 29" xfId="14128" xr:uid="{416C446D-FC3A-453D-95C0-B355FDC11294}"/>
    <cellStyle name="5x indented GHG Textfiels 3 3 3 3" xfId="1066" xr:uid="{660A40CF-BCED-4C51-9D63-FDE2F4492400}"/>
    <cellStyle name="5x indented GHG Textfiels 3 3 3 30" xfId="14888" xr:uid="{C134F864-606E-46DF-ADF1-5A588D925628}"/>
    <cellStyle name="5x indented GHG Textfiels 3 3 3 31" xfId="15322" xr:uid="{628CFE23-DAD9-4537-911C-7BD7B95A57E3}"/>
    <cellStyle name="5x indented GHG Textfiels 3 3 3 32" xfId="15108" xr:uid="{5949B8C4-BA87-4018-BE66-0E376E4D90E4}"/>
    <cellStyle name="5x indented GHG Textfiels 3 3 3 33" xfId="15857" xr:uid="{EB4E312E-C318-4698-89DB-39D5E4FDAA27}"/>
    <cellStyle name="5x indented GHG Textfiels 3 3 3 34" xfId="16628" xr:uid="{FE6BFCFA-660E-4335-9179-F14780D16A15}"/>
    <cellStyle name="5x indented GHG Textfiels 3 3 3 35" xfId="17118" xr:uid="{CD16833E-D981-42A3-9AC7-5D120F2AE526}"/>
    <cellStyle name="5x indented GHG Textfiels 3 3 3 36" xfId="17565" xr:uid="{0FB5EA35-DB1C-427A-8EC0-10B1547D17E5}"/>
    <cellStyle name="5x indented GHG Textfiels 3 3 3 37" xfId="16227" xr:uid="{614B92B4-8E9C-4E96-BDCC-3E2C219945DE}"/>
    <cellStyle name="5x indented GHG Textfiels 3 3 3 38" xfId="18446" xr:uid="{6C7307D2-14E2-4C90-B5CE-3955FAC65FBE}"/>
    <cellStyle name="5x indented GHG Textfiels 3 3 3 39" xfId="18828" xr:uid="{A183745B-553C-4B07-A4A0-21B2B13A5392}"/>
    <cellStyle name="5x indented GHG Textfiels 3 3 3 4" xfId="1612" xr:uid="{FF0E9ECD-1BF2-4780-82DB-6910233B072E}"/>
    <cellStyle name="5x indented GHG Textfiels 3 3 3 40" xfId="19300" xr:uid="{EF6211E0-BB2A-4327-8064-AD341D1D9615}"/>
    <cellStyle name="5x indented GHG Textfiels 3 3 3 41" xfId="19965" xr:uid="{684DE842-4453-4A9F-ACB8-E53259FA7B1F}"/>
    <cellStyle name="5x indented GHG Textfiels 3 3 3 42" xfId="20471" xr:uid="{EB50050B-136E-40C1-ABEC-5048EEB518AE}"/>
    <cellStyle name="5x indented GHG Textfiels 3 3 3 43" xfId="20924" xr:uid="{E941D0D0-74B0-4894-B1EE-DFDCCF523F38}"/>
    <cellStyle name="5x indented GHG Textfiels 3 3 3 44" xfId="21449" xr:uid="{37AD9866-625C-4CF5-97E1-6275F4F30173}"/>
    <cellStyle name="5x indented GHG Textfiels 3 3 3 45" xfId="21853" xr:uid="{B496BBAC-3A72-42AB-8B38-E9EFBCB54A34}"/>
    <cellStyle name="5x indented GHG Textfiels 3 3 3 46" xfId="22290" xr:uid="{E8E50C0D-1238-45A7-9385-AF273A030ADE}"/>
    <cellStyle name="5x indented GHG Textfiels 3 3 3 47" xfId="22734" xr:uid="{432FBC46-1586-4D21-8E08-9028C458C7A5}"/>
    <cellStyle name="5x indented GHG Textfiels 3 3 3 48" xfId="23101" xr:uid="{A49EE1B6-976B-4754-9A91-4AFD427665E2}"/>
    <cellStyle name="5x indented GHG Textfiels 3 3 3 49" xfId="23490" xr:uid="{5CAA8A59-3A12-41FB-8377-4EEB0E93ED40}"/>
    <cellStyle name="5x indented GHG Textfiels 3 3 3 5" xfId="2405" xr:uid="{B2DB42FE-887A-4D29-8982-526679493CEB}"/>
    <cellStyle name="5x indented GHG Textfiels 3 3 3 50" xfId="23774" xr:uid="{6F0375D9-4EF3-44A8-BCD9-0BF53414EF9E}"/>
    <cellStyle name="5x indented GHG Textfiels 3 3 3 51" xfId="24673" xr:uid="{9263B69A-0EA3-4DB4-9D01-BC98CE2E04AF}"/>
    <cellStyle name="5x indented GHG Textfiels 3 3 3 52" xfId="25179" xr:uid="{1A8B6E4B-9AEC-4093-93B6-A4A80212FA53}"/>
    <cellStyle name="5x indented GHG Textfiels 3 3 3 53" xfId="25591" xr:uid="{74FAEE8F-C112-440C-B2A2-D9258B516748}"/>
    <cellStyle name="5x indented GHG Textfiels 3 3 3 54" xfId="26039" xr:uid="{DFA8C329-AC76-4CFE-A1D1-B78FD50C11A2}"/>
    <cellStyle name="5x indented GHG Textfiels 3 3 3 55" xfId="26480" xr:uid="{A36A3BB6-57CB-4292-9530-46FFC99C41DD}"/>
    <cellStyle name="5x indented GHG Textfiels 3 3 3 56" xfId="26881" xr:uid="{1B134BB4-BE9F-4647-9384-1796410248B2}"/>
    <cellStyle name="5x indented GHG Textfiels 3 3 3 57" xfId="27300" xr:uid="{19340406-D822-4FE6-9E1D-F604B27F30A2}"/>
    <cellStyle name="5x indented GHG Textfiels 3 3 3 58" xfId="26116" xr:uid="{0E19DDB5-E6D2-4651-8F92-C13BD037A44B}"/>
    <cellStyle name="5x indented GHG Textfiels 3 3 3 59" xfId="28423" xr:uid="{3010594C-DFC5-4127-AEBC-5428109B2216}"/>
    <cellStyle name="5x indented GHG Textfiels 3 3 3 6" xfId="2904" xr:uid="{3B87DDC0-7FE7-4434-941A-4B6FB3A3D489}"/>
    <cellStyle name="5x indented GHG Textfiels 3 3 3 60" xfId="28891" xr:uid="{BD01D9F4-B069-4F75-9644-A6767E3FF12D}"/>
    <cellStyle name="5x indented GHG Textfiels 3 3 3 61" xfId="29326" xr:uid="{E88A9066-2AAA-4F53-A68A-C9910F65F82C}"/>
    <cellStyle name="5x indented GHG Textfiels 3 3 3 62" xfId="29681" xr:uid="{6E648F44-112A-43AF-A4EB-0F8885896E77}"/>
    <cellStyle name="5x indented GHG Textfiels 3 3 3 63" xfId="30089" xr:uid="{DA0186E7-FE20-4C6B-8610-E5C6835EC92D}"/>
    <cellStyle name="5x indented GHG Textfiels 3 3 3 64" xfId="30503" xr:uid="{544AF881-7811-4E5D-81B1-14B3D400D464}"/>
    <cellStyle name="5x indented GHG Textfiels 3 3 3 65" xfId="30850" xr:uid="{3559C591-664C-4540-AFB1-9ECAA1732E82}"/>
    <cellStyle name="5x indented GHG Textfiels 3 3 3 66" xfId="31127" xr:uid="{A3535B53-C280-4429-A6CA-56DCABF340DE}"/>
    <cellStyle name="5x indented GHG Textfiels 3 3 3 67" xfId="31813" xr:uid="{EDDA0580-F371-4406-909D-89A179257492}"/>
    <cellStyle name="5x indented GHG Textfiels 3 3 3 68" xfId="31543" xr:uid="{97720270-5131-4C7D-8EAC-7CAA9719A613}"/>
    <cellStyle name="5x indented GHG Textfiels 3 3 3 7" xfId="3429" xr:uid="{FB15E154-6A07-4A75-A49D-C92D25C40660}"/>
    <cellStyle name="5x indented GHG Textfiels 3 3 3 8" xfId="3901" xr:uid="{72827D70-F095-4C84-B10A-5301642154D7}"/>
    <cellStyle name="5x indented GHG Textfiels 3 3 3 9" xfId="4339" xr:uid="{989F1D84-0FC9-426E-A6A6-A99575E4F25F}"/>
    <cellStyle name="5x indented GHG Textfiels 3 3 30" xfId="11654" xr:uid="{DB7D7DB8-F75E-456E-B9CC-78232525F7FF}"/>
    <cellStyle name="5x indented GHG Textfiels 3 3 31" xfId="13952" xr:uid="{EBE33521-DC2A-4568-AEE1-F22F6C85868D}"/>
    <cellStyle name="5x indented GHG Textfiels 3 3 32" xfId="14385" xr:uid="{C2D9E348-6A72-42A3-B98D-1BB893D22B79}"/>
    <cellStyle name="5x indented GHG Textfiels 3 3 33" xfId="11716" xr:uid="{5B987670-1685-4913-B80B-55A73161BBD2}"/>
    <cellStyle name="5x indented GHG Textfiels 3 3 34" xfId="15017" xr:uid="{8A15A157-F5EA-4303-9B25-324A803328A3}"/>
    <cellStyle name="5x indented GHG Textfiels 3 3 35" xfId="15240" xr:uid="{44217B54-2C94-4D5B-A6DB-76038E0D443F}"/>
    <cellStyle name="5x indented GHG Textfiels 3 3 36" xfId="15844" xr:uid="{71BC67FA-10AB-41B6-99ED-8CFA44CF0876}"/>
    <cellStyle name="5x indented GHG Textfiels 3 3 37" xfId="16398" xr:uid="{07CBC603-3B58-4307-B5DA-245F11D2296E}"/>
    <cellStyle name="5x indented GHG Textfiels 3 3 38" xfId="17103" xr:uid="{1D064DE1-0B99-408E-A60C-1E13885FF9BD}"/>
    <cellStyle name="5x indented GHG Textfiels 3 3 39" xfId="17550" xr:uid="{9B61CA15-AF7C-480D-936E-80035A1BD925}"/>
    <cellStyle name="5x indented GHG Textfiels 3 3 4" xfId="667" xr:uid="{B386C1A4-0774-461C-A62D-7C3D63E3F127}"/>
    <cellStyle name="5x indented GHG Textfiels 3 3 4 10" xfId="2156" xr:uid="{3F554605-6206-4C8B-9049-9E70D07AA47C}"/>
    <cellStyle name="5x indented GHG Textfiels 3 3 4 11" xfId="5315" xr:uid="{FB366914-3923-4557-A161-CB0A282B3CD1}"/>
    <cellStyle name="5x indented GHG Textfiels 3 3 4 12" xfId="5858" xr:uid="{067A3707-BDDF-448C-878F-9C4D77CE16BB}"/>
    <cellStyle name="5x indented GHG Textfiels 3 3 4 13" xfId="6089" xr:uid="{20FCCFF3-133B-4138-86C9-8FE9626B9E01}"/>
    <cellStyle name="5x indented GHG Textfiels 3 3 4 14" xfId="6454" xr:uid="{80D46F55-4C62-43BC-A2D9-5C67FF4D5BF8}"/>
    <cellStyle name="5x indented GHG Textfiels 3 3 4 15" xfId="7387" xr:uid="{C760BBBF-399A-466A-9B59-A84C30C25176}"/>
    <cellStyle name="5x indented GHG Textfiels 3 3 4 16" xfId="6977" xr:uid="{AE4310A6-187C-4230-BF1D-FF8438AF5352}"/>
    <cellStyle name="5x indented GHG Textfiels 3 3 4 17" xfId="8224" xr:uid="{D9DE6A78-BDA4-4F91-943C-827DEB9E77B3}"/>
    <cellStyle name="5x indented GHG Textfiels 3 3 4 18" xfId="8887" xr:uid="{85533998-65DA-469C-8352-8CC75355BD46}"/>
    <cellStyle name="5x indented GHG Textfiels 3 3 4 19" xfId="9601" xr:uid="{C45B063D-34D8-454C-B72A-E274C5D77EC0}"/>
    <cellStyle name="5x indented GHG Textfiels 3 3 4 2" xfId="882" xr:uid="{DA61810E-7D56-49A0-8959-DBF88982A3F2}"/>
    <cellStyle name="5x indented GHG Textfiels 3 3 4 2 10" xfId="5530" xr:uid="{C6304CDB-3F7C-4A27-A563-66D04C9DFB89}"/>
    <cellStyle name="5x indented GHG Textfiels 3 3 4 2 11" xfId="6024" xr:uid="{8AC93B26-6585-492A-8214-7D1AC73E27D0}"/>
    <cellStyle name="5x indented GHG Textfiels 3 3 4 2 12" xfId="6383" xr:uid="{EF7BF0AD-1B8A-45B7-9817-69C24E814E19}"/>
    <cellStyle name="5x indented GHG Textfiels 3 3 4 2 13" xfId="6721" xr:uid="{15465809-8293-4428-9E5B-15E82B2C421E}"/>
    <cellStyle name="5x indented GHG Textfiels 3 3 4 2 14" xfId="7602" xr:uid="{7581B5D5-CF0B-41C8-A68E-871EC76D44D5}"/>
    <cellStyle name="5x indented GHG Textfiels 3 3 4 2 15" xfId="8066" xr:uid="{32EABB3F-7C73-44CB-AA93-BA410B51CD44}"/>
    <cellStyle name="5x indented GHG Textfiels 3 3 4 2 16" xfId="8675" xr:uid="{EE795BD9-EFDC-48E6-AF36-BED953337978}"/>
    <cellStyle name="5x indented GHG Textfiels 3 3 4 2 17" xfId="8934" xr:uid="{0B7E3F81-000F-4CA4-BEF3-EEB2A02C5AC8}"/>
    <cellStyle name="5x indented GHG Textfiels 3 3 4 2 18" xfId="9816" xr:uid="{691036E0-6F3B-4A15-8B3A-5FD3AFC8462B}"/>
    <cellStyle name="5x indented GHG Textfiels 3 3 4 2 19" xfId="10285" xr:uid="{718FD8CC-C160-4E2A-BFFA-DF4202865800}"/>
    <cellStyle name="5x indented GHG Textfiels 3 3 4 2 2" xfId="1356" xr:uid="{35093040-1266-4932-8A03-3C62F43F6935}"/>
    <cellStyle name="5x indented GHG Textfiels 3 3 4 2 20" xfId="10679" xr:uid="{1C19E4A1-7D38-4C70-BDD3-6A5B24086E92}"/>
    <cellStyle name="5x indented GHG Textfiels 3 3 4 2 21" xfId="11028" xr:uid="{B8378D14-029E-4D4D-B399-177E4B953DFC}"/>
    <cellStyle name="5x indented GHG Textfiels 3 3 4 2 22" xfId="11338" xr:uid="{30851A9F-B6E0-4647-BAFC-AE028F9F922B}"/>
    <cellStyle name="5x indented GHG Textfiels 3 3 4 2 23" xfId="12235" xr:uid="{653DFC75-DA97-44DC-9DBC-81FD2C8E2AF7}"/>
    <cellStyle name="5x indented GHG Textfiels 3 3 4 2 24" xfId="12708" xr:uid="{4019330A-39A5-41D3-9676-E422A83AF855}"/>
    <cellStyle name="5x indented GHG Textfiels 3 3 4 2 25" xfId="13142" xr:uid="{48C4DE3D-1A01-468B-B633-3685EF8F2223}"/>
    <cellStyle name="5x indented GHG Textfiels 3 3 4 2 26" xfId="13579" xr:uid="{46D3EC34-C19A-4C2F-AD90-03D287B4D94E}"/>
    <cellStyle name="5x indented GHG Textfiels 3 3 4 2 27" xfId="14051" xr:uid="{105A1815-4E55-4692-9380-3C1812306CB8}"/>
    <cellStyle name="5x indented GHG Textfiels 3 3 4 2 28" xfId="14498" xr:uid="{867E9DF4-46D2-41E5-8425-98BB67ADA40E}"/>
    <cellStyle name="5x indented GHG Textfiels 3 3 4 2 29" xfId="14932" xr:uid="{F152370D-891D-46B9-9440-8CB3B7F65805}"/>
    <cellStyle name="5x indented GHG Textfiels 3 3 4 2 3" xfId="1805" xr:uid="{56F07873-F359-430B-A518-C59E81D1BBBF}"/>
    <cellStyle name="5x indented GHG Textfiels 3 3 4 2 30" xfId="15402" xr:uid="{23F382F6-234B-41FB-A33E-32215E329854}"/>
    <cellStyle name="5x indented GHG Textfiels 3 3 4 2 31" xfId="15792" xr:uid="{1FA55AC6-E867-4981-939E-9700F15B91F5}"/>
    <cellStyle name="5x indented GHG Textfiels 3 3 4 2 32" xfId="16014" xr:uid="{09B9DF47-F72E-453F-8488-A23E22F829F2}"/>
    <cellStyle name="5x indented GHG Textfiels 3 3 4 2 33" xfId="16927" xr:uid="{E94C3F54-B4C2-41D6-92B1-01D0302FF7A5}"/>
    <cellStyle name="5x indented GHG Textfiels 3 3 4 2 34" xfId="17408" xr:uid="{2206E05C-7AAA-4990-9E26-5B9C4D294A1A}"/>
    <cellStyle name="5x indented GHG Textfiels 3 3 4 2 35" xfId="17849" xr:uid="{B908E3CD-D455-448A-9072-78B8510095E6}"/>
    <cellStyle name="5x indented GHG Textfiels 3 3 4 2 36" xfId="18324" xr:uid="{FE0DB011-7B70-49CC-8B79-31C604B1FB96}"/>
    <cellStyle name="5x indented GHG Textfiels 3 3 4 2 37" xfId="18745" xr:uid="{18E8D866-DCE4-4EDA-8910-A235231D9821}"/>
    <cellStyle name="5x indented GHG Textfiels 3 3 4 2 38" xfId="19132" xr:uid="{11E89354-28B3-4870-8598-63A36A882E21}"/>
    <cellStyle name="5x indented GHG Textfiels 3 3 4 2 39" xfId="19362" xr:uid="{73BAC417-9336-46F0-9206-D85D2DA11F05}"/>
    <cellStyle name="5x indented GHG Textfiels 3 3 4 2 4" xfId="2704" xr:uid="{EED21217-9F61-4672-9101-D9D61CAA0BD5}"/>
    <cellStyle name="5x indented GHG Textfiels 3 3 4 2 40" xfId="20264" xr:uid="{DD5D8ECB-B1E9-4A46-B538-6B1B1C8795AF}"/>
    <cellStyle name="5x indented GHG Textfiels 3 3 4 2 41" xfId="20757" xr:uid="{9B68EDD6-6172-4B31-BD45-5F01024BD45D}"/>
    <cellStyle name="5x indented GHG Textfiels 3 3 4 2 42" xfId="21216" xr:uid="{FF14B42D-048F-48F2-92F8-7548A13B9D5F}"/>
    <cellStyle name="5x indented GHG Textfiels 3 3 4 2 43" xfId="21708" xr:uid="{4F618F3E-1155-41C6-A721-46323934B9FB}"/>
    <cellStyle name="5x indented GHG Textfiels 3 3 4 2 44" xfId="22147" xr:uid="{977A2166-EE0D-4A9C-AFE3-337F48D85736}"/>
    <cellStyle name="5x indented GHG Textfiels 3 3 4 2 45" xfId="22574" xr:uid="{7A3D6E64-0D82-4321-A4F7-30414DE0E4A7}"/>
    <cellStyle name="5x indented GHG Textfiels 3 3 4 2 46" xfId="23019" xr:uid="{C7C69020-7FDB-437D-938D-1419AEEB3C6D}"/>
    <cellStyle name="5x indented GHG Textfiels 3 3 4 2 47" xfId="23421" xr:uid="{9393640D-A51B-4620-A62C-F6D3349C8E8B}"/>
    <cellStyle name="5x indented GHG Textfiels 3 3 4 2 48" xfId="23684" xr:uid="{3D23857F-0E4A-42D4-861D-5895F1CAD7D0}"/>
    <cellStyle name="5x indented GHG Textfiels 3 3 4 2 49" xfId="24064" xr:uid="{52C88E9E-25D8-49C4-866A-82BC9B10FDF7}"/>
    <cellStyle name="5x indented GHG Textfiels 3 3 4 2 5" xfId="3224" xr:uid="{92C221BD-D582-4DCF-93CC-41D825D1486B}"/>
    <cellStyle name="5x indented GHG Textfiels 3 3 4 2 50" xfId="24972" xr:uid="{A30BC1A5-78E4-41C6-AC7C-DD009C135CB7}"/>
    <cellStyle name="5x indented GHG Textfiels 3 3 4 2 51" xfId="25460" xr:uid="{F0AD0562-541B-4434-A834-360D5E7E5049}"/>
    <cellStyle name="5x indented GHG Textfiels 3 3 4 2 52" xfId="25888" xr:uid="{0BF81203-DA2B-4183-B1DD-AA7CE55F894A}"/>
    <cellStyle name="5x indented GHG Textfiels 3 3 4 2 53" xfId="26326" xr:uid="{16ECD82A-ABFE-4E76-8E2E-5376BCB23756}"/>
    <cellStyle name="5x indented GHG Textfiels 3 3 4 2 54" xfId="26755" xr:uid="{A8F6E1D3-E928-41A9-99FF-0C72B3463B08}"/>
    <cellStyle name="5x indented GHG Textfiels 3 3 4 2 55" xfId="27176" xr:uid="{7D22C8D2-114E-4BF8-8721-D9C1041B4FEC}"/>
    <cellStyle name="5x indented GHG Textfiels 3 3 4 2 56" xfId="27595" xr:uid="{E775B148-74C6-4CDB-9329-CF3C07BAF850}"/>
    <cellStyle name="5x indented GHG Textfiels 3 3 4 2 57" xfId="27833" xr:uid="{048B44A7-4747-4603-8B9F-842A4AEA2B0C}"/>
    <cellStyle name="5x indented GHG Textfiels 3 3 4 2 58" xfId="28722" xr:uid="{B366F4A7-9F2C-401B-AA81-25ACA637CE9D}"/>
    <cellStyle name="5x indented GHG Textfiels 3 3 4 2 59" xfId="29189" xr:uid="{AAE28691-D6F6-4C4F-8683-9EA072861AA6}"/>
    <cellStyle name="5x indented GHG Textfiels 3 3 4 2 6" xfId="3779" xr:uid="{78609E81-0C97-48E6-A4D6-15504873D2D5}"/>
    <cellStyle name="5x indented GHG Textfiels 3 3 4 2 60" xfId="29571" xr:uid="{2F67B600-690A-4156-9FFE-356F907EDF3D}"/>
    <cellStyle name="5x indented GHG Textfiels 3 3 4 2 61" xfId="29978" xr:uid="{212183BF-0290-46EF-B004-C9392D3C02A7}"/>
    <cellStyle name="5x indented GHG Textfiels 3 3 4 2 62" xfId="30384" xr:uid="{446D81FC-FA79-4FDF-9559-2A29D3EFD1E3}"/>
    <cellStyle name="5x indented GHG Textfiels 3 3 4 2 63" xfId="30801" xr:uid="{577AF36B-EFCD-4F87-8898-5AF7E69E48F8}"/>
    <cellStyle name="5x indented GHG Textfiels 3 3 4 2 64" xfId="31046" xr:uid="{E64426C8-08FA-4B5C-BFEA-0129BC91C432}"/>
    <cellStyle name="5x indented GHG Textfiels 3 3 4 2 65" xfId="31417" xr:uid="{736D2191-DD8F-4A81-A103-488C8DB3F9E9}"/>
    <cellStyle name="5x indented GHG Textfiels 3 3 4 2 66" xfId="32108" xr:uid="{FA60D189-C047-4374-8811-7B44E7314303}"/>
    <cellStyle name="5x indented GHG Textfiels 3 3 4 2 67" xfId="32395" xr:uid="{2196134E-0B24-404B-9E41-9B271915B2D6}"/>
    <cellStyle name="5x indented GHG Textfiels 3 3 4 2 7" xfId="4200" xr:uid="{7C0A876C-B8BE-40C6-9B54-62E387299F4E}"/>
    <cellStyle name="5x indented GHG Textfiels 3 3 4 2 8" xfId="4637" xr:uid="{87DEF3B5-DE0F-4DAB-8FB6-12362433ACDB}"/>
    <cellStyle name="5x indented GHG Textfiels 3 3 4 2 9" xfId="5083" xr:uid="{6E40ADD0-01F9-4B55-9DF2-AAC2FDB1A702}"/>
    <cellStyle name="5x indented GHG Textfiels 3 3 4 20" xfId="9318" xr:uid="{F3AB6B6A-E754-45D4-8AD1-BD8737D3FF26}"/>
    <cellStyle name="5x indented GHG Textfiels 3 3 4 21" xfId="9882" xr:uid="{05F03000-71BA-42C2-BFD1-0A1A4F9C60B0}"/>
    <cellStyle name="5x indented GHG Textfiels 3 3 4 22" xfId="10804" xr:uid="{EF0464BB-A294-4218-9756-096DBE4CB05C}"/>
    <cellStyle name="5x indented GHG Textfiels 3 3 4 23" xfId="9231" xr:uid="{2147FC53-0C24-4083-8DDA-FE9EDFF3FA8B}"/>
    <cellStyle name="5x indented GHG Textfiels 3 3 4 24" xfId="12020" xr:uid="{773742C5-B6A9-400E-82A1-043990F64ED3}"/>
    <cellStyle name="5x indented GHG Textfiels 3 3 4 25" xfId="12493" xr:uid="{9D4D30DD-62FB-4112-84EC-EA486D65CFA8}"/>
    <cellStyle name="5x indented GHG Textfiels 3 3 4 26" xfId="12927" xr:uid="{F53E3C0E-B10A-4671-9CC6-26720CB905FE}"/>
    <cellStyle name="5x indented GHG Textfiels 3 3 4 27" xfId="13364" xr:uid="{5E611FB2-1691-4915-8073-6B683896E78D}"/>
    <cellStyle name="5x indented GHG Textfiels 3 3 4 28" xfId="13696" xr:uid="{8A9E6F16-676C-4BBB-B196-502E13966350}"/>
    <cellStyle name="5x indented GHG Textfiels 3 3 4 29" xfId="14457" xr:uid="{2C9E0871-F8DA-4C47-9022-779ADC001AC4}"/>
    <cellStyle name="5x indented GHG Textfiels 3 3 4 3" xfId="1150" xr:uid="{1424F3A3-1648-4EC7-9F98-0D0780F35927}"/>
    <cellStyle name="5x indented GHG Textfiels 3 3 4 30" xfId="14083" xr:uid="{9BFED7D7-9F1F-47FE-BA8F-4D73F8CE9340}"/>
    <cellStyle name="5x indented GHG Textfiels 3 3 4 31" xfId="14731" xr:uid="{3166CD1A-65E3-4E6D-B6DF-ACC7C9791B80}"/>
    <cellStyle name="5x indented GHG Textfiels 3 3 4 32" xfId="15265" xr:uid="{5072A528-C2CD-4DC2-8808-E344327B37A6}"/>
    <cellStyle name="5x indented GHG Textfiels 3 3 4 33" xfId="14461" xr:uid="{163670FD-074D-4B05-9488-1C79BA7C8DF8}"/>
    <cellStyle name="5x indented GHG Textfiels 3 3 4 34" xfId="16712" xr:uid="{E5A86CDF-BA73-4BF5-99EC-295F3708A3C7}"/>
    <cellStyle name="5x indented GHG Textfiels 3 3 4 35" xfId="16297" xr:uid="{7F9A0475-98DE-4D73-BD53-586913575C67}"/>
    <cellStyle name="5x indented GHG Textfiels 3 3 4 36" xfId="17098" xr:uid="{E2969434-49CE-439B-89E6-22C4E5B8FDEB}"/>
    <cellStyle name="5x indented GHG Textfiels 3 3 4 37" xfId="17687" xr:uid="{9BC491C9-34AB-41BD-85D6-57FED3E23FCC}"/>
    <cellStyle name="5x indented GHG Textfiels 3 3 4 38" xfId="18530" xr:uid="{619BB78D-879D-4CA8-831D-2A54F7002600}"/>
    <cellStyle name="5x indented GHG Textfiels 3 3 4 39" xfId="18971" xr:uid="{D39B7AB5-4DCF-4EB3-ABCD-D8DE0930CCB2}"/>
    <cellStyle name="5x indented GHG Textfiels 3 3 4 4" xfId="1724" xr:uid="{2C4B83FE-E930-4ED6-92F5-5AE3301A05F8}"/>
    <cellStyle name="5x indented GHG Textfiels 3 3 4 40" xfId="19318" xr:uid="{34B20C3F-EFD4-4602-BED2-2FD7B217E5E3}"/>
    <cellStyle name="5x indented GHG Textfiels 3 3 4 41" xfId="20049" xr:uid="{E63D5D9B-2E7D-40D8-920E-34370C6325BE}"/>
    <cellStyle name="5x indented GHG Textfiels 3 3 4 42" xfId="19627" xr:uid="{9B441F24-613E-48D8-BB19-F528769610F1}"/>
    <cellStyle name="5x indented GHG Textfiels 3 3 4 43" xfId="20323" xr:uid="{FB845029-3644-43BD-B32F-9D8ECF11D71C}"/>
    <cellStyle name="5x indented GHG Textfiels 3 3 4 44" xfId="20347" xr:uid="{F352560C-DEDF-44CD-A69C-3D5237290930}"/>
    <cellStyle name="5x indented GHG Textfiels 3 3 4 45" xfId="20442" xr:uid="{F99D6D95-1D69-4542-8309-A4D458AF928F}"/>
    <cellStyle name="5x indented GHG Textfiels 3 3 4 46" xfId="20627" xr:uid="{4B4DE7EA-5087-4B7E-B583-ABD7DE68C4BD}"/>
    <cellStyle name="5x indented GHG Textfiels 3 3 4 47" xfId="22693" xr:uid="{C6B0F248-A6A6-45AD-8CDA-430AF11E1E03}"/>
    <cellStyle name="5x indented GHG Textfiels 3 3 4 48" xfId="23257" xr:uid="{A00E01A5-3F43-44D8-B66F-6F89F429F62C}"/>
    <cellStyle name="5x indented GHG Textfiels 3 3 4 49" xfId="23140" xr:uid="{C303527E-3079-47E9-A983-B6E9DC7DAD69}"/>
    <cellStyle name="5x indented GHG Textfiels 3 3 4 5" xfId="2489" xr:uid="{D94ACD7E-2F69-44D3-9963-86D347110BC5}"/>
    <cellStyle name="5x indented GHG Textfiels 3 3 4 50" xfId="23858" xr:uid="{7EDB8E01-3090-4A29-AD27-5091590A162A}"/>
    <cellStyle name="5x indented GHG Textfiels 3 3 4 51" xfId="24757" xr:uid="{0D816FB0-7F45-40B1-A0AD-B65B11DA6D28}"/>
    <cellStyle name="5x indented GHG Textfiels 3 3 4 52" xfId="24985" xr:uid="{4E79751E-26CF-41A7-9658-ED0BA5E4423D}"/>
    <cellStyle name="5x indented GHG Textfiels 3 3 4 53" xfId="25675" xr:uid="{7358529E-7677-43F2-B864-F3D6DF3B48BC}"/>
    <cellStyle name="5x indented GHG Textfiels 3 3 4 54" xfId="25998" xr:uid="{AD7527DF-DB00-49BA-8953-603EE6A1E17C}"/>
    <cellStyle name="5x indented GHG Textfiels 3 3 4 55" xfId="24296" xr:uid="{530DB1DE-BA2F-4E13-9CE5-79F1F284578D}"/>
    <cellStyle name="5x indented GHG Textfiels 3 3 4 56" xfId="26965" xr:uid="{E92E953C-F526-42AB-8E0A-BEBF05F39563}"/>
    <cellStyle name="5x indented GHG Textfiels 3 3 4 57" xfId="27384" xr:uid="{1653617D-9F6F-46C0-A6FA-9754CB0F9AAD}"/>
    <cellStyle name="5x indented GHG Textfiels 3 3 4 58" xfId="27774" xr:uid="{7DEA3E0D-1F72-4EEA-88E8-D6F1A4B5B593}"/>
    <cellStyle name="5x indented GHG Textfiels 3 3 4 59" xfId="28507" xr:uid="{3C3B7275-179D-4F29-8D5E-D7EA71E1F6AA}"/>
    <cellStyle name="5x indented GHG Textfiels 3 3 4 6" xfId="2861" xr:uid="{E0AAB7B1-BD83-4BFC-9BAF-8DEE7A5E6B13}"/>
    <cellStyle name="5x indented GHG Textfiels 3 3 4 60" xfId="28975" xr:uid="{0162BDD5-A8A0-40E6-A786-A8A524805C8E}"/>
    <cellStyle name="5x indented GHG Textfiels 3 3 4 61" xfId="28038" xr:uid="{7742F546-C62E-4214-AA83-6F37E741D597}"/>
    <cellStyle name="5x indented GHG Textfiels 3 3 4 62" xfId="29765" xr:uid="{6481CE6F-DFB4-4053-A6E3-6D1B3FF0DB14}"/>
    <cellStyle name="5x indented GHG Textfiels 3 3 4 63" xfId="30173" xr:uid="{591DC928-0FBF-4AA0-857C-75AD1DEB39D3}"/>
    <cellStyle name="5x indented GHG Textfiels 3 3 4 64" xfId="30587" xr:uid="{4B6C0BEA-491D-4E97-9A5B-2537CAD5D2AB}"/>
    <cellStyle name="5x indented GHG Textfiels 3 3 4 65" xfId="30930" xr:uid="{2853DF3F-1177-4722-80E0-6EB3D0F6E65B}"/>
    <cellStyle name="5x indented GHG Textfiels 3 3 4 66" xfId="31211" xr:uid="{BF431F00-B812-4D8C-B4FC-5276CF588BA3}"/>
    <cellStyle name="5x indented GHG Textfiels 3 3 4 67" xfId="31897" xr:uid="{F91178B1-5F67-47A0-BC34-16B2D0E08ADD}"/>
    <cellStyle name="5x indented GHG Textfiels 3 3 4 68" xfId="31620" xr:uid="{8D28D938-CD84-4E6F-8B1E-746E4F47E3F2}"/>
    <cellStyle name="5x indented GHG Textfiels 3 3 4 7" xfId="3312" xr:uid="{C536E9B9-2548-42F9-8988-EFBF7BE7C656}"/>
    <cellStyle name="5x indented GHG Textfiels 3 3 4 8" xfId="3985" xr:uid="{4F10CA78-A8A4-4F78-8F8B-4172CD2B2BBA}"/>
    <cellStyle name="5x indented GHG Textfiels 3 3 4 9" xfId="4423" xr:uid="{FB736EEE-93E7-4E7E-B6D3-E959E84B17B6}"/>
    <cellStyle name="5x indented GHG Textfiels 3 3 40" xfId="17660" xr:uid="{9FA82520-E94C-4FCC-8796-EB423F2815B4}"/>
    <cellStyle name="5x indented GHG Textfiels 3 3 41" xfId="18218" xr:uid="{5A4D0CCE-68D2-4F6D-A525-9A0DF513F225}"/>
    <cellStyle name="5x indented GHG Textfiels 3 3 42" xfId="17446" xr:uid="{FF567AA6-4A46-400C-8116-87B19C4DD206}"/>
    <cellStyle name="5x indented GHG Textfiels 3 3 43" xfId="19188" xr:uid="{832F8636-CCDD-4203-8265-03A7FB9CEA0B}"/>
    <cellStyle name="5x indented GHG Textfiels 3 3 44" xfId="19733" xr:uid="{7F4D6D90-DF22-4E5A-A7A2-B1334E29ADCE}"/>
    <cellStyle name="5x indented GHG Textfiels 3 3 45" xfId="20456" xr:uid="{DB3E0AAE-335A-4B60-8306-82A018D22BC0}"/>
    <cellStyle name="5x indented GHG Textfiels 3 3 46" xfId="20909" xr:uid="{8D7851C1-03FF-4D18-86A7-C9477CFCC9DF}"/>
    <cellStyle name="5x indented GHG Textfiels 3 3 47" xfId="21290" xr:uid="{1961BD8B-D352-4F23-B1CC-63F150C0B66A}"/>
    <cellStyle name="5x indented GHG Textfiels 3 3 48" xfId="21838" xr:uid="{D3E48E59-115B-4849-ACD4-211EE03A8E3E}"/>
    <cellStyle name="5x indented GHG Textfiels 3 3 49" xfId="22275" xr:uid="{EFD77503-AC5C-4281-BFD3-2195B8BA0954}"/>
    <cellStyle name="5x indented GHG Textfiels 3 3 5" xfId="704" xr:uid="{B336D516-0C59-4D60-BC6C-54FC64EA3937}"/>
    <cellStyle name="5x indented GHG Textfiels 3 3 5 2" xfId="5352" xr:uid="{32D2EAEF-8AC0-481A-9892-91787C65F446}"/>
    <cellStyle name="5x indented GHG Textfiels 3 3 5 3" xfId="17014" xr:uid="{0B163F2D-9BDE-4B0E-8737-D913AB84DF1D}"/>
    <cellStyle name="5x indented GHG Textfiels 3 3 50" xfId="22926" xr:uid="{24A33F96-7EEF-45A6-BDF8-796977436C95}"/>
    <cellStyle name="5x indented GHG Textfiels 3 3 51" xfId="22845" xr:uid="{457EF8FE-61BC-45A2-BFD5-471E92A35DC1}"/>
    <cellStyle name="5x indented GHG Textfiels 3 3 52" xfId="22270" xr:uid="{77695382-57AF-47AB-BC14-BDE15688D900}"/>
    <cellStyle name="5x indented GHG Textfiels 3 3 53" xfId="23515" xr:uid="{A26E6FB7-1EF5-4685-B86B-DA1203EEDEE0}"/>
    <cellStyle name="5x indented GHG Textfiels 3 3 54" xfId="24448" xr:uid="{CC059F25-4848-4E62-8203-3AD0CC483220}"/>
    <cellStyle name="5x indented GHG Textfiels 3 3 55" xfId="25164" xr:uid="{681E68B1-DB96-495B-8A50-96F4A29729E9}"/>
    <cellStyle name="5x indented GHG Textfiels 3 3 56" xfId="24455" xr:uid="{1F592428-8C03-4D7A-9988-50B5BF9815FE}"/>
    <cellStyle name="5x indented GHG Textfiels 3 3 57" xfId="26233" xr:uid="{FCC9BC10-4916-4F0A-A578-D2D6E50CF829}"/>
    <cellStyle name="5x indented GHG Textfiels 3 3 58" xfId="26476" xr:uid="{122EA262-8264-4C56-9022-ABBBD38621B3}"/>
    <cellStyle name="5x indented GHG Textfiels 3 3 59" xfId="26457" xr:uid="{CA56693C-F2B1-46BC-80A6-3A68C6EA7A76}"/>
    <cellStyle name="5x indented GHG Textfiels 3 3 6" xfId="974" xr:uid="{BB1B997E-DADF-469A-9DCE-FFFBF2BA54C1}"/>
    <cellStyle name="5x indented GHG Textfiels 3 3 60" xfId="26343" xr:uid="{C5F4BE00-DE17-4730-92DA-8E33F853539C}"/>
    <cellStyle name="5x indented GHG Textfiels 3 3 61" xfId="27690" xr:uid="{B76AEE12-4CA7-4C96-A166-9C553D37499F}"/>
    <cellStyle name="5x indented GHG Textfiels 3 3 62" xfId="28214" xr:uid="{C08B9CF1-1016-430E-B3F0-57F5927EB613}"/>
    <cellStyle name="5x indented GHG Textfiels 3 3 63" xfId="28130" xr:uid="{1DA9F1DC-E62B-4D87-BA93-EEF511456046}"/>
    <cellStyle name="5x indented GHG Textfiels 3 3 64" xfId="29312" xr:uid="{037CDB87-DC1C-45AF-B9C9-B1E20FA501A3}"/>
    <cellStyle name="5x indented GHG Textfiels 3 3 65" xfId="28164" xr:uid="{F3042EE4-E953-4073-B835-AE36AEE9E5D2}"/>
    <cellStyle name="5x indented GHG Textfiels 3 3 66" xfId="27911" xr:uid="{6F8FAE70-D7B7-4985-8FC6-C4D21521475A}"/>
    <cellStyle name="5x indented GHG Textfiels 3 3 67" xfId="28540" xr:uid="{ACA7CCE5-3210-42A7-B48C-1110DBF78274}"/>
    <cellStyle name="5x indented GHG Textfiels 3 3 68" xfId="28758" xr:uid="{2AF4F8B1-85A8-44BA-A860-32CDD0319A4C}"/>
    <cellStyle name="5x indented GHG Textfiels 3 3 69" xfId="28067" xr:uid="{07D71708-EA72-4C39-8796-CD010AE83557}"/>
    <cellStyle name="5x indented GHG Textfiels 3 3 7" xfId="1758" xr:uid="{42237DF0-05F0-49E1-BF7A-7B9BEA7CC6E8}"/>
    <cellStyle name="5x indented GHG Textfiels 3 3 70" xfId="31650" xr:uid="{B52CD8A3-7F54-480A-97E9-49126C67E8A3}"/>
    <cellStyle name="5x indented GHG Textfiels 3 3 71" xfId="32312" xr:uid="{FEFBC075-E6C7-402A-A9F2-84842F76E5AC}"/>
    <cellStyle name="5x indented GHG Textfiels 3 3 8" xfId="2172" xr:uid="{8A5A521C-4FE6-4D8B-A83C-01633CF05C1F}"/>
    <cellStyle name="5x indented GHG Textfiels 3 3 9" xfId="3121" xr:uid="{1CDAA912-7AE4-4713-9892-B1D6AFE15244}"/>
    <cellStyle name="5x indented GHG Textfiels_Table 4(II)" xfId="191" xr:uid="{FF0E2976-742B-48E3-8234-3B5986D449B9}"/>
    <cellStyle name="60 % - Akzent1" xfId="18252" hidden="1" xr:uid="{4B7B6B68-A065-43BE-A53A-15B4A5239418}"/>
    <cellStyle name="60 % - Akzent1" xfId="17610" hidden="1" xr:uid="{1C8EC8C4-63C4-4F31-A7A7-5FEB879DEB13}"/>
    <cellStyle name="60 % - Akzent1" xfId="17349" hidden="1" xr:uid="{31FC8AD1-F5D3-4972-A261-59CE9EF2A362}"/>
    <cellStyle name="60 % - Akzent1" xfId="17993" hidden="1" xr:uid="{49A7CED6-7F17-408D-87E3-69F93DE512A3}"/>
    <cellStyle name="60 % - Akzent1" xfId="16226" hidden="1" xr:uid="{AEAF299F-030A-4686-A4D4-EF11053F2BFC}"/>
    <cellStyle name="60 % - Akzent1" xfId="19075" hidden="1" xr:uid="{B4AF9AE1-8365-4216-B5FA-235C321E58DF}"/>
    <cellStyle name="60 % - Akzent1" xfId="17829" hidden="1" xr:uid="{BD255463-E079-46CF-9717-35A7A567D1DC}"/>
    <cellStyle name="60 % - Akzent1" xfId="17898" hidden="1" xr:uid="{94B24C11-90F0-41EB-9FE4-335759FEA336}"/>
    <cellStyle name="60 % - Akzent1" xfId="17900" hidden="1" xr:uid="{29E4CA89-61BE-4756-8B24-7B175F14035E}"/>
    <cellStyle name="60 % - Akzent1" xfId="19432" hidden="1" xr:uid="{016DE01F-DF87-423E-9D3A-88DA96FC74E1}"/>
    <cellStyle name="60 % - Akzent1" xfId="19880" hidden="1" xr:uid="{21F904EC-E623-42F0-81D9-6AD3B531CB1A}"/>
    <cellStyle name="60 % - Akzent1" xfId="19408" hidden="1" xr:uid="{4DDAC658-2AD9-440C-8114-64A9B867AF82}"/>
    <cellStyle name="60 % - Akzent1" xfId="19543" hidden="1" xr:uid="{3826BEA7-34E4-4C24-B7FD-18B8C02882AF}"/>
    <cellStyle name="60 % - Akzent1" xfId="19671" hidden="1" xr:uid="{106E3EA0-4A37-4405-9BF6-1DC98BC1C150}"/>
    <cellStyle name="60 % - Akzent1" xfId="20386" hidden="1" xr:uid="{ED14A436-A81E-4BE9-ABF0-DF036BE2AEEE}"/>
    <cellStyle name="60 % - Akzent1" xfId="21388" hidden="1" xr:uid="{2FD68D0C-4572-44C5-8DEA-FAA4A7ECB2E2}"/>
    <cellStyle name="60 % - Akzent1" xfId="20451" hidden="1" xr:uid="{DFBC33D4-6413-4944-AD8F-CD8F1B07FB62}"/>
    <cellStyle name="60 % - Akzent1" xfId="21372" hidden="1" xr:uid="{C51F8215-66C0-4CE1-B075-C47B76313286}"/>
    <cellStyle name="60 % - Akzent1" xfId="21642" hidden="1" xr:uid="{D790472E-7810-4B0D-9F68-9A21C65274B7}"/>
    <cellStyle name="60 % - Akzent1" xfId="21357" hidden="1" xr:uid="{D788EA31-7F32-4DD2-BBEB-C99888A16B36}"/>
    <cellStyle name="60 % - Akzent1" xfId="21283" hidden="1" xr:uid="{12041E87-5F6E-419C-9B30-986BA1F06E2D}"/>
    <cellStyle name="60 % - Akzent1" xfId="22076" hidden="1" xr:uid="{66271A2D-2113-4954-A4C8-8754E62A20CE}"/>
    <cellStyle name="60 % - Akzent1" xfId="20908" hidden="1" xr:uid="{77EE5C55-6FF6-41EA-9B66-004B53029F39}"/>
    <cellStyle name="60 % - Akzent1" xfId="22164" hidden="1" xr:uid="{5C784CA2-8131-43B7-8AC7-F384E64124DA}"/>
    <cellStyle name="60 % - Akzent1" xfId="22901" hidden="1" xr:uid="{0BE413DD-4BE1-4EE7-8333-50D7FE016527}"/>
    <cellStyle name="60 % - Akzent1" xfId="22879" hidden="1" xr:uid="{06228558-0454-4717-BB1C-951FC3A9FDC2}"/>
    <cellStyle name="60 % - Akzent1" xfId="22643" hidden="1" xr:uid="{F3106F63-003F-4837-88E2-4FDFA1F1073D}"/>
    <cellStyle name="60 % - Akzent1" xfId="23353" hidden="1" xr:uid="{45460E86-5243-49D3-9695-8614F3DA36D1}"/>
    <cellStyle name="60 % - Akzent1" xfId="23203" hidden="1" xr:uid="{0F1954C3-9591-4CE7-902F-3FEB338606B4}"/>
    <cellStyle name="60 % - Akzent1" xfId="23523" hidden="1" xr:uid="{D9FF2AC3-7E76-419E-B04A-4BDA33726438}"/>
    <cellStyle name="60 % - Akzent1" xfId="23186" hidden="1" xr:uid="{CCFA5DF0-D10E-4058-AC00-8F5134BE9532}"/>
    <cellStyle name="60 % - Akzent1" xfId="23183" hidden="1" xr:uid="{1DA19C18-FB5E-49B3-BF73-C367A962B1DA}"/>
    <cellStyle name="60 % - Akzent1" xfId="23526" hidden="1" xr:uid="{465ED9C7-3D27-4C12-8C00-256BDB61883A}"/>
    <cellStyle name="60 % - Akzent1" xfId="23463" hidden="1" xr:uid="{0228DD1F-3C3B-47AC-A302-27C7812043CF}"/>
    <cellStyle name="60 % - Akzent1" xfId="23503" hidden="1" xr:uid="{90781F48-416F-4580-AF33-0E4A7374197A}"/>
    <cellStyle name="60 % - Akzent1" xfId="24155" hidden="1" xr:uid="{FC796365-A386-418A-AD9A-6ECFA985021D}"/>
    <cellStyle name="60 % - Akzent1" xfId="24579" hidden="1" xr:uid="{445421C6-8999-46E3-AF36-B2453B8BE5F3}"/>
    <cellStyle name="60 % - Akzent1" xfId="25392" hidden="1" xr:uid="{6646D9BD-D3D4-4959-9695-BAAD6A453BBD}"/>
    <cellStyle name="60 % - Akzent1" xfId="25319" hidden="1" xr:uid="{0E726435-4168-4C81-BE21-B74CA748FFE1}"/>
    <cellStyle name="60 % - Akzent1" xfId="25094" hidden="1" xr:uid="{B4E83A85-290D-4276-8A79-0CFA618B36B6}"/>
    <cellStyle name="60 % - Akzent1" xfId="26241" hidden="1" xr:uid="{666981B3-9B37-43C7-BB73-513C9759BF76}"/>
    <cellStyle name="60 % - Akzent1" xfId="24284" hidden="1" xr:uid="{8FC90047-82C9-4A93-A8C1-45DF703A2B80}"/>
    <cellStyle name="60 % - Akzent1" xfId="25107" hidden="1" xr:uid="{0B18A5AE-C47D-4D2C-A806-51CBBCD11434}"/>
    <cellStyle name="60 % - Akzent1" xfId="26609" hidden="1" xr:uid="{8DC3E490-CB6B-484D-B224-34EB92EFEB22}"/>
    <cellStyle name="60 % - Akzent1" xfId="26219" hidden="1" xr:uid="{433122F8-9F24-4DDF-8DA0-C249D9451B51}"/>
    <cellStyle name="60 % - Akzent1" xfId="26667" hidden="1" xr:uid="{FC12BB06-8E42-4579-A193-F8355E4F3A0D}"/>
    <cellStyle name="60 % - Akzent1" xfId="25514" hidden="1" xr:uid="{35EA2127-1022-44B9-BCCB-C8A858F08F30}"/>
    <cellStyle name="60 % - Akzent1" xfId="26361" hidden="1" xr:uid="{2DF49EB8-93AF-4EAE-AEB5-6CDB86FD73FC}"/>
    <cellStyle name="60 % - Akzent1" xfId="25968" hidden="1" xr:uid="{116CBA16-80B1-4E87-B637-C2EFCF371674}"/>
    <cellStyle name="60 % - Akzent1" xfId="26764" hidden="1" xr:uid="{C1A21CB5-C6A4-46E5-B5C0-264D05BBE368}"/>
    <cellStyle name="60 % - Akzent1" xfId="26521" hidden="1" xr:uid="{BA66814F-4D18-43C4-85F6-B494358973A6}"/>
    <cellStyle name="60 % - Akzent1" xfId="27731" hidden="1" xr:uid="{1208CB56-0C2D-4037-BC7E-E366BC83B4AF}"/>
    <cellStyle name="60 % - Akzent1" xfId="27889" hidden="1" xr:uid="{27B535A3-6E35-4F9F-85B7-E6550ED0509C}"/>
    <cellStyle name="60 % - Akzent1" xfId="27890" hidden="1" xr:uid="{1B41DA1C-7191-4901-A129-0BC73F103263}"/>
    <cellStyle name="60 % - Akzent1" xfId="27946" hidden="1" xr:uid="{C7ADDB0A-A1F1-4C46-A97E-1C8F941A8558}"/>
    <cellStyle name="60 % - Akzent1" xfId="28340" hidden="1" xr:uid="{D4D5F765-E5BA-45DC-BB1E-8F82D6EDB67C}"/>
    <cellStyle name="60 % - Akzent1" xfId="28813" hidden="1" xr:uid="{1569E1C2-8734-4949-B945-E1DEF508B556}"/>
    <cellStyle name="60 % - Akzent1" xfId="28760" hidden="1" xr:uid="{62270638-2F32-4FF9-933F-C7AB5214BBDA}"/>
    <cellStyle name="60 % - Akzent1" xfId="28030" hidden="1" xr:uid="{40E6ECF5-D173-439D-947C-79B2EEA2601E}"/>
    <cellStyle name="60 % - Akzent1" xfId="29605" hidden="1" xr:uid="{CDE08B4B-CD05-443F-A556-BCEC790174A6}"/>
    <cellStyle name="60 % - Akzent1" xfId="29341" hidden="1" xr:uid="{017C8CB3-0A12-4E0C-B390-966BAF56CE2A}"/>
    <cellStyle name="60 % - Akzent1" xfId="29335" hidden="1" xr:uid="{990A3231-0363-4EC5-9CEF-8ECD16FF9943}"/>
    <cellStyle name="60 % - Akzent1" xfId="30994" hidden="1" xr:uid="{7252E1A6-04AC-4414-A4B5-E517F3111678}"/>
    <cellStyle name="60 % - Akzent1" xfId="31013" hidden="1" xr:uid="{2462D0F0-0888-428F-8567-E37A2B8855CE}"/>
    <cellStyle name="60 % - Akzent1" xfId="31463" hidden="1" xr:uid="{F8DEF7B2-EEBB-4FFA-8CC2-12BE2262E539}"/>
    <cellStyle name="60 % - Akzent1" xfId="31730" hidden="1" xr:uid="{F2D442AB-32AA-4C6B-BC07-BD81AC5DE14E}"/>
    <cellStyle name="60 % - Akzent1" xfId="32309" hidden="1" xr:uid="{1BC245E0-1720-4CBA-A3DD-A4C195CB7BC0}"/>
    <cellStyle name="60 % - Akzent1" xfId="32272" hidden="1" xr:uid="{4BA9A87D-E100-44CE-9374-66E0AB1BC0B4}"/>
    <cellStyle name="60 % - Akzent1" xfId="31500" hidden="1" xr:uid="{98C13236-17AD-4987-AEF9-5CD37B0ADBA8}"/>
    <cellStyle name="60 % - Akzent1" xfId="32146" hidden="1" xr:uid="{11B08C6E-3D4A-4BA4-A400-388B14DA396C}"/>
    <cellStyle name="60 % - Akzent1" xfId="26458" hidden="1" xr:uid="{819E403E-BB41-40AF-8D90-6C0768DCF34B}"/>
    <cellStyle name="60 % - Akzent1" xfId="21270" hidden="1" xr:uid="{2178849E-BE56-4A5E-B217-CA627EF90B67}"/>
    <cellStyle name="60 % - Akzent1" xfId="8588" hidden="1" xr:uid="{A9EBD9BF-C84B-4965-A8FC-AF51B654B081}"/>
    <cellStyle name="60 % - Akzent1" xfId="7688" hidden="1" xr:uid="{F3AFDFDA-AB35-4D6C-B858-0DF490FD72C7}"/>
    <cellStyle name="60 % - Akzent1" xfId="7681" hidden="1" xr:uid="{26CD03C8-EBE0-4299-A904-B1370DFF07E0}"/>
    <cellStyle name="60 % - Akzent1" xfId="8469" hidden="1" xr:uid="{B794041D-C915-4B5E-83F6-63D639E80DAD}"/>
    <cellStyle name="60 % - Akzent1" xfId="8448" hidden="1" xr:uid="{C6D370F3-7A7E-4AE0-B4CF-848937E7A28E}"/>
    <cellStyle name="60 % - Akzent1" xfId="8834" hidden="1" xr:uid="{0AE43270-C80D-4AE6-B4C7-8FA3E9CFFF3A}"/>
    <cellStyle name="60 % - Akzent1" xfId="7862" hidden="1" xr:uid="{C65B3E66-EAD6-40CA-89BA-1C37922C07C8}"/>
    <cellStyle name="60 % - Akzent1" xfId="9002" hidden="1" xr:uid="{664FD430-F8F9-4193-A393-66425CBF8F31}"/>
    <cellStyle name="60 % - Akzent1" xfId="9433" hidden="1" xr:uid="{9E960438-D162-43C3-8451-FB55CC2DC6C5}"/>
    <cellStyle name="60 % - Akzent1" xfId="8978" hidden="1" xr:uid="{ADA3380B-0884-4A0E-A670-F8E0944A8858}"/>
    <cellStyle name="60 % - Akzent1" xfId="10154" hidden="1" xr:uid="{2B7F4A67-5E8A-4853-9129-67ADCB201C50}"/>
    <cellStyle name="60 % - Akzent1" xfId="9114" hidden="1" xr:uid="{6DD26F3A-A1C0-4847-BF3E-ADAE87DE6E9F}"/>
    <cellStyle name="60 % - Akzent1" xfId="9981" hidden="1" xr:uid="{E3EE5F08-CFAA-4BCD-8D0D-66E1CA2EDB50}"/>
    <cellStyle name="60 % - Akzent1" xfId="10713" hidden="1" xr:uid="{55DE6428-A874-4AF0-A3C1-390E42E8B83F}"/>
    <cellStyle name="60 % - Akzent1" xfId="10380" hidden="1" xr:uid="{93B853FC-EC7C-4FBA-9B29-1839F9584EB9}"/>
    <cellStyle name="60 % - Akzent1" xfId="11115" hidden="1" xr:uid="{F58609CB-1743-46EB-BA81-86B126305C19}"/>
    <cellStyle name="60 % - Akzent1" xfId="10979" hidden="1" xr:uid="{144C520E-0613-449D-BD84-E690A8FF7F42}"/>
    <cellStyle name="60 % - Akzent1" xfId="10408" hidden="1" xr:uid="{E0BA8BBD-220C-42FC-B8F4-00281169BC24}"/>
    <cellStyle name="60 % - Akzent1" xfId="11098" hidden="1" xr:uid="{5CB014CB-8E77-466D-A237-7A54BF417736}"/>
    <cellStyle name="60 % - Akzent1" xfId="10420" hidden="1" xr:uid="{F279E227-F45C-4DFA-A338-224D0F914574}"/>
    <cellStyle name="60 % - Akzent1" xfId="10957" hidden="1" xr:uid="{AC573F7A-99BE-4798-89E1-CFB311C06250}"/>
    <cellStyle name="60 % - Akzent1" xfId="11408" hidden="1" xr:uid="{DB43F82F-5124-4C35-9F3C-D2FF6D6E7F2E}"/>
    <cellStyle name="60 % - Akzent1" xfId="11851" hidden="1" xr:uid="{6356F4A6-7D20-49B1-92AF-6BB038E055BB}"/>
    <cellStyle name="60 % - Akzent1" xfId="12331" hidden="1" xr:uid="{D413E2A6-2B9C-42FC-BEB6-A37A407CA293}"/>
    <cellStyle name="60 % - Akzent1" xfId="11831" hidden="1" xr:uid="{569FB12D-D258-45A5-BF6D-E478971D603C}"/>
    <cellStyle name="60 % - Akzent1" xfId="11711" hidden="1" xr:uid="{9E52D329-DF6D-4561-B4AD-15C49B94DE92}"/>
    <cellStyle name="60 % - Akzent1" xfId="11503" hidden="1" xr:uid="{00CD3C8E-9B16-413D-AA30-519CE9C5EB5F}"/>
    <cellStyle name="60 % - Akzent1" xfId="11462" hidden="1" xr:uid="{AA121DB8-5ECF-4D88-BBD4-673626C978F5}"/>
    <cellStyle name="60 % - Akzent1" xfId="11722" hidden="1" xr:uid="{0E56BC67-DD11-4164-9EFF-E6C02EAC60B2}"/>
    <cellStyle name="60 % - Akzent1" xfId="13899" hidden="1" xr:uid="{8152841B-D615-4E98-9E9E-A7C742BEFA9A}"/>
    <cellStyle name="60 % - Akzent1" xfId="13895" hidden="1" xr:uid="{B2EE88D0-F78B-4AB8-A911-5A57F454932C}"/>
    <cellStyle name="60 % - Akzent1" xfId="14826" hidden="1" xr:uid="{FDD03F35-80AE-4B19-9183-A628B8AA4022}"/>
    <cellStyle name="60 % - Akzent1" xfId="13663" hidden="1" xr:uid="{1037E97E-AAD8-44D4-ADDE-103787B1231C}"/>
    <cellStyle name="60 % - Akzent1" xfId="15242" hidden="1" xr:uid="{AAA3DCDB-FF73-42D6-BA27-719A5A4BE72F}"/>
    <cellStyle name="60 % - Akzent1" xfId="15123" hidden="1" xr:uid="{9D265F5D-B20F-4EF3-8654-6872B08D11B9}"/>
    <cellStyle name="60 % - Akzent1" xfId="15341" hidden="1" xr:uid="{D48FB397-C705-4D14-8CFD-F2CC030D161E}"/>
    <cellStyle name="60 % - Akzent1" xfId="14910" hidden="1" xr:uid="{1AC44D43-45BC-460B-A91A-16D995F3AF78}"/>
    <cellStyle name="60 % - Akzent1" xfId="15046" hidden="1" xr:uid="{645F05CB-E8D2-4BB6-B063-35D24DB7F321}"/>
    <cellStyle name="60 % - Akzent1" xfId="15654" hidden="1" xr:uid="{AF52F67B-DE96-4043-94CB-A996820EAF55}"/>
    <cellStyle name="60 % - Akzent1" xfId="15593" hidden="1" xr:uid="{038B3FD4-D12B-4B64-8E60-A02D972A0A01}"/>
    <cellStyle name="60 % - Akzent1" xfId="15510" hidden="1" xr:uid="{33ADD818-BF0B-4A64-8169-CC04E9546699}"/>
    <cellStyle name="60 % - Akzent1" xfId="14189" hidden="1" xr:uid="{870B013C-32F0-41EC-BD7C-ADE9E6330EBB}"/>
    <cellStyle name="60 % - Akzent1" xfId="15386" hidden="1" xr:uid="{D768F04C-37AB-41E7-9352-7A7C1FDA6F16}"/>
    <cellStyle name="60 % - Akzent1" xfId="15974" hidden="1" xr:uid="{492F32E3-D641-48B7-A1F7-EEEA67705CEB}"/>
    <cellStyle name="60 % - Akzent1" xfId="15934" hidden="1" xr:uid="{BEC33C42-2AB3-453A-A054-69FAA169CF2F}"/>
    <cellStyle name="60 % - Akzent1" xfId="16035" hidden="1" xr:uid="{89348026-5CED-4D8E-9D12-720B4BDC6525}"/>
    <cellStyle name="60 % - Akzent1" xfId="16099" hidden="1" xr:uid="{2251B000-7949-4744-B198-12D5461E6BDA}"/>
    <cellStyle name="60 % - Akzent1" xfId="16543" hidden="1" xr:uid="{AA32E9FE-9D45-4D5E-9D5F-357A9386B82B}"/>
    <cellStyle name="60 % - Akzent1" xfId="16075" hidden="1" xr:uid="{D5C8A399-C30E-4282-B3BF-3DA93638F391}"/>
    <cellStyle name="60 % - Akzent1" xfId="17274" hidden="1" xr:uid="{294E45C4-17F7-47E5-B4FF-57A2EA380CED}"/>
    <cellStyle name="60 % - Akzent1" xfId="16218" hidden="1" xr:uid="{D3D92FED-7230-42F0-A9E3-BDDDF17FEFC7}"/>
    <cellStyle name="60 % - Akzent1" xfId="17097" hidden="1" xr:uid="{A8519E3B-6CC6-4C7C-8756-00580C542B58}"/>
    <cellStyle name="60 % - Akzent1" xfId="16937" hidden="1" xr:uid="{B558E139-F6CD-479C-B0C7-89767702941A}"/>
    <cellStyle name="60 % - Akzent1" xfId="17024" hidden="1" xr:uid="{23E1DE7C-CD46-43C2-821E-6C49FE27B7EE}"/>
    <cellStyle name="60 % - Akzent1" xfId="18232" hidden="1" xr:uid="{6F3AC9EE-5872-403A-BE07-0CD40CE9B1E1}"/>
    <cellStyle name="60 % - Akzent1" xfId="10967" hidden="1" xr:uid="{93D05BC2-469A-4C3E-A91B-086A38ADED0F}"/>
    <cellStyle name="60 % - Akzent1" xfId="6275" hidden="1" xr:uid="{9D14191E-7DF6-496B-92A9-29FEAE588AEB}"/>
    <cellStyle name="60 % - Akzent1" xfId="6219" hidden="1" xr:uid="{6E4D77A4-007B-47F7-8E25-1DA5FE20E6A9}"/>
    <cellStyle name="60 % - Akzent1" xfId="5557" hidden="1" xr:uid="{EEFBA0C2-D3EF-4C53-AC76-25C51D88AE3B}"/>
    <cellStyle name="60 % - Akzent1" xfId="6603" hidden="1" xr:uid="{AEEA5C18-CE2D-4CA6-A8AB-82239AED5EBB}"/>
    <cellStyle name="60 % - Akzent1" xfId="6098" hidden="1" xr:uid="{2EB48668-0D42-4FBB-B20B-BBD283D28D24}"/>
    <cellStyle name="60 % - Akzent1" xfId="6586" hidden="1" xr:uid="{514D1969-6232-452A-82AD-B6278CBA4775}"/>
    <cellStyle name="60 % - Akzent1" xfId="6075" hidden="1" xr:uid="{984F4D39-6568-4855-8131-4D33424752AD}"/>
    <cellStyle name="60 % - Akzent1" xfId="5972" hidden="1" xr:uid="{AE09D339-61D9-4391-A3A9-9590E2F7A0FF}"/>
    <cellStyle name="60 % - Akzent1" xfId="5952" hidden="1" xr:uid="{E5C7AC2F-6A73-49CF-8B59-774A4AEAEDB5}"/>
    <cellStyle name="60 % - Akzent1" xfId="6222" hidden="1" xr:uid="{888B7DAF-1B21-41C0-A34D-CA1FAC3DC6A9}"/>
    <cellStyle name="60 % - Akzent1" xfId="4738" hidden="1" xr:uid="{175518A2-E8A3-47B8-8D29-4081C3ACCDAE}"/>
    <cellStyle name="60 % - Akzent1" xfId="6790" hidden="1" xr:uid="{3F3457CC-14AB-44D5-B180-DB19F0E5842F}"/>
    <cellStyle name="60 % - Akzent1" xfId="7220" hidden="1" xr:uid="{520EB85E-576D-4401-9E8A-26A9ADE876CB}"/>
    <cellStyle name="60 % - Akzent1" xfId="6766" hidden="1" xr:uid="{C5A55ADD-A913-4F54-84C2-92B603FE3F32}"/>
    <cellStyle name="60 % - Akzent1" xfId="7941" hidden="1" xr:uid="{FE977191-B585-4E68-B9A7-5A11ED5C1C2F}"/>
    <cellStyle name="60 % - Akzent1" xfId="6901" hidden="1" xr:uid="{7C504C1A-30C0-4902-850A-BD457437E4AB}"/>
    <cellStyle name="60 % - Akzent1" xfId="8381" hidden="1" xr:uid="{D90F057E-602F-4881-8970-640DE7CB7529}"/>
    <cellStyle name="60 % - Akzent1" xfId="7653" hidden="1" xr:uid="{570A199E-783F-4C34-AFC9-E09D354A1407}"/>
    <cellStyle name="60 % - Akzent1" xfId="7692" hidden="1" xr:uid="{02488099-E93B-423A-A609-384959A5EAA1}"/>
    <cellStyle name="60 % - Akzent1" xfId="8440" hidden="1" xr:uid="{AE313C82-0A21-419A-8DDF-8A75ADB32447}"/>
    <cellStyle name="60 % - Akzent1" xfId="8458" hidden="1" xr:uid="{172A15DD-6826-4F83-AA33-973EE561157E}"/>
    <cellStyle name="60 % - Akzent1" xfId="8476" hidden="1" xr:uid="{23C28C24-D972-42BB-9E9A-F32DED40E448}"/>
    <cellStyle name="60 % - Akzent1" xfId="8497" hidden="1" xr:uid="{B1F879EB-6C3B-4734-BCD2-E25EE8FF06C4}"/>
    <cellStyle name="60 % - Akzent1" xfId="8516" hidden="1" xr:uid="{55BAE333-A196-44AC-A63C-0DC6B6FAC945}"/>
    <cellStyle name="60 % - Akzent1" xfId="8535" hidden="1" xr:uid="{F799E98C-A24D-4961-AA29-8E10297EC182}"/>
    <cellStyle name="60 % - Akzent1" xfId="8553" hidden="1" xr:uid="{631F9F90-367E-4F30-8FA2-551ED6E83AC3}"/>
    <cellStyle name="60 % - Akzent1" xfId="8573" hidden="1" xr:uid="{0728D7EF-FC95-4862-BC56-4ABABC07FCD2}"/>
    <cellStyle name="60 % - Akzent1" xfId="3127" hidden="1" xr:uid="{620DD652-0579-4A84-9E74-97460571F5F8}"/>
    <cellStyle name="60 % - Akzent1" xfId="2081" hidden="1" xr:uid="{535E1F0A-4DAB-476B-B1CA-56C9F65E1C78}"/>
    <cellStyle name="60 % - Akzent1" xfId="3078" hidden="1" xr:uid="{254B1A04-765C-46D6-9D55-4518635E2DF6}"/>
    <cellStyle name="60 % - Akzent1" xfId="2957" hidden="1" xr:uid="{3ECF8E58-9362-49D4-B910-2DF7FC673EEB}"/>
    <cellStyle name="60 % - Akzent1" xfId="2040" hidden="1" xr:uid="{9DC9BFBF-CBC1-402A-8751-84814FADCF68}"/>
    <cellStyle name="60 % - Akzent1" xfId="3202" hidden="1" xr:uid="{CEBD98E8-3CDE-4DA3-A5F2-00C87D1E1EE9}"/>
    <cellStyle name="60 % - Akzent1" xfId="3487" hidden="1" xr:uid="{2DCB59FB-F03B-4E78-B9DC-9266295A7A80}"/>
    <cellStyle name="60 % - Akzent1" xfId="4860" hidden="1" xr:uid="{9547794B-263D-405D-A370-BBFA8B2054E8}"/>
    <cellStyle name="60 % - Akzent1" xfId="5861" hidden="1" xr:uid="{6E006497-A4A9-4275-B1D5-65E40E89EBAE}"/>
    <cellStyle name="60 % - Akzent1" xfId="5781" hidden="1" xr:uid="{B42943EE-EC97-4907-B45E-088EBC3C1640}"/>
    <cellStyle name="60 % - Akzent1" xfId="5120" hidden="1" xr:uid="{76E84B61-6D58-49D7-A6F7-63B760C12EC4}"/>
    <cellStyle name="60 % - Akzent1" xfId="5899" hidden="1" xr:uid="{F5DA15CD-B6DE-4C82-8012-C4098EA99583}"/>
    <cellStyle name="60 % - Akzent1" xfId="5709" hidden="1" xr:uid="{02AAEA5A-9D78-4376-A31D-74CFAFBE84CC}"/>
    <cellStyle name="60 % - Akzent1" xfId="2322" hidden="1" xr:uid="{46E77C6F-0C7A-4975-9DBB-FA668E0004E8}"/>
    <cellStyle name="60 % - Akzent1" xfId="1979" hidden="1" xr:uid="{801EBC7A-4465-4D01-A83C-DC007B1234A3}"/>
    <cellStyle name="60 % - Akzent1" xfId="2212" hidden="1" xr:uid="{1C4EA149-C7F4-479F-863A-F9CEA130E914}"/>
    <cellStyle name="60 % - Akzent1" xfId="2187" hidden="1" xr:uid="{C2B64F25-921E-40D8-A9EF-623E02271E0F}"/>
    <cellStyle name="60 % - Akzent1" xfId="1820" hidden="1" xr:uid="{0A13B426-E5C0-49DC-A9A1-2C536691017F}"/>
    <cellStyle name="60 % - Akzent1" xfId="3604" hidden="1" xr:uid="{30FC8091-EEEB-465D-91C9-9D9371AF2E8E}"/>
    <cellStyle name="60 % - Akzent1" xfId="1848" hidden="1" xr:uid="{08199006-466D-45AB-92C4-1DA564C23724}"/>
    <cellStyle name="60 % - Akzent1" xfId="1393" hidden="1" xr:uid="{CE03A2C4-3B52-44C3-B0DB-A5D8371737A8}"/>
    <cellStyle name="60 % - Akzent1" xfId="1713" hidden="1" xr:uid="{1DDB25EF-C7CB-4F00-B240-76048DC992FD}"/>
    <cellStyle name="60 % - Akzent1" xfId="1876" hidden="1" xr:uid="{4B851319-F386-4AFB-B38A-F134D4A9EA96}"/>
    <cellStyle name="60 % - Akzent1" xfId="899" hidden="1" xr:uid="{DF6F6970-4D9A-4AFA-B2BC-C4ED0DBBFBF3}"/>
    <cellStyle name="60 % - Akzent1" xfId="990" hidden="1" xr:uid="{8A71DDD6-3E64-4A36-89D9-56D8C41DC6F5}"/>
    <cellStyle name="60 % - Akzent1" xfId="52" hidden="1" xr:uid="{B6CB9620-4AFB-4C2E-8B84-B0063CE9CE79}"/>
    <cellStyle name="60 % - Akzent1 2" xfId="385" xr:uid="{E1E1EC5C-C443-4A67-9C2E-0E426D3CF30E}"/>
    <cellStyle name="60 % - Akzent1 3" xfId="254" xr:uid="{5B730AF1-CE19-4AA3-B7B9-0FA38E1E9908}"/>
    <cellStyle name="60 % - Akzent2" xfId="18567" hidden="1" xr:uid="{A3E776A8-1B09-4DDA-B476-350DC5D3B6A6}"/>
    <cellStyle name="60 % - Akzent2" xfId="19321" hidden="1" xr:uid="{CE4747D9-9786-4E81-8574-2F1B4FDA9F86}"/>
    <cellStyle name="60 % - Akzent2" xfId="18865" hidden="1" xr:uid="{A10A261C-103D-47A7-A952-33C771B001CF}"/>
    <cellStyle name="60 % - Akzent2" xfId="19436" hidden="1" xr:uid="{AF2078E4-1BF2-4A42-A647-3D6273B4DB4A}"/>
    <cellStyle name="60 % - Akzent2" xfId="19882" hidden="1" xr:uid="{85D743AD-E3E1-4337-A61F-13A89F1A19DE}"/>
    <cellStyle name="60 % - Akzent2" xfId="20702" hidden="1" xr:uid="{48E82C4E-1FEA-413A-AC72-6FD9F14D747E}"/>
    <cellStyle name="60 % - Akzent2" xfId="20516" hidden="1" xr:uid="{C3C77428-FF0B-4A5C-901C-2DB0494AE151}"/>
    <cellStyle name="60 % - Akzent2" xfId="21159" hidden="1" xr:uid="{8EAFD901-EAF3-49D7-9047-FC6C53027340}"/>
    <cellStyle name="60 % - Akzent2" xfId="21079" hidden="1" xr:uid="{7116A8E2-6CC5-4FE7-858F-3FBD0DE570AF}"/>
    <cellStyle name="60 % - Akzent2" xfId="21375" hidden="1" xr:uid="{5E9366DC-FA92-4E5F-90DA-590D90F7E0F0}"/>
    <cellStyle name="60 % - Akzent2" xfId="21102" hidden="1" xr:uid="{834A92CB-7FEF-46B3-9E5A-D723CACBA6D7}"/>
    <cellStyle name="60 % - Akzent2" xfId="21241" hidden="1" xr:uid="{C83EA3FE-04B2-41B7-A13C-0F9A8E6C639C}"/>
    <cellStyle name="60 % - Akzent2" xfId="21233" hidden="1" xr:uid="{0A10A4B6-EB6B-471E-A420-741F089C68B6}"/>
    <cellStyle name="60 % - Akzent2" xfId="22090" hidden="1" xr:uid="{5A056662-07D8-4F7F-B6A2-E08894D363CE}"/>
    <cellStyle name="60 % - Akzent2" xfId="22010" hidden="1" xr:uid="{F54C474D-FA06-466C-B650-A1CFB11016C0}"/>
    <cellStyle name="60 % - Akzent2" xfId="22518" hidden="1" xr:uid="{5FC42FB0-A64E-40D5-B6BB-5CDE314427CA}"/>
    <cellStyle name="60 % - Akzent2" xfId="22297" hidden="1" xr:uid="{35E9197D-E359-4C91-BF3D-F4A6B6FACE84}"/>
    <cellStyle name="60 % - Akzent2" xfId="22947" hidden="1" xr:uid="{45A09723-ADCE-49CD-91F9-14CECA4839DA}"/>
    <cellStyle name="60 % - Akzent2" xfId="21814" hidden="1" xr:uid="{834072DE-E68A-4C3A-AE2D-36A1F7CEFA84}"/>
    <cellStyle name="60 % - Akzent2" xfId="22796" hidden="1" xr:uid="{C370800E-A597-4973-8DAC-8E47A0A05E87}"/>
    <cellStyle name="60 % - Akzent2" xfId="23335" hidden="1" xr:uid="{57B71A48-5BA0-4A3B-8C5A-CFD4DA05A790}"/>
    <cellStyle name="60 % - Akzent2" xfId="22725" hidden="1" xr:uid="{A38DEA99-8FC1-4244-923A-294E8D397300}"/>
    <cellStyle name="60 % - Akzent2" xfId="23051" hidden="1" xr:uid="{F6B3600E-94C2-40C9-9BEB-6AF0AEADF903}"/>
    <cellStyle name="60 % - Akzent2" xfId="22679" hidden="1" xr:uid="{C5F429B1-C17B-4A57-9F77-6EC8C2A82A01}"/>
    <cellStyle name="60 % - Akzent2" xfId="22707" hidden="1" xr:uid="{6F67CC14-FEB6-4767-9904-133BBE0A39D6}"/>
    <cellStyle name="60 % - Akzent2" xfId="22987" hidden="1" xr:uid="{CB69BE26-1E77-445F-B09E-5E594F14AACD}"/>
    <cellStyle name="60 % - Akzent2" xfId="23694" hidden="1" xr:uid="{2D28AB3F-0BA6-4E34-98AC-37E81A56B362}"/>
    <cellStyle name="60 % - Akzent2" xfId="24096" hidden="1" xr:uid="{A3442BEC-9D9A-459F-9DAA-F419AA518272}"/>
    <cellStyle name="60 % - Akzent2" xfId="22692" hidden="1" xr:uid="{D05CE1A1-BF03-4854-A0A3-8E8555525F4B}"/>
    <cellStyle name="60 % - Akzent2" xfId="24158" hidden="1" xr:uid="{52F45FC6-B7C2-41AD-BB00-748B9ADE6544}"/>
    <cellStyle name="60 % - Akzent2" xfId="24434" hidden="1" xr:uid="{670FE55A-A018-4721-8F69-AA41DC89B6FC}"/>
    <cellStyle name="60 % - Akzent2" xfId="25351" hidden="1" xr:uid="{8E2AA394-9F6E-4F71-8817-987D1F8C1442}"/>
    <cellStyle name="60 % - Akzent2" xfId="24216" hidden="1" xr:uid="{307012D6-F713-40D1-AA3E-F3ADBE936825}"/>
    <cellStyle name="60 % - Akzent2" xfId="24534" hidden="1" xr:uid="{FF0B359E-8384-4024-80C9-076EE6F94627}"/>
    <cellStyle name="60 % - Akzent2" xfId="26203" hidden="1" xr:uid="{0B2C492F-7226-4110-8785-4695FF80DF65}"/>
    <cellStyle name="60 % - Akzent2" xfId="26124" hidden="1" xr:uid="{3BBE3E04-ED3D-434E-99F8-89913BD69283}"/>
    <cellStyle name="60 % - Akzent2" xfId="25040" hidden="1" xr:uid="{676311F6-4535-4C0A-AD45-82FBE8B83D90}"/>
    <cellStyle name="60 % - Akzent2" xfId="26530" hidden="1" xr:uid="{6AAC6516-B684-4C8B-93A7-6DB9761B509E}"/>
    <cellStyle name="60 % - Akzent2" xfId="25412" hidden="1" xr:uid="{3058B474-FE13-4329-B2B4-6FA82E5CDCA7}"/>
    <cellStyle name="60 % - Akzent2" xfId="26016" hidden="1" xr:uid="{F87DCD39-2865-4EC1-B4AF-017DCEC5CC8F}"/>
    <cellStyle name="60 % - Akzent2" xfId="26630" hidden="1" xr:uid="{87C9B57F-8472-4459-A5D1-ED2377F27803}"/>
    <cellStyle name="60 % - Akzent2" xfId="26359" hidden="1" xr:uid="{5A8E5E14-0E17-40D8-B11A-13B5082E8514}"/>
    <cellStyle name="60 % - Akzent2" xfId="26639" hidden="1" xr:uid="{0297D5BF-382A-44C7-90AE-9E68CB99BE3D}"/>
    <cellStyle name="60 % - Akzent2" xfId="27798" hidden="1" xr:uid="{17492518-2659-4922-BCA4-9E0F0F32F82D}"/>
    <cellStyle name="60 % - Akzent2" xfId="27606" hidden="1" xr:uid="{A32F33B8-4906-4099-9E7B-B9A3AAF181D9}"/>
    <cellStyle name="60 % - Akzent2" xfId="27887" hidden="1" xr:uid="{29830441-8386-43CA-AE17-5F0C7955FCBF}"/>
    <cellStyle name="60 % - Akzent2" xfId="24476" hidden="1" xr:uid="{C8ACFBF2-637E-4E4C-AB21-3D45BBD4A46C}"/>
    <cellStyle name="60 % - Akzent2" xfId="27846" hidden="1" xr:uid="{83C0FC33-5D1F-4E20-B37C-0965ABD3014A}"/>
    <cellStyle name="60 % - Akzent2" xfId="27884" hidden="1" xr:uid="{0150EF8F-B7F9-49A7-8EBC-03DBBE6BC41E}"/>
    <cellStyle name="60 % - Akzent2" xfId="27950" hidden="1" xr:uid="{4231563D-A6ED-4D3E-974F-2FE35634038E}"/>
    <cellStyle name="60 % - Akzent2" xfId="28342" hidden="1" xr:uid="{45EDBA72-604B-483B-BCEE-AF99B2F7CDA9}"/>
    <cellStyle name="60 % - Akzent2" xfId="27892" hidden="1" xr:uid="{01D7C012-00D5-4825-A94D-023450FE09D8}"/>
    <cellStyle name="60 % - Akzent2" xfId="29520" hidden="1" xr:uid="{71C5C9BB-BCF9-4B3C-B1E9-25FDF4C408BB}"/>
    <cellStyle name="60 % - Akzent2" xfId="29452" hidden="1" xr:uid="{B9DCFEB0-BDC6-4D98-9CC0-01C74D08828C}"/>
    <cellStyle name="60 % - Akzent2" xfId="29386" hidden="1" xr:uid="{03793516-E629-4838-A996-3EC746C79BAE}"/>
    <cellStyle name="60 % - Akzent2" xfId="30414" hidden="1" xr:uid="{D740746F-0603-4FB4-A00B-D5202026B1C1}"/>
    <cellStyle name="60 % - Akzent2" xfId="30969" hidden="1" xr:uid="{AAB07768-43DF-4A00-A235-0A3EB0C6BDAA}"/>
    <cellStyle name="60 % - Akzent2" xfId="28151" hidden="1" xr:uid="{A45DBD12-F3E9-408B-9EFE-F6893208FEC4}"/>
    <cellStyle name="60 % - Akzent2" xfId="31466" hidden="1" xr:uid="{EDB024D0-84D1-4627-80E5-2E6C3C144A13}"/>
    <cellStyle name="60 % - Akzent2" xfId="31728" hidden="1" xr:uid="{3EB4D3E6-0D8E-410F-AFEA-EF35C0DF1D90}"/>
    <cellStyle name="60 % - Akzent2" xfId="32266" hidden="1" xr:uid="{1A94B321-5092-4978-8744-6ACB71FB9995}"/>
    <cellStyle name="60 % - Akzent2" xfId="32175" hidden="1" xr:uid="{43CFEF4B-27EA-434F-9921-030FAA4BA3C2}"/>
    <cellStyle name="60 % - Akzent2" xfId="32229" hidden="1" xr:uid="{3C956CDF-0C72-4096-A8CF-B9DDD7F3D3D3}"/>
    <cellStyle name="60 % - Akzent2" xfId="32188" hidden="1" xr:uid="{461223FD-04EA-4D3A-8306-363EF1A1BDAD}"/>
    <cellStyle name="60 % - Akzent2" xfId="28321" hidden="1" xr:uid="{FC8ED53D-9738-4C34-AC8E-FF3278CFDDD2}"/>
    <cellStyle name="60 % - Akzent2" xfId="23514" hidden="1" xr:uid="{39409099-F481-40EF-8971-F19563113715}"/>
    <cellStyle name="60 % - Akzent2" xfId="8882" hidden="1" xr:uid="{6DD399AB-B709-42A2-A1D3-2A80D0082BAB}"/>
    <cellStyle name="60 % - Akzent2" xfId="7737" hidden="1" xr:uid="{38886F0A-03FD-49E0-8B6E-3C5E19751AAF}"/>
    <cellStyle name="60 % - Akzent2" xfId="8702" hidden="1" xr:uid="{70C22E40-0579-4E24-9CE2-0AD43344C6FB}"/>
    <cellStyle name="60 % - Akzent2" xfId="8111" hidden="1" xr:uid="{080F5F6B-E749-4354-96E0-0111D70909A8}"/>
    <cellStyle name="60 % - Akzent2" xfId="9006" hidden="1" xr:uid="{16A0E97E-CAA6-4797-813E-F0BC21C76FE0}"/>
    <cellStyle name="60 % - Akzent2" xfId="9435" hidden="1" xr:uid="{05B922B7-C6C1-4FCF-B9A0-46B85F32A95A}"/>
    <cellStyle name="60 % - Akzent2" xfId="10230" hidden="1" xr:uid="{5C6B016A-56BE-4949-9C04-22B9D843D1EE}"/>
    <cellStyle name="60 % - Akzent2" xfId="10270" hidden="1" xr:uid="{02187CC8-381D-4F9A-9286-F4986901EFCA}"/>
    <cellStyle name="60 % - Akzent2" xfId="10628" hidden="1" xr:uid="{D7E103D8-1F9B-4D2C-8151-755A10E1CE11}"/>
    <cellStyle name="60 % - Akzent2" xfId="10563" hidden="1" xr:uid="{0EA4C575-4EB7-49E9-88B4-11DDFB0078E3}"/>
    <cellStyle name="60 % - Akzent2" xfId="10955" hidden="1" xr:uid="{3039F245-75CA-4530-8CF0-2F53BEF2A873}"/>
    <cellStyle name="60 % - Akzent2" xfId="9916" hidden="1" xr:uid="{446DAFB1-4860-4A56-8ABF-BCB1CFFE6902}"/>
    <cellStyle name="60 % - Akzent2" xfId="10632" hidden="1" xr:uid="{3AA7143A-0D02-4F03-A7C6-195076562682}"/>
    <cellStyle name="60 % - Akzent2" xfId="11096" hidden="1" xr:uid="{9F664850-4B33-4741-87F3-DF49668C439E}"/>
    <cellStyle name="60 % - Akzent2" xfId="10114" hidden="1" xr:uid="{B8C61638-8B80-4509-90AC-F472760BBB7B}"/>
    <cellStyle name="60 % - Akzent2" xfId="11117" hidden="1" xr:uid="{301B79A5-FDA7-4F8C-97E4-F58DB72CEC80}"/>
    <cellStyle name="60 % - Akzent2" xfId="11076" hidden="1" xr:uid="{BE166AFE-B80F-4D59-8576-E2DD1602D3C1}"/>
    <cellStyle name="60 % - Akzent2" xfId="10766" hidden="1" xr:uid="{1FC7B15C-85CB-4299-B56E-11525423C884}"/>
    <cellStyle name="60 % - Akzent2" xfId="11149" hidden="1" xr:uid="{2E04EE1C-06C6-4FC1-85EB-DA9FB10574B5}"/>
    <cellStyle name="60 % - Akzent2" xfId="11853" hidden="1" xr:uid="{67B3E1DC-3EE2-4740-AF1E-36EB7EF05B51}"/>
    <cellStyle name="60 % - Akzent2" xfId="11348" hidden="1" xr:uid="{9DE7E8BC-5E16-4E79-B15A-163CE58FA14D}"/>
    <cellStyle name="60 % - Akzent2" xfId="12749" hidden="1" xr:uid="{9136FAF4-4678-43C6-B289-DFA5D33FD23B}"/>
    <cellStyle name="60 % - Akzent2" xfId="12322" hidden="1" xr:uid="{99103551-EAA8-4950-BCF1-50EFC37508A4}"/>
    <cellStyle name="60 % - Akzent2" xfId="13974" hidden="1" xr:uid="{F4E061DE-F28D-4B15-93E3-C0040472D399}"/>
    <cellStyle name="60 % - Akzent2" xfId="11685" hidden="1" xr:uid="{A257C984-D8A7-427A-A959-BF46862A6E67}"/>
    <cellStyle name="60 % - Akzent2" xfId="14036" hidden="1" xr:uid="{8A23D7D1-7E78-495B-AF2E-CB7259CAE9CB}"/>
    <cellStyle name="60 % - Akzent2" xfId="14387" hidden="1" xr:uid="{47033D8E-62A5-49CC-BA15-147CD85678DB}"/>
    <cellStyle name="60 % - Akzent2" xfId="13630" hidden="1" xr:uid="{C1A3BF50-7EF9-41CB-96A7-50BC5AD16FCD}"/>
    <cellStyle name="60 % - Akzent2" xfId="14733" hidden="1" xr:uid="{7415D757-68C6-4DE8-B0EF-1A8963AA46E4}"/>
    <cellStyle name="60 % - Akzent2" xfId="14573" hidden="1" xr:uid="{7BF86B55-B60A-431F-9345-0A8B9BC7A06A}"/>
    <cellStyle name="60 % - Akzent2" xfId="15150" hidden="1" xr:uid="{17B2E022-C42E-43C8-968C-2FBFCBD67290}"/>
    <cellStyle name="60 % - Akzent2" xfId="14427" hidden="1" xr:uid="{F35EFDB0-57C9-49E3-92A8-7B36640657DE}"/>
    <cellStyle name="60 % - Akzent2" xfId="15033" hidden="1" xr:uid="{C8B8D304-F016-41C8-B675-AD635BF06C71}"/>
    <cellStyle name="60 % - Akzent2" xfId="14869" hidden="1" xr:uid="{5A4A45FC-795C-4DD8-95A9-C74C053C3C76}"/>
    <cellStyle name="60 % - Akzent2" xfId="15301" hidden="1" xr:uid="{5B0C0602-0219-4771-8E28-8B1D3581ABAC}"/>
    <cellStyle name="60 % - Akzent2" xfId="15583" hidden="1" xr:uid="{94F1F2C1-6863-4C3B-A651-5D0493797CC3}"/>
    <cellStyle name="60 % - Akzent2" xfId="15457" hidden="1" xr:uid="{529D0C2E-0EC2-49EA-AF07-ACC4187C735D}"/>
    <cellStyle name="60 % - Akzent2" xfId="14243" hidden="1" xr:uid="{CAE10097-2BD5-44B2-8642-43127520A5F6}"/>
    <cellStyle name="60 % - Akzent2" xfId="15157" hidden="1" xr:uid="{B5605CB1-D22C-44BC-BE76-31774AC52EA7}"/>
    <cellStyle name="60 % - Akzent2" xfId="15036" hidden="1" xr:uid="{18D4376E-6D29-42BD-BD9A-CEDE35F070D9}"/>
    <cellStyle name="60 % - Akzent2" xfId="15949" hidden="1" xr:uid="{44E63DFC-6779-4F67-86CD-7FA3C8449CD6}"/>
    <cellStyle name="60 % - Akzent2" xfId="15557" hidden="1" xr:uid="{607F1B49-2DF6-45CA-A7A4-B13265B9ADBB}"/>
    <cellStyle name="60 % - Akzent2" xfId="16033" hidden="1" xr:uid="{4D4E8D08-0F84-4E62-B293-BE1A5847E04A}"/>
    <cellStyle name="60 % - Akzent2" xfId="16103" hidden="1" xr:uid="{4CBEBFD3-F33C-4CD4-BF52-20B09800DB5C}"/>
    <cellStyle name="60 % - Akzent2" xfId="16545" hidden="1" xr:uid="{94FEE391-F04A-403C-8DB8-8D24463D41D4}"/>
    <cellStyle name="60 % - Akzent2" xfId="17351" hidden="1" xr:uid="{23AFB72B-80C8-4C42-83F8-B6898E063584}"/>
    <cellStyle name="60 % - Akzent2" xfId="17393" hidden="1" xr:uid="{6C28BE7F-46B2-4055-9684-342FB65189B7}"/>
    <cellStyle name="60 % - Akzent2" xfId="17793" hidden="1" xr:uid="{5AA5946E-4114-440A-BA92-EAC478E88E6D}"/>
    <cellStyle name="60 % - Akzent2" xfId="17718" hidden="1" xr:uid="{D4BF489E-4DD8-4E66-8FC5-9C6624325517}"/>
    <cellStyle name="60 % - Akzent2" xfId="18212" hidden="1" xr:uid="{4149A7CF-04DE-422D-8D06-922BA2B802A7}"/>
    <cellStyle name="60 % - Akzent2" xfId="17815" hidden="1" xr:uid="{3253FB47-C6D1-4976-A930-97A615040298}"/>
    <cellStyle name="60 % - Akzent2" xfId="17876" hidden="1" xr:uid="{7A69328F-2539-4760-B16F-9A1D40AD8C8C}"/>
    <cellStyle name="60 % - Akzent2" xfId="18191" hidden="1" xr:uid="{006E2AD3-4003-4530-89C9-C195B5BF686E}"/>
    <cellStyle name="60 % - Akzent2" xfId="18245" hidden="1" xr:uid="{33DF9E53-07B6-4269-8720-4A6C05420204}"/>
    <cellStyle name="60 % - Akzent2" xfId="18356" hidden="1" xr:uid="{539B9DB0-786E-40E0-90D5-6CAFF60C3E8D}"/>
    <cellStyle name="60 % - Akzent2" xfId="19058" hidden="1" xr:uid="{265DF755-F4A6-45CA-8558-AD322940FAAE}"/>
    <cellStyle name="60 % - Akzent2" xfId="17602" hidden="1" xr:uid="{7E21A338-1658-4A3C-AEE7-B92EE21F0B31}"/>
    <cellStyle name="60 % - Akzent2" xfId="18780" hidden="1" xr:uid="{FBCB3D01-7390-48A7-A6B0-3A736CCB2030}"/>
    <cellStyle name="60 % - Akzent2" xfId="11412" hidden="1" xr:uid="{CFD8F94D-BF34-4135-B17C-6DDE3C8845CE}"/>
    <cellStyle name="60 % - Akzent2" xfId="3141" hidden="1" xr:uid="{CFD54CB7-9D6B-457C-AEB3-9304A6138677}"/>
    <cellStyle name="60 % - Akzent2" xfId="6578" hidden="1" xr:uid="{64FC83A8-4B92-4942-B28F-DA94FDD6069D}"/>
    <cellStyle name="60 % - Akzent2" xfId="6524" hidden="1" xr:uid="{73486FDE-B6AE-4BFC-906B-B2C2B2CC13DB}"/>
    <cellStyle name="60 % - Akzent2" xfId="6183" hidden="1" xr:uid="{5393AD66-6C8C-4EB5-A286-F356713971EB}"/>
    <cellStyle name="60 % - Akzent2" xfId="6607" hidden="1" xr:uid="{BB1D1EC2-E9FB-44B9-B548-EAA72A6F114C}"/>
    <cellStyle name="60 % - Akzent2" xfId="3467" hidden="1" xr:uid="{19294F85-0742-4374-ABC1-9BA5C43CCF65}"/>
    <cellStyle name="60 % - Akzent2" xfId="6606" hidden="1" xr:uid="{BBF2B8A7-80D6-4753-AA6C-5448375B9CE8}"/>
    <cellStyle name="60 % - Akzent2" xfId="6246" hidden="1" xr:uid="{BFECE17D-7001-4876-82CF-CADC805EE3D0}"/>
    <cellStyle name="60 % - Akzent2" xfId="6485" hidden="1" xr:uid="{F1B02F63-DA58-4DA8-9310-AC42A539F68E}"/>
    <cellStyle name="60 % - Akzent2" xfId="6793" hidden="1" xr:uid="{34FBB2D2-AAFB-48F9-8472-3D74DD36759C}"/>
    <cellStyle name="60 % - Akzent2" xfId="7222" hidden="1" xr:uid="{54C52207-3C21-41F3-BCD6-FCFB9DA16B76}"/>
    <cellStyle name="60 % - Akzent2" xfId="8012" hidden="1" xr:uid="{4BBA7FB2-D05F-4262-9204-8534D84EDE6D}"/>
    <cellStyle name="60 % - Akzent2" xfId="8051" hidden="1" xr:uid="{36251151-4447-46FC-8877-5A5CDFD55EF5}"/>
    <cellStyle name="60 % - Akzent2" xfId="8387" hidden="1" xr:uid="{88F0D5E1-16EC-4D66-80CD-96FA0A29612E}"/>
    <cellStyle name="60 % - Akzent2" xfId="8358" hidden="1" xr:uid="{9264EB7B-2A26-42FD-884B-AABFF0513714}"/>
    <cellStyle name="60 % - Akzent2" xfId="7176" hidden="1" xr:uid="{5A1F88E3-CF02-4DB0-877F-CDF41C262767}"/>
    <cellStyle name="60 % - Akzent2" xfId="8258" hidden="1" xr:uid="{F1D0A46C-4414-49E0-A53C-CFD622A27267}"/>
    <cellStyle name="60 % - Akzent2" xfId="8263" hidden="1" xr:uid="{5206AE0A-DEEE-44A5-9D5A-7E7780C471AF}"/>
    <cellStyle name="60 % - Akzent2" xfId="7874" hidden="1" xr:uid="{FBF166FD-1E61-40F6-AC1D-DE5EE20BCA12}"/>
    <cellStyle name="60 % - Akzent2" xfId="7157" hidden="1" xr:uid="{2A4EFF09-BA8B-4808-AEFD-093640F7535D}"/>
    <cellStyle name="60 % - Akzent2" xfId="6742" hidden="1" xr:uid="{D501405F-BA92-479F-B3C6-815F899800A9}"/>
    <cellStyle name="60 % - Akzent2" xfId="8034" hidden="1" xr:uid="{EDB93A9D-8DFC-494E-ABE5-40002A38C77D}"/>
    <cellStyle name="60 % - Akzent2" xfId="6774" hidden="1" xr:uid="{8E352C33-FFDA-4324-911A-41051E93C4BD}"/>
    <cellStyle name="60 % - Akzent2" xfId="8212" hidden="1" xr:uid="{B9F485FC-D037-42DF-B672-EA3DCF220D2D}"/>
    <cellStyle name="60 % - Akzent2" xfId="6958" hidden="1" xr:uid="{3C2E5824-4D6A-4BDB-9BC1-739C686C6745}"/>
    <cellStyle name="60 % - Akzent2" xfId="7230" hidden="1" xr:uid="{0250F856-1E4E-4BDF-B41C-F964D538F1FA}"/>
    <cellStyle name="60 % - Akzent2" xfId="8413" hidden="1" xr:uid="{7533384E-3398-4CE7-A966-A1A846D4CEBF}"/>
    <cellStyle name="60 % - Akzent2" xfId="7147" hidden="1" xr:uid="{69EF08E0-1927-4D28-8089-E8C1DBD6CD00}"/>
    <cellStyle name="60 % - Akzent2" xfId="2997" hidden="1" xr:uid="{B9B2650D-0F64-482A-986B-A8E7D61C5EAA}"/>
    <cellStyle name="60 % - Akzent2" xfId="1967" hidden="1" xr:uid="{E3874A39-3E68-4AA6-9451-1548EA2546B3}"/>
    <cellStyle name="60 % - Akzent2" xfId="3808" hidden="1" xr:uid="{8092603E-053B-4DCB-BE7F-241FD5BEE7E3}"/>
    <cellStyle name="60 % - Akzent2" xfId="4245" hidden="1" xr:uid="{6748B1BB-4387-4627-8C5A-EF31E03AC991}"/>
    <cellStyle name="60 % - Akzent2" xfId="4819" hidden="1" xr:uid="{1E02E8BA-DB2A-4491-A5DC-E76C7C5C589C}"/>
    <cellStyle name="60 % - Akzent2" xfId="3161" hidden="1" xr:uid="{0E9F0893-B357-4D33-A63A-1F902B272A78}"/>
    <cellStyle name="60 % - Akzent2" xfId="4663" hidden="1" xr:uid="{A2822182-11C0-48DA-BB63-E4471D5504E7}"/>
    <cellStyle name="60 % - Akzent2" xfId="5770" hidden="1" xr:uid="{E8557109-AE21-4EDB-B31D-018E3689D0F3}"/>
    <cellStyle name="60 % - Akzent2" xfId="5635" hidden="1" xr:uid="{2182B321-9F10-4813-8E7F-8185BB6425DA}"/>
    <cellStyle name="60 % - Akzent2" xfId="5745" hidden="1" xr:uid="{DA7E8AC1-67F7-458A-9922-B2F95DD1218E}"/>
    <cellStyle name="60 % - Akzent2" xfId="5885" hidden="1" xr:uid="{F0171583-012F-4761-8085-3C1321CB115B}"/>
    <cellStyle name="60 % - Akzent2" xfId="5957" hidden="1" xr:uid="{AF334542-1478-4453-B08D-E0F07B824D9A}"/>
    <cellStyle name="60 % - Akzent2" xfId="6210" hidden="1" xr:uid="{945673BB-D5A8-4967-831F-C7AA20D9B2F2}"/>
    <cellStyle name="60 % - Akzent2" xfId="6082" hidden="1" xr:uid="{78927967-4E82-4402-8377-9024324986F6}"/>
    <cellStyle name="60 % - Akzent2" xfId="2311" hidden="1" xr:uid="{9D9C6D4B-5B7A-4FCD-AE85-66E7BAF503E5}"/>
    <cellStyle name="60 % - Akzent2" xfId="3144" hidden="1" xr:uid="{98C9A6D3-2346-417D-A308-AD75ED062FAB}"/>
    <cellStyle name="60 % - Akzent2" xfId="1970" hidden="1" xr:uid="{A2401E2F-DD26-40C1-A5BD-04EBF224611D}"/>
    <cellStyle name="60 % - Akzent2" xfId="3209" hidden="1" xr:uid="{01F6D9C5-E263-42AB-A419-CBA86D6B147C}"/>
    <cellStyle name="60 % - Akzent2" xfId="3622" hidden="1" xr:uid="{1E37C297-9952-45DF-B204-F3FC87267960}"/>
    <cellStyle name="60 % - Akzent2" xfId="3246" hidden="1" xr:uid="{724AC8EB-BB54-40E2-A8A1-0E7C8671A882}"/>
    <cellStyle name="60 % - Akzent2" xfId="3338" hidden="1" xr:uid="{17BB588D-98A3-4CAD-BBAF-056589787FA7}"/>
    <cellStyle name="60 % - Akzent2" xfId="2802" hidden="1" xr:uid="{319C0281-9C7A-434F-A3A8-01FBF466AF98}"/>
    <cellStyle name="60 % - Akzent2" xfId="1396" hidden="1" xr:uid="{9D18A6C7-A267-406A-8165-58578E75CC61}"/>
    <cellStyle name="60 % - Akzent2" xfId="1671" hidden="1" xr:uid="{5A511A59-4D7D-4F64-9F90-9FE797DAFD83}"/>
    <cellStyle name="60 % - Akzent2" xfId="1880" hidden="1" xr:uid="{2B406557-1119-4C98-844B-6A0A0E5CE542}"/>
    <cellStyle name="60 % - Akzent2" xfId="902" hidden="1" xr:uid="{213B3F1F-3D6C-485A-9E49-A7E24156AF1D}"/>
    <cellStyle name="60 % - Akzent2" xfId="992" hidden="1" xr:uid="{382E1057-1C73-4BAA-B685-9BEBC9FA07A9}"/>
    <cellStyle name="60 % - Akzent2" xfId="55" hidden="1" xr:uid="{05E7B000-BFDD-4D0E-82B2-9F83D7D4BC02}"/>
    <cellStyle name="60 % - Akzent2 2" xfId="386" xr:uid="{4CCE6D14-8135-49D8-A898-65A732D4E1B2}"/>
    <cellStyle name="60 % - Akzent2 3" xfId="255" xr:uid="{97B01030-04C7-4ECA-B5E0-A78E17A14BB0}"/>
    <cellStyle name="60 % - Akzent3" xfId="20282" hidden="1" xr:uid="{2509687C-79BD-418F-99C2-78007762E947}"/>
    <cellStyle name="60 % - Akzent3" xfId="21146" hidden="1" xr:uid="{D3A6CBFB-03C4-441F-A712-35B41A1915D9}"/>
    <cellStyle name="60 % - Akzent3" xfId="21201" hidden="1" xr:uid="{3B9BE6C4-41A1-4F61-9923-E01BA59A5104}"/>
    <cellStyle name="60 % - Akzent3" xfId="21334" hidden="1" xr:uid="{8DC8E5D1-706A-4917-8AC3-A4A899D91A58}"/>
    <cellStyle name="60 % - Akzent3" xfId="19836" hidden="1" xr:uid="{E5FFC563-525A-42CE-9219-6E5C4535F081}"/>
    <cellStyle name="60 % - Akzent3" xfId="20517" hidden="1" xr:uid="{C6527922-2D45-433D-B0A2-18DEAE6CB1A0}"/>
    <cellStyle name="60 % - Akzent3" xfId="21693" hidden="1" xr:uid="{6BD65D00-AF48-417A-9820-8B965E709DBB}"/>
    <cellStyle name="60 % - Akzent3" xfId="22078" hidden="1" xr:uid="{A450BCBF-6302-4E97-94BE-020966688288}"/>
    <cellStyle name="60 % - Akzent3" xfId="22132" hidden="1" xr:uid="{764BBC2F-DF6B-4607-A328-FE218B3E5BAB}"/>
    <cellStyle name="60 % - Akzent3" xfId="22505" hidden="1" xr:uid="{C250EAE0-0261-45F2-83E2-456BF3493C1C}"/>
    <cellStyle name="60 % - Akzent3" xfId="22198" hidden="1" xr:uid="{5702BB6F-54EE-485C-882D-2B74A8313D2C}"/>
    <cellStyle name="60 % - Akzent3" xfId="22935" hidden="1" xr:uid="{D7094028-55C9-4641-81A3-AF347291E12A}"/>
    <cellStyle name="60 % - Akzent3" xfId="21943" hidden="1" xr:uid="{ADEF8245-C3F0-4B9E-895B-C64A21640FFB}"/>
    <cellStyle name="60 % - Akzent3" xfId="22710" hidden="1" xr:uid="{AF3A4D0C-B777-4031-B098-56C85952F8BF}"/>
    <cellStyle name="60 % - Akzent3" xfId="23324" hidden="1" xr:uid="{3AA4DD13-5708-4831-9210-1B1E80A1C6E6}"/>
    <cellStyle name="60 % - Akzent3" xfId="22770" hidden="1" xr:uid="{BAB7418A-348C-4A97-9B0D-644DF357D962}"/>
    <cellStyle name="60 % - Akzent3" xfId="23302" hidden="1" xr:uid="{ADB4DDD6-C703-4376-AF52-B3A4B463BEA6}"/>
    <cellStyle name="60 % - Akzent3" xfId="23407" hidden="1" xr:uid="{204B3238-3853-4965-9E91-B8D9DD39F8B6}"/>
    <cellStyle name="60 % - Akzent3" xfId="23492" hidden="1" xr:uid="{0D87F9CE-DC48-4CA3-9069-31DF032E481C}"/>
    <cellStyle name="60 % - Akzent3" xfId="22320" hidden="1" xr:uid="{917DA053-5D34-4715-B69B-0952AF938EE1}"/>
    <cellStyle name="60 % - Akzent3" xfId="23670" hidden="1" xr:uid="{00F6C8F7-E3AF-4C00-BF06-E7E3FE2F2817}"/>
    <cellStyle name="60 % - Akzent3" xfId="23699" hidden="1" xr:uid="{C8CEF9C0-C144-49C0-9439-D46D8BD4EA9A}"/>
    <cellStyle name="60 % - Akzent3" xfId="24095" hidden="1" xr:uid="{67F7462C-25CF-41A1-981E-5A81A4227914}"/>
    <cellStyle name="60 % - Akzent3" xfId="23521" hidden="1" xr:uid="{565D8856-FBE7-4608-AD1B-1572C5770ED2}"/>
    <cellStyle name="60 % - Akzent3" xfId="24162" hidden="1" xr:uid="{3001BC64-6CF6-4FC8-874F-A5F638B52B43}"/>
    <cellStyle name="60 % - Akzent3" xfId="24412" hidden="1" xr:uid="{2B7B690C-1D97-433A-9AD7-110DD031C370}"/>
    <cellStyle name="60 % - Akzent3" xfId="25259" hidden="1" xr:uid="{2690A1CE-B089-4925-B0BF-69BF41047068}"/>
    <cellStyle name="60 % - Akzent3" xfId="25513" hidden="1" xr:uid="{B9E6610B-3F19-4CE1-B8A9-1534F71A2CA3}"/>
    <cellStyle name="60 % - Akzent3" xfId="26112" hidden="1" xr:uid="{2B48BE0D-A355-4352-A7D9-025328C93E2E}"/>
    <cellStyle name="60 % - Akzent3" xfId="25967" hidden="1" xr:uid="{1B273E33-F109-4C8B-B56D-9EBA315701B3}"/>
    <cellStyle name="60 % - Akzent3" xfId="25983" hidden="1" xr:uid="{B0FCFFA6-8E13-41C6-A831-F471BC1057FC}"/>
    <cellStyle name="60 % - Akzent3" xfId="26445" hidden="1" xr:uid="{11A3EAA2-AEF9-49B3-815C-B50B5348B542}"/>
    <cellStyle name="60 % - Akzent3" xfId="26009" hidden="1" xr:uid="{33B3690A-7A55-4845-8F7E-DA41149B2B97}"/>
    <cellStyle name="60 % - Akzent3" xfId="25445" hidden="1" xr:uid="{68254F7C-1689-4729-9F2E-CB0AD5C53669}"/>
    <cellStyle name="60 % - Akzent3" xfId="26364" hidden="1" xr:uid="{073FEAC2-FF8B-4F38-B1A4-62E978A0EB53}"/>
    <cellStyle name="60 % - Akzent3" xfId="26533" hidden="1" xr:uid="{43480BE2-85E8-4EAC-8AE6-F41686705950}"/>
    <cellStyle name="60 % - Akzent3" xfId="26407" hidden="1" xr:uid="{46C16601-D195-4A27-9E57-98E588E72BED}"/>
    <cellStyle name="60 % - Akzent3" xfId="27793" hidden="1" xr:uid="{4DA07F05-8BBF-4506-A61D-00D3B4345535}"/>
    <cellStyle name="60 % - Akzent3" xfId="27612" hidden="1" xr:uid="{009F325E-5189-4877-835C-9984D30B898E}"/>
    <cellStyle name="60 % - Akzent3" xfId="27886" hidden="1" xr:uid="{0B027FE0-55F2-41FD-8D53-85774AA0F3C4}"/>
    <cellStyle name="60 % - Akzent3" xfId="26564" hidden="1" xr:uid="{3DC297AE-11EC-4202-84FA-D4E2C389CD66}"/>
    <cellStyle name="60 % - Akzent3" xfId="27882" hidden="1" xr:uid="{0AF713F1-29A6-40AE-87CA-12555E35B529}"/>
    <cellStyle name="60 % - Akzent3" xfId="26426" hidden="1" xr:uid="{EDFEC20D-C759-4B9E-B69F-A8D5CB681EB1}"/>
    <cellStyle name="60 % - Akzent3" xfId="27954" hidden="1" xr:uid="{1F06726B-BB4D-4E72-9794-C3BC8E929477}"/>
    <cellStyle name="60 % - Akzent3" xfId="28332" hidden="1" xr:uid="{CF96DB75-B4B1-416A-80ED-1C079BEF4653}"/>
    <cellStyle name="60 % - Akzent3" xfId="28812" hidden="1" xr:uid="{7185DBDD-F97F-453B-A1D6-3431D894CBAA}"/>
    <cellStyle name="60 % - Akzent3" xfId="29511" hidden="1" xr:uid="{C968AFBE-25D0-49C0-AA1C-D97D41002ACA}"/>
    <cellStyle name="60 % - Akzent3" xfId="29556" hidden="1" xr:uid="{ED83CF56-BB34-4CB8-AAC8-4BE3A2959ADD}"/>
    <cellStyle name="60 % - Akzent3" xfId="29604" hidden="1" xr:uid="{757A9614-91B7-42AF-B5AF-D4D93CAC5D46}"/>
    <cellStyle name="60 % - Akzent3" xfId="30002" hidden="1" xr:uid="{7547AFC1-3F80-4E81-8EA0-CDCBE8F7889B}"/>
    <cellStyle name="60 % - Akzent3" xfId="30424" hidden="1" xr:uid="{1F25E4AA-E6FA-420F-BB25-8CE4AADB49AF}"/>
    <cellStyle name="60 % - Akzent3" xfId="30914" hidden="1" xr:uid="{E2594A65-D369-4B0B-BD2E-7EFF34A05057}"/>
    <cellStyle name="60 % - Akzent3" xfId="28318" hidden="1" xr:uid="{B83F17F0-EF70-411B-BDA3-06694F1ED4A9}"/>
    <cellStyle name="60 % - Akzent3" xfId="31470" hidden="1" xr:uid="{2CD6A65F-71DB-46BF-BF54-9A5BCD03CD4C}"/>
    <cellStyle name="60 % - Akzent3" xfId="31642" hidden="1" xr:uid="{B988AF49-7191-4CD9-8E87-571D5C4F6991}"/>
    <cellStyle name="60 % - Akzent3" xfId="32209" hidden="1" xr:uid="{ED5930CE-48D5-4CB6-925C-90E6ABC125F9}"/>
    <cellStyle name="60 % - Akzent3" xfId="32313" hidden="1" xr:uid="{2375E48E-BD02-4133-B5FE-83C468DDA66A}"/>
    <cellStyle name="60 % - Akzent3" xfId="32318" hidden="1" xr:uid="{B3DE790B-460B-431F-9D68-4903EE917357}"/>
    <cellStyle name="60 % - Akzent3" xfId="32333" hidden="1" xr:uid="{75EA77CB-6410-4CAA-82C4-8F38C9FD1134}"/>
    <cellStyle name="60 % - Akzent3" xfId="25185" hidden="1" xr:uid="{F894A913-7510-4122-B993-99DB9FC9B096}"/>
    <cellStyle name="60 % - Akzent3" xfId="8646" hidden="1" xr:uid="{5A3687D0-2DB3-4D3B-B05F-2A7B026D5D65}"/>
    <cellStyle name="60 % - Akzent3" xfId="9010" hidden="1" xr:uid="{8F71F72E-B127-4CF7-9843-D62564432EB7}"/>
    <cellStyle name="60 % - Akzent3" xfId="9426" hidden="1" xr:uid="{6B93C31C-73E7-43F3-8B29-778079D9B761}"/>
    <cellStyle name="60 % - Akzent3" xfId="10217" hidden="1" xr:uid="{C9EF8CF3-B05C-4E2C-866C-8409562F6A4F}"/>
    <cellStyle name="60 % - Akzent3" xfId="9223" hidden="1" xr:uid="{B064C6F7-597D-40CE-82DB-1539EC94CEB3}"/>
    <cellStyle name="60 % - Akzent3" xfId="10619" hidden="1" xr:uid="{C866866F-5C26-418E-B94F-FE6AC9902F88}"/>
    <cellStyle name="60 % - Akzent3" xfId="10664" hidden="1" xr:uid="{F71B95F4-289A-4C17-8F96-326D5336B7D5}"/>
    <cellStyle name="60 % - Akzent3" xfId="10925" hidden="1" xr:uid="{287CB98E-6E37-40C5-BD95-FA9E63AF065D}"/>
    <cellStyle name="60 % - Akzent3" xfId="9388" hidden="1" xr:uid="{E374DB96-ECB1-4ADE-B8C6-1A0936E920B0}"/>
    <cellStyle name="60 % - Akzent3" xfId="11014" hidden="1" xr:uid="{3E01D8FC-A746-45C2-B33B-A4F3EC3A0A08}"/>
    <cellStyle name="60 % - Akzent3" xfId="11247" hidden="1" xr:uid="{38A35592-DEAB-4919-BA48-F6E8F9D65CC2}"/>
    <cellStyle name="60 % - Akzent3" xfId="11164" hidden="1" xr:uid="{4FD89438-4AA9-4376-A0C8-67FCF1F974C8}"/>
    <cellStyle name="60 % - Akzent3" xfId="10798" hidden="1" xr:uid="{C693166C-3F14-4CEA-86AD-8587AACF7D62}"/>
    <cellStyle name="60 % - Akzent3" xfId="10310" hidden="1" xr:uid="{F6D0CB0B-1B7E-473D-9E6F-C60435636C53}"/>
    <cellStyle name="60 % - Akzent3" xfId="11153" hidden="1" xr:uid="{FC0F03A1-978A-4A05-8F0C-09925BF6041B}"/>
    <cellStyle name="60 % - Akzent3" xfId="10752" hidden="1" xr:uid="{844614A8-B0EA-4901-838A-F599FEC910CA}"/>
    <cellStyle name="60 % - Akzent3" xfId="11416" hidden="1" xr:uid="{0D0CF143-F26B-4A8E-87D5-311367CE2FA0}"/>
    <cellStyle name="60 % - Akzent3" xfId="11842" hidden="1" xr:uid="{6682F500-E9E6-43BE-830A-409D445F6695}"/>
    <cellStyle name="60 % - Akzent3" xfId="12330" hidden="1" xr:uid="{C72932E2-EF28-4345-AE8F-9C8F8E375542}"/>
    <cellStyle name="60 % - Akzent3" xfId="12763" hidden="1" xr:uid="{81E15ED5-DD75-49DB-9E84-EBB19CE9CF02}"/>
    <cellStyle name="60 % - Akzent3" xfId="11402" hidden="1" xr:uid="{21B61642-5B29-4DC1-B7B4-36135C0D240A}"/>
    <cellStyle name="60 % - Akzent3" xfId="13962" hidden="1" xr:uid="{1D5CA6C0-B6E6-4E7C-9D03-96EE4815DD23}"/>
    <cellStyle name="60 % - Akzent3" xfId="11540" hidden="1" xr:uid="{AB22EA35-2F09-42B1-9772-BA20749FC54D}"/>
    <cellStyle name="60 % - Akzent3" xfId="13980" hidden="1" xr:uid="{44DB96AC-AD4D-4DC1-8EC0-6AFE93AD37C0}"/>
    <cellStyle name="60 % - Akzent3" xfId="14452" hidden="1" xr:uid="{C4E7402D-AC8D-4F27-98DC-E80C5DE2E4C6}"/>
    <cellStyle name="60 % - Akzent3" xfId="14637" hidden="1" xr:uid="{6D3C8E52-31A7-4196-8062-C875DFFE28F5}"/>
    <cellStyle name="60 % - Akzent3" xfId="14374" hidden="1" xr:uid="{65A159CD-F371-42DE-A69B-046E731525E1}"/>
    <cellStyle name="60 % - Akzent3" xfId="15057" hidden="1" xr:uid="{936A3FEE-BDB4-4932-AC5E-1EE44D5DBBF8}"/>
    <cellStyle name="60 % - Akzent3" xfId="14805" hidden="1" xr:uid="{CA1788E7-B843-4B66-90D6-1BB75A1509DE}"/>
    <cellStyle name="60 % - Akzent3" xfId="14532" hidden="1" xr:uid="{8EC1C76A-E8DE-4D88-A47E-CD2B88C9D057}"/>
    <cellStyle name="60 % - Akzent3" xfId="14358" hidden="1" xr:uid="{0478516A-0E98-49D1-867E-3934DA5B8EE0}"/>
    <cellStyle name="60 % - Akzent3" xfId="15343" hidden="1" xr:uid="{AEE65DC9-DF73-44E1-9555-683901A670A5}"/>
    <cellStyle name="60 % - Akzent3" xfId="15506" hidden="1" xr:uid="{69B28040-EB6C-4762-97AC-9ED35A327822}"/>
    <cellStyle name="60 % - Akzent3" xfId="15662" hidden="1" xr:uid="{9FEB03AC-87FC-48C0-B751-B22A8CF75EED}"/>
    <cellStyle name="60 % - Akzent3" xfId="15675" hidden="1" xr:uid="{DC1E17B0-14AA-44EA-A0C1-1D3D9379CDD2}"/>
    <cellStyle name="60 % - Akzent3" xfId="15448" hidden="1" xr:uid="{60EB2DC6-6F86-49C4-9A41-99B01E935353}"/>
    <cellStyle name="60 % - Akzent3" xfId="15167" hidden="1" xr:uid="{5352E4F6-A4A6-4F61-B5B6-3DDA78C3F375}"/>
    <cellStyle name="60 % - Akzent3" xfId="15896" hidden="1" xr:uid="{6D7821EE-5DFE-4DE1-B099-51D8709FD8FF}"/>
    <cellStyle name="60 % - Akzent3" xfId="15860" hidden="1" xr:uid="{7497F55D-9548-4190-8B6F-4697F3E32E8A}"/>
    <cellStyle name="60 % - Akzent3" xfId="16030" hidden="1" xr:uid="{D05CAD63-261F-4023-8921-B320B7E12FEA}"/>
    <cellStyle name="60 % - Akzent3" xfId="16107" hidden="1" xr:uid="{36B4DAB6-3A5B-4F39-A04D-4C48E0CEE622}"/>
    <cellStyle name="60 % - Akzent3" xfId="16535" hidden="1" xr:uid="{3D508588-A447-45A9-BCE2-3D35F9FDD2F1}"/>
    <cellStyle name="60 % - Akzent3" xfId="17339" hidden="1" xr:uid="{C141EA81-7D9D-4676-9241-2B5072FFE07F}"/>
    <cellStyle name="60 % - Akzent3" xfId="16331" hidden="1" xr:uid="{C7299822-3F3C-443D-867B-4FA785CF9F0A}"/>
    <cellStyle name="60 % - Akzent3" xfId="17782" hidden="1" xr:uid="{38FE9D53-E69E-450A-9F85-8FA472D10B7F}"/>
    <cellStyle name="60 % - Akzent3" xfId="17834" hidden="1" xr:uid="{8A9E3FF8-F0A5-4C7A-A93E-5D3CDFC127C5}"/>
    <cellStyle name="60 % - Akzent3" xfId="18199" hidden="1" xr:uid="{CD9FC7A8-5BA7-4085-8839-DD4579EA62D5}"/>
    <cellStyle name="60 % - Akzent3" xfId="17002" hidden="1" xr:uid="{F1947F0B-03B3-4FFE-B6CB-1B7F4D01D89C}"/>
    <cellStyle name="60 % - Akzent3" xfId="18175" hidden="1" xr:uid="{78D7D665-08DA-4A3C-84B4-588E254FCF51}"/>
    <cellStyle name="60 % - Akzent3" xfId="17672" hidden="1" xr:uid="{3C0F836A-62D7-455A-998B-622321F6B860}"/>
    <cellStyle name="60 % - Akzent3" xfId="17368" hidden="1" xr:uid="{34153850-6C1E-4D05-9437-4C7518E54187}"/>
    <cellStyle name="60 % - Akzent3" xfId="18366" hidden="1" xr:uid="{4CCCCB9C-E9FE-4D0D-B041-3B86F3F44DA5}"/>
    <cellStyle name="60 % - Akzent3" xfId="19046" hidden="1" xr:uid="{BC258AAC-AA81-4ACA-8C08-9CE0DF9BD266}"/>
    <cellStyle name="60 % - Akzent3" xfId="16163" hidden="1" xr:uid="{B4027047-77AE-46B0-861C-088026586F7C}"/>
    <cellStyle name="60 % - Akzent3" xfId="19023" hidden="1" xr:uid="{226467E8-4A5D-4C86-9475-843A810BDFD7}"/>
    <cellStyle name="60 % - Akzent3" xfId="19096" hidden="1" xr:uid="{D9127B52-A9E7-4FB1-923E-C3F4A231FAE6}"/>
    <cellStyle name="60 % - Akzent3" xfId="19317" hidden="1" xr:uid="{CDD864B5-5872-4465-82AF-ED73F2282698}"/>
    <cellStyle name="60 % - Akzent3" xfId="18888" hidden="1" xr:uid="{E7FEECFD-223F-4621-90A8-5ED946164F93}"/>
    <cellStyle name="60 % - Akzent3" xfId="19440" hidden="1" xr:uid="{B0AE5F77-6CE8-41FC-BEBC-E5B238D33754}"/>
    <cellStyle name="60 % - Akzent3" xfId="19871" hidden="1" xr:uid="{7A7CCBCE-8046-43D5-874A-95B674371C02}"/>
    <cellStyle name="60 % - Akzent3" xfId="20690" hidden="1" xr:uid="{D9F6929E-4787-4E80-AC0E-7278AC468571}"/>
    <cellStyle name="60 % - Akzent3" xfId="13395" hidden="1" xr:uid="{6F2C3191-C52B-46FC-8475-1495AB17D429}"/>
    <cellStyle name="60 % - Akzent3" xfId="6519" hidden="1" xr:uid="{B85696E5-5F54-42FA-99A0-807CE3B7AF66}"/>
    <cellStyle name="60 % - Akzent3" xfId="6429" hidden="1" xr:uid="{C0EE95AC-693D-4575-869F-055262D3584D}"/>
    <cellStyle name="60 % - Akzent3" xfId="6507" hidden="1" xr:uid="{9BEA90E9-D559-4777-8C39-B4F8F83ECEB4}"/>
    <cellStyle name="60 % - Akzent3" xfId="6471" hidden="1" xr:uid="{79306052-C07A-4DD3-B8FC-C89696AB46EF}"/>
    <cellStyle name="60 % - Akzent3" xfId="6575" hidden="1" xr:uid="{6B0F067D-0BD1-45B9-8634-81BE83E2CC75}"/>
    <cellStyle name="60 % - Akzent3" xfId="6326" hidden="1" xr:uid="{2330B5AD-F8AB-4216-86D7-B9130D794049}"/>
    <cellStyle name="60 % - Akzent3" xfId="6254" hidden="1" xr:uid="{22C1B657-3242-4F86-8E44-68D6582284D1}"/>
    <cellStyle name="60 % - Akzent3" xfId="6495" hidden="1" xr:uid="{5C607279-8457-4599-800E-E21FC31EC419}"/>
    <cellStyle name="60 % - Akzent3" xfId="6796" hidden="1" xr:uid="{F7A7651B-36D7-4EB7-A4E3-3A6BE0E943DF}"/>
    <cellStyle name="60 % - Akzent3" xfId="7212" hidden="1" xr:uid="{C8AE3430-712D-42F3-8B39-C7C1C0B64766}"/>
    <cellStyle name="60 % - Akzent3" xfId="8000" hidden="1" xr:uid="{C3D52A91-4D9B-4F16-AF07-13CAD9534B95}"/>
    <cellStyle name="60 % - Akzent3" xfId="7010" hidden="1" xr:uid="{74A93D51-600F-45EE-AAFD-E3F3A1C93F5C}"/>
    <cellStyle name="60 % - Akzent3" xfId="8377" hidden="1" xr:uid="{C2A7E8AE-9ADE-4129-840C-EB7DD8C6ED87}"/>
    <cellStyle name="60 % - Akzent3" xfId="7649" hidden="1" xr:uid="{5287DF4A-2B7E-44A8-885E-690AD30041E6}"/>
    <cellStyle name="60 % - Akzent3" xfId="7961" hidden="1" xr:uid="{2CE70C8A-037F-49C3-BE71-31DB2B8A4FFC}"/>
    <cellStyle name="60 % - Akzent3" xfId="8368" hidden="1" xr:uid="{7B00261A-50A8-450D-AD1C-DBAA95FE0D11}"/>
    <cellStyle name="60 % - Akzent3" xfId="8255" hidden="1" xr:uid="{9F85C81D-A051-409C-B01D-466398528EF7}"/>
    <cellStyle name="60 % - Akzent3" xfId="8006" hidden="1" xr:uid="{C4F88AB0-0690-4434-91AD-FE7A830BF95A}"/>
    <cellStyle name="60 % - Akzent3" xfId="8147" hidden="1" xr:uid="{ADA565C5-6378-4313-8005-F2698BA2760B}"/>
    <cellStyle name="60 % - Akzent3" xfId="8239" hidden="1" xr:uid="{ED0A61F7-724B-458C-A860-0D507AA9D2E4}"/>
    <cellStyle name="60 % - Akzent3" xfId="8326" hidden="1" xr:uid="{247E713F-6BCE-43A0-AF9A-9B4B9E53C666}"/>
    <cellStyle name="60 % - Akzent3" xfId="6771" hidden="1" xr:uid="{13F21363-B3E1-49BE-8288-A4786F68DAF4}"/>
    <cellStyle name="60 % - Akzent3" xfId="6797" hidden="1" xr:uid="{ED026260-A003-4160-8636-8BD9C09C7FF4}"/>
    <cellStyle name="60 % - Akzent3" xfId="6904" hidden="1" xr:uid="{52D235EB-D46F-4F14-92D9-C83338AF912E}"/>
    <cellStyle name="60 % - Akzent3" xfId="7724" hidden="1" xr:uid="{ACE72DA4-53EE-4F1B-A88A-C5E664BEB43C}"/>
    <cellStyle name="60 % - Akzent3" xfId="6896" hidden="1" xr:uid="{BACBDCA4-7BE6-4912-9CE7-5FCE97EC9CC4}"/>
    <cellStyle name="60 % - Akzent3" xfId="8097" hidden="1" xr:uid="{74B62D0F-76D5-4067-9F86-C1770A872816}"/>
    <cellStyle name="60 % - Akzent3" xfId="8876" hidden="1" xr:uid="{29AEC922-544E-4E3B-A9C1-32AB56879410}"/>
    <cellStyle name="60 % - Akzent3" xfId="7818" hidden="1" xr:uid="{9935FEC9-C99E-43A3-A4F8-C8265B1E63E9}"/>
    <cellStyle name="60 % - Akzent3" xfId="8493" hidden="1" xr:uid="{F19B4324-D23B-465A-8EE6-EE5110BA7FD6}"/>
    <cellStyle name="60 % - Akzent3" xfId="2883" hidden="1" xr:uid="{91965319-B4F6-4627-B3C7-8006467FCD38}"/>
    <cellStyle name="60 % - Akzent3" xfId="2862" hidden="1" xr:uid="{F79C6D51-AD80-4C42-B3FF-33719CF180E6}"/>
    <cellStyle name="60 % - Akzent3" xfId="3820" hidden="1" xr:uid="{A9A37CFD-971C-4AFD-AFE5-95246AF69462}"/>
    <cellStyle name="60 % - Akzent3" xfId="4258" hidden="1" xr:uid="{C00E9DD9-9420-4171-B6CC-9BE42D0074EB}"/>
    <cellStyle name="60 % - Akzent3" xfId="4863" hidden="1" xr:uid="{6281DEB6-B485-40E0-B84B-E7D7515601F9}"/>
    <cellStyle name="60 % - Akzent3" xfId="5023" hidden="1" xr:uid="{1EF6F18A-F143-4F89-8472-321A8A26FF96}"/>
    <cellStyle name="60 % - Akzent3" xfId="3681" hidden="1" xr:uid="{3A54681B-D306-4E09-AA6D-CBAA6903241A}"/>
    <cellStyle name="60 % - Akzent3" xfId="5685" hidden="1" xr:uid="{032FEBEC-2C58-4ECA-B214-B4E7A36E4C52}"/>
    <cellStyle name="60 % - Akzent3" xfId="5870" hidden="1" xr:uid="{CAB62ED6-D890-4631-8449-76A8D7481065}"/>
    <cellStyle name="60 % - Akzent3" xfId="5122" hidden="1" xr:uid="{E32413D0-A75D-4C23-9F20-96D3FA3EEA4A}"/>
    <cellStyle name="60 % - Akzent3" xfId="4692" hidden="1" xr:uid="{4A955532-09B8-4318-864B-B979CCA6F121}"/>
    <cellStyle name="60 % - Akzent3" xfId="5924" hidden="1" xr:uid="{DCDA3119-C8F7-4365-A30D-E9ECEADB1F5A}"/>
    <cellStyle name="60 % - Akzent3" xfId="6130" hidden="1" xr:uid="{B0EEFD65-5D5E-486D-9AE7-0679F63BAE11}"/>
    <cellStyle name="60 % - Akzent3" xfId="6284" hidden="1" xr:uid="{CF710227-84DB-4E12-A7FC-F206449107E1}"/>
    <cellStyle name="60 % - Akzent3" xfId="6201" hidden="1" xr:uid="{53BE0F70-DE8F-4EC6-A28B-4C2D6FA34310}"/>
    <cellStyle name="60 % - Akzent3" xfId="3131" hidden="1" xr:uid="{EC69E1E1-1013-47BA-8F51-0C5A3D77417E}"/>
    <cellStyle name="60 % - Akzent3" xfId="2208" hidden="1" xr:uid="{03D4B3EC-EF4E-45CF-8ADF-835A1849FD9B}"/>
    <cellStyle name="60 % - Akzent3" xfId="3150" hidden="1" xr:uid="{0FE07794-68FF-4328-91B6-B11BA0777D7A}"/>
    <cellStyle name="60 % - Akzent3" xfId="3609" hidden="1" xr:uid="{65873C74-B480-42A0-97F6-26BF5E5F0781}"/>
    <cellStyle name="60 % - Akzent3" xfId="2857" hidden="1" xr:uid="{B47344BB-4871-4D0F-A4E1-7BA1DB7FF07C}"/>
    <cellStyle name="60 % - Akzent3" xfId="3016" hidden="1" xr:uid="{BAB3362A-7B90-44C8-A875-BD728804DD26}"/>
    <cellStyle name="60 % - Akzent3" xfId="1908" hidden="1" xr:uid="{A61474E6-8F28-4825-AEC4-414A41B1ED09}"/>
    <cellStyle name="60 % - Akzent3" xfId="1399" hidden="1" xr:uid="{6B9F1B52-3BBE-423B-A3F1-E0827B247F4D}"/>
    <cellStyle name="60 % - Akzent3" xfId="1624" hidden="1" xr:uid="{3B695693-98D3-48C8-8790-1B5D1F24D74A}"/>
    <cellStyle name="60 % - Akzent3" xfId="1884" hidden="1" xr:uid="{EEFE1A34-3D56-4D97-8373-77B67380FEE9}"/>
    <cellStyle name="60 % - Akzent3" xfId="2159" hidden="1" xr:uid="{3DDF464B-3311-4DC7-B8E7-82B72DC53CAF}"/>
    <cellStyle name="60 % - Akzent3" xfId="905" hidden="1" xr:uid="{4A0B4046-2B63-4746-B9AB-829A5DDB01E6}"/>
    <cellStyle name="60 % - Akzent3" xfId="985" hidden="1" xr:uid="{A3320FE8-05B5-49C0-8D63-617F7192B355}"/>
    <cellStyle name="60 % - Akzent3" xfId="58" hidden="1" xr:uid="{A1CE8FCF-82DF-4F52-B232-EE6D57F519A0}"/>
    <cellStyle name="60 % - Akzent3 2" xfId="387" xr:uid="{89DD920A-66EE-47DF-8F70-028B578EC3E6}"/>
    <cellStyle name="60 % - Akzent3 3" xfId="256" xr:uid="{18CE76D5-AA6D-44B4-BC3D-EAE9171D6D64}"/>
    <cellStyle name="60 % - Akzent4" xfId="19391" hidden="1" xr:uid="{310594D0-D6A5-447C-A366-804D3A7EB99B}"/>
    <cellStyle name="60 % - Akzent4" xfId="22035" hidden="1" xr:uid="{92041B03-927F-4F8C-9FCA-49EF6713D925}"/>
    <cellStyle name="60 % - Akzent4" xfId="20500" hidden="1" xr:uid="{C2ABD614-5B48-47B6-9B28-95F9FB05ED37}"/>
    <cellStyle name="60 % - Akzent4" xfId="22465" hidden="1" xr:uid="{B5B56A67-F16A-4A65-A920-0B8BC369E213}"/>
    <cellStyle name="60 % - Akzent4" xfId="21424" hidden="1" xr:uid="{97506084-D96B-4DC3-9C67-956C3759E18E}"/>
    <cellStyle name="60 % - Akzent4" xfId="22896" hidden="1" xr:uid="{19726350-3D56-473A-AE8D-6BDCC84EA06F}"/>
    <cellStyle name="60 % - Akzent4" xfId="22820" hidden="1" xr:uid="{651723E2-EE37-414E-A06A-45314EE0BEDD}"/>
    <cellStyle name="60 % - Akzent4" xfId="22352" hidden="1" xr:uid="{EC6EA0F6-D0DB-469B-9364-597F7295B4BD}"/>
    <cellStyle name="60 % - Akzent4" xfId="23288" hidden="1" xr:uid="{34AF5FEB-BF00-40E0-BF3E-1DD166A7987F}"/>
    <cellStyle name="60 % - Akzent4" xfId="23226" hidden="1" xr:uid="{C014D072-9C35-4672-A554-C160D7AC9B0E}"/>
    <cellStyle name="60 % - Akzent4" xfId="22755" hidden="1" xr:uid="{6620DE59-8AD0-4F24-B8FE-3BC7E42567E9}"/>
    <cellStyle name="60 % - Akzent4" xfId="22319" hidden="1" xr:uid="{05BF2076-8C44-4DE6-9EE4-934A1C07EFB4}"/>
    <cellStyle name="60 % - Akzent4" xfId="23643" hidden="1" xr:uid="{815D9F70-88B7-428D-8060-52F0B42EBAAE}"/>
    <cellStyle name="60 % - Akzent4" xfId="23640" hidden="1" xr:uid="{5A6CB3F2-055E-4172-9D00-E0D81F6C0404}"/>
    <cellStyle name="60 % - Akzent4" xfId="23459" hidden="1" xr:uid="{6933E187-9B10-4297-B65B-A9853BE0ADC5}"/>
    <cellStyle name="60 % - Akzent4" xfId="23696" hidden="1" xr:uid="{6B93E436-E04D-4F34-89A9-CD88BAAD0202}"/>
    <cellStyle name="60 % - Akzent4" xfId="24092" hidden="1" xr:uid="{698526E0-8EB9-4185-93FA-99FFD78CC532}"/>
    <cellStyle name="60 % - Akzent4" xfId="24086" hidden="1" xr:uid="{E26E0351-8AAB-4BB7-A4F2-ADD485875783}"/>
    <cellStyle name="60 % - Akzent4" xfId="24166" hidden="1" xr:uid="{AD967C76-E6F9-4D91-B629-E092886E0A7A}"/>
    <cellStyle name="60 % - Akzent4" xfId="24581" hidden="1" xr:uid="{D3ED9853-EEC5-405B-9A99-9F0470F636F7}"/>
    <cellStyle name="60 % - Akzent4" xfId="25160" hidden="1" xr:uid="{78A414E9-B050-4FCE-879B-16778ACDB2E6}"/>
    <cellStyle name="60 % - Akzent4" xfId="25019" hidden="1" xr:uid="{FCB74218-BB51-42B0-BC9A-BA75E7024493}"/>
    <cellStyle name="60 % - Akzent4" xfId="25511" hidden="1" xr:uid="{32D866BC-13E9-424B-B845-A8B677C682AC}"/>
    <cellStyle name="60 % - Akzent4" xfId="26022" hidden="1" xr:uid="{F3185DB5-5B9F-42A4-812D-D06EE439DC67}"/>
    <cellStyle name="60 % - Akzent4" xfId="26194" hidden="1" xr:uid="{2989886F-93EB-472F-B187-AFB09DFE915F}"/>
    <cellStyle name="60 % - Akzent4" xfId="26262" hidden="1" xr:uid="{4F465F7F-BA32-4BB5-A4A5-1171DA2F1A02}"/>
    <cellStyle name="60 % - Akzent4" xfId="26505" hidden="1" xr:uid="{4D95FC3E-78E5-4AC8-9041-E1D2736BDAE2}"/>
    <cellStyle name="60 % - Akzent4" xfId="26439" hidden="1" xr:uid="{8841A4E2-0621-41DC-A426-49728E2B9943}"/>
    <cellStyle name="60 % - Akzent4" xfId="26654" hidden="1" xr:uid="{662F5F2E-4779-4758-A0EB-071D28A25C90}"/>
    <cellStyle name="60 % - Akzent4" xfId="26040" hidden="1" xr:uid="{18DB3C7B-8B7B-4A15-B71D-67A64CDCFC38}"/>
    <cellStyle name="60 % - Akzent4" xfId="27223" hidden="1" xr:uid="{353798EA-6512-415F-A67B-07FE2A78B634}"/>
    <cellStyle name="60 % - Akzent4" xfId="27768" hidden="1" xr:uid="{AACC3692-F320-463A-BF92-1FE2F2444C6C}"/>
    <cellStyle name="60 % - Akzent4" xfId="27791" hidden="1" xr:uid="{9D4B5113-5237-4572-9384-A10E91429632}"/>
    <cellStyle name="60 % - Akzent4" xfId="27880" hidden="1" xr:uid="{344C9A4A-3DAB-4617-8C23-E69FE9447E06}"/>
    <cellStyle name="60 % - Akzent4" xfId="27871" hidden="1" xr:uid="{20ED2192-195D-4B4D-B381-047C1CD570CF}"/>
    <cellStyle name="60 % - Akzent4" xfId="27803" hidden="1" xr:uid="{5895558C-4BF0-46BB-B4EF-22E3EE599018}"/>
    <cellStyle name="60 % - Akzent4" xfId="26390" hidden="1" xr:uid="{C81C9AD9-8064-469F-8684-4B054CDC2674}"/>
    <cellStyle name="60 % - Akzent4" xfId="27958" hidden="1" xr:uid="{49BDC442-F7EA-49AF-BEF7-39FF965953A9}"/>
    <cellStyle name="60 % - Akzent4" xfId="28201" hidden="1" xr:uid="{BED3C776-448F-4EF9-AAC6-0C303C3ED9FB}"/>
    <cellStyle name="60 % - Akzent4" xfId="28134" hidden="1" xr:uid="{83BD747A-76DE-4BB5-B24D-F4F4DEF77B8F}"/>
    <cellStyle name="60 % - Akzent4" xfId="29476" hidden="1" xr:uid="{7A02FEA2-C821-411F-9A98-154B68A60745}"/>
    <cellStyle name="60 % - Akzent4" xfId="28007" hidden="1" xr:uid="{9820395F-F721-42CE-A307-4407F39495BD}"/>
    <cellStyle name="60 % - Akzent4" xfId="27991" hidden="1" xr:uid="{C6836FF0-A07C-4D8D-936E-EF5FC649D309}"/>
    <cellStyle name="60 % - Akzent4" xfId="30010" hidden="1" xr:uid="{C564C765-7E92-4392-8082-4F90E79AED8B}"/>
    <cellStyle name="60 % - Akzent4" xfId="30421" hidden="1" xr:uid="{AC0232AE-7E90-4E4D-B833-9DD2B24BA047}"/>
    <cellStyle name="60 % - Akzent4" xfId="30859" hidden="1" xr:uid="{98655C91-25F3-46CC-988A-B5AD714145B8}"/>
    <cellStyle name="60 % - Akzent4" xfId="29248" hidden="1" xr:uid="{59F9279D-3791-4D9F-A249-C0A0C8CB5CDB}"/>
    <cellStyle name="60 % - Akzent4" xfId="31473" hidden="1" xr:uid="{5A9DF171-AE57-4190-9ADA-889B49A7809D}"/>
    <cellStyle name="60 % - Akzent4" xfId="31448" hidden="1" xr:uid="{471F3256-DC0F-4708-AC02-99046F5DCA1D}"/>
    <cellStyle name="60 % - Akzent4" xfId="32250" hidden="1" xr:uid="{FFF46E51-04F4-47D2-8DA6-12D9648573B3}"/>
    <cellStyle name="60 % - Akzent4" xfId="32319" hidden="1" xr:uid="{76AC1174-6AF8-4978-BFBD-65C2947283DD}"/>
    <cellStyle name="60 % - Akzent4" xfId="31490" hidden="1" xr:uid="{43799849-E6BB-4561-94E9-10A852FE521C}"/>
    <cellStyle name="60 % - Akzent4" xfId="32181" hidden="1" xr:uid="{E9940870-DF29-472E-AB65-D7E85286B869}"/>
    <cellStyle name="60 % - Akzent4" xfId="25943" hidden="1" xr:uid="{4741D2B6-5BE1-4D7C-B776-C92BC4191691}"/>
    <cellStyle name="60 % - Akzent4" xfId="10177" hidden="1" xr:uid="{72F752D9-D912-459D-9A88-80722EBF10A3}"/>
    <cellStyle name="60 % - Akzent4" xfId="9186" hidden="1" xr:uid="{9549BC96-A51F-49AE-BAE4-98985E9BEBC0}"/>
    <cellStyle name="60 % - Akzent4" xfId="10583" hidden="1" xr:uid="{949BBE87-F578-4815-8013-0DF5B7502971}"/>
    <cellStyle name="60 % - Akzent4" xfId="10211" hidden="1" xr:uid="{0D884CDF-2B8A-4495-B904-B2DC66EB48D1}"/>
    <cellStyle name="60 % - Akzent4" xfId="10855" hidden="1" xr:uid="{8D90A1C1-689B-413D-9F59-8F90F176ACF5}"/>
    <cellStyle name="60 % - Akzent4" xfId="10777" hidden="1" xr:uid="{528F69B4-65F1-4375-97AE-C1922CDA62DD}"/>
    <cellStyle name="60 % - Akzent4" xfId="10885" hidden="1" xr:uid="{FF910D7D-9CEB-4AB4-BE93-C12AD1221409}"/>
    <cellStyle name="60 % - Akzent4" xfId="10165" hidden="1" xr:uid="{96AAAEAD-E150-4B67-8825-2C2473CC6A88}"/>
    <cellStyle name="60 % - Akzent4" xfId="9339" hidden="1" xr:uid="{6896D7EF-553F-4CC0-85E1-4639902207BE}"/>
    <cellStyle name="60 % - Akzent4" xfId="11196" hidden="1" xr:uid="{36CC339D-CC21-4FB9-B9E4-2631D1F6644D}"/>
    <cellStyle name="60 % - Akzent4" xfId="11045" hidden="1" xr:uid="{4E09B702-9BB2-454E-AA2D-FAA42219CE70}"/>
    <cellStyle name="60 % - Akzent4" xfId="11197" hidden="1" xr:uid="{4C7EFD98-CB18-4588-AE5F-E197F81FD205}"/>
    <cellStyle name="60 % - Akzent4" xfId="10796" hidden="1" xr:uid="{142F054A-B927-4264-B4F1-FEAD9CEF3A4E}"/>
    <cellStyle name="60 % - Akzent4" xfId="11420" hidden="1" xr:uid="{947ECCA8-14FD-4B07-9A1D-4129C9DFD093}"/>
    <cellStyle name="60 % - Akzent4" xfId="11690" hidden="1" xr:uid="{05227C76-52BF-49E7-BBC9-49257EBB8392}"/>
    <cellStyle name="60 % - Akzent4" xfId="11568" hidden="1" xr:uid="{50C58596-6210-4B4B-8F16-E7A6E216E0B5}"/>
    <cellStyle name="60 % - Akzent4" xfId="12759" hidden="1" xr:uid="{5CB9BCA0-A7A5-44E9-A772-C07EBC95D11C}"/>
    <cellStyle name="60 % - Akzent4" xfId="11380" hidden="1" xr:uid="{AC03CC91-B405-40F9-B8AE-2BB3EEF09B1E}"/>
    <cellStyle name="60 % - Akzent4" xfId="13920" hidden="1" xr:uid="{D8F1EF92-2A6E-4DEC-830C-7599855B9B06}"/>
    <cellStyle name="60 % - Akzent4" xfId="13834" hidden="1" xr:uid="{11F1B601-2D01-4291-9A6D-0A26D15351EC}"/>
    <cellStyle name="60 % - Akzent4" xfId="13924" hidden="1" xr:uid="{C3A913E8-D472-440B-8E56-C478E129D63F}"/>
    <cellStyle name="60 % - Akzent4" xfId="13779" hidden="1" xr:uid="{01135C4D-CD23-4D89-B81A-E86B03AA0932}"/>
    <cellStyle name="60 % - Akzent4" xfId="14237" hidden="1" xr:uid="{6AFBD6E9-2824-45A1-9CC5-30DD0497D45C}"/>
    <cellStyle name="60 % - Akzent4" xfId="14703" hidden="1" xr:uid="{A12016AA-1ED4-4A4F-8949-E50297914946}"/>
    <cellStyle name="60 % - Akzent4" xfId="14274" hidden="1" xr:uid="{AD1CB219-5E08-4042-967C-AB88729E56A8}"/>
    <cellStyle name="60 % - Akzent4" xfId="15121" hidden="1" xr:uid="{221B8CA5-397B-4C47-AB86-F509596376F5}"/>
    <cellStyle name="60 % - Akzent4" xfId="12758" hidden="1" xr:uid="{1F934CEF-DA98-4458-AD52-AC7662222D42}"/>
    <cellStyle name="60 % - Akzent4" xfId="15269" hidden="1" xr:uid="{E6960C4C-0C4D-449A-B652-9C570C06CA81}"/>
    <cellStyle name="60 % - Akzent4" xfId="14734" hidden="1" xr:uid="{6B6CE4F2-1767-4B00-8562-C7EE266069ED}"/>
    <cellStyle name="60 % - Akzent4" xfId="14514" hidden="1" xr:uid="{84582379-4A0B-49DF-A600-3AF57285C6A5}"/>
    <cellStyle name="60 % - Akzent4" xfId="15561" hidden="1" xr:uid="{CB56204F-2245-468F-A64D-F4E3E01FD4CA}"/>
    <cellStyle name="60 % - Akzent4" xfId="15597" hidden="1" xr:uid="{968D546A-BEF0-4703-ACDA-217C834290AF}"/>
    <cellStyle name="60 % - Akzent4" xfId="15073" hidden="1" xr:uid="{BD0EE3C3-8E2A-464B-B02E-54CB2ED2817A}"/>
    <cellStyle name="60 % - Akzent4" xfId="15373" hidden="1" xr:uid="{6119BB31-895E-4C02-8463-540FD1C04445}"/>
    <cellStyle name="60 % - Akzent4" xfId="15842" hidden="1" xr:uid="{5B4FCE71-7EC2-49A3-B04A-AE7A8F3E0EAE}"/>
    <cellStyle name="60 % - Akzent4" xfId="15572" hidden="1" xr:uid="{6F044835-5ED8-4706-92AD-ABFDC3754ACA}"/>
    <cellStyle name="60 % - Akzent4" xfId="16025" hidden="1" xr:uid="{8D73D563-FF47-457F-BD13-A0147184E924}"/>
    <cellStyle name="60 % - Akzent4" xfId="16111" hidden="1" xr:uid="{F4987009-4095-4D21-93B9-98A658700E76}"/>
    <cellStyle name="60 % - Akzent4" xfId="16385" hidden="1" xr:uid="{1D048EB7-C4E0-4B35-9ACD-FB2409A8B9D4}"/>
    <cellStyle name="60 % - Akzent4" xfId="17297" hidden="1" xr:uid="{79843076-6325-4899-8185-6D0F636FF517}"/>
    <cellStyle name="60 % - Akzent4" xfId="16422" hidden="1" xr:uid="{0E0BC190-B965-459B-93EA-2BA1BA7650C9}"/>
    <cellStyle name="60 % - Akzent4" xfId="17741" hidden="1" xr:uid="{32B9DE58-A7B5-4442-87EC-00D6F1F10FAA}"/>
    <cellStyle name="60 % - Akzent4" xfId="17332" hidden="1" xr:uid="{8FD696B3-54E3-4F96-9791-DAF61A98E7B3}"/>
    <cellStyle name="60 % - Akzent4" xfId="18158" hidden="1" xr:uid="{EE1AD93E-4396-4D86-B979-0D5669647B73}"/>
    <cellStyle name="60 % - Akzent4" xfId="18077" hidden="1" xr:uid="{CF46209D-AD0A-4CA3-AC83-BF19A68B1723}"/>
    <cellStyle name="60 % - Akzent4" xfId="17474" hidden="1" xr:uid="{8F1837C7-929F-4E01-A7FF-DE9DECB564A0}"/>
    <cellStyle name="60 % - Akzent4" xfId="17816" hidden="1" xr:uid="{76739684-B191-4681-9A9C-9EA881400FC7}"/>
    <cellStyle name="60 % - Akzent4" xfId="18255" hidden="1" xr:uid="{564F2FE6-023C-4BAC-AE61-E7ED44DA3F25}"/>
    <cellStyle name="60 % - Akzent4" xfId="18362" hidden="1" xr:uid="{03235BE9-2BFC-4F03-B8A5-4B3D15EC9613}"/>
    <cellStyle name="60 % - Akzent4" xfId="19006" hidden="1" xr:uid="{8FE05940-B805-44CC-8453-9A8958EA3089}"/>
    <cellStyle name="60 % - Akzent4" xfId="18936" hidden="1" xr:uid="{9F0D36C5-9BF3-403B-9ADB-1F244A808F8F}"/>
    <cellStyle name="60 % - Akzent4" xfId="18249" hidden="1" xr:uid="{9172BFC8-CDE4-41F6-84AE-34A559C8CB87}"/>
    <cellStyle name="60 % - Akzent4" xfId="18906" hidden="1" xr:uid="{B91CC7D6-7749-4311-8524-F0706A16B54B}"/>
    <cellStyle name="60 % - Akzent4" xfId="19301" hidden="1" xr:uid="{A1C1D892-2C52-400E-8031-64C433D567B1}"/>
    <cellStyle name="60 % - Akzent4" xfId="18788" hidden="1" xr:uid="{8C0854A7-2F9D-4F43-8AA9-73EC04C6DCC5}"/>
    <cellStyle name="60 % - Akzent4" xfId="19444" hidden="1" xr:uid="{A17AF178-C788-44A2-A847-2B853FCEA59A}"/>
    <cellStyle name="60 % - Akzent4" xfId="19719" hidden="1" xr:uid="{C7A36A0D-0A9A-479B-A638-6D05484B5450}"/>
    <cellStyle name="60 % - Akzent4" xfId="20647" hidden="1" xr:uid="{47F20C91-1AFD-404F-885E-9ADBEA094CB8}"/>
    <cellStyle name="60 % - Akzent4" xfId="20303" hidden="1" xr:uid="{6564D782-FEE1-4795-A7D3-0F5C3047E1BD}"/>
    <cellStyle name="60 % - Akzent4" xfId="21104" hidden="1" xr:uid="{27F101BA-0048-4E7B-9CF8-049167C8F029}"/>
    <cellStyle name="60 % - Akzent4" xfId="19831" hidden="1" xr:uid="{DBAC1077-E0A6-4533-ADB0-F174BA3D471A}"/>
    <cellStyle name="60 % - Akzent4" xfId="21610" hidden="1" xr:uid="{61E2FF11-8C9E-417C-A505-7465AC60D4F5}"/>
    <cellStyle name="60 % - Akzent4" xfId="21605" hidden="1" xr:uid="{6A8A3BB0-9987-4072-8250-A1F8A3815127}"/>
    <cellStyle name="60 % - Akzent4" xfId="21601" hidden="1" xr:uid="{0E2348AB-8C09-4EC8-97C3-04F70497A678}"/>
    <cellStyle name="60 % - Akzent4" xfId="15665" hidden="1" xr:uid="{DF6A20E5-8CC6-4E78-82E3-EF92BFDA6D7A}"/>
    <cellStyle name="60 % - Akzent4" xfId="6322" hidden="1" xr:uid="{28B818DD-37F1-4218-93A4-544BA443697A}"/>
    <cellStyle name="60 % - Akzent4" xfId="6092" hidden="1" xr:uid="{AC6D6A6A-EA31-40AE-9F25-2A575E420AE7}"/>
    <cellStyle name="60 % - Akzent4" xfId="6198" hidden="1" xr:uid="{40911CA0-9BF1-4860-9357-C8811D3FDFA9}"/>
    <cellStyle name="60 % - Akzent4" xfId="6438" hidden="1" xr:uid="{FB0B5303-FB4A-4DD8-9018-85F6B5F5CEB5}"/>
    <cellStyle name="60 % - Akzent4" xfId="6306" hidden="1" xr:uid="{FD9EB35B-BF7A-47E8-997D-674DD545CED4}"/>
    <cellStyle name="60 % - Akzent4" xfId="5803" hidden="1" xr:uid="{0D507CD4-EAA3-4576-8DF6-38F34D2123C0}"/>
    <cellStyle name="60 % - Akzent4" xfId="6800" hidden="1" xr:uid="{78665CC3-A182-4A4C-9EE4-C771C2F2B116}"/>
    <cellStyle name="60 % - Akzent4" xfId="7063" hidden="1" xr:uid="{77E8393D-4051-4F67-A6A3-099BE4056755}"/>
    <cellStyle name="60 % - Akzent4" xfId="7963" hidden="1" xr:uid="{A0041D5C-3500-45E9-8684-CA8E8651434A}"/>
    <cellStyle name="60 % - Akzent4" xfId="7100" hidden="1" xr:uid="{687027C0-52BB-4FCD-8D59-38AC8E231572}"/>
    <cellStyle name="60 % - Akzent4" xfId="8340" hidden="1" xr:uid="{DF455683-876B-442E-AB90-EE989EAE7BEC}"/>
    <cellStyle name="60 % - Akzent4" xfId="8264" hidden="1" xr:uid="{C0065D63-7D6F-4664-B82B-873EF037817D}"/>
    <cellStyle name="60 % - Akzent4" xfId="8430" hidden="1" xr:uid="{51ED378A-F566-44A9-BD8D-FA3D624B2C2A}"/>
    <cellStyle name="60 % - Akzent4" xfId="7696" hidden="1" xr:uid="{7F2ABC59-29A9-4679-B23C-5F9593B27EC3}"/>
    <cellStyle name="60 % - Akzent4" xfId="6855" hidden="1" xr:uid="{652ED92F-BCD3-48C0-9B0B-244B3682302D}"/>
    <cellStyle name="60 % - Akzent4" xfId="8361" hidden="1" xr:uid="{5B567ED5-6454-4A7D-89EE-6FCA03990D4B}"/>
    <cellStyle name="60 % - Akzent4" xfId="7080" hidden="1" xr:uid="{0EF4B2C9-5B65-4C17-9257-452E1D673206}"/>
    <cellStyle name="60 % - Akzent4" xfId="8132" hidden="1" xr:uid="{0A0DE938-BD45-4F00-92CD-B32E1BA0E19B}"/>
    <cellStyle name="60 % - Akzent4" xfId="8456" hidden="1" xr:uid="{9930E769-C536-4363-80A0-1D16308E38DB}"/>
    <cellStyle name="60 % - Akzent4" xfId="8474" hidden="1" xr:uid="{E5D1048F-1D0D-4D89-B64E-AEFA1C6A1930}"/>
    <cellStyle name="60 % - Akzent4" xfId="8494" hidden="1" xr:uid="{D72FEC1E-809B-470C-83A6-3907A8026EE9}"/>
    <cellStyle name="60 % - Akzent4" xfId="8513" hidden="1" xr:uid="{02A873CB-7C56-42F7-BF59-FF278197BFCE}"/>
    <cellStyle name="60 % - Akzent4" xfId="8532" hidden="1" xr:uid="{9E71FE99-38C4-46B6-952C-AA341B005A26}"/>
    <cellStyle name="60 % - Akzent4" xfId="8092" hidden="1" xr:uid="{1BCF0887-6ABE-4EEF-A2F3-6102727DE110}"/>
    <cellStyle name="60 % - Akzent4" xfId="8521" hidden="1" xr:uid="{91BE3D98-D6DA-4218-A013-CD12559EBA46}"/>
    <cellStyle name="60 % - Akzent4" xfId="8850" hidden="1" xr:uid="{E4847466-29D8-4DA9-B893-E250375D7609}"/>
    <cellStyle name="60 % - Akzent4" xfId="8884" hidden="1" xr:uid="{37E7962C-51CC-4D5E-B835-83B389BDD8F9}"/>
    <cellStyle name="60 % - Akzent4" xfId="8644" hidden="1" xr:uid="{D31F802D-8633-48AF-A716-E52E0DF6426D}"/>
    <cellStyle name="60 % - Akzent4" xfId="8893" hidden="1" xr:uid="{5FB64CDF-4CD6-4ED8-86FF-0E0BAC341131}"/>
    <cellStyle name="60 % - Akzent4" xfId="9014" hidden="1" xr:uid="{CE4EF994-64DA-4C69-A878-1F4A1097BA36}"/>
    <cellStyle name="60 % - Akzent4" xfId="9276" hidden="1" xr:uid="{649F40AC-5A98-406E-99F5-2D1DC299712F}"/>
    <cellStyle name="60 % - Akzent4" xfId="3650" hidden="1" xr:uid="{EB6B32DF-ABED-4B59-98AF-818538C9671E}"/>
    <cellStyle name="60 % - Akzent4" xfId="3817" hidden="1" xr:uid="{60931F83-6DA9-48AA-8410-62EAEF2A0D40}"/>
    <cellStyle name="60 % - Akzent4" xfId="4254" hidden="1" xr:uid="{3223D0A7-E188-4F5C-AC3D-53703CB13EA2}"/>
    <cellStyle name="60 % - Akzent4" xfId="4748" hidden="1" xr:uid="{865C11FE-90D8-45D3-B459-6DCE841A64B2}"/>
    <cellStyle name="60 % - Akzent4" xfId="4865" hidden="1" xr:uid="{E2048213-CC42-460B-8645-8FE7E37D8862}"/>
    <cellStyle name="60 % - Akzent4" xfId="2849" hidden="1" xr:uid="{771F8396-6151-46E5-B3D2-9A34B5AE55DA}"/>
    <cellStyle name="60 % - Akzent4" xfId="5743" hidden="1" xr:uid="{B87AAD5E-A449-44A1-A81F-486BE912898F}"/>
    <cellStyle name="60 % - Akzent4" xfId="5875" hidden="1" xr:uid="{D882A326-01CB-483A-9CF9-AFD7806866B4}"/>
    <cellStyle name="60 % - Akzent4" xfId="4217" hidden="1" xr:uid="{1BABA8A5-5436-46A6-AB5E-7CB83916C3FE}"/>
    <cellStyle name="60 % - Akzent4" xfId="5596" hidden="1" xr:uid="{AB38B79E-8B7C-48CA-8DB1-FCCCE66F7FC8}"/>
    <cellStyle name="60 % - Akzent4" xfId="4755" hidden="1" xr:uid="{ED4D08BD-9741-45FD-950C-46CC8D2AC29C}"/>
    <cellStyle name="60 % - Akzent4" xfId="6185" hidden="1" xr:uid="{7CD143C1-FEC2-4D5A-B134-86FE95173117}"/>
    <cellStyle name="60 % - Akzent4" xfId="6289" hidden="1" xr:uid="{32AB0D60-CB90-4072-A10C-08DC8B80ADA5}"/>
    <cellStyle name="60 % - Akzent4" xfId="5968" hidden="1" xr:uid="{45166633-EAD4-4B2D-826C-80D056BAD320}"/>
    <cellStyle name="60 % - Akzent4" xfId="6465" hidden="1" xr:uid="{F8A83A0E-13DD-4A60-BE20-CE5A406BC27D}"/>
    <cellStyle name="60 % - Akzent4" xfId="6573" hidden="1" xr:uid="{83F29F0C-C7F8-478E-BCD2-34E00CB525FD}"/>
    <cellStyle name="60 % - Akzent4" xfId="3088" hidden="1" xr:uid="{992C71CD-85A8-436D-9188-9221CA67419F}"/>
    <cellStyle name="60 % - Akzent4" xfId="3000" hidden="1" xr:uid="{C8A75674-545D-404A-9829-DD730DCC4BF2}"/>
    <cellStyle name="60 % - Akzent4" xfId="3092" hidden="1" xr:uid="{A0277005-CC7C-4C41-95A7-E04B75D6A991}"/>
    <cellStyle name="60 % - Akzent4" xfId="3566" hidden="1" xr:uid="{ABC161FE-5F2A-41D1-9BB5-BDF0E9A47CC0}"/>
    <cellStyle name="60 % - Akzent4" xfId="3322" hidden="1" xr:uid="{49EFCBE9-CDBF-4AB4-AAF8-B2C485627859}"/>
    <cellStyle name="60 % - Akzent4" xfId="3300" hidden="1" xr:uid="{8AEBC411-B96A-417B-8745-8381237A22C0}"/>
    <cellStyle name="60 % - Akzent4" xfId="2200" hidden="1" xr:uid="{4639A949-49B7-4C1E-AD70-9C7528ADD9ED}"/>
    <cellStyle name="60 % - Akzent4" xfId="2005" hidden="1" xr:uid="{BA493ABA-2D86-4915-A6CB-23072B522113}"/>
    <cellStyle name="60 % - Akzent4" xfId="1402" hidden="1" xr:uid="{F382879A-AA61-4F68-8CEB-6CF892219BDA}"/>
    <cellStyle name="60 % - Akzent4" xfId="1659" hidden="1" xr:uid="{79B6468F-6702-4123-A045-F72BC36B97C8}"/>
    <cellStyle name="60 % - Akzent4" xfId="1888" hidden="1" xr:uid="{D26E9B8E-3617-40EE-B7FE-DA717C1F5771}"/>
    <cellStyle name="60 % - Akzent4" xfId="2135" hidden="1" xr:uid="{24221F40-912E-4C5E-8583-5345AAB96B9F}"/>
    <cellStyle name="60 % - Akzent4" xfId="908" hidden="1" xr:uid="{C3270EDC-7FB1-4737-BCBC-C31CC8EE5553}"/>
    <cellStyle name="60 % - Akzent4" xfId="967" hidden="1" xr:uid="{8610C595-11C7-4F22-B399-C1139A339B9C}"/>
    <cellStyle name="60 % - Akzent4" xfId="61" hidden="1" xr:uid="{6F8F5E7B-A634-40BB-8539-327D6EDDCFB8}"/>
    <cellStyle name="60 % - Akzent4 2" xfId="388" xr:uid="{B8B184E1-D715-49E5-8B41-1281FFDBF683}"/>
    <cellStyle name="60 % - Akzent4 3" xfId="257" xr:uid="{949204EA-18E4-4510-95BC-858C1086F6B6}"/>
    <cellStyle name="60 % - Akzent5" xfId="22809" hidden="1" xr:uid="{BC1F9CAB-8BCC-4C69-BF84-503DC1FAD1B4}"/>
    <cellStyle name="60 % - Akzent5" xfId="22664" hidden="1" xr:uid="{C73FA98A-9957-44D6-B3FF-7B325CD5C5F3}"/>
    <cellStyle name="60 % - Akzent5" xfId="23215" hidden="1" xr:uid="{3383A54A-0E66-4C6D-A2B7-B4850E27F0F1}"/>
    <cellStyle name="60 % - Akzent5" xfId="23086" hidden="1" xr:uid="{0010B9ED-4454-4C4A-9CF7-3A28FB26E361}"/>
    <cellStyle name="60 % - Akzent5" xfId="23200" hidden="1" xr:uid="{F4EF2E95-940A-4386-9ECA-F14004EE54F4}"/>
    <cellStyle name="60 % - Akzent5" xfId="23128" hidden="1" xr:uid="{305C22ED-F25B-4AFF-BF24-FF6407A2F53D}"/>
    <cellStyle name="60 % - Akzent5" xfId="23237" hidden="1" xr:uid="{D4FF570C-8479-4C1D-AE18-EE18EE6CD79F}"/>
    <cellStyle name="60 % - Akzent5" xfId="23473" hidden="1" xr:uid="{7D23B810-CDE6-485E-9030-46B67FCA1ADC}"/>
    <cellStyle name="60 % - Akzent5" xfId="22695" hidden="1" xr:uid="{13BF648B-E20A-4936-AF8A-284180316163}"/>
    <cellStyle name="60 % - Akzent5" xfId="23698" hidden="1" xr:uid="{13BBCA45-5043-4605-B6C4-10B742BF2D68}"/>
    <cellStyle name="60 % - Akzent5" xfId="24085" hidden="1" xr:uid="{1D33D57E-A670-4007-B3B5-B89677B54761}"/>
    <cellStyle name="60 % - Akzent5" xfId="24077" hidden="1" xr:uid="{68AA4286-E2AA-414F-8FCD-30CC475AB4B2}"/>
    <cellStyle name="60 % - Akzent5" xfId="24170" hidden="1" xr:uid="{6F6049DD-1BBA-41BA-BB53-58DDF62D302D}"/>
    <cellStyle name="60 % - Akzent5" xfId="24401" hidden="1" xr:uid="{3C04A4E8-80F0-441D-B8B6-BF2306C11174}"/>
    <cellStyle name="60 % - Akzent5" xfId="25228" hidden="1" xr:uid="{CD554004-9CB4-4E72-B484-A34667FE5614}"/>
    <cellStyle name="60 % - Akzent5" xfId="24542" hidden="1" xr:uid="{C6955DC8-657D-4CD7-BF4C-4BA84BC31840}"/>
    <cellStyle name="60 % - Akzent5" xfId="24139" hidden="1" xr:uid="{848739BA-08B0-4C2A-BF93-0869A3498B7F}"/>
    <cellStyle name="60 % - Akzent5" xfId="26085" hidden="1" xr:uid="{F694A77C-6C29-4FA9-8AA3-3E85F3FD5535}"/>
    <cellStyle name="60 % - Akzent5" xfId="26215" hidden="1" xr:uid="{75122073-D4B8-401A-B881-941AC8B08442}"/>
    <cellStyle name="60 % - Akzent5" xfId="24300" hidden="1" xr:uid="{79D91058-325D-4082-A0A6-32A604510FFC}"/>
    <cellStyle name="60 % - Akzent5" xfId="26526" hidden="1" xr:uid="{0793FF84-04BF-4798-A577-21095C7EBDC1}"/>
    <cellStyle name="60 % - Akzent5" xfId="26589" hidden="1" xr:uid="{1AC5EE11-7BA2-4334-830B-B68316DC5277}"/>
    <cellStyle name="60 % - Akzent5" xfId="26600" hidden="1" xr:uid="{BE5776E0-B456-40BD-A380-F34EB4E91263}"/>
    <cellStyle name="60 % - Akzent5" xfId="25070" hidden="1" xr:uid="{E6FCB55D-AFB4-4614-8BAC-D5B61DD4207E}"/>
    <cellStyle name="60 % - Akzent5" xfId="26800" hidden="1" xr:uid="{0D247060-1299-49E8-896B-F19844BE173F}"/>
    <cellStyle name="60 % - Akzent5" xfId="27221" hidden="1" xr:uid="{9E6C957F-E9DA-4A30-A420-05494FC627F5}"/>
    <cellStyle name="60 % - Akzent5" xfId="27710" hidden="1" xr:uid="{DD5001CF-EFB5-45C0-9AA5-63340052ABEA}"/>
    <cellStyle name="60 % - Akzent5" xfId="27751" hidden="1" xr:uid="{32C0EB35-5BE8-47CA-BE82-E6BEB5C673CF}"/>
    <cellStyle name="60 % - Akzent5" xfId="27869" hidden="1" xr:uid="{5D871D6D-8CA3-46D8-8E8B-9505AE064676}"/>
    <cellStyle name="60 % - Akzent5" xfId="27852" hidden="1" xr:uid="{67DA34F1-C975-46EB-A1FA-3196B237E9BC}"/>
    <cellStyle name="60 % - Akzent5" xfId="27867" hidden="1" xr:uid="{A4A29A77-EA1C-4988-B1A5-A223368B5527}"/>
    <cellStyle name="60 % - Akzent5" xfId="27859" hidden="1" xr:uid="{FBFA8963-733A-4DFF-8157-B0B8C31C8ADA}"/>
    <cellStyle name="60 % - Akzent5" xfId="27962" hidden="1" xr:uid="{390AE88F-7DCA-4354-8E2C-BD39E50E545C}"/>
    <cellStyle name="60 % - Akzent5" xfId="28093" hidden="1" xr:uid="{E6086221-7E74-472D-ACB8-7C3839FBE21E}"/>
    <cellStyle name="60 % - Akzent5" xfId="29390" hidden="1" xr:uid="{37DB91C4-FA45-489B-823C-4859BF5C19DE}"/>
    <cellStyle name="60 % - Akzent5" xfId="28257" hidden="1" xr:uid="{83412456-9AA6-465A-867F-54315ADC6AB4}"/>
    <cellStyle name="60 % - Akzent5" xfId="29463" hidden="1" xr:uid="{C57B95CA-2A2B-4612-93EC-990E06B41A93}"/>
    <cellStyle name="60 % - Akzent5" xfId="30006" hidden="1" xr:uid="{6EC96C2B-0420-4D09-B572-2410B2B330BB}"/>
    <cellStyle name="60 % - Akzent5" xfId="30423" hidden="1" xr:uid="{6E66E498-65F1-4171-BBBE-D5AA99A488F4}"/>
    <cellStyle name="60 % - Akzent5" xfId="30897" hidden="1" xr:uid="{7FABD96B-02EA-4D7E-95F5-A2AE0B0045A9}"/>
    <cellStyle name="60 % - Akzent5" xfId="30837" hidden="1" xr:uid="{74DFD874-B290-432F-95EF-85CF7C0A8B3B}"/>
    <cellStyle name="60 % - Akzent5" xfId="31477" hidden="1" xr:uid="{7914AF1B-02E3-4344-9E1F-669714E9037D}"/>
    <cellStyle name="60 % - Akzent5" xfId="31676" hidden="1" xr:uid="{E44BCAF5-151C-4186-93A1-55ADD81790D1}"/>
    <cellStyle name="60 % - Akzent5" xfId="32260" hidden="1" xr:uid="{9E8BAAD8-FCC6-4437-A175-1602DDDAADA5}"/>
    <cellStyle name="60 % - Akzent5" xfId="32247" hidden="1" xr:uid="{84C8A602-1FB2-454D-BD65-CF9EC2197004}"/>
    <cellStyle name="60 % - Akzent5" xfId="32144" hidden="1" xr:uid="{1A9FFFEF-7C2E-411E-BFFC-F294A166AF9C}"/>
    <cellStyle name="60 % - Akzent5" xfId="31586" hidden="1" xr:uid="{5746BA7E-597F-4CE1-A7D1-285EA08413EB}"/>
    <cellStyle name="60 % - Akzent5" xfId="28182" hidden="1" xr:uid="{338EA3CF-9B01-4E07-8631-F9DF485553E9}"/>
    <cellStyle name="60 % - Akzent5" xfId="22171" hidden="1" xr:uid="{972F46B7-DCA5-472F-9A12-120DF15F4E38}"/>
    <cellStyle name="60 % - Akzent5" xfId="9241" hidden="1" xr:uid="{78F2B177-9E3E-475A-B9D4-205596CC36C1}"/>
    <cellStyle name="60 % - Akzent5" xfId="10782" hidden="1" xr:uid="{15022970-6C94-4BDA-9640-6397B5939082}"/>
    <cellStyle name="60 % - Akzent5" xfId="10904" hidden="1" xr:uid="{A105E963-4902-43E7-ABA5-3596549312D0}"/>
    <cellStyle name="60 % - Akzent5" xfId="10318" hidden="1" xr:uid="{CC6A76BD-FBF2-48DD-B8D4-780ABD502E8D}"/>
    <cellStyle name="60 % - Akzent5" xfId="11198" hidden="1" xr:uid="{A62B55D6-2382-4025-B0E3-D56F4E0B11B4}"/>
    <cellStyle name="60 % - Akzent5" xfId="11178" hidden="1" xr:uid="{F095FCE1-29AD-4EA8-A3FB-9FD6A46D72ED}"/>
    <cellStyle name="60 % - Akzent5" xfId="11209" hidden="1" xr:uid="{48203F36-F11F-4A4E-B178-F94692E557E1}"/>
    <cellStyle name="60 % - Akzent5" xfId="11044" hidden="1" xr:uid="{AB12E37C-EF65-4ACB-B613-9A4930641D40}"/>
    <cellStyle name="60 % - Akzent5" xfId="10711" hidden="1" xr:uid="{15BEA739-3663-4E19-AB3E-58F95FD67A3A}"/>
    <cellStyle name="60 % - Akzent5" xfId="11013" hidden="1" xr:uid="{735AFAD3-0AF0-4795-9DE8-8ACA01949B48}"/>
    <cellStyle name="60 % - Akzent5" xfId="11424" hidden="1" xr:uid="{77C6B4A7-578C-4EA6-B4CE-EFD6C661947C}"/>
    <cellStyle name="60 % - Akzent5" xfId="11666" hidden="1" xr:uid="{8CC2D68D-7A32-4DF9-956D-B2DA8B778E7B}"/>
    <cellStyle name="60 % - Akzent5" xfId="11569" hidden="1" xr:uid="{5214A1FC-10F8-470C-8FFC-3E3399560027}"/>
    <cellStyle name="60 % - Akzent5" xfId="12761" hidden="1" xr:uid="{CA670E07-9780-42BB-9D68-623295E084FE}"/>
    <cellStyle name="60 % - Akzent5" xfId="13196" hidden="1" xr:uid="{EDB44A52-C3CF-4EA8-9933-3A1CE0F3D591}"/>
    <cellStyle name="60 % - Akzent5" xfId="13821" hidden="1" xr:uid="{4A450E6D-6700-4D7E-99F7-6E0D54C8EA2B}"/>
    <cellStyle name="60 % - Akzent5" xfId="13661" hidden="1" xr:uid="{87345BA7-AE24-47C2-B5B5-06ED8586C4EC}"/>
    <cellStyle name="60 % - Akzent5" xfId="12312" hidden="1" xr:uid="{BA80EB99-2394-4F94-815F-28BE838E1840}"/>
    <cellStyle name="60 % - Akzent5" xfId="14419" hidden="1" xr:uid="{BA4CB34D-0F9F-4727-9185-AC2D36A21A9A}"/>
    <cellStyle name="60 % - Akzent5" xfId="14448" hidden="1" xr:uid="{032B3FC2-DAA4-4F38-8A16-70859410AB51}"/>
    <cellStyle name="60 % - Akzent5" xfId="14729" hidden="1" xr:uid="{08265BC4-1AF7-4C79-AA21-31C76FADC817}"/>
    <cellStyle name="60 % - Akzent5" xfId="11379" hidden="1" xr:uid="{DC4B5DBD-0889-4741-A875-2E68D2264AAB}"/>
    <cellStyle name="60 % - Akzent5" xfId="15144" hidden="1" xr:uid="{452022CE-426C-4F5A-9F75-35C307AD2AFC}"/>
    <cellStyle name="60 % - Akzent5" xfId="14860" hidden="1" xr:uid="{B081D2EA-4A1E-4A89-81CE-48FF5E456BF3}"/>
    <cellStyle name="60 % - Akzent5" xfId="14580" hidden="1" xr:uid="{AAC333BB-EEB2-42FA-88F4-98A26973EC54}"/>
    <cellStyle name="60 % - Akzent5" xfId="14688" hidden="1" xr:uid="{B71B5595-4C69-4DFA-97A7-0ECC15D65000}"/>
    <cellStyle name="60 % - Akzent5" xfId="13917" hidden="1" xr:uid="{6EBCFD2C-5173-44A3-A4C6-65817CA147D5}"/>
    <cellStyle name="60 % - Akzent5" xfId="15579" hidden="1" xr:uid="{5259ED98-0C8D-4B99-B293-A0EC74951A6D}"/>
    <cellStyle name="60 % - Akzent5" xfId="15555" hidden="1" xr:uid="{71F0E087-AA96-40BB-A5BC-02A3A2882145}"/>
    <cellStyle name="60 % - Akzent5" xfId="15359" hidden="1" xr:uid="{77C31EC7-611A-474E-8312-7FB253199889}"/>
    <cellStyle name="60 % - Akzent5" xfId="15623" hidden="1" xr:uid="{F7763A04-16B4-4137-818B-0950A71C8F96}"/>
    <cellStyle name="60 % - Akzent5" xfId="15432" hidden="1" xr:uid="{91EF2860-EED7-479D-96AB-3AB71A3ABCE9}"/>
    <cellStyle name="60 % - Akzent5" xfId="15880" hidden="1" xr:uid="{19B29D77-27B0-4EAC-828E-62B7591817D6}"/>
    <cellStyle name="60 % - Akzent5" xfId="15148" hidden="1" xr:uid="{C4EF91CA-00A1-4017-885E-6257ADE16258}"/>
    <cellStyle name="60 % - Akzent5" xfId="16027" hidden="1" xr:uid="{EFE7DB78-6B1D-44D7-B882-AF33D31D2316}"/>
    <cellStyle name="60 % - Akzent5" xfId="16115" hidden="1" xr:uid="{053055C5-BC1F-4E74-B771-DF4EAF4AEEA6}"/>
    <cellStyle name="60 % - Akzent5" xfId="16362" hidden="1" xr:uid="{C8390637-EA03-4CBD-BE77-69BD2E19757D}"/>
    <cellStyle name="60 % - Akzent5" xfId="16744" hidden="1" xr:uid="{4DD302A1-91B0-4E9B-951F-8849D5C13DDD}"/>
    <cellStyle name="60 % - Akzent5" xfId="17644" hidden="1" xr:uid="{0FDD0931-4EC2-4842-8144-CBF8CCDEC5EC}"/>
    <cellStyle name="60 % - Akzent5" xfId="16451" hidden="1" xr:uid="{190CAF4A-8D41-4AD5-A477-C28CB0A348AF}"/>
    <cellStyle name="60 % - Akzent5" xfId="18065" hidden="1" xr:uid="{7EDB0039-34DB-44EB-B0F4-875E8596E4A8}"/>
    <cellStyle name="60 % - Akzent5" xfId="17917" hidden="1" xr:uid="{A47A261C-78A8-4ABA-9106-D7A9C9140DBB}"/>
    <cellStyle name="60 % - Akzent5" xfId="18049" hidden="1" xr:uid="{C48F7660-7C15-4331-ACF8-1AD88D8D2B68}"/>
    <cellStyle name="60 % - Akzent5" xfId="17988" hidden="1" xr:uid="{0FF6B42D-9A49-40E5-B0FA-9F47EE504E7F}"/>
    <cellStyle name="60 % - Akzent5" xfId="17866" hidden="1" xr:uid="{A9ADB1BB-8B79-4074-A7EE-137852557F6B}"/>
    <cellStyle name="60 % - Akzent5" xfId="18364" hidden="1" xr:uid="{71451A6B-6262-485F-8F1E-8E8974509581}"/>
    <cellStyle name="60 % - Akzent5" xfId="18929" hidden="1" xr:uid="{A8FCCA49-014C-4A81-824A-967BA051DBA5}"/>
    <cellStyle name="60 % - Akzent5" xfId="18813" hidden="1" xr:uid="{FBF2D9F6-6020-4419-B0DC-E033CCAAEF82}"/>
    <cellStyle name="60 % - Akzent5" xfId="18918" hidden="1" xr:uid="{C182199C-4258-4D4E-9383-706BF81CA85A}"/>
    <cellStyle name="60 % - Akzent5" xfId="16085" hidden="1" xr:uid="{54D277BD-92F4-4F50-85B9-8A7D3B162299}"/>
    <cellStyle name="60 % - Akzent5" xfId="19255" hidden="1" xr:uid="{986C2CD9-F68F-497A-893A-1A56E38BB428}"/>
    <cellStyle name="60 % - Akzent5" xfId="19195" hidden="1" xr:uid="{3FEB019B-EEAA-4F3D-BA34-C0D46CE0BC9F}"/>
    <cellStyle name="60 % - Akzent5" xfId="19448" hidden="1" xr:uid="{230F8718-594A-415E-B4F0-71C8181A0200}"/>
    <cellStyle name="60 % - Akzent5" xfId="19695" hidden="1" xr:uid="{3C8D858F-F58C-48BF-9FC2-AB778444D8CC}"/>
    <cellStyle name="60 % - Akzent5" xfId="20551" hidden="1" xr:uid="{39EF4FEC-E05D-4C19-97C9-2F5E1C00AEB5}"/>
    <cellStyle name="60 % - Akzent5" xfId="20490" hidden="1" xr:uid="{B2643FB9-31D0-46A4-BD39-1E82460B07B8}"/>
    <cellStyle name="60 % - Akzent5" xfId="21004" hidden="1" xr:uid="{FBE9C79D-6BF6-466A-A1B5-A95F6D2DAA97}"/>
    <cellStyle name="60 % - Akzent5" xfId="19474" hidden="1" xr:uid="{5E282082-7E36-4A87-8366-A182CB83FC09}"/>
    <cellStyle name="60 % - Akzent5" xfId="20299" hidden="1" xr:uid="{D6CDA345-FFF2-4E49-B3C7-1B26257DCB46}"/>
    <cellStyle name="60 % - Akzent5" xfId="21308" hidden="1" xr:uid="{C2A9F2D6-B6E0-469A-AB0C-6A4A8DBB78C7}"/>
    <cellStyle name="60 % - Akzent5" xfId="21452" hidden="1" xr:uid="{D6B78914-28E0-493A-ABBD-15F4D997E211}"/>
    <cellStyle name="60 % - Akzent5" xfId="20861" hidden="1" xr:uid="{4FF9C765-7E2D-4918-A1D4-05146E490ACD}"/>
    <cellStyle name="60 % - Akzent5" xfId="21935" hidden="1" xr:uid="{C38C200F-3F26-41F3-83AC-00D8D0385D79}"/>
    <cellStyle name="60 % - Akzent5" xfId="21038" hidden="1" xr:uid="{6C02A8F4-25C5-4A7E-AA70-EA8B60ED35FA}"/>
    <cellStyle name="60 % - Akzent5" xfId="22368" hidden="1" xr:uid="{EC1593DC-C0DC-4F4C-A02E-38A7B2AA93FF}"/>
    <cellStyle name="60 % - Akzent5" xfId="22042" hidden="1" xr:uid="{E9FEB132-944F-43BC-A0E4-93A8A0CE5742}"/>
    <cellStyle name="60 % - Akzent5" xfId="17198" hidden="1" xr:uid="{B8972F04-3595-465D-8881-E5F77073ACFF}"/>
    <cellStyle name="60 % - Akzent5" xfId="6399" hidden="1" xr:uid="{E063E25F-64F7-4C0A-955C-84B3F6858EDD}"/>
    <cellStyle name="60 % - Akzent5" xfId="6216" hidden="1" xr:uid="{06C0FC51-9C4D-4435-AF48-663796EE8EFA}"/>
    <cellStyle name="60 % - Akzent5" xfId="6460" hidden="1" xr:uid="{A894F01F-4E0F-4D84-95E7-E4815D9727E3}"/>
    <cellStyle name="60 % - Akzent5" xfId="6494" hidden="1" xr:uid="{E0D80DDA-6247-40A1-B45D-A42466AEF30B}"/>
    <cellStyle name="60 % - Akzent5" xfId="5563" hidden="1" xr:uid="{5AC4656F-6F02-4F99-BFD0-94D8F4AFB00D}"/>
    <cellStyle name="60 % - Akzent5" xfId="6804" hidden="1" xr:uid="{65DCDE9E-F530-445E-955E-A497FCC9277D}"/>
    <cellStyle name="60 % - Akzent5" xfId="7039" hidden="1" xr:uid="{34522FDD-F3D7-44F1-89A2-09F3993193F2}"/>
    <cellStyle name="60 % - Akzent5" xfId="7867" hidden="1" xr:uid="{892F6BBB-8D9C-4473-9BA3-DA0CF4F6974D}"/>
    <cellStyle name="60 % - Akzent5" xfId="7419" hidden="1" xr:uid="{D0FF6682-6693-4C0E-98DF-5C0CA3E48CAE}"/>
    <cellStyle name="60 % - Akzent5" xfId="8260" hidden="1" xr:uid="{9955E46E-87F4-4078-8A3C-135366B5AB62}"/>
    <cellStyle name="60 % - Akzent5" xfId="7640" hidden="1" xr:uid="{65F38114-3A9C-43D1-9E69-5292F2303928}"/>
    <cellStyle name="60 % - Akzent5" xfId="8268" hidden="1" xr:uid="{6D091ACC-E88D-439E-8629-74BE45ACF414}"/>
    <cellStyle name="60 % - Akzent5" xfId="8427" hidden="1" xr:uid="{683EE4BD-DA4A-486F-8AAA-386C620F537F}"/>
    <cellStyle name="60 % - Akzent5" xfId="8077" hidden="1" xr:uid="{AE281ACD-ECBD-4166-8958-B3031A0C0A7E}"/>
    <cellStyle name="60 % - Akzent5" xfId="8008" hidden="1" xr:uid="{2B197C09-46D7-4FE7-B3D9-ADE9153F4CC7}"/>
    <cellStyle name="60 % - Akzent5" xfId="7225" hidden="1" xr:uid="{0D8A8C59-9322-4223-A3B8-09A8462C4AC8}"/>
    <cellStyle name="60 % - Akzent5" xfId="8220" hidden="1" xr:uid="{52FE3C1F-2E4A-4735-89EC-514EC90646F6}"/>
    <cellStyle name="60 % - Akzent5" xfId="7793" hidden="1" xr:uid="{FAF2A072-C39C-436F-87E9-D9BD6E838C34}"/>
    <cellStyle name="60 % - Akzent5" xfId="8215" hidden="1" xr:uid="{4F10BB9D-E1ED-4B96-B189-8F93492CFC12}"/>
    <cellStyle name="60 % - Akzent5" xfId="8250" hidden="1" xr:uid="{0B60B7A9-608F-4474-92D6-923F6CC34EB3}"/>
    <cellStyle name="60 % - Akzent5" xfId="8376" hidden="1" xr:uid="{D6846BCC-8CB8-4B33-86E7-8C7B7BA76BD2}"/>
    <cellStyle name="60 % - Akzent5" xfId="6801" hidden="1" xr:uid="{DB907BEB-F43B-4AC3-B95F-B7E02635DD90}"/>
    <cellStyle name="60 % - Akzent5" xfId="8359" hidden="1" xr:uid="{E0B08E0B-FB5C-4817-ACE8-B89E864CC133}"/>
    <cellStyle name="60 % - Akzent5" xfId="7651" hidden="1" xr:uid="{C2A28FE8-68F7-4305-A5C4-F529CE9F5B77}"/>
    <cellStyle name="60 % - Akzent5" xfId="8797" hidden="1" xr:uid="{64619BE9-4E36-426B-AC96-066CB70D70A5}"/>
    <cellStyle name="60 % - Akzent5" xfId="8773" hidden="1" xr:uid="{51CCAF02-6998-43F8-B8B7-BCF4F81AAE4D}"/>
    <cellStyle name="60 % - Akzent5" xfId="8785" hidden="1" xr:uid="{C749FD5E-1D17-48E9-A222-0855438712D2}"/>
    <cellStyle name="60 % - Akzent5" xfId="6760" hidden="1" xr:uid="{79ACCFE3-1427-4F61-8C39-AF9E9C1B969E}"/>
    <cellStyle name="60 % - Akzent5" xfId="9018" hidden="1" xr:uid="{E61CE432-8C90-45B3-82BA-1AA083B39743}"/>
    <cellStyle name="60 % - Akzent5" xfId="9252" hidden="1" xr:uid="{D3D64ADE-BFB4-42EF-84C1-F74602BEE891}"/>
    <cellStyle name="60 % - Akzent5" xfId="10080" hidden="1" xr:uid="{D4AC1C8C-76E5-4492-8634-9B0A253BAB58}"/>
    <cellStyle name="60 % - Akzent5" xfId="9633" hidden="1" xr:uid="{5EF15F01-4558-4A90-AD56-EA572BBB8C22}"/>
    <cellStyle name="60 % - Akzent5" xfId="10495" hidden="1" xr:uid="{E4B27FAC-6192-49C6-A970-3638B516C38D}"/>
    <cellStyle name="60 % - Akzent5" xfId="3819" hidden="1" xr:uid="{6E1E3E24-05BB-48D7-B322-129B1FF55FAF}"/>
    <cellStyle name="60 % - Akzent5" xfId="4256" hidden="1" xr:uid="{B8C3F0A1-E4C7-4478-AA27-899C9CBBA0B4}"/>
    <cellStyle name="60 % - Akzent5" xfId="4774" hidden="1" xr:uid="{8615296D-BEB6-4246-B195-F35FA48E1404}"/>
    <cellStyle name="60 % - Akzent5" xfId="2940" hidden="1" xr:uid="{70127114-CF28-4133-B250-F8F716AC280E}"/>
    <cellStyle name="60 % - Akzent5" xfId="5144" hidden="1" xr:uid="{24362DCE-0AD1-4068-8D6D-66BFAA707560}"/>
    <cellStyle name="60 % - Akzent5" xfId="5765" hidden="1" xr:uid="{1C7053F0-A8FB-41E1-A35E-7CF95E01A019}"/>
    <cellStyle name="60 % - Akzent5" xfId="5738" hidden="1" xr:uid="{A654FFFF-97C5-49CE-A6DD-87C0F1F3DC48}"/>
    <cellStyle name="60 % - Akzent5" xfId="4901" hidden="1" xr:uid="{3475A1F1-F8EA-48C2-BF36-6E350D3B1B2F}"/>
    <cellStyle name="60 % - Akzent5" xfId="5624" hidden="1" xr:uid="{42A4A11B-375D-4C89-827D-CA8105CF8FB3}"/>
    <cellStyle name="60 % - Akzent5" xfId="4956" hidden="1" xr:uid="{E8F79FF1-51AB-45C3-BE39-3EA2863011DC}"/>
    <cellStyle name="60 % - Akzent5" xfId="6205" hidden="1" xr:uid="{A3A4B785-4873-4E2A-A24C-C82AE3F9D1A5}"/>
    <cellStyle name="60 % - Akzent5" xfId="6181" hidden="1" xr:uid="{370892AA-913B-4506-AF60-DBB61CA25448}"/>
    <cellStyle name="60 % - Akzent5" xfId="5920" hidden="1" xr:uid="{3D73704D-93CB-4BFB-AD2B-9EB0077D8CC6}"/>
    <cellStyle name="60 % - Akzent5" xfId="6502" hidden="1" xr:uid="{5B3308D8-BC7F-4659-A890-69A5A7A4B0FA}"/>
    <cellStyle name="60 % - Akzent5" xfId="6584" hidden="1" xr:uid="{8EA71FA0-10CF-446B-8922-118E467CB1D9}"/>
    <cellStyle name="60 % - Akzent5" xfId="6357" hidden="1" xr:uid="{B7C9403B-F55C-41F6-AE95-75F05105FB07}"/>
    <cellStyle name="60 % - Akzent5" xfId="2827" hidden="1" xr:uid="{2EFFF88E-F9B0-4392-8A4D-6274030650B3}"/>
    <cellStyle name="60 % - Akzent5" xfId="1929" hidden="1" xr:uid="{67CD7223-77F2-4094-B8F7-B1E5F2E024ED}"/>
    <cellStyle name="60 % - Akzent5" xfId="3470" hidden="1" xr:uid="{9C0D47CF-5D3E-4AC0-BABE-6E093A43E141}"/>
    <cellStyle name="60 % - Akzent5" xfId="3385" hidden="1" xr:uid="{04072403-A6FD-4A66-97F8-56FDAC2461AB}"/>
    <cellStyle name="60 % - Akzent5" xfId="3305" hidden="1" xr:uid="{B7F04050-C8C5-4AE5-9BEC-41BC3F4B3E88}"/>
    <cellStyle name="60 % - Akzent5" xfId="3318" hidden="1" xr:uid="{54E5C0D3-82BE-469C-9BDB-4F46324E058C}"/>
    <cellStyle name="60 % - Akzent5" xfId="3409" hidden="1" xr:uid="{FB5CDEDB-9D96-4418-AD69-E2B9FA77272D}"/>
    <cellStyle name="60 % - Akzent5" xfId="3471" hidden="1" xr:uid="{400012C9-0614-4B71-AC4F-A6F4D21AEC30}"/>
    <cellStyle name="60 % - Akzent5" xfId="1669" hidden="1" xr:uid="{585C7B64-A9C7-4DB5-84E0-0B4C08C76274}"/>
    <cellStyle name="60 % - Akzent5" xfId="1892" hidden="1" xr:uid="{AF21C1E4-D6CC-4D31-96DC-82191C56C0B6}"/>
    <cellStyle name="60 % - Akzent5" xfId="2313" hidden="1" xr:uid="{71258F93-7DBB-455C-8EE7-2F9CCB88AE81}"/>
    <cellStyle name="60 % - Akzent5" xfId="2987" hidden="1" xr:uid="{86162117-F6E5-4D25-A45B-FDA73817820A}"/>
    <cellStyle name="60 % - Akzent5" xfId="964" hidden="1" xr:uid="{51CE8200-398B-4A2B-BA3B-83710F487119}"/>
    <cellStyle name="60 % - Akzent5" xfId="1405" hidden="1" xr:uid="{BA1EF6BA-A7E8-4685-B3C1-0E2886FF9667}"/>
    <cellStyle name="60 % - Akzent5" xfId="911" hidden="1" xr:uid="{4F2B590A-77B9-4DB1-B6DA-81C43219E109}"/>
    <cellStyle name="60 % - Akzent5" xfId="64" hidden="1" xr:uid="{DB0EB156-FDF2-4B2A-9023-F8EC207F19C7}"/>
    <cellStyle name="60 % - Akzent5 2" xfId="389" xr:uid="{2EA6E9C5-1E75-43E0-B2B2-02CD16E4B4F0}"/>
    <cellStyle name="60 % - Akzent5 3" xfId="258" xr:uid="{BFED8363-ED89-440D-A30E-823B6C73EC7F}"/>
    <cellStyle name="60 % - Akzent6" xfId="22833" hidden="1" xr:uid="{1BDF9E2A-07F0-443B-9EE7-6A6C5E40D3B3}"/>
    <cellStyle name="60 % - Akzent6" xfId="23603" hidden="1" xr:uid="{BB0E1AC2-641A-4EE9-B03B-5810F61433D0}"/>
    <cellStyle name="60 % - Akzent6" xfId="23510" hidden="1" xr:uid="{67D465E1-0A37-440E-9108-27DD141405B4}"/>
    <cellStyle name="60 % - Akzent6" xfId="23323" hidden="1" xr:uid="{E9FE7B48-9D8D-4818-9E53-2439C12761A0}"/>
    <cellStyle name="60 % - Akzent6" xfId="23695" hidden="1" xr:uid="{04E2312B-D968-4E91-8B74-75202E4F4D30}"/>
    <cellStyle name="60 % - Akzent6" xfId="24091" hidden="1" xr:uid="{2973B7C9-62EE-4672-B340-CD50DE87AD5B}"/>
    <cellStyle name="60 % - Akzent6" xfId="24173" hidden="1" xr:uid="{6C666F66-5CEB-4A81-8A7F-712ABE663A8E}"/>
    <cellStyle name="60 % - Akzent6" xfId="24492" hidden="1" xr:uid="{9D47E69B-71AD-4BD0-82D0-908B273C9F9F}"/>
    <cellStyle name="60 % - Akzent6" xfId="25253" hidden="1" xr:uid="{14E478D8-7C00-432C-A916-2553B7EBDC6E}"/>
    <cellStyle name="60 % - Akzent6" xfId="24404" hidden="1" xr:uid="{1E67AAF2-FE50-4416-95C0-B3EF9197CD97}"/>
    <cellStyle name="60 % - Akzent6" xfId="25507" hidden="1" xr:uid="{2DD18C45-9F92-432B-BFEC-F022676407DB}"/>
    <cellStyle name="60 % - Akzent6" xfId="26106" hidden="1" xr:uid="{AFB15E14-4718-404C-8D7D-199290908EA0}"/>
    <cellStyle name="60 % - Akzent6" xfId="26079" hidden="1" xr:uid="{3DFEA587-512F-4E3E-AB45-CEF26719292A}"/>
    <cellStyle name="60 % - Akzent6" xfId="25947" hidden="1" xr:uid="{8FB993B7-A8C7-4C39-AEDC-914D3524B0A1}"/>
    <cellStyle name="60 % - Akzent6" xfId="26478" hidden="1" xr:uid="{B78F208E-37D9-4AEF-9FCB-DE39F901C942}"/>
    <cellStyle name="60 % - Akzent6" xfId="26636" hidden="1" xr:uid="{BB0EF64B-337E-4EE3-9765-5D861503524E}"/>
    <cellStyle name="60 % - Akzent6" xfId="25398" hidden="1" xr:uid="{A8CFE6AE-FA93-44D5-BD04-33635E5E9137}"/>
    <cellStyle name="60 % - Akzent6" xfId="26517" hidden="1" xr:uid="{C7E023CD-8B59-4152-A5A7-E5E2E882AD27}"/>
    <cellStyle name="60 % - Akzent6" xfId="26508" hidden="1" xr:uid="{AFA20DC4-3C6A-4143-9F1C-F08BE136AA8A}"/>
    <cellStyle name="60 % - Akzent6" xfId="24290" hidden="1" xr:uid="{949EED33-9210-476D-A10C-1095B09FB9AA}"/>
    <cellStyle name="60 % - Akzent6" xfId="27652" hidden="1" xr:uid="{0395D08C-C4C1-4F9D-BC49-E444F4DFEB1E}"/>
    <cellStyle name="60 % - Akzent6" xfId="26082" hidden="1" xr:uid="{457127FB-3C05-4222-88C9-657FA32C026A}"/>
    <cellStyle name="60 % - Akzent6" xfId="27858" hidden="1" xr:uid="{DDB2B6C5-2CC0-48D7-9C42-EC108E50CD88}"/>
    <cellStyle name="60 % - Akzent6" xfId="27878" hidden="1" xr:uid="{B60C11B5-42D0-46EA-B86E-495159E457DA}"/>
    <cellStyle name="60 % - Akzent6" xfId="26050" hidden="1" xr:uid="{5D16D725-96FD-4E5B-910B-0FF22EAF560E}"/>
    <cellStyle name="60 % - Akzent6" xfId="26493" hidden="1" xr:uid="{A9382991-95C4-4463-A95D-7A63183E5388}"/>
    <cellStyle name="60 % - Akzent6" xfId="27966" hidden="1" xr:uid="{B4AB3C25-F921-4DDF-9CA4-B64AE77B2962}"/>
    <cellStyle name="60 % - Akzent6" xfId="28334" hidden="1" xr:uid="{602C00D7-A61D-4C2B-A6CE-0B02071BEA6F}"/>
    <cellStyle name="60 % - Akzent6" xfId="28003" hidden="1" xr:uid="{C5CF01DC-A97A-4DE8-B9E3-CA3AEF3A8ADF}"/>
    <cellStyle name="60 % - Akzent6" xfId="29309" hidden="1" xr:uid="{C323E4F3-EB40-4AD8-BCDA-694924C369F6}"/>
    <cellStyle name="60 % - Akzent6" xfId="28031" hidden="1" xr:uid="{6F6F3CFA-E58E-439C-97C6-B828E1623EBE}"/>
    <cellStyle name="60 % - Akzent6" xfId="29518" hidden="1" xr:uid="{78990D93-F78E-4401-91CE-6ABB3631A5B8}"/>
    <cellStyle name="60 % - Akzent6" xfId="30008" hidden="1" xr:uid="{589C45A2-E737-4948-BDE0-993F831257FA}"/>
    <cellStyle name="60 % - Akzent6" xfId="30415" hidden="1" xr:uid="{13B0A503-B252-4761-93A3-9B984AB887C5}"/>
    <cellStyle name="60 % - Akzent6" xfId="30912" hidden="1" xr:uid="{4D117B9E-8B1A-4D49-AC18-B43D1A62D0C5}"/>
    <cellStyle name="60 % - Akzent6" xfId="29368" hidden="1" xr:uid="{7AB994E6-DC68-4F81-B89A-DAF22F412D29}"/>
    <cellStyle name="60 % - Akzent6" xfId="31632" hidden="1" xr:uid="{1CCDB685-A103-4F9E-8D6B-8B1167D92D78}"/>
    <cellStyle name="60 % - Akzent6" xfId="32230" hidden="1" xr:uid="{8204C490-93D3-4653-84B4-C2D7543E2B5B}"/>
    <cellStyle name="60 % - Akzent6" xfId="32213" hidden="1" xr:uid="{490444FB-0945-4300-AF37-2EEB2D4D93C1}"/>
    <cellStyle name="60 % - Akzent6" xfId="32164" hidden="1" xr:uid="{DE045159-ADD2-43CE-8FB6-5E839C4AE3D8}"/>
    <cellStyle name="60 % - Akzent6" xfId="31738" hidden="1" xr:uid="{ED68BDA0-6952-47F5-9958-E7710BE6A215}"/>
    <cellStyle name="60 % - Akzent6" xfId="31481" hidden="1" xr:uid="{6897D53D-7803-479B-8D89-A92968948999}"/>
    <cellStyle name="60 % - Akzent6" xfId="24080" hidden="1" xr:uid="{6E736014-71CF-442D-B3D1-644FCB456C11}"/>
    <cellStyle name="60 % - Akzent6" xfId="9059" hidden="1" xr:uid="{AA1BD78A-8749-4B5A-907C-A93608FA05A6}"/>
    <cellStyle name="60 % - Akzent6" xfId="11215" hidden="1" xr:uid="{2DE67A43-9889-4ABD-A239-A46AD086FC2A}"/>
    <cellStyle name="60 % - Akzent6" xfId="11122" hidden="1" xr:uid="{F40BCB20-669B-4530-98B4-25DF785015D5}"/>
    <cellStyle name="60 % - Akzent6" xfId="9425" hidden="1" xr:uid="{EE48DD77-15D5-432B-AA2A-9540D6BE855B}"/>
    <cellStyle name="60 % - Akzent6" xfId="10969" hidden="1" xr:uid="{F15E2CE4-9E20-446C-A230-7EDC9121D8A6}"/>
    <cellStyle name="60 % - Akzent6" xfId="10942" hidden="1" xr:uid="{2F8B11AE-4E27-4ACE-B6C7-7500F77AB5FE}"/>
    <cellStyle name="60 % - Akzent6" xfId="10757" hidden="1" xr:uid="{49987EAE-4B8C-41C0-84DA-D20EB7694D36}"/>
    <cellStyle name="60 % - Akzent6" xfId="11427" hidden="1" xr:uid="{5ED711F2-E6CA-4DDF-9A8F-17502E3FDE3C}"/>
    <cellStyle name="60 % - Akzent6" xfId="11844" hidden="1" xr:uid="{6F1437E9-3133-41B0-B710-2C230B887120}"/>
    <cellStyle name="60 % - Akzent6" xfId="11470" hidden="1" xr:uid="{D610D554-FD9D-40AC-8E53-DC9CEF7A73E9}"/>
    <cellStyle name="60 % - Akzent6" xfId="12750" hidden="1" xr:uid="{5471CD0C-EB39-47EF-8B64-87EED05FD18B}"/>
    <cellStyle name="60 % - Akzent6" xfId="11532" hidden="1" xr:uid="{89480F76-10C9-414D-8C52-047AF27A66C5}"/>
    <cellStyle name="60 % - Akzent6" xfId="13722" hidden="1" xr:uid="{45B9AE47-7DF9-469A-ADD0-B11BE354E172}"/>
    <cellStyle name="60 % - Akzent6" xfId="13911" hidden="1" xr:uid="{7063EEED-FB6E-46C0-9076-00D8A83C5F64}"/>
    <cellStyle name="60 % - Akzent6" xfId="13871" hidden="1" xr:uid="{0398AD18-3CE0-4522-9270-47F3A409B716}"/>
    <cellStyle name="60 % - Akzent6" xfId="13850" hidden="1" xr:uid="{E407711A-3177-4DEF-BAD3-CB3C631FCEBB}"/>
    <cellStyle name="60 % - Akzent6" xfId="11523" hidden="1" xr:uid="{E4BBEE84-64C6-43B7-9018-EAD673E73079}"/>
    <cellStyle name="60 % - Akzent6" xfId="14671" hidden="1" xr:uid="{A5BB9B35-605D-4516-B9AA-99F5C59F87A4}"/>
    <cellStyle name="60 % - Akzent6" xfId="14429" hidden="1" xr:uid="{DCFF5E15-2F0D-40ED-A241-46AD89CC5532}"/>
    <cellStyle name="60 % - Akzent6" xfId="15088" hidden="1" xr:uid="{31A71D8D-E819-4BB5-9298-8C822A72680B}"/>
    <cellStyle name="60 % - Akzent6" xfId="14828" hidden="1" xr:uid="{47B86D9A-25A1-4A77-9287-1C5F902E7E81}"/>
    <cellStyle name="60 % - Akzent6" xfId="14758" hidden="1" xr:uid="{DB320A7E-65C4-4CD4-B476-7D65A3262BB8}"/>
    <cellStyle name="60 % - Akzent6" xfId="15245" hidden="1" xr:uid="{0A160F9A-FA7F-4B7F-AD34-4BB3D63A06C8}"/>
    <cellStyle name="60 % - Akzent6" xfId="15186" hidden="1" xr:uid="{59C2B826-FEA1-4A8C-A395-9C1A45574B70}"/>
    <cellStyle name="60 % - Akzent6" xfId="15535" hidden="1" xr:uid="{C4180F24-CCD4-48CF-A83B-98FCEABD87DB}"/>
    <cellStyle name="60 % - Akzent6" xfId="15512" hidden="1" xr:uid="{1AEC099B-A7FC-4428-BF45-560CF41FD0C1}"/>
    <cellStyle name="60 % - Akzent6" xfId="15642" hidden="1" xr:uid="{90BC376B-F909-4364-97B3-63AE2C550BA0}"/>
    <cellStyle name="60 % - Akzent6" xfId="15146" hidden="1" xr:uid="{FBA9E1FC-BA01-49BB-8E1D-9F8046CE73AF}"/>
    <cellStyle name="60 % - Akzent6" xfId="15282" hidden="1" xr:uid="{9FE3B0B0-E63B-4519-B78A-B2430CD581B7}"/>
    <cellStyle name="60 % - Akzent6" xfId="15894" hidden="1" xr:uid="{FA78A129-E8E2-44F9-9664-EA0D5C1A3FDA}"/>
    <cellStyle name="60 % - Akzent6" xfId="15757" hidden="1" xr:uid="{A52B7D63-AB00-4DB1-87B4-86D8C845912F}"/>
    <cellStyle name="60 % - Akzent6" xfId="16028" hidden="1" xr:uid="{B3684CE3-ED3C-429C-B1C9-821F010FCB4F}"/>
    <cellStyle name="60 % - Akzent6" xfId="16119" hidden="1" xr:uid="{A3DD4306-19F7-4693-8413-4A4B7A231401}"/>
    <cellStyle name="60 % - Akzent6" xfId="16536" hidden="1" xr:uid="{E3619941-B690-48CB-BA12-132EA3C81D5F}"/>
    <cellStyle name="60 % - Akzent6" xfId="17099" hidden="1" xr:uid="{7A65905C-684B-4749-969D-513A63A76F26}"/>
    <cellStyle name="60 % - Akzent6" xfId="17183" hidden="1" xr:uid="{55FB0BE3-64DB-458A-8F0F-F5EF063697DB}"/>
    <cellStyle name="60 % - Akzent6" xfId="17547" hidden="1" xr:uid="{CB8513B8-518F-44F4-AF43-7157E6C4C9D3}"/>
    <cellStyle name="60 % - Akzent6" xfId="17034" hidden="1" xr:uid="{806D1781-7672-48CE-B356-DB3D171881C8}"/>
    <cellStyle name="60 % - Akzent6" xfId="17974" hidden="1" xr:uid="{DF4547C1-6E3F-42C2-94D2-706B4C8498BF}"/>
    <cellStyle name="60 % - Akzent6" xfId="18149" hidden="1" xr:uid="{B688F9DF-369A-4A35-8E64-A903193ADEFD}"/>
    <cellStyle name="60 % - Akzent6" xfId="16266" hidden="1" xr:uid="{CF30CDA0-E370-4F91-BDF9-0A5193BBC4EF}"/>
    <cellStyle name="60 % - Akzent6" xfId="17445" hidden="1" xr:uid="{DC0B077A-7E9E-4653-A2AC-D0B27F8D9B67}"/>
    <cellStyle name="60 % - Akzent6" xfId="17711" hidden="1" xr:uid="{3B9F3138-0AA9-424D-BA3D-DB89AC68EA0B}"/>
    <cellStyle name="60 % - Akzent6" xfId="18858" hidden="1" xr:uid="{516DE8B1-AD2C-4C40-9D01-EA0DB2E31ECF}"/>
    <cellStyle name="60 % - Akzent6" xfId="18999" hidden="1" xr:uid="{B9453D9F-D2C9-4A26-812E-721912E7DFFF}"/>
    <cellStyle name="60 % - Akzent6" xfId="17675" hidden="1" xr:uid="{401A6CA3-52B7-4EE6-AC61-267308AB5047}"/>
    <cellStyle name="60 % - Akzent6" xfId="18833" hidden="1" xr:uid="{82355E46-5C1F-4622-802F-AC429A0D7605}"/>
    <cellStyle name="60 % - Akzent6" xfId="19215" hidden="1" xr:uid="{6BDA9D74-90DC-44AD-8675-9CD8604DF343}"/>
    <cellStyle name="60 % - Akzent6" xfId="19314" hidden="1" xr:uid="{F87CBD44-0878-46C0-AC35-B134CB8983E6}"/>
    <cellStyle name="60 % - Akzent6" xfId="19452" hidden="1" xr:uid="{C009B7C2-3FC3-49B9-8BAF-6FD3CC89CA23}"/>
    <cellStyle name="60 % - Akzent6" xfId="19873" hidden="1" xr:uid="{C68806ED-171A-4A90-B58F-3DFEF6BB5057}"/>
    <cellStyle name="60 % - Akzent6" xfId="20453" hidden="1" xr:uid="{19A382CC-557B-48F6-A86E-D87ADC36BB6E}"/>
    <cellStyle name="60 % - Akzent6" xfId="20534" hidden="1" xr:uid="{E24682D7-C7D1-4FC2-B429-48FCCD16882B}"/>
    <cellStyle name="60 % - Akzent6" xfId="20905" hidden="1" xr:uid="{94B44435-0FD1-41DB-8D1E-1CCD023257E2}"/>
    <cellStyle name="60 % - Akzent6" xfId="20313" hidden="1" xr:uid="{585FE1EF-70D1-4CC0-B7A1-E2DF62581AC5}"/>
    <cellStyle name="60 % - Akzent6" xfId="21533" hidden="1" xr:uid="{C8305A87-DDAF-492C-B138-04C27414AD1D}"/>
    <cellStyle name="60 % - Akzent6" xfId="21365" hidden="1" xr:uid="{D607B7ED-64DA-43DB-A98D-F5B61CD2DC75}"/>
    <cellStyle name="60 % - Akzent6" xfId="19378" hidden="1" xr:uid="{7244EA62-B2B1-41C0-80BC-529C231EC1D4}"/>
    <cellStyle name="60 % - Akzent6" xfId="21511" hidden="1" xr:uid="{90849715-A9FC-40B5-9B54-72DED820EA67}"/>
    <cellStyle name="60 % - Akzent6" xfId="21835" hidden="1" xr:uid="{9F059175-1304-469A-9ACA-97E26E3FF0C2}"/>
    <cellStyle name="60 % - Akzent6" xfId="21618" hidden="1" xr:uid="{CE25F425-9756-42A1-820A-4C08C4F2B604}"/>
    <cellStyle name="60 % - Akzent6" xfId="22271" hidden="1" xr:uid="{0F8C44BD-C45B-43C8-9EC6-C869E658FF4A}"/>
    <cellStyle name="60 % - Akzent6" xfId="22196" hidden="1" xr:uid="{AA344303-AB4E-4B8F-9D54-E135B0769AE0}"/>
    <cellStyle name="60 % - Akzent6" xfId="22718" hidden="1" xr:uid="{4A56F0E0-650C-44DC-AD1D-C471495BB784}"/>
    <cellStyle name="60 % - Akzent6" xfId="22889" hidden="1" xr:uid="{71E1C585-FD0C-4DF8-98F1-7E30AD1D4F86}"/>
    <cellStyle name="60 % - Akzent6" xfId="22667" hidden="1" xr:uid="{7992589F-2523-4F43-82E5-12DF358740E4}"/>
    <cellStyle name="60 % - Akzent6" xfId="23135" hidden="1" xr:uid="{93914280-4F4D-40CB-9519-22D3FCD473CD}"/>
    <cellStyle name="60 % - Akzent6" xfId="23281" hidden="1" xr:uid="{05C698F6-D851-4159-AB7C-4A9A6BE60C9D}"/>
    <cellStyle name="60 % - Akzent6" xfId="22651" hidden="1" xr:uid="{0079C10A-9F83-4821-B1DD-A43201C34517}"/>
    <cellStyle name="60 % - Akzent6" xfId="18357" hidden="1" xr:uid="{8DAFA77B-B4D9-420C-90FF-264D12621D9D}"/>
    <cellStyle name="60 % - Akzent6" xfId="6111" hidden="1" xr:uid="{7C211542-1E41-4EF1-9721-C1F4CABD91C5}"/>
    <cellStyle name="60 % - Akzent6" xfId="6213" hidden="1" xr:uid="{49AC0E91-0B2E-4B2C-8788-52A743DB8A5D}"/>
    <cellStyle name="60 % - Akzent6" xfId="6585" hidden="1" xr:uid="{BAFCC404-B2E9-4759-A26F-A631EB77847E}"/>
    <cellStyle name="60 % - Akzent6" xfId="6215" hidden="1" xr:uid="{0B0C80D8-B1E1-46CF-8CE8-BC7E3446A3FF}"/>
    <cellStyle name="60 % - Akzent6" xfId="6808" hidden="1" xr:uid="{C679D601-11A1-4F2A-8F97-AD4CBF8E513B}"/>
    <cellStyle name="60 % - Akzent6" xfId="7214" hidden="1" xr:uid="{A11A92BC-CE27-4F53-8C07-B3E64FB13500}"/>
    <cellStyle name="60 % - Akzent6" xfId="7771" hidden="1" xr:uid="{D39EB5E0-F4FD-4229-BF4E-6D2FAAA27369}"/>
    <cellStyle name="60 % - Akzent6" xfId="7853" hidden="1" xr:uid="{4F7B794B-05AE-4382-BBCA-3209C301FEDB}"/>
    <cellStyle name="60 % - Akzent6" xfId="8176" hidden="1" xr:uid="{D3D10593-CEA5-42EC-933A-49A34FFC036E}"/>
    <cellStyle name="60 % - Akzent6" xfId="8089" hidden="1" xr:uid="{8493A5BD-1FE3-4F9B-922B-E093E6FD2D95}"/>
    <cellStyle name="60 % - Akzent6" xfId="7190" hidden="1" xr:uid="{0F167310-F6E7-42E5-A2DA-C80DA33436A0}"/>
    <cellStyle name="60 % - Akzent6" xfId="7174" hidden="1" xr:uid="{FFF5958B-D844-423C-9084-F78FAEF5102C}"/>
    <cellStyle name="60 % - Akzent6" xfId="7748" hidden="1" xr:uid="{07B053CB-AA0E-4603-BE49-68BBE89F0AF4}"/>
    <cellStyle name="60 % - Akzent6" xfId="8420" hidden="1" xr:uid="{4F549B99-5A71-4549-A183-F3435F58ED70}"/>
    <cellStyle name="60 % - Akzent6" xfId="8003" hidden="1" xr:uid="{656A693C-7CFF-43B4-8290-CFAAA8F93AD4}"/>
    <cellStyle name="60 % - Akzent6" xfId="8277" hidden="1" xr:uid="{158CC7AB-B04B-4BF8-A698-BE1E0E93F505}"/>
    <cellStyle name="60 % - Akzent6" xfId="8102" hidden="1" xr:uid="{89946F86-4483-4D3B-8A76-B5130B2DF8F5}"/>
    <cellStyle name="60 % - Akzent6" xfId="7172" hidden="1" xr:uid="{72874A58-A29E-4B47-ACCD-76159C73DE09}"/>
    <cellStyle name="60 % - Akzent6" xfId="8246" hidden="1" xr:uid="{7A8424D5-1048-444F-8695-F68E571815E2}"/>
    <cellStyle name="60 % - Akzent6" xfId="8157" hidden="1" xr:uid="{D0B77386-2DE1-458D-8A14-BEF7092C9AF7}"/>
    <cellStyle name="60 % - Akzent6" xfId="8624" hidden="1" xr:uid="{B3628F46-405F-4D55-99D9-A3B9B4874762}"/>
    <cellStyle name="60 % - Akzent6" xfId="8335" hidden="1" xr:uid="{D33601F8-F50E-44B1-9AC7-D56912918985}"/>
    <cellStyle name="60 % - Akzent6" xfId="8755" hidden="1" xr:uid="{EA87CCE0-5022-4EBA-B630-ACAC77BDA186}"/>
    <cellStyle name="60 % - Akzent6" xfId="8854" hidden="1" xr:uid="{A260D5C7-A78C-43EF-8104-07FBCC043E4D}"/>
    <cellStyle name="60 % - Akzent6" xfId="7662" hidden="1" xr:uid="{18AA1548-DCF9-48E3-89E0-FA8FD5BC33F3}"/>
    <cellStyle name="60 % - Akzent6" xfId="8838" hidden="1" xr:uid="{55915F55-92C8-4C14-9897-63139161E52A}"/>
    <cellStyle name="60 % - Akzent6" xfId="9022" hidden="1" xr:uid="{5C341371-C0AB-4D44-B493-60283C935516}"/>
    <cellStyle name="60 % - Akzent6" xfId="9427" hidden="1" xr:uid="{D6825201-C420-4EEE-8435-1C29B9D38D4B}"/>
    <cellStyle name="60 % - Akzent6" xfId="9983" hidden="1" xr:uid="{2C705743-6D75-412F-AC43-E12177EABED5}"/>
    <cellStyle name="60 % - Akzent6" xfId="10066" hidden="1" xr:uid="{CB0A2D26-5E95-46DA-A779-BC33E6D12B00}"/>
    <cellStyle name="60 % - Akzent6" xfId="10409" hidden="1" xr:uid="{CEBFB573-33D2-4458-917C-860A82D1ED78}"/>
    <cellStyle name="60 % - Akzent6" xfId="9920" hidden="1" xr:uid="{874A7FBF-E3A0-4206-82BE-41AE02A861B9}"/>
    <cellStyle name="60 % - Akzent6" xfId="10830" hidden="1" xr:uid="{E069CBC2-5823-4D4E-B90F-B99EE2DE0478}"/>
    <cellStyle name="60 % - Akzent6" xfId="10950" hidden="1" xr:uid="{1806402F-E9F2-4865-BC80-E236E8D8E6CB}"/>
    <cellStyle name="60 % - Akzent6" xfId="7663" hidden="1" xr:uid="{52E7AF14-0AC9-4D88-A4E0-53597A4609DF}"/>
    <cellStyle name="60 % - Akzent6" xfId="3809" hidden="1" xr:uid="{2D0026B0-4131-4FDD-83D1-E801D06F66CC}"/>
    <cellStyle name="60 % - Akzent6" xfId="4246" hidden="1" xr:uid="{BF0A9272-13D7-45E9-9EED-B9D661E31699}"/>
    <cellStyle name="60 % - Akzent6" xfId="4747" hidden="1" xr:uid="{8F444212-D9A5-468C-9F9E-4F354563CC42}"/>
    <cellStyle name="60 % - Akzent6" xfId="3679" hidden="1" xr:uid="{BF9A59E6-3FE7-4FC6-80F6-A6219830078F}"/>
    <cellStyle name="60 % - Akzent6" xfId="5142" hidden="1" xr:uid="{C3290E9C-F6BC-4C2A-AECB-B5CAF1114B54}"/>
    <cellStyle name="60 % - Akzent6" xfId="5713" hidden="1" xr:uid="{23B73AB1-0D05-4F62-9CA6-C9046FC52179}"/>
    <cellStyle name="60 % - Akzent6" xfId="5690" hidden="1" xr:uid="{364FCD55-AC87-4E83-884D-098926889018}"/>
    <cellStyle name="60 % - Akzent6" xfId="5632" hidden="1" xr:uid="{21C042B1-F3AB-4F52-ADBD-DA75E0DBBF98}"/>
    <cellStyle name="60 % - Akzent6" xfId="5948" hidden="1" xr:uid="{4AAA14D8-4EB5-487E-83F6-C7997CA0A520}"/>
    <cellStyle name="60 % - Akzent6" xfId="5124" hidden="1" xr:uid="{024A5D8E-8BEB-40F1-AD74-F9FA2A35838D}"/>
    <cellStyle name="60 % - Akzent6" xfId="6158" hidden="1" xr:uid="{55E3DDB1-482B-44F8-8351-2D074A296891}"/>
    <cellStyle name="60 % - Akzent6" xfId="6136" hidden="1" xr:uid="{757D1CD1-2393-4BCF-AEEE-6B2F0ED741B5}"/>
    <cellStyle name="60 % - Akzent6" xfId="6234" hidden="1" xr:uid="{8BD8392E-D8F9-4C29-B741-31C4964FD99C}"/>
    <cellStyle name="60 % - Akzent6" xfId="6515" hidden="1" xr:uid="{2A4F8EF7-F620-448D-81D6-C32710C67973}"/>
    <cellStyle name="60 % - Akzent6" xfId="6499" hidden="1" xr:uid="{4B8D876C-8203-4054-A528-4B7072BA67F0}"/>
    <cellStyle name="60 % - Akzent6" xfId="6247" hidden="1" xr:uid="{039E31F1-2B9D-4F99-8224-87FD65587A3D}"/>
    <cellStyle name="60 % - Akzent6" xfId="6541" hidden="1" xr:uid="{A843EA70-ACB3-4BE9-93A8-8728AE308950}"/>
    <cellStyle name="60 % - Akzent6" xfId="3079" hidden="1" xr:uid="{C27B05AB-EE4C-46F8-8354-F0C57275CA02}"/>
    <cellStyle name="60 % - Akzent6" xfId="3038" hidden="1" xr:uid="{945C8B89-5AD7-421F-AD6A-1FB03FF9A7F9}"/>
    <cellStyle name="60 % - Akzent6" xfId="3369" hidden="1" xr:uid="{E0EF9540-9737-4CA0-B3FA-AB34576E512B}"/>
    <cellStyle name="60 % - Akzent6" xfId="3590" hidden="1" xr:uid="{30151A6A-E261-4AA3-87F6-111F2CADAD9E}"/>
    <cellStyle name="60 % - Akzent6" xfId="3090" hidden="1" xr:uid="{6D7E16C9-4560-40C4-B7CC-BD659BD90515}"/>
    <cellStyle name="60 % - Akzent6" xfId="1974" hidden="1" xr:uid="{CB502CFE-B79B-43D8-A138-16BDDDDA9300}"/>
    <cellStyle name="60 % - Akzent6" xfId="3719" hidden="1" xr:uid="{425DA60B-8BCA-4FAA-BD05-B1704B3FAB0D}"/>
    <cellStyle name="60 % - Akzent6" xfId="3606" hidden="1" xr:uid="{63A2565D-5579-4D57-819B-A5726B66CD76}"/>
    <cellStyle name="60 % - Akzent6" xfId="1643" hidden="1" xr:uid="{A95A8FFB-093D-47BD-855D-900C0326AAF4}"/>
    <cellStyle name="60 % - Akzent6" xfId="1896" hidden="1" xr:uid="{D23D8729-DB6F-49C0-87F4-9EFE0167C170}"/>
    <cellStyle name="60 % - Akzent6" xfId="2122" hidden="1" xr:uid="{FA650AB2-BB5D-4F1E-893D-905821469F00}"/>
    <cellStyle name="60 % - Akzent6" xfId="2887" hidden="1" xr:uid="{05655529-0E00-4A0C-949D-E1B9691A1368}"/>
    <cellStyle name="60 % - Akzent6" xfId="986" hidden="1" xr:uid="{6491E521-41D4-46E3-8C42-5DB87C01F032}"/>
    <cellStyle name="60 % - Akzent6" xfId="1408" hidden="1" xr:uid="{47AF9AAC-6B60-4390-8D32-078CB8BE8F45}"/>
    <cellStyle name="60 % - Akzent6" xfId="914" hidden="1" xr:uid="{8674E744-206F-444D-A689-891E98E81CB2}"/>
    <cellStyle name="60 % - Akzent6" xfId="67" hidden="1" xr:uid="{C809C567-5E04-48B6-98EB-FFD7162C26E8}"/>
    <cellStyle name="60 % - Akzent6 2" xfId="390" xr:uid="{ED38029A-1F32-4A55-A543-CE31F5A2AEE6}"/>
    <cellStyle name="60 % - Akzent6 3" xfId="259" xr:uid="{339666D8-D348-4A67-ABD3-E7E3947954EE}"/>
    <cellStyle name="60% - Accent1 2" xfId="97" xr:uid="{F671E5EB-2223-4B55-8E9E-71665E539F5A}"/>
    <cellStyle name="60% - Accent1 3" xfId="211" xr:uid="{19180E92-D422-457F-AEB7-01F1FE79809E}"/>
    <cellStyle name="60% - Accent2 2" xfId="98" xr:uid="{3FA07E09-F688-4C67-87C9-964F2F391B2C}"/>
    <cellStyle name="60% - Accent2 3" xfId="212" xr:uid="{F2F533CA-74D0-4181-83FA-EC20ADBA2042}"/>
    <cellStyle name="60% - Accent3 2" xfId="99" xr:uid="{C386BA72-F2FB-4B34-9E9C-3F66F1B70446}"/>
    <cellStyle name="60% - Accent3 3" xfId="213" xr:uid="{64F7F714-15B3-4776-92AD-5D8F97404597}"/>
    <cellStyle name="60% - Accent4 2" xfId="100" xr:uid="{4AD8EF6C-AD1C-4382-A933-C7E56E31B38D}"/>
    <cellStyle name="60% - Accent4 3" xfId="214" xr:uid="{6DDC0C25-2C7C-47FA-8769-996ED3ECE077}"/>
    <cellStyle name="60% - Accent5 2" xfId="101" xr:uid="{48848F6B-5E09-4BFA-B453-E352BB97E1B1}"/>
    <cellStyle name="60% - Accent5 3" xfId="215" xr:uid="{85B62436-2873-44BF-BFC7-D460DB720E81}"/>
    <cellStyle name="60% - Accent6 2" xfId="102" xr:uid="{2438BFCC-2584-4169-9A49-9ED858DFDD85}"/>
    <cellStyle name="60% - Accent6 3" xfId="216" xr:uid="{F253D282-5120-4135-A02C-BB49C14492F4}"/>
    <cellStyle name="Accent1 2" xfId="103" xr:uid="{4644432D-E8A9-4C99-B0A2-C098E01EF40C}"/>
    <cellStyle name="Accent1 3" xfId="217" xr:uid="{E66D2875-3E78-4A98-9851-C847517E15DC}"/>
    <cellStyle name="Accent1 4" xfId="350" xr:uid="{EA8B0187-D8F3-425C-8633-56220D696D7C}"/>
    <cellStyle name="Accent2 2" xfId="104" xr:uid="{9B4DD576-CEE6-4542-A8D8-BF106841E155}"/>
    <cellStyle name="Accent2 3" xfId="218" xr:uid="{AB7EEFCE-8646-438F-AA2B-B7069CFAACA3}"/>
    <cellStyle name="Accent2 4" xfId="351" xr:uid="{2D40B2FB-46C8-4CB5-8CA4-28331A7B7678}"/>
    <cellStyle name="Accent3 2" xfId="105" xr:uid="{E882D0ED-4B10-49F4-8442-12414EE61A38}"/>
    <cellStyle name="Accent3 3" xfId="219" xr:uid="{BAB48B74-4017-42F2-AC06-5E61E4483344}"/>
    <cellStyle name="Accent3 4" xfId="352" xr:uid="{3E1E25CE-638F-477A-9264-1F6511451003}"/>
    <cellStyle name="Accent4 2" xfId="106" xr:uid="{10FC07CE-9CFA-4DAA-A58A-CDA5A6A0C982}"/>
    <cellStyle name="Accent4 3" xfId="220" xr:uid="{37A1C33B-95AC-4C73-926E-B7FAC49EC28F}"/>
    <cellStyle name="Accent4 4" xfId="353" xr:uid="{10682EF0-88EA-4F80-8574-E1619334F174}"/>
    <cellStyle name="Accent5 2" xfId="107" xr:uid="{289BC1C2-D641-41E7-AF4D-4102C26E72D3}"/>
    <cellStyle name="Accent5 3" xfId="221" xr:uid="{AEA28261-2288-48FC-A5B4-D877C1384C4E}"/>
    <cellStyle name="Accent5 4" xfId="354" xr:uid="{760B3EB4-EA45-448C-82D6-54DE23E728AA}"/>
    <cellStyle name="Accent6 2" xfId="108" xr:uid="{73054212-2C7F-4EE6-8D08-32958EE3B8E7}"/>
    <cellStyle name="Accent6 3" xfId="222" xr:uid="{C73A00F3-4D54-46BE-8D6E-74549833B506}"/>
    <cellStyle name="Accent6 4" xfId="355" xr:uid="{E3D5935D-DFD8-49A5-8C09-F3CB8692F8FD}"/>
    <cellStyle name="AggblueBoldCels" xfId="109" xr:uid="{7D98279E-2B36-4BB5-A7DA-3E1370E63B70}"/>
    <cellStyle name="AggblueBoldCels 2" xfId="110" xr:uid="{EAE765CD-2E53-41CB-81AB-7C30115DE771}"/>
    <cellStyle name="AggblueCels" xfId="34" xr:uid="{CC62676A-58BA-411B-9F13-98D4251778A9}"/>
    <cellStyle name="AggblueCels 2" xfId="111" xr:uid="{ACB74AEE-9A93-423C-A545-ED7E2EC84477}"/>
    <cellStyle name="AggblueCels_1x" xfId="33" xr:uid="{62C9F8B1-1FDC-4CB5-BACF-B503E53A4584}"/>
    <cellStyle name="AggBoldCells" xfId="7" xr:uid="{ECE90527-38B7-4EDE-86E5-CD066C7444DA}"/>
    <cellStyle name="AggBoldCells 2" xfId="112" xr:uid="{38074CF8-6358-4969-8D6F-678F804F8846}"/>
    <cellStyle name="AggBoldCells 3" xfId="192" xr:uid="{7BE98330-DFF1-4803-BB23-AB0BE726EAEA}"/>
    <cellStyle name="AggBoldCells 4" xfId="344" xr:uid="{E4708E72-8C9F-452F-8D5C-9739C63D8800}"/>
    <cellStyle name="AggCels" xfId="10" xr:uid="{F2E58BDF-C996-4301-9038-C15ABD52A2FD}"/>
    <cellStyle name="AggCels 2" xfId="113" xr:uid="{5569A551-3E3D-4C4B-9EDE-4067016F40EF}"/>
    <cellStyle name="AggCels 3" xfId="193" xr:uid="{7134E7D4-5410-4346-AB07-CB7EAA2F35E6}"/>
    <cellStyle name="AggCels 4" xfId="345" xr:uid="{75B0E38B-1AAD-4166-A221-774ED8FEE653}"/>
    <cellStyle name="AggCels_T(2)" xfId="8" xr:uid="{2B1C0887-C83B-4D98-BAD0-82542FE26652}"/>
    <cellStyle name="AggGreen" xfId="24" xr:uid="{D7E77597-1EA6-4E3B-981C-CD40285B9ABC}"/>
    <cellStyle name="AggGreen 2" xfId="114" xr:uid="{5F268720-4959-4378-85EE-DFB7DAB0A84C}"/>
    <cellStyle name="AggGreen 2 2" xfId="403" xr:uid="{3FB5F721-1F69-4FB9-BEEA-66CAA4BAFA3A}"/>
    <cellStyle name="AggGreen 2 2 2" xfId="580" xr:uid="{20B86D32-EFC1-4333-8E5F-D3BBDE1198BC}"/>
    <cellStyle name="AggGreen 2 2 2 10" xfId="4993" xr:uid="{6513F2B4-948A-4BD2-9950-9DA6F32BCE2D}"/>
    <cellStyle name="AggGreen 2 2 2 11" xfId="5228" xr:uid="{3CE2FC68-E5CD-49C2-A6AE-FA8329385433}"/>
    <cellStyle name="AggGreen 2 2 2 12" xfId="5763" xr:uid="{F9CF2B82-A2B6-41B4-8AC4-F9BAAB9A0CFE}"/>
    <cellStyle name="AggGreen 2 2 2 13" xfId="3803" xr:uid="{D7918364-952E-439F-8A8B-62634F3A95E2}"/>
    <cellStyle name="AggGreen 2 2 2 14" xfId="5864" xr:uid="{ABAF340A-82C5-411C-9742-22A8EC387CEE}"/>
    <cellStyle name="AggGreen 2 2 2 15" xfId="7300" xr:uid="{6895CBAD-92BC-4889-99C8-383B9C551C50}"/>
    <cellStyle name="AggGreen 2 2 2 16" xfId="8020" xr:uid="{88F4C0F9-E1B7-4754-9476-B23F339EA340}"/>
    <cellStyle name="AggGreen 2 2 2 17" xfId="7184" xr:uid="{6811978A-F82C-4367-8FE7-038F8F1CFDFE}"/>
    <cellStyle name="AggGreen 2 2 2 18" xfId="8247" xr:uid="{5A3C223D-0961-4A0C-A96E-D19C43F8EAE6}"/>
    <cellStyle name="AggGreen 2 2 2 19" xfId="9514" xr:uid="{5DF3C190-71B3-4BB7-9405-7696048D3BCA}"/>
    <cellStyle name="AggGreen 2 2 2 2" xfId="795" xr:uid="{6E4C33D3-6149-41D4-8D20-DAD9A51DE70A}"/>
    <cellStyle name="AggGreen 2 2 2 2 10" xfId="5443" xr:uid="{42BA3E57-2FCA-4407-AC48-B2141194F9D6}"/>
    <cellStyle name="AggGreen 2 2 2 2 11" xfId="3717" xr:uid="{509859D7-EA1D-4A1B-AE04-F1573007860E}"/>
    <cellStyle name="AggGreen 2 2 2 2 12" xfId="6168" xr:uid="{E252643C-E03D-453D-B2C5-6D9A89E19E38}"/>
    <cellStyle name="AggGreen 2 2 2 2 13" xfId="6685" xr:uid="{8EE2EF94-352B-469E-9181-8F35A514EB92}"/>
    <cellStyle name="AggGreen 2 2 2 2 14" xfId="7515" xr:uid="{FCBA744C-FED4-4C77-987E-0422B4E3A40F}"/>
    <cellStyle name="AggGreen 2 2 2 2 15" xfId="7966" xr:uid="{40C6CBE8-0344-4D0F-8E17-812759C0B959}"/>
    <cellStyle name="AggGreen 2 2 2 2 16" xfId="8117" xr:uid="{EF9B6B55-BF68-48D7-B93E-8FA40FB1D624}"/>
    <cellStyle name="AggGreen 2 2 2 2 17" xfId="8891" xr:uid="{8C0E17B1-17D7-4940-9C29-E0AD142C4A94}"/>
    <cellStyle name="AggGreen 2 2 2 2 18" xfId="9729" xr:uid="{DEBBF4CA-557C-4DF0-8734-23BCB6C8B82B}"/>
    <cellStyle name="AggGreen 2 2 2 2 19" xfId="10182" xr:uid="{7810C334-AF92-4087-BF40-0D30EE85BADB}"/>
    <cellStyle name="AggGreen 2 2 2 2 2" xfId="1269" xr:uid="{BB215E9C-52EB-4F51-B1A5-450D78E6D519}"/>
    <cellStyle name="AggGreen 2 2 2 2 20" xfId="10589" xr:uid="{131AD822-B130-4D88-B4D1-0AEA8AD71AB9}"/>
    <cellStyle name="AggGreen 2 2 2 2 21" xfId="10493" xr:uid="{7C8009EA-6191-4C14-9BE5-13CCA3C4B119}"/>
    <cellStyle name="AggGreen 2 2 2 2 22" xfId="11302" xr:uid="{190F082D-3459-46A6-9B4B-AED93924C023}"/>
    <cellStyle name="AggGreen 2 2 2 2 23" xfId="12148" xr:uid="{BF85FBE2-EF99-482F-B742-D8EE68FD0026}"/>
    <cellStyle name="AggGreen 2 2 2 2 24" xfId="12621" xr:uid="{1C828C0E-98AD-443B-A262-75B66270DEFD}"/>
    <cellStyle name="AggGreen 2 2 2 2 25" xfId="13055" xr:uid="{E84B08B9-FA93-435C-BB5F-11AA97FE549B}"/>
    <cellStyle name="AggGreen 2 2 2 2 26" xfId="13492" xr:uid="{51213143-2E4C-44B9-93BC-DB0BD229696B}"/>
    <cellStyle name="AggGreen 2 2 2 2 27" xfId="13766" xr:uid="{A7C52DEB-CFD7-496C-806F-7B25C88ADC14}"/>
    <cellStyle name="AggGreen 2 2 2 2 28" xfId="13841" xr:uid="{C0B618A6-9CBF-40B0-9203-DA475902F368}"/>
    <cellStyle name="AggGreen 2 2 2 2 29" xfId="14832" xr:uid="{09EF09FC-A642-4805-9B20-B71CD5F3DA4B}"/>
    <cellStyle name="AggGreen 2 2 2 2 3" xfId="1557" xr:uid="{BEFFA260-DA9F-4EFF-8B2C-1949DDD1C0DE}"/>
    <cellStyle name="AggGreen 2 2 2 2 30" xfId="14543" xr:uid="{C0C2BF32-2CA4-45A5-A2F1-4AA532C832FC}"/>
    <cellStyle name="AggGreen 2 2 2 2 31" xfId="15684" xr:uid="{D54C1101-4E15-4304-B452-1274139A5961}"/>
    <cellStyle name="AggGreen 2 2 2 2 32" xfId="15951" xr:uid="{A9119AB1-21F4-40FA-B318-746D5C139C27}"/>
    <cellStyle name="AggGreen 2 2 2 2 33" xfId="16840" xr:uid="{CE7FF91A-129B-401D-9A07-F63066110FD4}"/>
    <cellStyle name="AggGreen 2 2 2 2 34" xfId="17303" xr:uid="{08142BBB-984F-4211-9F14-C213FFA92AD6}"/>
    <cellStyle name="AggGreen 2 2 2 2 35" xfId="17746" xr:uid="{71FBE384-A90D-454F-A2C4-8281F33A81A4}"/>
    <cellStyle name="AggGreen 2 2 2 2 36" xfId="18261" xr:uid="{C5EE9C1F-2F5D-4370-BA84-938B379364CB}"/>
    <cellStyle name="AggGreen 2 2 2 2 37" xfId="18658" xr:uid="{734575D5-2B68-48D6-A57B-8B84B874AB8D}"/>
    <cellStyle name="AggGreen 2 2 2 2 38" xfId="19085" xr:uid="{30B84DF1-1A10-40CA-B34C-F480B06E549C}"/>
    <cellStyle name="AggGreen 2 2 2 2 39" xfId="18821" xr:uid="{00F4DA01-7323-4BD1-AA3A-41ECC1A89707}"/>
    <cellStyle name="AggGreen 2 2 2 2 4" xfId="2617" xr:uid="{17B1051A-54D1-47ED-836E-8FE24AE31D40}"/>
    <cellStyle name="AggGreen 2 2 2 2 40" xfId="20177" xr:uid="{A6A9C04D-04A6-4C35-9C91-6F7EF0AFE19A}"/>
    <cellStyle name="AggGreen 2 2 2 2 41" xfId="20653" xr:uid="{F180EC66-9B44-4FFE-8AC4-A29DC71F18D7}"/>
    <cellStyle name="AggGreen 2 2 2 2 42" xfId="21110" xr:uid="{DD5A39C0-47E0-4D75-9F52-33FBA1131DC7}"/>
    <cellStyle name="AggGreen 2 2 2 2 43" xfId="21361" xr:uid="{51E68354-E931-4DBC-AEB1-AA48C5063A9A}"/>
    <cellStyle name="AggGreen 2 2 2 2 44" xfId="22041" xr:uid="{72EC1C47-3554-41E1-902C-06DA5DAB9149}"/>
    <cellStyle name="AggGreen 2 2 2 2 45" xfId="22470" xr:uid="{4CB50D60-8A14-4FE6-BD15-54B3BDF69FD9}"/>
    <cellStyle name="AggGreen 2 2 2 2 46" xfId="22760" xr:uid="{AA688DA1-D75E-455F-A996-2B016647BD1F}"/>
    <cellStyle name="AggGreen 2 2 2 2 47" xfId="23363" xr:uid="{4E4BBE37-5289-4B69-B1E4-E8BD305F9E23}"/>
    <cellStyle name="AggGreen 2 2 2 2 48" xfId="21801" xr:uid="{95E548B1-2B66-4E68-8723-355DCA8ACF7D}"/>
    <cellStyle name="AggGreen 2 2 2 2 49" xfId="23977" xr:uid="{BFBBD888-0096-42FB-8EE0-BD51B81425D4}"/>
    <cellStyle name="AggGreen 2 2 2 2 5" xfId="2933" xr:uid="{FEB23333-09BC-427D-B8AF-F6A6C2064E51}"/>
    <cellStyle name="AggGreen 2 2 2 2 50" xfId="24885" xr:uid="{C4943596-87A1-47E7-8D71-65CDEFEB7609}"/>
    <cellStyle name="AggGreen 2 2 2 2 51" xfId="25357" xr:uid="{7C193800-3F8A-4AC1-8AFD-F43FF7DAE0C3}"/>
    <cellStyle name="AggGreen 2 2 2 2 52" xfId="25801" xr:uid="{52FB2AE6-5C2B-444F-AC62-42E050646CBF}"/>
    <cellStyle name="AggGreen 2 2 2 2 53" xfId="26065" xr:uid="{417F8AB6-3570-41E1-911B-760EFBB4E8F8}"/>
    <cellStyle name="AggGreen 2 2 2 2 54" xfId="26567" xr:uid="{A5AB7C0F-A108-4931-A45B-480FB9BE4340}"/>
    <cellStyle name="AggGreen 2 2 2 2 55" xfId="27089" xr:uid="{6E879A40-5B6A-4005-8273-CFEB11E358D2}"/>
    <cellStyle name="AggGreen 2 2 2 2 56" xfId="27508" xr:uid="{4A2BC10E-6716-41CC-9C97-06EA8011612D}"/>
    <cellStyle name="AggGreen 2 2 2 2 57" xfId="25994" xr:uid="{9DAECD04-E5B1-4600-A0AF-0E4CC8437145}"/>
    <cellStyle name="AggGreen 2 2 2 2 58" xfId="28635" xr:uid="{02993B16-3771-483C-9CBC-C09176B76EE1}"/>
    <cellStyle name="AggGreen 2 2 2 2 59" xfId="29102" xr:uid="{E13A906D-C4C3-4922-A5D8-37BD92F242EF}"/>
    <cellStyle name="AggGreen 2 2 2 2 6" xfId="1824" xr:uid="{1C78A123-A07F-4F6A-97C9-EA4C1810263A}"/>
    <cellStyle name="AggGreen 2 2 2 2 60" xfId="29481" xr:uid="{ABEF10AC-0853-4DC2-804B-F644288D5269}"/>
    <cellStyle name="AggGreen 2 2 2 2 61" xfId="29891" xr:uid="{EF99BFF1-B4A5-4C7D-B9D2-E1FBA62481E7}"/>
    <cellStyle name="AggGreen 2 2 2 2 62" xfId="30297" xr:uid="{FA7A4F5C-32E0-4A73-9A35-CC937B4993A0}"/>
    <cellStyle name="AggGreen 2 2 2 2 63" xfId="30714" xr:uid="{C6A04B0D-28C9-4485-BE53-9B6836A643E0}"/>
    <cellStyle name="AggGreen 2 2 2 2 64" xfId="30408" xr:uid="{6B0D0B95-C9D7-4AE9-BF7A-3EBC179E6E54}"/>
    <cellStyle name="AggGreen 2 2 2 2 65" xfId="31330" xr:uid="{30FEF42F-518B-410A-AC05-CC91948A75CB}"/>
    <cellStyle name="AggGreen 2 2 2 2 66" xfId="32021" xr:uid="{F019452E-31E9-493C-BB92-E3831758686F}"/>
    <cellStyle name="AggGreen 2 2 2 2 67" xfId="32295" xr:uid="{B3FAF7C5-6648-4E8E-A2C4-5BC39F387062}"/>
    <cellStyle name="AggGreen 2 2 2 2 7" xfId="4113" xr:uid="{7D9413EE-241B-4099-A498-D3B0F3E8A855}"/>
    <cellStyle name="AggGreen 2 2 2 2 8" xfId="4550" xr:uid="{B7F4F629-6E6C-4736-AD74-95D6A259E9BB}"/>
    <cellStyle name="AggGreen 2 2 2 2 9" xfId="3029" xr:uid="{058602AE-95AE-4949-89FA-0BADABD7152C}"/>
    <cellStyle name="AggGreen 2 2 2 20" xfId="10239" xr:uid="{E1D0AC4F-8BF4-4B9B-8BEE-0185B58D2871}"/>
    <cellStyle name="AggGreen 2 2 2 21" xfId="10635" xr:uid="{FC99A8B3-D285-4EE7-83F8-8B786A5D7EAF}"/>
    <cellStyle name="AggGreen 2 2 2 22" xfId="9150" xr:uid="{8741F3B7-67DD-41D9-BA52-81065C0AE218}"/>
    <cellStyle name="AggGreen 2 2 2 23" xfId="10839" xr:uid="{0255F208-6C96-4045-B221-24251698C312}"/>
    <cellStyle name="AggGreen 2 2 2 24" xfId="11933" xr:uid="{F923A3FC-FD9A-43C6-9F0A-E0FEDB8CC51E}"/>
    <cellStyle name="AggGreen 2 2 2 25" xfId="12406" xr:uid="{7F0E4B28-640D-46F4-A85F-55C4EEC5F820}"/>
    <cellStyle name="AggGreen 2 2 2 26" xfId="12840" xr:uid="{2B7A2646-2E00-4255-9A98-6B25E4471A10}"/>
    <cellStyle name="AggGreen 2 2 2 27" xfId="13277" xr:uid="{34CD977B-F389-4740-9881-68B1033B9069}"/>
    <cellStyle name="AggGreen 2 2 2 28" xfId="11514" xr:uid="{2A623F3A-3DEE-4682-9E4B-AFF13C499FC1}"/>
    <cellStyle name="AggGreen 2 2 2 29" xfId="14208" xr:uid="{EFCF9EDA-0A9F-496A-81CE-109488022FA4}"/>
    <cellStyle name="AggGreen 2 2 2 3" xfId="1063" xr:uid="{3445CC69-9D11-469D-BF49-390D8BB3999C}"/>
    <cellStyle name="AggGreen 2 2 2 30" xfId="14857" xr:uid="{085FF25F-49C3-4F75-816C-9872E614EBC1}"/>
    <cellStyle name="AggGreen 2 2 2 31" xfId="14946" xr:uid="{F5447753-D5D6-46E9-A089-95FA45FE9C95}"/>
    <cellStyle name="AggGreen 2 2 2 32" xfId="15630" xr:uid="{552D1048-BE98-4B53-B68E-B845567D262A}"/>
    <cellStyle name="AggGreen 2 2 2 33" xfId="15981" xr:uid="{AB0A7EFC-4DE4-4536-A567-657FF1A88C46}"/>
    <cellStyle name="AggGreen 2 2 2 34" xfId="16625" xr:uid="{7BC64EDC-B2AF-4291-93B2-485D4138DFFF}"/>
    <cellStyle name="AggGreen 2 2 2 35" xfId="17360" xr:uid="{E0250DC2-5E33-454C-9721-16DB8092A5CA}"/>
    <cellStyle name="AggGreen 2 2 2 36" xfId="17802" xr:uid="{B6336E47-304D-49BF-AAB4-09233942C5C2}"/>
    <cellStyle name="AggGreen 2 2 2 37" xfId="17736" xr:uid="{FE597B45-DC25-4317-AA37-3EE6D1B8C457}"/>
    <cellStyle name="AggGreen 2 2 2 38" xfId="18443" xr:uid="{6B77E465-2976-4D86-A19C-C128DF9C26B9}"/>
    <cellStyle name="AggGreen 2 2 2 39" xfId="17541" xr:uid="{2006279F-7C80-4738-9DBC-E278A8FC9422}"/>
    <cellStyle name="AggGreen 2 2 2 4" xfId="1711" xr:uid="{D9BC716D-58C0-4E40-8AD0-7A419C2E6CD7}"/>
    <cellStyle name="AggGreen 2 2 2 40" xfId="18215" xr:uid="{86F818B4-5826-4F76-9852-E5DD91237BAC}"/>
    <cellStyle name="AggGreen 2 2 2 41" xfId="19962" xr:uid="{8C2D33B5-7E85-4840-B49D-5BEF020D2E76}"/>
    <cellStyle name="AggGreen 2 2 2 42" xfId="20710" xr:uid="{10F1B4F0-0165-4B26-BB62-1CC685D20412}"/>
    <cellStyle name="AggGreen 2 2 2 43" xfId="21168" xr:uid="{81E4F642-1268-4B91-AFB4-3F3AA7F3ABF1}"/>
    <cellStyle name="AggGreen 2 2 2 44" xfId="20494" xr:uid="{A13C61C3-DE6A-47DA-BCB1-ECE8CE95807E}"/>
    <cellStyle name="AggGreen 2 2 2 45" xfId="22099" xr:uid="{78B7B436-7DA3-4E16-8A71-6203A86C6111}"/>
    <cellStyle name="AggGreen 2 2 2 46" xfId="22527" xr:uid="{3971DE8E-65DC-448F-A463-6EA21C4ACADD}"/>
    <cellStyle name="AggGreen 2 2 2 47" xfId="22180" xr:uid="{E162FD28-61DE-410F-945B-05D52D289DFC}"/>
    <cellStyle name="AggGreen 2 2 2 48" xfId="22786" xr:uid="{AE068009-D56C-4017-B1DA-C35C46C593E9}"/>
    <cellStyle name="AggGreen 2 2 2 49" xfId="23328" xr:uid="{86F20D0F-4EF1-421F-B75D-B85EA0B29F3A}"/>
    <cellStyle name="AggGreen 2 2 2 5" xfId="2402" xr:uid="{5E54BE8F-70E8-4BF0-86E8-1CA8ED23120E}"/>
    <cellStyle name="AggGreen 2 2 2 50" xfId="23771" xr:uid="{DC39D857-CE64-4CCD-9E26-717DBEF17384}"/>
    <cellStyle name="AggGreen 2 2 2 51" xfId="24670" xr:uid="{ED70E45D-BEF0-4E63-9F49-722100AABD4E}"/>
    <cellStyle name="AggGreen 2 2 2 52" xfId="25414" xr:uid="{5A6A4A5F-EB5D-4905-B463-D87CA479B5F0}"/>
    <cellStyle name="AggGreen 2 2 2 53" xfId="25588" xr:uid="{B84834E9-0721-4A25-9296-2E63AC6E80EC}"/>
    <cellStyle name="AggGreen 2 2 2 54" xfId="25389" xr:uid="{D47DC0C3-23BB-478F-87E1-A94FB5AAE200}"/>
    <cellStyle name="AggGreen 2 2 2 55" xfId="24451" xr:uid="{B523D28A-3F91-436D-89CD-4FAE2AF65BB4}"/>
    <cellStyle name="AggGreen 2 2 2 56" xfId="26878" xr:uid="{0CFBF22A-E5DD-4B43-8A0D-AA706F680A55}"/>
    <cellStyle name="AggGreen 2 2 2 57" xfId="27297" xr:uid="{B787D035-2E1B-4BB6-99BF-56977D5F5F2C}"/>
    <cellStyle name="AggGreen 2 2 2 58" xfId="25482" xr:uid="{56550357-CFD7-4FA1-A157-296F01D0AEA6}"/>
    <cellStyle name="AggGreen 2 2 2 59" xfId="28420" xr:uid="{2815EB95-05E0-4BFF-9082-AA08460A538E}"/>
    <cellStyle name="AggGreen 2 2 2 6" xfId="2072" xr:uid="{9DA1312F-E8A9-48A0-939F-2C877BD4E2D0}"/>
    <cellStyle name="AggGreen 2 2 2 60" xfId="28888" xr:uid="{00A508E0-95DB-4375-9E75-66F365B25ABA}"/>
    <cellStyle name="AggGreen 2 2 2 61" xfId="29528" xr:uid="{25FAA32F-0D51-4D96-863A-00B05A0F69B5}"/>
    <cellStyle name="AggGreen 2 2 2 62" xfId="29678" xr:uid="{F46B916F-6817-4B12-B6E0-D8225E942D07}"/>
    <cellStyle name="AggGreen 2 2 2 63" xfId="30086" xr:uid="{E27CC46E-7BCB-4CED-A546-1D0A5FDA0AFD}"/>
    <cellStyle name="AggGreen 2 2 2 64" xfId="30500" xr:uid="{774239D4-C530-405F-8B11-DE2E82A18D32}"/>
    <cellStyle name="AggGreen 2 2 2 65" xfId="28011" xr:uid="{67659F4C-F9D9-4C2A-86C9-4E0CBF6D3593}"/>
    <cellStyle name="AggGreen 2 2 2 66" xfId="31124" xr:uid="{43DBB919-0502-4DDE-A0E8-097121A1C6F2}"/>
    <cellStyle name="AggGreen 2 2 2 67" xfId="31810" xr:uid="{9360DCC0-8B2F-45A6-BF20-8C0DFB14E698}"/>
    <cellStyle name="AggGreen 2 2 2 68" xfId="32180" xr:uid="{FFAA175F-3DE3-4FCD-BE00-650909A7955E}"/>
    <cellStyle name="AggGreen 2 2 2 7" xfId="3315" xr:uid="{07E1F128-C50D-408A-8382-37C122C80908}"/>
    <cellStyle name="AggGreen 2 2 2 8" xfId="3898" xr:uid="{78AB2706-FC55-48E2-96CD-2E615F5D0ED1}"/>
    <cellStyle name="AggGreen 2 2 2 9" xfId="4336" xr:uid="{BF184313-06FA-43C0-A78A-324162A4EDF4}"/>
    <cellStyle name="AggGreen 2 2 3" xfId="710" xr:uid="{FF87A847-1BB8-4D78-8B2A-CAB92C3B5652}"/>
    <cellStyle name="AggGreen 2 2 3 10" xfId="5358" xr:uid="{97C81AAC-9A00-46E7-8FFF-EDF5745F0028}"/>
    <cellStyle name="AggGreen 2 2 3 11" xfId="5865" xr:uid="{FDDE937E-82FB-4923-A6FD-693A1201AB9B}"/>
    <cellStyle name="AggGreen 2 2 3 12" xfId="6137" xr:uid="{5F03D144-F8B1-44E5-A0D9-951CB1A1C517}"/>
    <cellStyle name="AggGreen 2 2 3 13" xfId="6339" xr:uid="{E0E637D9-2605-4037-80F7-6F7014B3F15C}"/>
    <cellStyle name="AggGreen 2 2 3 14" xfId="7430" xr:uid="{D286055F-CE04-4A0F-A959-3DFB88ACA79F}"/>
    <cellStyle name="AggGreen 2 2 3 15" xfId="7810" xr:uid="{BB2048EE-F037-444C-90AC-0CBB53C76DF2}"/>
    <cellStyle name="AggGreen 2 2 3 16" xfId="8327" xr:uid="{FE169749-4974-4D1D-9A82-F82DD5905AC0}"/>
    <cellStyle name="AggGreen 2 2 3 17" xfId="8164" xr:uid="{FF1DB64D-1129-4E9E-8D97-C09BCF66C0A5}"/>
    <cellStyle name="AggGreen 2 2 3 18" xfId="9644" xr:uid="{9A2F99E3-56B2-4271-B2A9-5E862DFB05F3}"/>
    <cellStyle name="AggGreen 2 2 3 19" xfId="10023" xr:uid="{250F3B2F-B58D-497D-94A0-F48E2F65D57F}"/>
    <cellStyle name="AggGreen 2 2 3 2" xfId="1184" xr:uid="{73913C7B-9CD4-46B3-A408-FD829ED5C211}"/>
    <cellStyle name="AggGreen 2 2 3 20" xfId="10444" xr:uid="{B74D754C-DAC2-4623-B20B-E56D4178E8E6}"/>
    <cellStyle name="AggGreen 2 2 3 21" xfId="10989" xr:uid="{15D847C4-1B8A-470B-9718-A7D12C9B6BA9}"/>
    <cellStyle name="AggGreen 2 2 3 22" xfId="9362" xr:uid="{8468B5AF-8040-4D83-962A-CF196C385153}"/>
    <cellStyle name="AggGreen 2 2 3 23" xfId="12063" xr:uid="{3D613690-6BBF-45B1-A701-21BB4928A834}"/>
    <cellStyle name="AggGreen 2 2 3 24" xfId="12536" xr:uid="{46E74D4F-CB36-4D8C-8895-FD2932A3B211}"/>
    <cellStyle name="AggGreen 2 2 3 25" xfId="12970" xr:uid="{8F31B99A-0D4A-42A5-9B7C-BC14317F9BF7}"/>
    <cellStyle name="AggGreen 2 2 3 26" xfId="13407" xr:uid="{70CD1DFA-DB2E-46E9-97A1-08042590FB90}"/>
    <cellStyle name="AggGreen 2 2 3 27" xfId="13845" xr:uid="{40AF4E1F-3C62-4AC5-BA09-9800B33F5320}"/>
    <cellStyle name="AggGreen 2 2 3 28" xfId="14198" xr:uid="{BCBFBBA9-5268-49EA-AAD1-40AFC2769D6B}"/>
    <cellStyle name="AggGreen 2 2 3 29" xfId="14678" xr:uid="{02ED9EB5-AC4F-498F-8984-ED8DCA35DF20}"/>
    <cellStyle name="AggGreen 2 2 3 3" xfId="1365" xr:uid="{76DFD927-7DC8-4F7E-8EEC-DB83D24B51AA}"/>
    <cellStyle name="AggGreen 2 2 3 30" xfId="15243" xr:uid="{C45A8C1B-1433-41FC-B6E9-108602036BE2}"/>
    <cellStyle name="AggGreen 2 2 3 31" xfId="14898" xr:uid="{56D66371-609B-4A0B-A2DD-79B1C58E2F49}"/>
    <cellStyle name="AggGreen 2 2 3 32" xfId="15863" xr:uid="{3603C86B-E7BB-4976-819E-8C237A464802}"/>
    <cellStyle name="AggGreen 2 2 3 33" xfId="16755" xr:uid="{78EBE237-2BF9-4907-BB17-8B73D23C7BC0}"/>
    <cellStyle name="AggGreen 2 2 3 34" xfId="17140" xr:uid="{76168FA7-481A-462A-B775-82A515E2F3CD}"/>
    <cellStyle name="AggGreen 2 2 3 35" xfId="17587" xr:uid="{2988C429-08B8-44B8-B5CF-AC821498FE7B}"/>
    <cellStyle name="AggGreen 2 2 3 36" xfId="17586" xr:uid="{E374D01F-8A74-41EE-9AD2-CB6C6CF2BDDA}"/>
    <cellStyle name="AggGreen 2 2 3 37" xfId="18573" xr:uid="{EA11FC0C-3F12-4326-B77D-120817CF6BF3}"/>
    <cellStyle name="AggGreen 2 2 3 38" xfId="18754" xr:uid="{446D16E4-F3BE-429F-9396-BCBB0B075386}"/>
    <cellStyle name="AggGreen 2 2 3 39" xfId="19332" xr:uid="{1912ADF1-A649-4D50-B82B-D76D23461283}"/>
    <cellStyle name="AggGreen 2 2 3 4" xfId="2532" xr:uid="{B5D4F049-D5B2-44EC-ACE2-7CA4D0A9B38D}"/>
    <cellStyle name="AggGreen 2 2 3 40" xfId="20092" xr:uid="{9062FEAD-76C5-4F14-B24F-B66D2E5D05E4}"/>
    <cellStyle name="AggGreen 2 2 3 41" xfId="20493" xr:uid="{492AA66F-3C03-4013-80AB-7361B69B98A3}"/>
    <cellStyle name="AggGreen 2 2 3 42" xfId="20947" xr:uid="{7F0A7E11-AA44-48D5-855A-5DB98B9D666E}"/>
    <cellStyle name="AggGreen 2 2 3 43" xfId="21633" xr:uid="{FA7611B6-D25D-4D3E-963C-450DF4F9DCA3}"/>
    <cellStyle name="AggGreen 2 2 3 44" xfId="21876" xr:uid="{ECA1328E-E55A-49B1-A2FE-03458EC64AA4}"/>
    <cellStyle name="AggGreen 2 2 3 45" xfId="22312" xr:uid="{8E62816E-0BDC-41B7-A503-7E45EF3E171B}"/>
    <cellStyle name="AggGreen 2 2 3 46" xfId="22830" xr:uid="{FC9778BE-13DB-4848-A3CA-725625A0C5A7}"/>
    <cellStyle name="AggGreen 2 2 3 47" xfId="22910" xr:uid="{87085E0F-346F-49B2-B8E1-C70DCBA2A39D}"/>
    <cellStyle name="AggGreen 2 2 3 48" xfId="23540" xr:uid="{A3AEFD72-9FC0-4F0C-B5A6-109A3AF3B98A}"/>
    <cellStyle name="AggGreen 2 2 3 49" xfId="23892" xr:uid="{CA308E92-C292-4F11-8984-FA27E114BC54}"/>
    <cellStyle name="AggGreen 2 2 3 5" xfId="3011" xr:uid="{ADAF2871-7CBF-4628-8CF8-1C5AE87AAFBB}"/>
    <cellStyle name="AggGreen 2 2 3 50" xfId="24800" xr:uid="{17D7ED29-5CE3-4D77-ADFB-C021AC34E65A}"/>
    <cellStyle name="AggGreen 2 2 3 51" xfId="25201" xr:uid="{DCF8842D-188E-4905-8CBC-1D36CE5A2A1C}"/>
    <cellStyle name="AggGreen 2 2 3 52" xfId="25716" xr:uid="{62D2790A-F488-4860-A3A5-61247E39C069}"/>
    <cellStyle name="AggGreen 2 2 3 53" xfId="26135" xr:uid="{FA22D297-D5E9-47C9-AC1C-5D707182843F}"/>
    <cellStyle name="AggGreen 2 2 3 54" xfId="26353" xr:uid="{4DA54B76-87F6-40B2-B408-068ED4AFB2AC}"/>
    <cellStyle name="AggGreen 2 2 3 55" xfId="27004" xr:uid="{86935D38-5474-4609-A235-CE4D18A5E2F4}"/>
    <cellStyle name="AggGreen 2 2 3 56" xfId="27423" xr:uid="{6AEEBCF8-F45E-45CB-BC37-6A4FF1D6DA8D}"/>
    <cellStyle name="AggGreen 2 2 3 57" xfId="27657" xr:uid="{E6561064-A4C8-4D69-8BD6-C662E12B0838}"/>
    <cellStyle name="AggGreen 2 2 3 58" xfId="28550" xr:uid="{06090289-0F06-4D84-8EAB-F07EA7754B29}"/>
    <cellStyle name="AggGreen 2 2 3 59" xfId="29017" xr:uid="{2D79BFE0-42D5-43F2-9901-A856C3C292BD}"/>
    <cellStyle name="AggGreen 2 2 3 6" xfId="3685" xr:uid="{0F26CE9E-65CE-481D-8068-CBB306F87C3D}"/>
    <cellStyle name="AggGreen 2 2 3 60" xfId="29344" xr:uid="{B899B55D-2BA3-49E1-8FF7-C3F2D1C43346}"/>
    <cellStyle name="AggGreen 2 2 3 61" xfId="29806" xr:uid="{A843F3D9-B220-4D71-8C77-2FC75E17A2E2}"/>
    <cellStyle name="AggGreen 2 2 3 62" xfId="30212" xr:uid="{703DEB87-BA40-4F91-9BB2-820C4C3D0CA8}"/>
    <cellStyle name="AggGreen 2 2 3 63" xfId="30629" xr:uid="{37597706-DCDD-4B5A-9910-C06D89FFDC19}"/>
    <cellStyle name="AggGreen 2 2 3 64" xfId="30830" xr:uid="{7961E245-19C5-4999-8044-C2767827A0F6}"/>
    <cellStyle name="AggGreen 2 2 3 65" xfId="31245" xr:uid="{A787E3FA-4D2B-4B70-B2AE-1C414E1A3AB6}"/>
    <cellStyle name="AggGreen 2 2 3 66" xfId="31936" xr:uid="{A221029C-EA75-44CD-94BC-B61F4D069CF1}"/>
    <cellStyle name="AggGreen 2 2 3 67" xfId="32311" xr:uid="{0A944B83-A18B-445E-90C0-0B28A37DDCDB}"/>
    <cellStyle name="AggGreen 2 2 3 7" xfId="4028" xr:uid="{D10D1643-C66D-4570-8DF2-766C6525FD3B}"/>
    <cellStyle name="AggGreen 2 2 3 8" xfId="4465" xr:uid="{7C1D53A9-9246-41D2-BBCC-86B41549F554}"/>
    <cellStyle name="AggGreen 2 2 3 9" xfId="4983" xr:uid="{15E921AB-F132-4352-9DD5-1D7933E6CE3A}"/>
    <cellStyle name="AggGreen 2 3" xfId="261" xr:uid="{0E3E3B2A-8D19-45B0-8700-2C9C5497068E}"/>
    <cellStyle name="AggGreen 2 3 10" xfId="2856" xr:uid="{BB0D0F71-F367-44E2-A29E-3B9442416301}"/>
    <cellStyle name="AggGreen 2 3 11" xfId="3827" xr:uid="{3A8BF893-D90B-4EAF-B3BE-20A5F9CEB53C}"/>
    <cellStyle name="AggGreen 2 3 12" xfId="3807" xr:uid="{49C2C410-046A-4DFB-85E8-AD2CC8439FD3}"/>
    <cellStyle name="AggGreen 2 3 13" xfId="4660" xr:uid="{C040EB15-5596-41F4-806B-D928E1573FD7}"/>
    <cellStyle name="AggGreen 2 3 14" xfId="4754" xr:uid="{1A7BDA48-2FFF-47FA-BA73-913B1107C140}"/>
    <cellStyle name="AggGreen 2 3 15" xfId="4695" xr:uid="{DCB730A8-D830-41BD-9B67-D4B8208E8FB3}"/>
    <cellStyle name="AggGreen 2 3 16" xfId="4716" xr:uid="{741CEB32-50DD-4BD0-B25E-2C53AB210447}"/>
    <cellStyle name="AggGreen 2 3 17" xfId="6991" xr:uid="{5D183B60-6C8E-4468-9200-6F7F86EE5A1B}"/>
    <cellStyle name="AggGreen 2 3 18" xfId="7646" xr:uid="{F0684BF9-5E18-45D4-99E6-AA274D3269FE}"/>
    <cellStyle name="AggGreen 2 3 19" xfId="8123" xr:uid="{56761A98-BECA-4D48-B391-D22F4AA507A2}"/>
    <cellStyle name="AggGreen 2 3 2" xfId="600" xr:uid="{0B092B21-96D7-4EF8-BDDB-FCAB125E63A5}"/>
    <cellStyle name="AggGreen 2 3 2 10" xfId="4756" xr:uid="{F30B3033-9912-4429-BD10-BD036C8B0475}"/>
    <cellStyle name="AggGreen 2 3 2 11" xfId="5248" xr:uid="{96E4F923-2CC1-4A1D-B52C-44291AF3D1BE}"/>
    <cellStyle name="AggGreen 2 3 2 12" xfId="5115" xr:uid="{97F72A38-396D-4E32-A584-02D5D312966F}"/>
    <cellStyle name="AggGreen 2 3 2 13" xfId="6129" xr:uid="{C246BAE7-4F34-4E96-8439-C21EDAC9A7B9}"/>
    <cellStyle name="AggGreen 2 3 2 14" xfId="3800" xr:uid="{ED3551F2-1B62-49C6-9E20-60E253D8F89C}"/>
    <cellStyle name="AggGreen 2 3 2 15" xfId="7320" xr:uid="{9DFD6DEF-3C32-408F-8EE4-54065D8BA22A}"/>
    <cellStyle name="AggGreen 2 3 2 16" xfId="7186" xr:uid="{FE27E0CC-B4ED-48B2-871B-A011CA6EECEE}"/>
    <cellStyle name="AggGreen 2 3 2 17" xfId="8087" xr:uid="{2A62A4C5-C643-4BDB-AAD6-EA4DFF778FDF}"/>
    <cellStyle name="AggGreen 2 3 2 18" xfId="8806" xr:uid="{46F62AC3-3B40-406C-B8F5-A78E2A9D32F0}"/>
    <cellStyle name="AggGreen 2 3 2 19" xfId="9534" xr:uid="{C5EB87E8-EA48-4907-A325-88B1735BEAE4}"/>
    <cellStyle name="AggGreen 2 3 2 2" xfId="815" xr:uid="{F14051DB-90D9-4AE6-BD78-CB0BDA3E601F}"/>
    <cellStyle name="AggGreen 2 3 2 2 10" xfId="5463" xr:uid="{5BCA5153-048C-46B9-ABA0-215D5B65B23A}"/>
    <cellStyle name="AggGreen 2 3 2 2 11" xfId="5694" xr:uid="{C7532B95-DCA5-48CE-9766-19DAE5BB9A22}"/>
    <cellStyle name="AggGreen 2 3 2 2 12" xfId="6043" xr:uid="{0FAAC5E8-0819-4715-B486-FAFACE21A4C0}"/>
    <cellStyle name="AggGreen 2 3 2 2 13" xfId="6517" xr:uid="{026CB334-E494-4837-AA6A-CCEB10715D3E}"/>
    <cellStyle name="AggGreen 2 3 2 2 14" xfId="7535" xr:uid="{DA9104CC-381D-4B02-936E-0AC29CE20171}"/>
    <cellStyle name="AggGreen 2 3 2 2 15" xfId="6880" xr:uid="{DF692543-2266-46B8-80B2-BABF94956208}"/>
    <cellStyle name="AggGreen 2 3 2 2 16" xfId="6850" xr:uid="{F1574935-C6DB-44DD-B14F-6DEEE86D6BC5}"/>
    <cellStyle name="AggGreen 2 3 2 2 17" xfId="7691" xr:uid="{B688C591-79D0-4921-8D2A-038335FA0DC3}"/>
    <cellStyle name="AggGreen 2 3 2 2 18" xfId="9749" xr:uid="{77FB398F-A6B5-4DA7-A8B6-0DA93C5149E1}"/>
    <cellStyle name="AggGreen 2 3 2 2 19" xfId="9093" xr:uid="{70C3ABBC-08FD-435E-99E0-04E6F4CB9773}"/>
    <cellStyle name="AggGreen 2 3 2 2 2" xfId="1289" xr:uid="{2EEA54D4-8400-49D6-87D1-32BE1002E9DE}"/>
    <cellStyle name="AggGreen 2 3 2 2 20" xfId="9050" xr:uid="{44E281CF-5B42-4F73-ADBE-469550B6AEA6}"/>
    <cellStyle name="AggGreen 2 3 2 2 21" xfId="10573" xr:uid="{442FEDE6-F3B7-4D31-BDE8-E1F12D54516E}"/>
    <cellStyle name="AggGreen 2 3 2 2 22" xfId="11181" xr:uid="{8C526082-2216-4A46-A4A5-0BECADA6A154}"/>
    <cellStyle name="AggGreen 2 3 2 2 23" xfId="12168" xr:uid="{164E5FD8-67D8-4268-BF5E-90452A18636A}"/>
    <cellStyle name="AggGreen 2 3 2 2 24" xfId="12641" xr:uid="{051587B7-6639-4A2E-AD64-12F056FDB01B}"/>
    <cellStyle name="AggGreen 2 3 2 2 25" xfId="13075" xr:uid="{D7251237-8CA5-4A86-A3E3-37C2968F5E80}"/>
    <cellStyle name="AggGreen 2 3 2 2 26" xfId="13512" xr:uid="{EFACD4D1-4A96-43DA-A485-36917D3C8157}"/>
    <cellStyle name="AggGreen 2 3 2 2 27" xfId="12733" xr:uid="{C4C3BDDB-2731-4D16-B614-6869922FE814}"/>
    <cellStyle name="AggGreen 2 3 2 2 28" xfId="14136" xr:uid="{440DEE28-D771-4C77-B16F-D7B37FEB44B3}"/>
    <cellStyle name="AggGreen 2 3 2 2 29" xfId="13154" xr:uid="{C398EAB5-A525-4BB4-95B5-C463260CFE72}"/>
    <cellStyle name="AggGreen 2 3 2 2 3" xfId="1476" xr:uid="{E7C8CC29-3419-4D73-911F-18269297935C}"/>
    <cellStyle name="AggGreen 2 3 2 2 30" xfId="14213" xr:uid="{2B7F0469-F325-44BB-8260-A953DF74C2CB}"/>
    <cellStyle name="AggGreen 2 3 2 2 31" xfId="15497" xr:uid="{A4E22C40-DEAC-43E9-BE03-1DF4FE525D7A}"/>
    <cellStyle name="AggGreen 2 3 2 2 32" xfId="14863" xr:uid="{0415DAF0-25EE-4A7F-B6AE-2E8D7D653708}"/>
    <cellStyle name="AggGreen 2 3 2 2 33" xfId="16860" xr:uid="{07FF0FFC-0F3B-486A-9F42-61A524E37CE5}"/>
    <cellStyle name="AggGreen 2 3 2 2 34" xfId="16196" xr:uid="{8B55F64E-2D16-4102-B5E9-7748E6932788}"/>
    <cellStyle name="AggGreen 2 3 2 2 35" xfId="16147" xr:uid="{DBDC19C3-EE99-4CED-AAFE-AA288523DAD1}"/>
    <cellStyle name="AggGreen 2 3 2 2 36" xfId="18217" xr:uid="{EAC720A6-E6F4-41D0-8EFF-28BFAD9104F2}"/>
    <cellStyle name="AggGreen 2 3 2 2 37" xfId="18678" xr:uid="{53395AD9-7EBB-4BA7-A5B8-AF440263E46F}"/>
    <cellStyle name="AggGreen 2 3 2 2 38" xfId="18335" xr:uid="{ABC07F16-ED30-4C7B-B728-9BE61A1BC09D}"/>
    <cellStyle name="AggGreen 2 3 2 2 39" xfId="18920" xr:uid="{A2F27919-1241-4513-B73C-D59BFAC1F56F}"/>
    <cellStyle name="AggGreen 2 3 2 2 4" xfId="2637" xr:uid="{619619B1-3895-4B13-8ED9-D5C7801589AE}"/>
    <cellStyle name="AggGreen 2 3 2 2 40" xfId="20197" xr:uid="{EA8E0D2D-BE70-45B2-A15A-0670452EB3EC}"/>
    <cellStyle name="AggGreen 2 3 2 2 41" xfId="19528" xr:uid="{119ACA60-2FCD-4E51-96FD-8CDD614C27BF}"/>
    <cellStyle name="AggGreen 2 3 2 2 42" xfId="20552" xr:uid="{74DF5760-89B5-448D-B28D-C4C14463C8D0}"/>
    <cellStyle name="AggGreen 2 3 2 2 43" xfId="20355" xr:uid="{58BBEA8A-56DA-4B22-BFC7-C7B973275A57}"/>
    <cellStyle name="AggGreen 2 3 2 2 44" xfId="20649" xr:uid="{5397179F-1612-49A8-97EB-93340C0AE5DB}"/>
    <cellStyle name="AggGreen 2 3 2 2 45" xfId="21783" xr:uid="{55609DBC-B150-4F4C-B1EF-30921153F58B}"/>
    <cellStyle name="AggGreen 2 3 2 2 46" xfId="22298" xr:uid="{6D6E3F67-8F4A-4CD4-BBE1-2E2D3BB1F088}"/>
    <cellStyle name="AggGreen 2 3 2 2 47" xfId="22831" xr:uid="{AE8C1AF6-71F1-4D97-B878-8A65C6FD0D4D}"/>
    <cellStyle name="AggGreen 2 3 2 2 48" xfId="23438" xr:uid="{46F325D8-FC14-4732-8762-56AF5821ADB0}"/>
    <cellStyle name="AggGreen 2 3 2 2 49" xfId="23997" xr:uid="{FE6B6E44-72CB-40A0-AB95-EA8BB07785E4}"/>
    <cellStyle name="AggGreen 2 3 2 2 5" xfId="2173" xr:uid="{EA2EF93D-5C85-4A1A-8B49-AED5BA5C673A}"/>
    <cellStyle name="AggGreen 2 3 2 2 50" xfId="24905" xr:uid="{F7A3D30B-A433-4130-BA2D-46D6A0862D20}"/>
    <cellStyle name="AggGreen 2 3 2 2 51" xfId="24465" xr:uid="{12FC38AB-13B8-4940-AE3F-471216967AB0}"/>
    <cellStyle name="AggGreen 2 3 2 2 52" xfId="25821" xr:uid="{137EB754-B707-4949-8402-C5BC86C1071F}"/>
    <cellStyle name="AggGreen 2 3 2 2 53" xfId="25927" xr:uid="{2A4F6D58-3814-436C-90B7-BAF58745A798}"/>
    <cellStyle name="AggGreen 2 3 2 2 54" xfId="24200" xr:uid="{754ECD9E-A1F0-4373-BB5C-4128740F40F5}"/>
    <cellStyle name="AggGreen 2 3 2 2 55" xfId="27109" xr:uid="{56E065E4-DFA3-4A94-B0B9-9F866EE787F9}"/>
    <cellStyle name="AggGreen 2 3 2 2 56" xfId="27528" xr:uid="{00C1743F-5BB5-4861-842A-DE2EBA1015D2}"/>
    <cellStyle name="AggGreen 2 3 2 2 57" xfId="26701" xr:uid="{241FAA69-672F-41BF-AFE0-255BCF5AC9C4}"/>
    <cellStyle name="AggGreen 2 3 2 2 58" xfId="28655" xr:uid="{ACFA14AB-2F42-4770-B65B-48D6D8041686}"/>
    <cellStyle name="AggGreen 2 3 2 2 59" xfId="29122" xr:uid="{1603A4D5-0A38-4BF4-BD6B-B4DAD5BA0BB8}"/>
    <cellStyle name="AggGreen 2 3 2 2 6" xfId="1939" xr:uid="{D5E7F60E-DF2D-439A-96EB-9A13FDFCF81E}"/>
    <cellStyle name="AggGreen 2 3 2 2 60" xfId="27963" xr:uid="{B600E8E2-2C43-4717-B528-E2614BD0B5E4}"/>
    <cellStyle name="AggGreen 2 3 2 2 61" xfId="29911" xr:uid="{5FFD76E6-742F-4EC4-802B-4521C84A3562}"/>
    <cellStyle name="AggGreen 2 3 2 2 62" xfId="30317" xr:uid="{5412204B-7DC3-4079-BF53-407C8E7C5BEC}"/>
    <cellStyle name="AggGreen 2 3 2 2 63" xfId="30734" xr:uid="{5686C868-08FE-4030-8758-B63103A36918}"/>
    <cellStyle name="AggGreen 2 3 2 2 64" xfId="29265" xr:uid="{F474FC79-A58C-4800-89E6-E0AB1268C373}"/>
    <cellStyle name="AggGreen 2 3 2 2 65" xfId="31350" xr:uid="{F9D58A7D-3B3A-457C-A0B7-3E557C617DA2}"/>
    <cellStyle name="AggGreen 2 3 2 2 66" xfId="32041" xr:uid="{94BD7089-3DB7-4B75-90F9-656AC89FAEBE}"/>
    <cellStyle name="AggGreen 2 3 2 2 67" xfId="32243" xr:uid="{7365689B-82EA-424C-BEC6-CBBAC8424F32}"/>
    <cellStyle name="AggGreen 2 3 2 2 7" xfId="4133" xr:uid="{1092CF68-F895-49D1-B202-F42197D0655F}"/>
    <cellStyle name="AggGreen 2 3 2 2 8" xfId="4570" xr:uid="{D26E802E-7D60-4699-8A5B-1C2AE2BDB78F}"/>
    <cellStyle name="AggGreen 2 3 2 2 9" xfId="4921" xr:uid="{D234285B-AB7B-4774-8675-E882C6C89DCA}"/>
    <cellStyle name="AggGreen 2 3 2 20" xfId="9399" xr:uid="{129B22C2-C330-4230-AC49-5B016C77B9C7}"/>
    <cellStyle name="AggGreen 2 3 2 21" xfId="9003" xr:uid="{8FA02BFB-11A3-4FDB-BB57-CC02BA136568}"/>
    <cellStyle name="AggGreen 2 3 2 22" xfId="10874" xr:uid="{C6BBAAA7-898B-4C60-8944-08E50E25ED6E}"/>
    <cellStyle name="AggGreen 2 3 2 23" xfId="10557" xr:uid="{34B934FD-EF49-40A3-AE61-3F0F1C10405F}"/>
    <cellStyle name="AggGreen 2 3 2 24" xfId="11953" xr:uid="{28E57FA2-A89F-4E37-B501-6A986D907523}"/>
    <cellStyle name="AggGreen 2 3 2 25" xfId="12426" xr:uid="{EB6B1887-C171-42CD-939B-EDE94714E650}"/>
    <cellStyle name="AggGreen 2 3 2 26" xfId="12860" xr:uid="{4E58474D-ABAE-4C66-AEC7-D0B7CAA3DC7E}"/>
    <cellStyle name="AggGreen 2 3 2 27" xfId="13297" xr:uid="{FE9B11B5-B452-44D2-86C3-67657BD88E76}"/>
    <cellStyle name="AggGreen 2 3 2 28" xfId="13672" xr:uid="{267CCBC2-D588-47AF-8512-4D82740BC1C8}"/>
    <cellStyle name="AggGreen 2 3 2 29" xfId="14347" xr:uid="{90DCC17C-CC9D-45BF-9C12-BFA95B0EB94D}"/>
    <cellStyle name="AggGreen 2 3 2 3" xfId="1083" xr:uid="{99D9CCB7-6923-4806-9BE0-A7AFE0E9A698}"/>
    <cellStyle name="AggGreen 2 3 2 30" xfId="14369" xr:uid="{67D9B29B-128E-46DF-BACC-33B564592CD6}"/>
    <cellStyle name="AggGreen 2 3 2 31" xfId="14796" xr:uid="{09D60FC7-DB4D-49D7-827F-31ED20618057}"/>
    <cellStyle name="AggGreen 2 3 2 32" xfId="15239" xr:uid="{EE180D19-E776-4F9F-AF65-5957A84ED208}"/>
    <cellStyle name="AggGreen 2 3 2 33" xfId="15489" xr:uid="{7BBC4616-505E-4B4F-BC96-61D6C8BF9CFF}"/>
    <cellStyle name="AggGreen 2 3 2 34" xfId="16645" xr:uid="{54BAFEBE-E51F-4FB7-8CEC-31310BF0FE9E}"/>
    <cellStyle name="AggGreen 2 3 2 35" xfId="16508" xr:uid="{081C2663-F1A5-4893-A512-BCB3CD23AA88}"/>
    <cellStyle name="AggGreen 2 3 2 36" xfId="16100" xr:uid="{4DB7DFAC-96B7-432D-80A2-A4B6BA0A160A}"/>
    <cellStyle name="AggGreen 2 3 2 37" xfId="17581" xr:uid="{EDE37D5D-D8F6-4AC4-B6D7-467D752ACA6C}"/>
    <cellStyle name="AggGreen 2 3 2 38" xfId="18463" xr:uid="{BE9E5E92-1C15-426A-B335-0C2B73D434D6}"/>
    <cellStyle name="AggGreen 2 3 2 39" xfId="18873" xr:uid="{5E792E7D-2C01-41E1-AC72-0C9E91C7AF9E}"/>
    <cellStyle name="AggGreen 2 3 2 4" xfId="1409" xr:uid="{1C77F209-2AF9-443D-8F4A-9195D7EA9B90}"/>
    <cellStyle name="AggGreen 2 3 2 40" xfId="19192" xr:uid="{01F33EBB-0C37-49DD-8751-EAEEE01C4C8A}"/>
    <cellStyle name="AggGreen 2 3 2 41" xfId="19982" xr:uid="{435A8983-AF9B-44F9-97EC-540180402056}"/>
    <cellStyle name="AggGreen 2 3 2 42" xfId="19844" xr:uid="{9DEEC60F-D1E2-495F-A350-D0DC6F125179}"/>
    <cellStyle name="AggGreen 2 3 2 43" xfId="20743" xr:uid="{82251DD7-1533-4BB2-AAE7-CE936B7BFFE0}"/>
    <cellStyle name="AggGreen 2 3 2 44" xfId="21483" xr:uid="{4B78B022-9330-4035-AFB3-B74C51226174}"/>
    <cellStyle name="AggGreen 2 3 2 45" xfId="19482" xr:uid="{A4A529D2-FA72-4C5B-9B11-486C12C0E4BB}"/>
    <cellStyle name="AggGreen 2 3 2 46" xfId="20052" xr:uid="{D5A06299-9E72-4D05-AE47-321940D5292A}"/>
    <cellStyle name="AggGreen 2 3 2 47" xfId="22672" xr:uid="{AB00D907-FE00-4007-AF8D-07290F4AC32F}"/>
    <cellStyle name="AggGreen 2 3 2 48" xfId="23150" xr:uid="{D6E9EDBD-A7F4-4E63-AA7B-CB4DB07AB3CC}"/>
    <cellStyle name="AggGreen 2 3 2 49" xfId="23612" xr:uid="{1E237069-3EB9-4A9E-990F-80C8B7DF4BA9}"/>
    <cellStyle name="AggGreen 2 3 2 5" xfId="2422" xr:uid="{5DA80A21-97C9-4844-B87F-B488A3AD2A55}"/>
    <cellStyle name="AggGreen 2 3 2 50" xfId="23791" xr:uid="{95C119CF-DA01-4E72-9F40-A7BA8438D05F}"/>
    <cellStyle name="AggGreen 2 3 2 51" xfId="24690" xr:uid="{56A17C49-69C5-4547-98F9-F15E9C1BDB0F}"/>
    <cellStyle name="AggGreen 2 3 2 52" xfId="24393" xr:uid="{270FAE8C-A193-4EF7-BD81-E46097ABB67D}"/>
    <cellStyle name="AggGreen 2 3 2 53" xfId="25608" xr:uid="{0CFEA44B-AD4F-4F31-8688-31CE3E19550E}"/>
    <cellStyle name="AggGreen 2 3 2 54" xfId="26239" xr:uid="{0378234B-29C7-4D2D-885D-977962D7232E}"/>
    <cellStyle name="AggGreen 2 3 2 55" xfId="26435" xr:uid="{D73A84F7-3185-4364-AF82-0792DCBBE93D}"/>
    <cellStyle name="AggGreen 2 3 2 56" xfId="26898" xr:uid="{45E967BF-531E-43ED-8E95-35ADB5899B44}"/>
    <cellStyle name="AggGreen 2 3 2 57" xfId="27317" xr:uid="{24CDB863-073D-43E6-955F-25F2C1E4ECD1}"/>
    <cellStyle name="AggGreen 2 3 2 58" xfId="27772" xr:uid="{D54FE030-4698-4D2E-A199-BE0BC713DB21}"/>
    <cellStyle name="AggGreen 2 3 2 59" xfId="28440" xr:uid="{6F8920CE-294F-4593-8563-E8216D9BEEE7}"/>
    <cellStyle name="AggGreen 2 3 2 6" xfId="2838" xr:uid="{64E4830B-7EDD-4844-9DCA-DF16EF61E553}"/>
    <cellStyle name="AggGreen 2 3 2 60" xfId="28908" xr:uid="{826D8DDF-B1C9-4749-9C09-34E30D3E9771}"/>
    <cellStyle name="AggGreen 2 3 2 61" xfId="28782" xr:uid="{CEC380B3-3C76-4459-A0E2-86C993C07255}"/>
    <cellStyle name="AggGreen 2 3 2 62" xfId="29698" xr:uid="{CCE251A7-932E-4519-8818-118ED5E1392C}"/>
    <cellStyle name="AggGreen 2 3 2 63" xfId="30106" xr:uid="{AC9E9D3D-DAAC-45EA-B856-02E16F3477F9}"/>
    <cellStyle name="AggGreen 2 3 2 64" xfId="30520" xr:uid="{C8C1F8E1-4652-4411-8E76-1ED5680227B0}"/>
    <cellStyle name="AggGreen 2 3 2 65" xfId="30985" xr:uid="{13E2A2DB-8BFB-4AD9-A92B-5B50D829CF83}"/>
    <cellStyle name="AggGreen 2 3 2 66" xfId="31144" xr:uid="{0B927ACB-6571-4929-9C37-4B5DFA066CED}"/>
    <cellStyle name="AggGreen 2 3 2 67" xfId="31830" xr:uid="{3BBCE8E6-035B-4B1F-9999-CD4D0F3E48E0}"/>
    <cellStyle name="AggGreen 2 3 2 68" xfId="31522" xr:uid="{054DBCA4-E767-4447-81E9-6AB801C67259}"/>
    <cellStyle name="AggGreen 2 3 2 7" xfId="3388" xr:uid="{749FCF6C-8C36-4D8C-9355-A9263320B4EC}"/>
    <cellStyle name="AggGreen 2 3 2 8" xfId="3918" xr:uid="{EE08EBDA-FA4C-4AE9-A9F7-2E1E6D710690}"/>
    <cellStyle name="AggGreen 2 3 2 9" xfId="4356" xr:uid="{97E00389-FF4A-40F7-B99A-A19530A0ACD1}"/>
    <cellStyle name="AggGreen 2 3 20" xfId="6832" xr:uid="{B2ED0291-0586-4C58-84D3-1D9221736DC4}"/>
    <cellStyle name="AggGreen 2 3 21" xfId="9205" xr:uid="{48B24E07-B33B-48F7-A554-34FEFBB7BA3D}"/>
    <cellStyle name="AggGreen 2 3 22" xfId="9856" xr:uid="{B87091E1-F309-4624-B21A-F19A68808489}"/>
    <cellStyle name="AggGreen 2 3 23" xfId="10299" xr:uid="{B8239D92-DC7B-4520-BCEF-FE5DBD1721B2}"/>
    <cellStyle name="AggGreen 2 3 24" xfId="10862" xr:uid="{60E52DF1-E5C1-4B08-A5C9-7F38BB0EA9E3}"/>
    <cellStyle name="AggGreen 2 3 25" xfId="10339" xr:uid="{D470D14E-C142-47FA-986F-ADAE22CDDFCF}"/>
    <cellStyle name="AggGreen 2 3 26" xfId="11617" xr:uid="{B80B63B3-C448-45DD-AB85-20CB5F8AEC49}"/>
    <cellStyle name="AggGreen 2 3 27" xfId="11485" xr:uid="{AD57549F-B2CE-47ED-B032-7E2F8A3EA6E7}"/>
    <cellStyle name="AggGreen 2 3 28" xfId="12525" xr:uid="{0CE1C8DC-6F3A-4FAF-830F-5100295924FD}"/>
    <cellStyle name="AggGreen 2 3 29" xfId="12769" xr:uid="{87733F9A-0345-446B-8AE5-4B51B40A478F}"/>
    <cellStyle name="AggGreen 2 3 3" xfId="669" xr:uid="{EAED8A06-CCE3-437D-AF64-3CACD89B8B01}"/>
    <cellStyle name="AggGreen 2 3 3 10" xfId="4841" xr:uid="{3F911AA2-CCAA-40E2-8255-A0CCA0B3B86B}"/>
    <cellStyle name="AggGreen 2 3 3 11" xfId="5317" xr:uid="{E15A7E1E-C0D1-4E26-9132-E986990817F6}"/>
    <cellStyle name="AggGreen 2 3 3 12" xfId="5836" xr:uid="{99915F15-716A-4552-9B8D-8B486A5B763B}"/>
    <cellStyle name="AggGreen 2 3 3 13" xfId="6195" xr:uid="{3A2F5215-3718-47A9-966B-5AC203300009}"/>
    <cellStyle name="AggGreen 2 3 3 14" xfId="3419" xr:uid="{9925880E-6638-452B-86CC-531989FFC8CE}"/>
    <cellStyle name="AggGreen 2 3 3 15" xfId="7389" xr:uid="{40CE117F-D3B7-4626-BFE6-CCE2D685B9AA}"/>
    <cellStyle name="AggGreen 2 3 3 16" xfId="7709" xr:uid="{A18F886F-20B2-41D2-9C29-BB7AE09084D6}"/>
    <cellStyle name="AggGreen 2 3 3 17" xfId="8565" xr:uid="{D7B76748-282A-4F70-81DF-34960007EF1C}"/>
    <cellStyle name="AggGreen 2 3 3 18" xfId="8896" xr:uid="{811BE8BF-C3B4-468E-9FF3-03BB0485ACED}"/>
    <cellStyle name="AggGreen 2 3 3 19" xfId="9603" xr:uid="{E6486985-A91C-4C13-8131-7E603732F605}"/>
    <cellStyle name="AggGreen 2 3 3 2" xfId="884" xr:uid="{B0F9F1A4-1E57-4692-B0B0-A6B3EEC22B5E}"/>
    <cellStyle name="AggGreen 2 3 3 2 10" xfId="5532" xr:uid="{A8F7E65F-04AF-444F-8DE4-59BC89595714}"/>
    <cellStyle name="AggGreen 2 3 3 2 11" xfId="6026" xr:uid="{7420C036-7A80-4AF7-A867-DA7A98A839B8}"/>
    <cellStyle name="AggGreen 2 3 3 2 12" xfId="6385" xr:uid="{D11F470A-7EBE-4055-8F47-1C2CE1A58A11}"/>
    <cellStyle name="AggGreen 2 3 3 2 13" xfId="6723" xr:uid="{C2D4C8B4-7361-4CF6-8E2B-D934E42D03DF}"/>
    <cellStyle name="AggGreen 2 3 3 2 14" xfId="7604" xr:uid="{18B277C0-F71D-46F2-8882-2D825568A37A}"/>
    <cellStyle name="AggGreen 2 3 3 2 15" xfId="8068" xr:uid="{447181ED-4040-4EAE-BFDE-2D6CB82C26D2}"/>
    <cellStyle name="AggGreen 2 3 3 2 16" xfId="8677" xr:uid="{1D99954D-3AD1-447B-885E-E9FFB9F6A180}"/>
    <cellStyle name="AggGreen 2 3 3 2 17" xfId="8936" xr:uid="{647D2E78-B64D-4149-8266-D585565973CA}"/>
    <cellStyle name="AggGreen 2 3 3 2 18" xfId="9818" xr:uid="{7FCF9C12-E98F-49DE-BEB5-77F8F3B3BEC3}"/>
    <cellStyle name="AggGreen 2 3 3 2 19" xfId="10287" xr:uid="{FCCA64B8-B93F-445A-91D0-54251A9F7ACF}"/>
    <cellStyle name="AggGreen 2 3 3 2 2" xfId="1358" xr:uid="{37517B14-F1D4-46E7-A6CF-CAA8F45DECF4}"/>
    <cellStyle name="AggGreen 2 3 3 2 20" xfId="10681" xr:uid="{39EAD892-0028-4E04-B3B8-E8953821348D}"/>
    <cellStyle name="AggGreen 2 3 3 2 21" xfId="11030" xr:uid="{DE0CA376-0D92-4577-8CB5-078579E7F404}"/>
    <cellStyle name="AggGreen 2 3 3 2 22" xfId="11340" xr:uid="{3BA485D1-0686-4A45-AC17-DEBCEF862A52}"/>
    <cellStyle name="AggGreen 2 3 3 2 23" xfId="12237" xr:uid="{8850EE60-EAB2-4188-8ED7-B94EF6CA1843}"/>
    <cellStyle name="AggGreen 2 3 3 2 24" xfId="12710" xr:uid="{40CCF939-8EC3-40D6-8BFB-966BF120C71B}"/>
    <cellStyle name="AggGreen 2 3 3 2 25" xfId="13144" xr:uid="{C6BE2840-FC97-47BF-B327-B7D4C612EE69}"/>
    <cellStyle name="AggGreen 2 3 3 2 26" xfId="13581" xr:uid="{45434478-A5F0-41BC-885A-08844A025FAF}"/>
    <cellStyle name="AggGreen 2 3 3 2 27" xfId="14053" xr:uid="{159EDE21-D715-4121-A818-81EF180DD55A}"/>
    <cellStyle name="AggGreen 2 3 3 2 28" xfId="14500" xr:uid="{54A4BE31-4C6F-4BDE-B0F3-76164E391E7F}"/>
    <cellStyle name="AggGreen 2 3 3 2 29" xfId="14934" xr:uid="{361024FA-4325-4725-97B1-F872C55567A3}"/>
    <cellStyle name="AggGreen 2 3 3 2 3" xfId="1807" xr:uid="{D7677D58-F2E3-48EA-A512-BDC97993A79E}"/>
    <cellStyle name="AggGreen 2 3 3 2 30" xfId="15404" xr:uid="{189F703E-7B2A-4127-9034-0ACC14C4ECD6}"/>
    <cellStyle name="AggGreen 2 3 3 2 31" xfId="15794" xr:uid="{218EA195-E407-4FFB-8863-7F0D38A1E8C3}"/>
    <cellStyle name="AggGreen 2 3 3 2 32" xfId="16016" xr:uid="{EDDD2285-72B2-4BAE-8629-96F41D61571B}"/>
    <cellStyle name="AggGreen 2 3 3 2 33" xfId="16929" xr:uid="{1D3BF6AF-FE27-43F7-BE10-DED29DB1FC7D}"/>
    <cellStyle name="AggGreen 2 3 3 2 34" xfId="17410" xr:uid="{A89F5458-8296-4945-B29A-845AB4368CF1}"/>
    <cellStyle name="AggGreen 2 3 3 2 35" xfId="17851" xr:uid="{3A6C4825-1EA1-4AB2-B8DB-BA5815AE8F5B}"/>
    <cellStyle name="AggGreen 2 3 3 2 36" xfId="18326" xr:uid="{3383A012-4042-4A42-B9D3-1C5ED5F1302D}"/>
    <cellStyle name="AggGreen 2 3 3 2 37" xfId="18747" xr:uid="{603F3C2F-A189-468E-B02B-53B9F23A6638}"/>
    <cellStyle name="AggGreen 2 3 3 2 38" xfId="19134" xr:uid="{0C2F3F54-CE15-4CEF-8C31-B5F69C141E55}"/>
    <cellStyle name="AggGreen 2 3 3 2 39" xfId="19364" xr:uid="{C06AD6D6-5E2C-47D5-A381-FE097D95D048}"/>
    <cellStyle name="AggGreen 2 3 3 2 4" xfId="2706" xr:uid="{33259FF5-ED42-4679-B9D9-EB0CF2AA6F2C}"/>
    <cellStyle name="AggGreen 2 3 3 2 40" xfId="20266" xr:uid="{A380F2D2-1E81-46E4-B31A-B062AA30A1CA}"/>
    <cellStyle name="AggGreen 2 3 3 2 41" xfId="20759" xr:uid="{EF720DC6-1A3A-492B-A811-D100AB1A29AA}"/>
    <cellStyle name="AggGreen 2 3 3 2 42" xfId="21218" xr:uid="{7BCADA70-6282-4C03-831D-233AEE628496}"/>
    <cellStyle name="AggGreen 2 3 3 2 43" xfId="21710" xr:uid="{5FB31478-334F-4464-BA9C-C1E90ADB571A}"/>
    <cellStyle name="AggGreen 2 3 3 2 44" xfId="22149" xr:uid="{04F0CD95-A971-4805-8E09-3F7A95CD32C4}"/>
    <cellStyle name="AggGreen 2 3 3 2 45" xfId="22576" xr:uid="{090725CD-04D8-40BE-A0F4-F79ADE6CDE69}"/>
    <cellStyle name="AggGreen 2 3 3 2 46" xfId="23021" xr:uid="{2F327C8E-914C-4FE9-9ADE-E6E7B5BAC629}"/>
    <cellStyle name="AggGreen 2 3 3 2 47" xfId="23423" xr:uid="{D52D3A46-6CD2-4B5A-8ADC-A03ED9F62DE5}"/>
    <cellStyle name="AggGreen 2 3 3 2 48" xfId="23686" xr:uid="{C2924062-1A7E-42B9-BA7A-6667751B3FC3}"/>
    <cellStyle name="AggGreen 2 3 3 2 49" xfId="24066" xr:uid="{0A1F2279-CA19-41EC-8D32-30087AFAB400}"/>
    <cellStyle name="AggGreen 2 3 3 2 5" xfId="3226" xr:uid="{6932EF36-3259-4F93-9A9F-A304CB78ADD4}"/>
    <cellStyle name="AggGreen 2 3 3 2 50" xfId="24974" xr:uid="{1C918815-502E-49AC-B9E0-27B065DF68DE}"/>
    <cellStyle name="AggGreen 2 3 3 2 51" xfId="25462" xr:uid="{537D787B-585D-4C3F-819E-AA530C27DCE7}"/>
    <cellStyle name="AggGreen 2 3 3 2 52" xfId="25890" xr:uid="{EF5F8EE4-985D-4009-AA6F-2DD23F29C232}"/>
    <cellStyle name="AggGreen 2 3 3 2 53" xfId="26328" xr:uid="{721986AA-AAD6-4F97-92B5-5615B0EBD223}"/>
    <cellStyle name="AggGreen 2 3 3 2 54" xfId="26757" xr:uid="{977E7954-2813-450C-8AF1-4468B904324C}"/>
    <cellStyle name="AggGreen 2 3 3 2 55" xfId="27178" xr:uid="{C14DEA21-DFEC-4CCD-905F-4BC076BA2839}"/>
    <cellStyle name="AggGreen 2 3 3 2 56" xfId="27597" xr:uid="{FD66E14F-8D5B-442C-9FF3-E3353BEBEED9}"/>
    <cellStyle name="AggGreen 2 3 3 2 57" xfId="27835" xr:uid="{87D18ADC-6FDD-42E6-AFB4-8F4073E83627}"/>
    <cellStyle name="AggGreen 2 3 3 2 58" xfId="28724" xr:uid="{AAA973CC-0530-4509-8F70-00769AC9E3E7}"/>
    <cellStyle name="AggGreen 2 3 3 2 59" xfId="29191" xr:uid="{EEFFF8A3-304B-4AA1-9F38-48660D23ECDD}"/>
    <cellStyle name="AggGreen 2 3 3 2 6" xfId="3781" xr:uid="{E6A19551-EE17-4C0E-B742-046C208BDAE2}"/>
    <cellStyle name="AggGreen 2 3 3 2 60" xfId="29573" xr:uid="{9F5A5300-743C-48DA-895F-DE6DCC1F1FA3}"/>
    <cellStyle name="AggGreen 2 3 3 2 61" xfId="29980" xr:uid="{FE91E297-55CE-4C9A-B2E3-A1123F783CE0}"/>
    <cellStyle name="AggGreen 2 3 3 2 62" xfId="30386" xr:uid="{1429DDED-EB18-438B-B95C-176825012324}"/>
    <cellStyle name="AggGreen 2 3 3 2 63" xfId="30803" xr:uid="{757E8854-B709-4B9A-8613-3CFF0E6D2632}"/>
    <cellStyle name="AggGreen 2 3 3 2 64" xfId="31048" xr:uid="{5CE58463-752B-403F-B1D5-3CBE87EF0087}"/>
    <cellStyle name="AggGreen 2 3 3 2 65" xfId="31419" xr:uid="{55A0F36B-9DDD-45A0-93CF-478AD05A060B}"/>
    <cellStyle name="AggGreen 2 3 3 2 66" xfId="32110" xr:uid="{6C0C41FD-AD25-4EC4-B5EA-5C4FD1829220}"/>
    <cellStyle name="AggGreen 2 3 3 2 67" xfId="32397" xr:uid="{F9585823-6D80-4CC3-BA89-3519A2CF2D72}"/>
    <cellStyle name="AggGreen 2 3 3 2 7" xfId="4202" xr:uid="{C419C06F-59E4-4A83-8649-75AFF7D0B3C0}"/>
    <cellStyle name="AggGreen 2 3 3 2 8" xfId="4639" xr:uid="{50F353B3-E3DB-47F7-AD2E-0266CCCE48FB}"/>
    <cellStyle name="AggGreen 2 3 3 2 9" xfId="5085" xr:uid="{3A623AC9-E8EE-4C3E-82FF-64CC0F0F421F}"/>
    <cellStyle name="AggGreen 2 3 3 20" xfId="9923" xr:uid="{CAC7A9EC-5550-48F3-8D54-24DC6A3055C8}"/>
    <cellStyle name="AggGreen 2 3 3 21" xfId="10354" xr:uid="{33418EAB-B91A-40B2-A65B-5C9A2A447AEF}"/>
    <cellStyle name="AggGreen 2 3 3 22" xfId="10832" xr:uid="{2F943C7A-80E9-4731-9EA8-AB7DEAC95272}"/>
    <cellStyle name="AggGreen 2 3 3 23" xfId="11189" xr:uid="{F330F7A0-184C-4F03-9F3F-E798D456C12D}"/>
    <cellStyle name="AggGreen 2 3 3 24" xfId="12022" xr:uid="{A7BBCABC-4D98-4185-BFE1-13E60E8D9E9A}"/>
    <cellStyle name="AggGreen 2 3 3 25" xfId="12495" xr:uid="{7590EF55-8997-4651-856B-738019D59182}"/>
    <cellStyle name="AggGreen 2 3 3 26" xfId="12929" xr:uid="{D55CC7A2-D213-44B1-8881-4433B3CF79AB}"/>
    <cellStyle name="AggGreen 2 3 3 27" xfId="13366" xr:uid="{F60E8DD0-7F01-4314-A12C-6C566FF351C1}"/>
    <cellStyle name="AggGreen 2 3 3 28" xfId="13809" xr:uid="{FD0087C8-5E89-44D1-B6E0-FCD595212181}"/>
    <cellStyle name="AggGreen 2 3 3 29" xfId="14446" xr:uid="{F3213FFA-C8D0-4E1B-BB2C-6852793D193F}"/>
    <cellStyle name="AggGreen 2 3 3 3" xfId="1152" xr:uid="{472978E8-98EA-418E-9E38-C621FD525C27}"/>
    <cellStyle name="AggGreen 2 3 3 30" xfId="14575" xr:uid="{51956155-CE6F-4732-A80A-EDFAB0CC6D30}"/>
    <cellStyle name="AggGreen 2 3 3 31" xfId="11368" xr:uid="{DA968348-9EFB-471F-A4CC-7A7A2CD15B79}"/>
    <cellStyle name="AggGreen 2 3 3 32" xfId="14636" xr:uid="{47F765D0-7800-4D62-9E6D-E9B4D874444E}"/>
    <cellStyle name="AggGreen 2 3 3 33" xfId="15811" xr:uid="{68DEC2DA-0692-4327-84C5-AC9F7FE7DC99}"/>
    <cellStyle name="AggGreen 2 3 3 34" xfId="16714" xr:uid="{2C10BF71-868D-464E-8A73-343E9EEFEDEC}"/>
    <cellStyle name="AggGreen 2 3 3 35" xfId="17037" xr:uid="{DE5CE633-DA67-4F8E-93A6-34F76F209C2C}"/>
    <cellStyle name="AggGreen 2 3 3 36" xfId="17485" xr:uid="{CD1F1BBC-93A9-4454-B652-9EAC25358B18}"/>
    <cellStyle name="AggGreen 2 3 3 37" xfId="18205" xr:uid="{89E7ADD8-5755-4EC0-A9A4-947911A226E9}"/>
    <cellStyle name="AggGreen 2 3 3 38" xfId="18532" xr:uid="{C83CA218-078A-4580-9F0A-A01862CE72B2}"/>
    <cellStyle name="AggGreen 2 3 3 39" xfId="18344" xr:uid="{69355FC0-10CF-4225-853C-4F324F84A5E0}"/>
    <cellStyle name="AggGreen 2 3 3 4" xfId="1519" xr:uid="{6EC2FF48-20CC-4CBB-9B36-0EE46F1A9D9A}"/>
    <cellStyle name="AggGreen 2 3 3 40" xfId="19328" xr:uid="{299EDB24-6AD3-4A84-AEBC-8806236D98AE}"/>
    <cellStyle name="AggGreen 2 3 3 41" xfId="20051" xr:uid="{C1624CFE-470E-4793-8009-7D7539A2B312}"/>
    <cellStyle name="AggGreen 2 3 3 42" xfId="20389" xr:uid="{AAF2E9D7-12F0-4C04-A759-65E92F276CBF}"/>
    <cellStyle name="AggGreen 2 3 3 43" xfId="20842" xr:uid="{6274A7C7-6F91-44D3-A395-017092856BBA}"/>
    <cellStyle name="AggGreen 2 3 3 44" xfId="21621" xr:uid="{6C4284C6-BB55-4D2E-A59F-B87B79834293}"/>
    <cellStyle name="AggGreen 2 3 3 45" xfId="21775" xr:uid="{E7F21870-5C47-47C2-8C8C-3A24D37C452A}"/>
    <cellStyle name="AggGreen 2 3 3 46" xfId="22212" xr:uid="{26BC429B-8E45-4D79-9E3F-C83CBB956808}"/>
    <cellStyle name="AggGreen 2 3 3 47" xfId="22798" xr:uid="{0A5CA018-4EEC-41FA-AB0D-114B46E6C825}"/>
    <cellStyle name="AggGreen 2 3 3 48" xfId="23003" xr:uid="{C16A3002-8EC2-43AB-9FCA-6FEF466C81A2}"/>
    <cellStyle name="AggGreen 2 3 3 49" xfId="23593" xr:uid="{74D19494-DC21-4E06-95AB-5E71C17EE1AE}"/>
    <cellStyle name="AggGreen 2 3 3 5" xfId="2491" xr:uid="{13DFC970-1134-423D-ABEA-C23590EF60DE}"/>
    <cellStyle name="AggGreen 2 3 3 50" xfId="23860" xr:uid="{241511AB-1274-4C25-8881-CD0E2A4A9C70}"/>
    <cellStyle name="AggGreen 2 3 3 51" xfId="24759" xr:uid="{4125BCEE-9E71-4B33-BCC4-1FA222D156BE}"/>
    <cellStyle name="AggGreen 2 3 3 52" xfId="25099" xr:uid="{57CC1F57-96D7-4EDA-9889-AF550B96B0BF}"/>
    <cellStyle name="AggGreen 2 3 3 53" xfId="25677" xr:uid="{7C028674-33A0-417F-AE72-625E45E214E6}"/>
    <cellStyle name="AggGreen 2 3 3 54" xfId="26102" xr:uid="{F1FE1563-053B-4D7F-AFD8-839507F848E5}"/>
    <cellStyle name="AggGreen 2 3 3 55" xfId="26571" xr:uid="{157815E7-B163-412C-AB7C-A723880FE0BA}"/>
    <cellStyle name="AggGreen 2 3 3 56" xfId="26967" xr:uid="{B5052EE7-37E4-4FA8-99C0-AF127B85CA63}"/>
    <cellStyle name="AggGreen 2 3 3 57" xfId="27386" xr:uid="{A2A76FCC-AAE9-48BE-A11C-45D750913C2D}"/>
    <cellStyle name="AggGreen 2 3 3 58" xfId="27781" xr:uid="{D15A541E-17CB-49D6-8FA3-8836426A7497}"/>
    <cellStyle name="AggGreen 2 3 3 59" xfId="28509" xr:uid="{83001C59-4A0E-4E94-B2BE-8EFCA70C1DD7}"/>
    <cellStyle name="AggGreen 2 3 3 6" xfId="2975" xr:uid="{1DC18CC0-D972-42A4-BA53-0CE36294EE17}"/>
    <cellStyle name="AggGreen 2 3 3 60" xfId="28977" xr:uid="{87FD909C-DA1F-400C-8954-2EC7C843856E}"/>
    <cellStyle name="AggGreen 2 3 3 61" xfId="29253" xr:uid="{878D5C42-4B93-45D5-B940-053B5751F317}"/>
    <cellStyle name="AggGreen 2 3 3 62" xfId="29767" xr:uid="{E1EDC5E4-1895-43E8-826E-D5EB023589C8}"/>
    <cellStyle name="AggGreen 2 3 3 63" xfId="30175" xr:uid="{C01AA2CB-803A-4295-B4E3-6AB1130D58C4}"/>
    <cellStyle name="AggGreen 2 3 3 64" xfId="30589" xr:uid="{ADC7448B-DA17-4343-98A4-7FFF9E28FAB9}"/>
    <cellStyle name="AggGreen 2 3 3 65" xfId="30828" xr:uid="{FE2B7C3F-EBBB-433F-ADC1-EF44CFAB5D3A}"/>
    <cellStyle name="AggGreen 2 3 3 66" xfId="31213" xr:uid="{C8F5F602-7E50-45B9-BEB6-28463F69DABD}"/>
    <cellStyle name="AggGreen 2 3 3 67" xfId="31899" xr:uid="{43BADE40-9FCF-45CE-A2D5-AFFCB9CF6EA1}"/>
    <cellStyle name="AggGreen 2 3 3 68" xfId="32298" xr:uid="{F2D72841-8CC0-4B7D-91B4-52E8E62989C6}"/>
    <cellStyle name="AggGreen 2 3 3 7" xfId="1841" xr:uid="{028D2642-C89B-4662-A7AB-92298A9297CE}"/>
    <cellStyle name="AggGreen 2 3 3 8" xfId="3987" xr:uid="{6E4ABEF1-050B-4A19-94F6-A7EF89C4C0E5}"/>
    <cellStyle name="AggGreen 2 3 3 9" xfId="4425" xr:uid="{BCD7C12B-7160-48DE-92EC-2E1A68B9212A}"/>
    <cellStyle name="AggGreen 2 3 30" xfId="11675" xr:uid="{1192E159-665F-4548-BEBD-4AADAA0BF9A3}"/>
    <cellStyle name="AggGreen 2 3 31" xfId="13675" xr:uid="{9C83E0E5-D092-41D1-882F-EA571FCCA3FE}"/>
    <cellStyle name="AggGreen 2 3 32" xfId="14509" xr:uid="{CB27CD14-F96D-4037-A27F-ED531A04F5BF}"/>
    <cellStyle name="AggGreen 2 3 33" xfId="14090" xr:uid="{DBAF3CA5-21AA-46E5-B485-D42B7365A0CB}"/>
    <cellStyle name="AggGreen 2 3 34" xfId="14670" xr:uid="{8BDC8035-C576-41B1-91D8-192F13F73137}"/>
    <cellStyle name="AggGreen 2 3 35" xfId="14109" xr:uid="{C2F61C92-7370-40A5-AF70-BF3CC8FBA890}"/>
    <cellStyle name="AggGreen 2 3 36" xfId="16312" xr:uid="{7CB11349-128F-4054-A866-63EDAE6ED149}"/>
    <cellStyle name="AggGreen 2 3 37" xfId="16972" xr:uid="{E1D5918D-ECB4-40EA-991A-5B2DAD8E8853}"/>
    <cellStyle name="AggGreen 2 3 38" xfId="17423" xr:uid="{E5F169AC-12CC-43AD-84B2-07AF78CE4CA8}"/>
    <cellStyle name="AggGreen 2 3 39" xfId="18244" xr:uid="{B026A8BD-061E-4D84-A8BE-729E76C53C67}"/>
    <cellStyle name="AggGreen 2 3 4" xfId="665" xr:uid="{AB15F646-F093-415D-8F00-A7E7D4F74A97}"/>
    <cellStyle name="AggGreen 2 3 4 10" xfId="4229" xr:uid="{DD989E76-F68C-483B-9F02-A0F82B1CDBE8}"/>
    <cellStyle name="AggGreen 2 3 4 11" xfId="5313" xr:uid="{6DC1D69F-2BFC-44E9-9777-D136EA059433}"/>
    <cellStyle name="AggGreen 2 3 4 12" xfId="5549" xr:uid="{A6AC08BB-A146-4C26-904E-106150F9B2BC}"/>
    <cellStyle name="AggGreen 2 3 4 13" xfId="5569" xr:uid="{D7E8CB87-A512-4A23-A737-3E9CD5A0161E}"/>
    <cellStyle name="AggGreen 2 3 4 14" xfId="6565" xr:uid="{D8215080-D797-4049-9F2E-3EEDE0FEBA98}"/>
    <cellStyle name="AggGreen 2 3 4 15" xfId="7385" xr:uid="{D1BE6F8A-DF3E-47E3-8E53-8AD49AED3E39}"/>
    <cellStyle name="AggGreen 2 3 4 16" xfId="8024" xr:uid="{E2C9B69A-B400-4B19-A608-069A6D773EB6}"/>
    <cellStyle name="AggGreen 2 3 4 17" xfId="6836" xr:uid="{A8A242E0-BCEE-49BD-BB14-C646708A7A40}"/>
    <cellStyle name="AggGreen 2 3 4 18" xfId="8027" xr:uid="{C788EED3-B54B-4411-8123-DCF81FCDCF2D}"/>
    <cellStyle name="AggGreen 2 3 4 19" xfId="9599" xr:uid="{A9444A8E-4A4A-41F0-941A-6E784B4C00FE}"/>
    <cellStyle name="AggGreen 2 3 4 2" xfId="880" xr:uid="{FFC7D059-E429-4763-8207-0B368921C360}"/>
    <cellStyle name="AggGreen 2 3 4 2 10" xfId="5528" xr:uid="{59F6F7DE-C56F-4F72-B5A3-2B4530448818}"/>
    <cellStyle name="AggGreen 2 3 4 2 11" xfId="6022" xr:uid="{D8968E4E-1A0D-4326-9A14-A0B9EF815C5A}"/>
    <cellStyle name="AggGreen 2 3 4 2 12" xfId="6381" xr:uid="{BE0C959B-A26B-4117-A2D8-46132D59A14A}"/>
    <cellStyle name="AggGreen 2 3 4 2 13" xfId="6719" xr:uid="{09BF9A80-57FF-4B4C-804C-249458CA3B86}"/>
    <cellStyle name="AggGreen 2 3 4 2 14" xfId="7600" xr:uid="{3B7CF25D-0ECF-4D2C-A9E2-620AEC4ED74C}"/>
    <cellStyle name="AggGreen 2 3 4 2 15" xfId="8064" xr:uid="{5DF6ADE7-00FC-46F0-BAF9-8987C479F875}"/>
    <cellStyle name="AggGreen 2 3 4 2 16" xfId="8673" xr:uid="{2E92BA00-ABFA-43BD-BFA0-02658FF51799}"/>
    <cellStyle name="AggGreen 2 3 4 2 17" xfId="8932" xr:uid="{A7C88081-2525-44D5-8A52-54C1C47D02E3}"/>
    <cellStyle name="AggGreen 2 3 4 2 18" xfId="9814" xr:uid="{7D925AE5-7D6D-4986-9C02-427B3FD1001E}"/>
    <cellStyle name="AggGreen 2 3 4 2 19" xfId="10283" xr:uid="{A474C62D-3DC1-43C5-9A7F-B8BD8892569F}"/>
    <cellStyle name="AggGreen 2 3 4 2 2" xfId="1354" xr:uid="{59D77F2A-11B8-4871-A8E3-DFF975CF2A93}"/>
    <cellStyle name="AggGreen 2 3 4 2 20" xfId="10677" xr:uid="{D5F09B9E-C997-45FB-AA9B-955F6818174F}"/>
    <cellStyle name="AggGreen 2 3 4 2 21" xfId="11026" xr:uid="{DCCFF740-A746-4AF8-BB61-C3FD9962F29F}"/>
    <cellStyle name="AggGreen 2 3 4 2 22" xfId="11336" xr:uid="{F83A5EA4-2168-4A3E-B670-E37F14B04F38}"/>
    <cellStyle name="AggGreen 2 3 4 2 23" xfId="12233" xr:uid="{A86736F9-FB8E-4A5F-B58D-4C9CF75661B3}"/>
    <cellStyle name="AggGreen 2 3 4 2 24" xfId="12706" xr:uid="{43AAA3EB-1DD5-42E0-A3C0-C539921124C7}"/>
    <cellStyle name="AggGreen 2 3 4 2 25" xfId="13140" xr:uid="{24FF5431-57DB-41A6-A552-22A7C0753853}"/>
    <cellStyle name="AggGreen 2 3 4 2 26" xfId="13577" xr:uid="{6A99F693-75E5-4420-A5B4-FAB84E2EEADF}"/>
    <cellStyle name="AggGreen 2 3 4 2 27" xfId="14049" xr:uid="{12DFFC50-5A47-449E-89DB-6EC6FDA2EB32}"/>
    <cellStyle name="AggGreen 2 3 4 2 28" xfId="14496" xr:uid="{3749B0B6-38EF-462C-B41B-CA124EB47C5F}"/>
    <cellStyle name="AggGreen 2 3 4 2 29" xfId="14930" xr:uid="{E3BB7327-45DA-4138-8A45-3A7A988194C5}"/>
    <cellStyle name="AggGreen 2 3 4 2 3" xfId="1803" xr:uid="{EC9BF55B-BABB-411F-898F-24908E033AFB}"/>
    <cellStyle name="AggGreen 2 3 4 2 30" xfId="15400" xr:uid="{6938B0EB-E3C5-4394-B5AF-337F2C9E25C6}"/>
    <cellStyle name="AggGreen 2 3 4 2 31" xfId="15790" xr:uid="{0DC5F4E3-7E11-4043-9114-32CB775A117E}"/>
    <cellStyle name="AggGreen 2 3 4 2 32" xfId="16012" xr:uid="{FE7A1C65-02F4-45BE-A0B3-603D2A301F47}"/>
    <cellStyle name="AggGreen 2 3 4 2 33" xfId="16925" xr:uid="{5951960B-7821-4D1C-8F83-A822B7FAFB9A}"/>
    <cellStyle name="AggGreen 2 3 4 2 34" xfId="17406" xr:uid="{70A07837-BB94-44E2-ADD2-A488457E4009}"/>
    <cellStyle name="AggGreen 2 3 4 2 35" xfId="17847" xr:uid="{8265802D-E615-496D-B7B0-A656159490A7}"/>
    <cellStyle name="AggGreen 2 3 4 2 36" xfId="18322" xr:uid="{1FA7440F-4BF7-4872-81D3-2DFB078B0462}"/>
    <cellStyle name="AggGreen 2 3 4 2 37" xfId="18743" xr:uid="{E64858DA-7701-481A-BB9E-BCFC6F9FF752}"/>
    <cellStyle name="AggGreen 2 3 4 2 38" xfId="19130" xr:uid="{5BA24F51-5448-489D-964C-1BEABF190CBF}"/>
    <cellStyle name="AggGreen 2 3 4 2 39" xfId="19360" xr:uid="{218CEC00-C75A-4496-B772-F46C58DBBA10}"/>
    <cellStyle name="AggGreen 2 3 4 2 4" xfId="2702" xr:uid="{D615F18E-04CE-4312-8D6D-A6CF5C6AEC60}"/>
    <cellStyle name="AggGreen 2 3 4 2 40" xfId="20262" xr:uid="{C00B769C-22AA-4F9D-B1F9-F92626A13221}"/>
    <cellStyle name="AggGreen 2 3 4 2 41" xfId="20755" xr:uid="{60FFBBB9-83EC-403B-9BE8-21FE22B06B93}"/>
    <cellStyle name="AggGreen 2 3 4 2 42" xfId="21214" xr:uid="{E7C6E0FF-E9BF-40DF-BBBE-4B3BDF3C51F6}"/>
    <cellStyle name="AggGreen 2 3 4 2 43" xfId="21706" xr:uid="{71A7B95D-BD1C-4238-BEDD-1679E6AD7AD4}"/>
    <cellStyle name="AggGreen 2 3 4 2 44" xfId="22145" xr:uid="{05922741-560A-4A25-86B6-24E398D049EA}"/>
    <cellStyle name="AggGreen 2 3 4 2 45" xfId="22572" xr:uid="{F83A4638-E68E-4AF6-ACE3-91D1799D9DFC}"/>
    <cellStyle name="AggGreen 2 3 4 2 46" xfId="23017" xr:uid="{0E7F738C-629B-44D3-B0D2-C024ACF29272}"/>
    <cellStyle name="AggGreen 2 3 4 2 47" xfId="23419" xr:uid="{6D339786-6575-4B35-9FC4-6667900AFB5C}"/>
    <cellStyle name="AggGreen 2 3 4 2 48" xfId="23682" xr:uid="{380B9755-B940-415C-B94E-C32431F482E1}"/>
    <cellStyle name="AggGreen 2 3 4 2 49" xfId="24062" xr:uid="{A6ECE80E-0153-4A96-B6F7-A7456124485F}"/>
    <cellStyle name="AggGreen 2 3 4 2 5" xfId="3222" xr:uid="{B067357F-9BE3-45F1-8E70-62CDC9632AE4}"/>
    <cellStyle name="AggGreen 2 3 4 2 50" xfId="24970" xr:uid="{2AC17153-65BD-4AE2-BAA7-024BD1386A5A}"/>
    <cellStyle name="AggGreen 2 3 4 2 51" xfId="25458" xr:uid="{93617B83-D4F1-4705-BF0C-3F8C654363B7}"/>
    <cellStyle name="AggGreen 2 3 4 2 52" xfId="25886" xr:uid="{D5CA1647-EC1B-4731-8148-713CEE68BA00}"/>
    <cellStyle name="AggGreen 2 3 4 2 53" xfId="26324" xr:uid="{97EC6281-8F11-46D6-BE17-6026B7AF0C7C}"/>
    <cellStyle name="AggGreen 2 3 4 2 54" xfId="26753" xr:uid="{4A001C62-09A2-4585-AE24-9EBEA5064623}"/>
    <cellStyle name="AggGreen 2 3 4 2 55" xfId="27174" xr:uid="{60532939-B5E8-476F-8D8F-89820FB4D318}"/>
    <cellStyle name="AggGreen 2 3 4 2 56" xfId="27593" xr:uid="{58A379C2-D9EB-4E71-A5F4-1A985B39C467}"/>
    <cellStyle name="AggGreen 2 3 4 2 57" xfId="27831" xr:uid="{8B4BFAE1-091F-476F-A8BB-D101D87B1450}"/>
    <cellStyle name="AggGreen 2 3 4 2 58" xfId="28720" xr:uid="{2F8EE456-A3F9-4C53-9BC4-7BD88E9CB131}"/>
    <cellStyle name="AggGreen 2 3 4 2 59" xfId="29187" xr:uid="{F39CD8B0-8771-49CB-A3EC-600A8AA3D264}"/>
    <cellStyle name="AggGreen 2 3 4 2 6" xfId="3777" xr:uid="{09B2F3EF-DA58-4925-9B35-744991A9F591}"/>
    <cellStyle name="AggGreen 2 3 4 2 60" xfId="29569" xr:uid="{D532980F-AB24-4066-B150-0F9FD4F28E56}"/>
    <cellStyle name="AggGreen 2 3 4 2 61" xfId="29976" xr:uid="{92BC319E-8807-4E49-B63C-56354CB74375}"/>
    <cellStyle name="AggGreen 2 3 4 2 62" xfId="30382" xr:uid="{83F2DBFF-C8BC-4256-9019-0FD8C29451D7}"/>
    <cellStyle name="AggGreen 2 3 4 2 63" xfId="30799" xr:uid="{FE9E172A-2E15-49B6-8458-8E84D60C0FB7}"/>
    <cellStyle name="AggGreen 2 3 4 2 64" xfId="31044" xr:uid="{FF237C54-E590-471C-8B7F-6650864A57E9}"/>
    <cellStyle name="AggGreen 2 3 4 2 65" xfId="31415" xr:uid="{4B9AA5E7-42C8-4071-8F07-70CC488D9A98}"/>
    <cellStyle name="AggGreen 2 3 4 2 66" xfId="32106" xr:uid="{73F7DA86-8A34-407E-BD7D-D392CF34A5C4}"/>
    <cellStyle name="AggGreen 2 3 4 2 67" xfId="32393" xr:uid="{E8370143-2F0A-4240-BA05-A7E55E548221}"/>
    <cellStyle name="AggGreen 2 3 4 2 7" xfId="4198" xr:uid="{876F40E5-B4A9-433D-BE98-832B191A8396}"/>
    <cellStyle name="AggGreen 2 3 4 2 8" xfId="4635" xr:uid="{50A4D745-533E-4530-9DF6-18A2C3912E43}"/>
    <cellStyle name="AggGreen 2 3 4 2 9" xfId="5081" xr:uid="{BFD108B6-9A3C-4FCB-B3D3-61A81C4F0599}"/>
    <cellStyle name="AggGreen 2 3 4 20" xfId="10243" xr:uid="{86D7DB93-801A-46D4-A820-D99D6AB7E3CA}"/>
    <cellStyle name="AggGreen 2 3 4 21" xfId="10638" xr:uid="{CC9EBEC0-752F-4970-A8FA-FFBB792BEF1D}"/>
    <cellStyle name="AggGreen 2 3 4 22" xfId="9887" xr:uid="{F7B59888-95DA-4FA9-B3A8-6912D29B12C0}"/>
    <cellStyle name="AggGreen 2 3 4 23" xfId="11185" xr:uid="{9A0989CF-4D7A-4974-879A-2AAFA7FF722F}"/>
    <cellStyle name="AggGreen 2 3 4 24" xfId="12018" xr:uid="{53D5452D-7FCE-4420-9C25-96372AC6AEBF}"/>
    <cellStyle name="AggGreen 2 3 4 25" xfId="12491" xr:uid="{0B7C63E3-A903-4698-94B3-2002EFE0C12C}"/>
    <cellStyle name="AggGreen 2 3 4 26" xfId="12925" xr:uid="{88942BEB-E19F-48DC-A89B-0F08BD0BD547}"/>
    <cellStyle name="AggGreen 2 3 4 27" xfId="13362" xr:uid="{8885CA29-4DF0-43DC-96F8-CAAF594725C9}"/>
    <cellStyle name="AggGreen 2 3 4 28" xfId="11764" xr:uid="{E66AFE0F-B954-417E-82F2-63F3B84659C3}"/>
    <cellStyle name="AggGreen 2 3 4 29" xfId="11361" xr:uid="{4E603F1D-DC0A-460F-B5AC-A93C6B805AAB}"/>
    <cellStyle name="AggGreen 2 3 4 3" xfId="1148" xr:uid="{0BE5076B-0024-4A29-8D19-46534362A2AB}"/>
    <cellStyle name="AggGreen 2 3 4 30" xfId="14890" xr:uid="{440457CA-6637-469D-AA1F-6E4231772B7A}"/>
    <cellStyle name="AggGreen 2 3 4 31" xfId="15010" xr:uid="{950890D4-963C-4569-90F2-F7F890A8398D}"/>
    <cellStyle name="AggGreen 2 3 4 32" xfId="15710" xr:uid="{C0062589-943B-41D7-9F08-7142C9674261}"/>
    <cellStyle name="AggGreen 2 3 4 33" xfId="15984" xr:uid="{0913FF8A-BF0C-4DB7-9840-7DACFE64174B}"/>
    <cellStyle name="AggGreen 2 3 4 34" xfId="16710" xr:uid="{826F90A3-C938-46C3-ADB5-59D292939C95}"/>
    <cellStyle name="AggGreen 2 3 4 35" xfId="17364" xr:uid="{972B6F6C-EB23-4FBA-AE69-FF1AEEEDDD7E}"/>
    <cellStyle name="AggGreen 2 3 4 36" xfId="17806" xr:uid="{23E4F12A-25D8-4917-A9E3-35A3B5C7283F}"/>
    <cellStyle name="AggGreen 2 3 4 37" xfId="17509" xr:uid="{CAE8E664-F804-42A4-AB8B-4E08B8489549}"/>
    <cellStyle name="AggGreen 2 3 4 38" xfId="18528" xr:uid="{A4076952-1AAE-47FC-BC42-D706FAE6B4F5}"/>
    <cellStyle name="AggGreen 2 3 4 39" xfId="18227" xr:uid="{C2EB6733-81A2-437A-A1D5-2664F0E99B87}"/>
    <cellStyle name="AggGreen 2 3 4 4" xfId="1706" xr:uid="{750C245B-D85E-4C29-AE4F-42E54F485977}"/>
    <cellStyle name="AggGreen 2 3 4 40" xfId="18272" xr:uid="{E739EFBD-1311-4384-A210-40812EE61523}"/>
    <cellStyle name="AggGreen 2 3 4 41" xfId="20047" xr:uid="{663C4DFA-878C-4AA4-B932-6CEAF6A009C8}"/>
    <cellStyle name="AggGreen 2 3 4 42" xfId="20714" xr:uid="{BCB8F763-1B04-419C-B6A6-588598A9EABD}"/>
    <cellStyle name="AggGreen 2 3 4 43" xfId="21172" xr:uid="{4BBCCCB1-6BE8-44D4-A3B9-7A55B2357EE3}"/>
    <cellStyle name="AggGreen 2 3 4 44" xfId="20856" xr:uid="{E37DEF94-20F8-4625-A5B4-D0C3A6C88E84}"/>
    <cellStyle name="AggGreen 2 3 4 45" xfId="22103" xr:uid="{3044066C-2A8D-4728-A5CC-D5E08EFD8BFF}"/>
    <cellStyle name="AggGreen 2 3 4 46" xfId="22531" xr:uid="{90B717A8-AFD0-478D-A316-F3597ECF6955}"/>
    <cellStyle name="AggGreen 2 3 4 47" xfId="22047" xr:uid="{CCDE2CA9-7CFB-4484-98EE-B0136CFCED46}"/>
    <cellStyle name="AggGreen 2 3 4 48" xfId="22917" xr:uid="{8DDBCD09-9D21-44DF-8C62-72839967A888}"/>
    <cellStyle name="AggGreen 2 3 4 49" xfId="23116" xr:uid="{2BD415A6-B9F9-41A2-A212-BCEE8FFC772C}"/>
    <cellStyle name="AggGreen 2 3 4 5" xfId="2487" xr:uid="{EF678FDB-0AF0-406B-B1A2-D01585DBC8BB}"/>
    <cellStyle name="AggGreen 2 3 4 50" xfId="23856" xr:uid="{0812A2BF-71DC-4D37-A416-E69676BA1A47}"/>
    <cellStyle name="AggGreen 2 3 4 51" xfId="24755" xr:uid="{9389E5F4-2AF5-4C26-B49F-306ABDD33383}"/>
    <cellStyle name="AggGreen 2 3 4 52" xfId="25418" xr:uid="{C2A0EB6A-A69A-447B-A9BC-D2A17DFD23E6}"/>
    <cellStyle name="AggGreen 2 3 4 53" xfId="25673" xr:uid="{BB51E945-A65B-41F0-9009-52A6A2D16FEE}"/>
    <cellStyle name="AggGreen 2 3 4 54" xfId="24538" xr:uid="{5C1176B8-1C65-4A9D-AF57-1AD7B790B8E9}"/>
    <cellStyle name="AggGreen 2 3 4 55" xfId="25059" xr:uid="{22CE4DFE-9B0A-4E14-B088-B58A01B72A10}"/>
    <cellStyle name="AggGreen 2 3 4 56" xfId="26963" xr:uid="{23EF2AA4-FACC-46FE-A5A5-B21C26ABC4BC}"/>
    <cellStyle name="AggGreen 2 3 4 57" xfId="27382" xr:uid="{614FFFD5-D92F-43F1-A8C3-9B9A8741E785}"/>
    <cellStyle name="AggGreen 2 3 4 58" xfId="27761" xr:uid="{124F6520-5DF4-4891-925A-83886CA8877E}"/>
    <cellStyle name="AggGreen 2 3 4 59" xfId="28505" xr:uid="{0BB64C0B-7315-4E96-8442-66C25303DAF9}"/>
    <cellStyle name="AggGreen 2 3 4 6" xfId="2073" xr:uid="{0897648D-7D52-4028-8D89-FCB242578C0F}"/>
    <cellStyle name="AggGreen 2 3 4 60" xfId="28973" xr:uid="{D66FE89C-7494-405A-A169-50B3FB36B923}"/>
    <cellStyle name="AggGreen 2 3 4 61" xfId="29532" xr:uid="{1AE2F610-19E7-41EC-9B4B-A7C179FE57F6}"/>
    <cellStyle name="AggGreen 2 3 4 62" xfId="29763" xr:uid="{8D0CAE10-5103-43D6-BAF3-6C9963A98B80}"/>
    <cellStyle name="AggGreen 2 3 4 63" xfId="30171" xr:uid="{DEF0D92D-E7F1-4C79-BBDA-ACAB2013B578}"/>
    <cellStyle name="AggGreen 2 3 4 64" xfId="30585" xr:uid="{DA0035EE-05B9-4B15-A808-926EED504006}"/>
    <cellStyle name="AggGreen 2 3 4 65" xfId="30869" xr:uid="{A0168D1A-8B53-4222-BE14-9B864F8CEABB}"/>
    <cellStyle name="AggGreen 2 3 4 66" xfId="31209" xr:uid="{B3487BDB-C088-40A3-B192-758FC8617FEF}"/>
    <cellStyle name="AggGreen 2 3 4 67" xfId="31895" xr:uid="{85CCACE3-0351-43A1-ABF6-22BABB7D80ED}"/>
    <cellStyle name="AggGreen 2 3 4 68" xfId="32255" xr:uid="{471B04E5-CE68-4D8F-986A-F9F7C10B73B1}"/>
    <cellStyle name="AggGreen 2 3 4 7" xfId="3267" xr:uid="{669993BD-F24B-4CC7-AD08-329B70B95112}"/>
    <cellStyle name="AggGreen 2 3 4 8" xfId="3983" xr:uid="{5387ACF0-210E-4C6C-ADE2-1CBC716B2AFE}"/>
    <cellStyle name="AggGreen 2 3 4 9" xfId="4421" xr:uid="{F485BDFA-CAC5-421C-BB4C-27A0915308DC}"/>
    <cellStyle name="AggGreen 2 3 40" xfId="16082" xr:uid="{44B3163F-70D3-4944-91F0-A66BAB9864D1}"/>
    <cellStyle name="AggGreen 2 3 41" xfId="17779" xr:uid="{002D3B94-94FA-4E55-8611-83E3AE1BA001}"/>
    <cellStyle name="AggGreen 2 3 42" xfId="18992" xr:uid="{F06F4E76-D012-4C8C-AB75-D717F3DD8FAA}"/>
    <cellStyle name="AggGreen 2 3 43" xfId="19645" xr:uid="{39DFF6FA-7A47-46E1-BAB6-0E4B518941D1}"/>
    <cellStyle name="AggGreen 2 3 44" xfId="20319" xr:uid="{CCFF1FB6-6739-48D1-B5A6-7337993C123C}"/>
    <cellStyle name="AggGreen 2 3 45" xfId="20775" xr:uid="{D026434A-A146-4873-9168-5630D294147B}"/>
    <cellStyle name="AggGreen 2 3 46" xfId="20869" xr:uid="{4C275175-E201-4896-B9CB-289B59E164BA}"/>
    <cellStyle name="AggGreen 2 3 47" xfId="21082" xr:uid="{08CDCCB5-6D9F-4F94-968E-A9EC4DFF9EE6}"/>
    <cellStyle name="AggGreen 2 3 48" xfId="21244" xr:uid="{A1E1126D-995F-49BE-A2D8-4741BFB73A46}"/>
    <cellStyle name="AggGreen 2 3 49" xfId="22259" xr:uid="{52684852-204F-4B92-8E4C-07ACB200ED0D}"/>
    <cellStyle name="AggGreen 2 3 5" xfId="938" xr:uid="{85131384-7FA2-4FBA-9B4F-5A45B931865E}"/>
    <cellStyle name="AggGreen 2 3 50" xfId="21694" xr:uid="{FF940C85-5C03-48C3-9123-E03D9885085D}"/>
    <cellStyle name="AggGreen 2 3 51" xfId="23601" xr:uid="{F5A0F61B-F6B0-4F4B-B2A1-252116893994}"/>
    <cellStyle name="AggGreen 2 3 52" xfId="23394" xr:uid="{55DB013C-DBD7-4A9B-B6C1-C4B19313A2EB}"/>
    <cellStyle name="AggGreen 2 3 53" xfId="24365" xr:uid="{D2B9F474-BB21-43A4-A71B-8DDFC5BE6DC8}"/>
    <cellStyle name="AggGreen 2 3 54" xfId="25035" xr:uid="{96F33A09-97CC-41E4-B906-A16215DCEC5A}"/>
    <cellStyle name="AggGreen 2 3 55" xfId="24503" xr:uid="{835C7554-1073-4FF2-BE88-1F19BB2C341B}"/>
    <cellStyle name="AggGreen 2 3 56" xfId="24484" xr:uid="{29A39460-074F-44B3-8174-50DEBC3B827F}"/>
    <cellStyle name="AggGreen 2 3 57" xfId="26705" xr:uid="{61CAF3EE-A4C1-4995-BFDB-AB1AB97A62F3}"/>
    <cellStyle name="AggGreen 2 3 58" xfId="26614" xr:uid="{37F51CCD-4CC1-482B-855C-C23494172C55}"/>
    <cellStyle name="AggGreen 2 3 59" xfId="26531" xr:uid="{AC935B58-8766-4D02-A4CA-2211449EFF70}"/>
    <cellStyle name="AggGreen 2 3 6" xfId="1591" xr:uid="{81C00B2B-0C17-4C56-A7C4-283A24D0D07A}"/>
    <cellStyle name="AggGreen 2 3 60" xfId="26028" xr:uid="{9EDBD306-D843-48FE-821C-92CE5043BE25}"/>
    <cellStyle name="AggGreen 2 3 61" xfId="28136" xr:uid="{C95EEE68-A74B-4210-9647-156B42FF2005}"/>
    <cellStyle name="AggGreen 2 3 62" xfId="28020" xr:uid="{90091778-9676-4847-BD8C-4A7A09A3B154}"/>
    <cellStyle name="AggGreen 2 3 63" xfId="29199" xr:uid="{7A2BD140-B81A-4090-9234-2281D2B164F7}"/>
    <cellStyle name="AggGreen 2 3 64" xfId="29359" xr:uid="{2C6F461B-FF41-494A-893A-9D40F6403950}"/>
    <cellStyle name="AggGreen 2 3 65" xfId="29796" xr:uid="{7266BC01-08ED-4320-835E-A1EC9476A5E5}"/>
    <cellStyle name="AggGreen 2 3 66" xfId="29212" xr:uid="{EABA99AB-403C-4E01-B7B1-E9C39D83A0D9}"/>
    <cellStyle name="AggGreen 2 3 67" xfId="30812" xr:uid="{E473331D-AB80-4EC5-89A1-B6586697B71D}"/>
    <cellStyle name="AggGreen 2 3 68" xfId="29581" xr:uid="{7BAE49AA-26B2-45DB-BC84-CC3E2BED1210}"/>
    <cellStyle name="AggGreen 2 3 69" xfId="31588" xr:uid="{B2FFD2A8-C2C1-4B9E-9E04-4943FDB47731}"/>
    <cellStyle name="AggGreen 2 3 7" xfId="2085" xr:uid="{9D3EAA73-46F8-4825-8203-4333091E95AC}"/>
    <cellStyle name="AggGreen 2 3 70" xfId="31444" xr:uid="{E110D25A-8F52-45EE-885A-A838017E8813}"/>
    <cellStyle name="AggGreen 2 3 8" xfId="1842" xr:uid="{4F7ACDC9-E3B1-4EDF-9580-025622C2BB23}"/>
    <cellStyle name="AggGreen 2 3 9" xfId="3692" xr:uid="{DAB35A3A-80A6-453C-8D35-06D82CDBA132}"/>
    <cellStyle name="AggGreen 3" xfId="402" xr:uid="{C1CA799E-509A-43B9-9C0C-EBFE30F0D853}"/>
    <cellStyle name="AggGreen 3 2" xfId="529" xr:uid="{B02C68B2-1F5F-4556-AC6C-86A6174002B4}"/>
    <cellStyle name="AggGreen 3 2 10" xfId="4752" xr:uid="{674A3DFC-7C06-4E0E-8148-453901664D92}"/>
    <cellStyle name="AggGreen 3 2 11" xfId="5177" xr:uid="{F626B23A-B08E-4BB2-A1E8-E5C24D57AC2D}"/>
    <cellStyle name="AggGreen 3 2 12" xfId="3811" xr:uid="{9C15452A-B565-4591-A169-1A01CB52519C}"/>
    <cellStyle name="AggGreen 3 2 13" xfId="5979" xr:uid="{56C0A939-A769-41E9-A83A-695E69E0815B}"/>
    <cellStyle name="AggGreen 3 2 14" xfId="6698" xr:uid="{35453363-208E-4BAB-9022-FCA6ED69DC41}"/>
    <cellStyle name="AggGreen 3 2 15" xfId="7249" xr:uid="{60F90A94-93F9-4E2C-8C54-6005BDFF17B2}"/>
    <cellStyle name="AggGreen 3 2 16" xfId="8038" xr:uid="{1C9316B2-FCA1-453C-8360-4B21778EF720}"/>
    <cellStyle name="AggGreen 3 2 17" xfId="7121" xr:uid="{60599BEA-D545-4E8F-ADE6-6523E6052065}"/>
    <cellStyle name="AggGreen 3 2 18" xfId="8911" xr:uid="{FDEA7CCB-4135-4FDB-9054-3F8B18B32A12}"/>
    <cellStyle name="AggGreen 3 2 19" xfId="9463" xr:uid="{D6829BA4-507F-495F-9AE4-5A6C2588E481}"/>
    <cellStyle name="AggGreen 3 2 2" xfId="744" xr:uid="{D934068F-A725-4503-89A1-C72881D53159}"/>
    <cellStyle name="AggGreen 3 2 2 10" xfId="5392" xr:uid="{B13FA9C5-EF01-4669-86F1-746E98EEB7F5}"/>
    <cellStyle name="AggGreen 3 2 2 11" xfId="4833" xr:uid="{63B2C60A-701E-44D6-A541-2C131672DAA5}"/>
    <cellStyle name="AggGreen 3 2 2 12" xfId="6066" xr:uid="{D96E09D6-94FB-4A68-885C-0C2D730E3F4A}"/>
    <cellStyle name="AggGreen 3 2 2 13" xfId="6155" xr:uid="{3398B4B4-B302-43BF-B51D-12E0699A4766}"/>
    <cellStyle name="AggGreen 3 2 2 14" xfId="7464" xr:uid="{05B7B05C-53AD-4527-96C8-8D5D1194B3B1}"/>
    <cellStyle name="AggGreen 3 2 2 15" xfId="6755" xr:uid="{72EFAA06-E81D-468A-88BB-7BFD97CF712C}"/>
    <cellStyle name="AggGreen 3 2 2 16" xfId="8286" xr:uid="{32C3C80F-825F-415E-9800-A796585AAD4F}"/>
    <cellStyle name="AggGreen 3 2 2 17" xfId="8660" xr:uid="{DBD4CCE4-F6B4-4909-B753-8E05985A51D8}"/>
    <cellStyle name="AggGreen 3 2 2 18" xfId="9678" xr:uid="{DB7320B2-8ECC-400F-88D8-C5505AF88A7D}"/>
    <cellStyle name="AggGreen 3 2 2 19" xfId="8967" xr:uid="{8FC3FD89-E388-441F-8F34-AAA672EA9CAB}"/>
    <cellStyle name="AggGreen 3 2 2 2" xfId="1218" xr:uid="{187C69C2-2133-413E-A4FD-D6607043959C}"/>
    <cellStyle name="AggGreen 3 2 2 20" xfId="10221" xr:uid="{FAF1CC6F-7A0D-4395-BA2F-5B3CFB6C972D}"/>
    <cellStyle name="AggGreen 3 2 2 21" xfId="10718" xr:uid="{EAA9EEDB-D07B-492A-A651-AE535069A54D}"/>
    <cellStyle name="AggGreen 3 2 2 22" xfId="9283" xr:uid="{44312A9B-0184-49CB-BDAF-FFAB8AAC2F43}"/>
    <cellStyle name="AggGreen 3 2 2 23" xfId="12097" xr:uid="{80A726C8-56AE-4FA4-820B-9EAA995FADBA}"/>
    <cellStyle name="AggGreen 3 2 2 24" xfId="12570" xr:uid="{8AE8DC30-2BF3-4C22-AA0C-D203AE612141}"/>
    <cellStyle name="AggGreen 3 2 2 25" xfId="13004" xr:uid="{D677835F-F3BF-4BAD-A7A9-B3E731CC6709}"/>
    <cellStyle name="AggGreen 3 2 2 26" xfId="13441" xr:uid="{841F1553-4679-473D-A73E-7F8BFC91E1C1}"/>
    <cellStyle name="AggGreen 3 2 2 27" xfId="13699" xr:uid="{9F7B3D5C-611A-400A-8BCF-AF82F68DF343}"/>
    <cellStyle name="AggGreen 3 2 2 28" xfId="11358" xr:uid="{D3696BBE-7556-4D3A-8283-31CFB1F0AEA9}"/>
    <cellStyle name="AggGreen 3 2 2 29" xfId="13637" xr:uid="{CE0054F8-2F95-4687-979E-45BA0D9AD455}"/>
    <cellStyle name="AggGreen 3 2 2 3" xfId="1485" xr:uid="{BF3FC57B-F38B-4916-BC4F-3282694DF4B2}"/>
    <cellStyle name="AggGreen 3 2 2 30" xfId="14694" xr:uid="{8E8AC623-633F-43C6-AFFB-5D011255A0CF}"/>
    <cellStyle name="AggGreen 3 2 2 31" xfId="15658" xr:uid="{F10E87F4-AD86-4C27-AF27-5CF103162905}"/>
    <cellStyle name="AggGreen 3 2 2 32" xfId="15749" xr:uid="{8DAA68B5-DA1A-4669-B96A-9DCF5EA58842}"/>
    <cellStyle name="AggGreen 3 2 2 33" xfId="16789" xr:uid="{A37A6D60-CA29-4F5C-B513-AD28792CCF8C}"/>
    <cellStyle name="AggGreen 3 2 2 34" xfId="16064" xr:uid="{4D5ADB7F-42C4-4882-BE5F-D04344EB793D}"/>
    <cellStyle name="AggGreen 3 2 2 35" xfId="17342" xr:uid="{D491A402-8F5F-494D-BD90-62002AFDE604}"/>
    <cellStyle name="AggGreen 3 2 2 36" xfId="17480" xr:uid="{0710F3F1-A349-44D1-8AF3-2A4011525B59}"/>
    <cellStyle name="AggGreen 3 2 2 37" xfId="18607" xr:uid="{628D715E-181B-423E-995F-6C1D5C3EC42A}"/>
    <cellStyle name="AggGreen 3 2 2 38" xfId="18902" xr:uid="{CE2318BC-4CCD-4505-9464-FC6B1A79918A}"/>
    <cellStyle name="AggGreen 3 2 2 39" xfId="19205" xr:uid="{5731DB9E-9C10-4B31-B8A2-FD984A444E1A}"/>
    <cellStyle name="AggGreen 3 2 2 4" xfId="2566" xr:uid="{2486C707-089F-44EB-A28A-E15BAB9C5AAB}"/>
    <cellStyle name="AggGreen 3 2 2 40" xfId="20126" xr:uid="{46E6E10D-E051-4EC1-9CF4-F46C330E7B1A}"/>
    <cellStyle name="AggGreen 3 2 2 41" xfId="19397" xr:uid="{3A369A6D-E8AF-48D9-AF07-6513FC066DE2}"/>
    <cellStyle name="AggGreen 3 2 2 42" xfId="19537" xr:uid="{360ECA25-44E3-4276-B8CC-62DE14AD452F}"/>
    <cellStyle name="AggGreen 3 2 2 43" xfId="21042" xr:uid="{D3CB216D-86BE-4506-8B0E-A608CCA6A62F}"/>
    <cellStyle name="AggGreen 3 2 2 44" xfId="21626" xr:uid="{D3C0A573-CE6C-4D3E-A751-B7C09592915A}"/>
    <cellStyle name="AggGreen 3 2 2 45" xfId="21412" xr:uid="{E6937A23-3B9A-4185-A857-62B7EEAC84EA}"/>
    <cellStyle name="AggGreen 3 2 2 46" xfId="22696" xr:uid="{584AD4EA-468A-4FD5-B124-853F3F996BA1}"/>
    <cellStyle name="AggGreen 3 2 2 47" xfId="23177" xr:uid="{1F052504-ADEB-4A26-A6FF-B33029D611DF}"/>
    <cellStyle name="AggGreen 3 2 2 48" xfId="23454" xr:uid="{206769FC-12B7-402C-AD87-F9E20C98FE41}"/>
    <cellStyle name="AggGreen 3 2 2 49" xfId="23926" xr:uid="{C58A979F-A75A-4997-8579-0B5A34B5A1B5}"/>
    <cellStyle name="AggGreen 3 2 2 5" xfId="2864" xr:uid="{A49D84FB-71B9-40B8-ADF0-97BFD2470371}"/>
    <cellStyle name="AggGreen 3 2 2 50" xfId="24834" xr:uid="{0B9A8CFC-133F-4622-843B-74F816A83033}"/>
    <cellStyle name="AggGreen 3 2 2 51" xfId="24122" xr:uid="{9F6947E4-9F16-45A1-9F7A-445FD4A0D934}"/>
    <cellStyle name="AggGreen 3 2 2 52" xfId="25750" xr:uid="{32992E3C-D83B-4E2D-A982-ADC8FBA58CD1}"/>
    <cellStyle name="AggGreen 3 2 2 53" xfId="26001" xr:uid="{00B8E8B6-E2B2-4E45-B96E-BB784A73FADD}"/>
    <cellStyle name="AggGreen 3 2 2 54" xfId="25949" xr:uid="{2148C38E-BFB6-4D7B-B618-E8CB6BB8FA5D}"/>
    <cellStyle name="AggGreen 3 2 2 55" xfId="27038" xr:uid="{E72E35AF-0AAC-4D05-A691-598471E99203}"/>
    <cellStyle name="AggGreen 3 2 2 56" xfId="27457" xr:uid="{88D7770E-66D0-443C-AFB5-475562405EC9}"/>
    <cellStyle name="AggGreen 3 2 2 57" xfId="27199" xr:uid="{3304FACB-2CF2-4FD8-80BF-5C10CC88166A}"/>
    <cellStyle name="AggGreen 3 2 2 58" xfId="28584" xr:uid="{9473E255-18C4-4896-A7D2-65A050EC7874}"/>
    <cellStyle name="AggGreen 3 2 2 59" xfId="29051" xr:uid="{AB22BBA4-47D2-4847-9507-5989572DEBBD}"/>
    <cellStyle name="AggGreen 3 2 2 6" xfId="2939" xr:uid="{1C7C0FD8-30A6-45CE-9467-6EE45AA48D4C}"/>
    <cellStyle name="AggGreen 3 2 2 60" xfId="28328" xr:uid="{1C205579-84AC-4B38-AC00-E474DBEBB8E6}"/>
    <cellStyle name="AggGreen 3 2 2 61" xfId="29840" xr:uid="{4E2CF54C-D841-4519-AA51-5CFC2A644DB4}"/>
    <cellStyle name="AggGreen 3 2 2 62" xfId="30246" xr:uid="{74418BE5-A920-4257-AF53-99B7FA0DC84C}"/>
    <cellStyle name="AggGreen 3 2 2 63" xfId="30663" xr:uid="{5332FD42-7558-4799-9170-208F92252C42}"/>
    <cellStyle name="AggGreen 3 2 2 64" xfId="29554" xr:uid="{ECBEB395-77EE-47E5-BB2E-2949F0D37E1B}"/>
    <cellStyle name="AggGreen 3 2 2 65" xfId="31279" xr:uid="{0B71839F-8A4A-4AD4-8421-9494C6F0BCBF}"/>
    <cellStyle name="AggGreen 3 2 2 66" xfId="31970" xr:uid="{DC10CBC6-D7C2-4156-8E71-D1D526EB650A}"/>
    <cellStyle name="AggGreen 3 2 2 67" xfId="32131" xr:uid="{27096FEF-7815-4168-9E04-68B5ED1A6D08}"/>
    <cellStyle name="AggGreen 3 2 2 7" xfId="4062" xr:uid="{D148EC23-C2DD-4973-9153-7508CA191970}"/>
    <cellStyle name="AggGreen 3 2 2 8" xfId="4499" xr:uid="{18E2D733-21D3-4053-990B-47F2C8609514}"/>
    <cellStyle name="AggGreen 3 2 2 9" xfId="3325" xr:uid="{C93992C3-A608-418E-8906-A6D9EF7BE6EC}"/>
    <cellStyle name="AggGreen 3 2 20" xfId="10257" xr:uid="{464111F4-6281-40B4-B208-9FB6BED2E4E8}"/>
    <cellStyle name="AggGreen 3 2 21" xfId="10650" xr:uid="{BCE5DFC7-C237-474C-91CF-00CD12FBDFB6}"/>
    <cellStyle name="AggGreen 3 2 22" xfId="11003" xr:uid="{8508DB6D-98F2-4459-AA88-587922424228}"/>
    <cellStyle name="AggGreen 3 2 23" xfId="11315" xr:uid="{B41CAEEB-9611-47F8-BAA8-173D3601A745}"/>
    <cellStyle name="AggGreen 3 2 24" xfId="11882" xr:uid="{C398FE28-E5FB-4A87-8CB3-D86241BD5504}"/>
    <cellStyle name="AggGreen 3 2 25" xfId="12355" xr:uid="{5E76C622-077A-4559-9164-67BA701B104E}"/>
    <cellStyle name="AggGreen 3 2 26" xfId="12789" xr:uid="{7F74BF72-9611-433B-A4CF-CA8BD74D7FEE}"/>
    <cellStyle name="AggGreen 3 2 27" xfId="13226" xr:uid="{2729EC08-8FB0-4493-9722-6FC3D1AAF43E}"/>
    <cellStyle name="AggGreen 3 2 28" xfId="14022" xr:uid="{5249EDDB-0750-4337-8A26-4DA32E131DFC}"/>
    <cellStyle name="AggGreen 3 2 29" xfId="14314" xr:uid="{D3318C4A-37EC-4530-974D-CF88A430BA0F}"/>
    <cellStyle name="AggGreen 3 2 3" xfId="1012" xr:uid="{DD1851D3-B167-48DF-8899-ED2063E9BE15}"/>
    <cellStyle name="AggGreen 3 2 30" xfId="14795" xr:uid="{039B9915-6719-478C-B722-0EFFDCF22A86}"/>
    <cellStyle name="AggGreen 3 2 31" xfId="15120" xr:uid="{9ABF9FEE-0939-4636-AA51-93AF056F5F90}"/>
    <cellStyle name="AggGreen 3 2 32" xfId="15766" xr:uid="{CC33CA27-B017-479F-90DC-FA7B132FEF3D}"/>
    <cellStyle name="AggGreen 3 2 33" xfId="15991" xr:uid="{1042F8F3-DF0D-428B-8552-EB30387791BA}"/>
    <cellStyle name="AggGreen 3 2 34" xfId="16574" xr:uid="{860A7951-5551-4756-8AD4-1A0CCF0B303C}"/>
    <cellStyle name="AggGreen 3 2 35" xfId="17379" xr:uid="{86D11446-9D7B-4E26-B954-13EF63ED059D}"/>
    <cellStyle name="AggGreen 3 2 36" xfId="17821" xr:uid="{375CF965-24E4-42D6-9DFE-A5D37A2DB2E2}"/>
    <cellStyle name="AggGreen 3 2 37" xfId="18297" xr:uid="{1D2C419A-1C8D-40A2-97E8-D69D4AA0A173}"/>
    <cellStyle name="AggGreen 3 2 38" xfId="18392" xr:uid="{411AD8B3-8F15-45D1-B315-2F8875AB6DEE}"/>
    <cellStyle name="AggGreen 3 2 39" xfId="19108" xr:uid="{10D9E28B-5C56-4F7B-BA84-B53646B0B0ED}"/>
    <cellStyle name="AggGreen 3 2 4" xfId="1751" xr:uid="{3105A556-EA98-4B59-A8AE-2969B6A14424}"/>
    <cellStyle name="AggGreen 3 2 40" xfId="19340" xr:uid="{30F79445-EAB2-431D-B0C3-F2F9E39D1026}"/>
    <cellStyle name="AggGreen 3 2 41" xfId="19911" xr:uid="{6DAF8376-8FE5-4F0D-8294-150DC1F93C9E}"/>
    <cellStyle name="AggGreen 3 2 42" xfId="20728" xr:uid="{C7A649AD-918E-4D3D-8EC1-2DC54C0D0F30}"/>
    <cellStyle name="AggGreen 3 2 43" xfId="21187" xr:uid="{CE317167-23E7-45AF-BFC4-AB6A3E5C52AE}"/>
    <cellStyle name="AggGreen 3 2 44" xfId="21679" xr:uid="{80BD10ED-BE2D-4362-B88D-E63A0FCFFC81}"/>
    <cellStyle name="AggGreen 3 2 45" xfId="22118" xr:uid="{A417D8FF-033A-4477-B507-FC2C20C1A7C6}"/>
    <cellStyle name="AggGreen 3 2 46" xfId="22545" xr:uid="{2F900742-6809-44CB-973B-81B309BDAD5E}"/>
    <cellStyle name="AggGreen 3 2 47" xfId="22991" xr:uid="{7A02267B-3F9D-4FF4-8BBD-2737483DAC79}"/>
    <cellStyle name="AggGreen 3 2 48" xfId="23395" xr:uid="{8EF44504-A9E2-416C-9460-5D6CA7FAF482}"/>
    <cellStyle name="AggGreen 3 2 49" xfId="23661" xr:uid="{1CDBD390-019F-4DBB-9780-665541221EAF}"/>
    <cellStyle name="AggGreen 3 2 5" xfId="2351" xr:uid="{0A4EA942-E2C2-430B-B8A9-14C32F88ABE1}"/>
    <cellStyle name="AggGreen 3 2 50" xfId="23720" xr:uid="{4701E9A5-C1B2-4717-8298-3EFEEBCBCF59}"/>
    <cellStyle name="AggGreen 3 2 51" xfId="24619" xr:uid="{48419D78-E42E-420B-B312-F2C7E862B109}"/>
    <cellStyle name="AggGreen 3 2 52" xfId="25433" xr:uid="{43990189-25C6-487E-81E1-A6D903BCEB6A}"/>
    <cellStyle name="AggGreen 3 2 53" xfId="25537" xr:uid="{A4209AD8-1301-4504-85B8-1F8850169B6A}"/>
    <cellStyle name="AggGreen 3 2 54" xfId="26299" xr:uid="{D78A95E3-6DCD-45C5-B3CB-1BD258E6A515}"/>
    <cellStyle name="AggGreen 3 2 55" xfId="26612" xr:uid="{35750C67-9BF1-410E-BFFB-2ABFF3DFBD82}"/>
    <cellStyle name="AggGreen 3 2 56" xfId="26827" xr:uid="{3BFEA6E0-96B7-46BE-8BAA-B51AD14CACBD}"/>
    <cellStyle name="AggGreen 3 2 57" xfId="27246" xr:uid="{7053E0A9-B94D-43AD-A270-00C3659BBE30}"/>
    <cellStyle name="AggGreen 3 2 58" xfId="27674" xr:uid="{CAC91043-D8FF-4C53-85F0-A55E37AFC240}"/>
    <cellStyle name="AggGreen 3 2 59" xfId="28369" xr:uid="{C3CBC8B6-2A7F-4CDD-A678-E0E461463FE1}"/>
    <cellStyle name="AggGreen 3 2 6" xfId="3195" xr:uid="{FE68BF9E-17DE-4F6B-BAFB-BC4D199E9ED7}"/>
    <cellStyle name="AggGreen 3 2 60" xfId="28837" xr:uid="{37A4F0E9-89D2-48B3-84FA-8411A45DEF0F}"/>
    <cellStyle name="AggGreen 3 2 61" xfId="29542" xr:uid="{FA69BC10-8D69-42CB-85E9-59B7BF850B73}"/>
    <cellStyle name="AggGreen 3 2 62" xfId="29627" xr:uid="{3C653F21-1C4C-40B7-972E-0E6A151D0742}"/>
    <cellStyle name="AggGreen 3 2 63" xfId="30035" xr:uid="{5C4BB266-F1AC-4316-B217-95830DF002D6}"/>
    <cellStyle name="AggGreen 3 2 64" xfId="30449" xr:uid="{B886D355-A623-4084-B194-0BE79B8148D5}"/>
    <cellStyle name="AggGreen 3 2 65" xfId="30841" xr:uid="{8837D1F9-AE83-4A6A-89FC-3A74B33AFDB5}"/>
    <cellStyle name="AggGreen 3 2 66" xfId="31073" xr:uid="{48E88B49-B831-4A2D-A09D-09009D09B988}"/>
    <cellStyle name="AggGreen 3 2 67" xfId="31759" xr:uid="{0FDBFF1C-1F31-4443-B280-145B1A1D6E68}"/>
    <cellStyle name="AggGreen 3 2 68" xfId="32373" xr:uid="{13DBC4DE-2FA3-42CA-AECA-89D0BEBBF03F}"/>
    <cellStyle name="AggGreen 3 2 7" xfId="2151" xr:uid="{DEA52590-66CB-4001-AB22-9FA268A181D7}"/>
    <cellStyle name="AggGreen 3 2 8" xfId="3847" xr:uid="{B9F4B781-D82C-4B3D-A4EF-1CABB11806CE}"/>
    <cellStyle name="AggGreen 3 2 9" xfId="4285" xr:uid="{4A34758E-7F4E-4B51-9592-40B3C04BE7DF}"/>
    <cellStyle name="AggGreen 3 3" xfId="709" xr:uid="{FBEA734C-D946-4456-A448-C15C24639246}"/>
    <cellStyle name="AggGreen 3 3 10" xfId="5357" xr:uid="{0024F2F3-D179-417F-B8E5-1ACD9004F117}"/>
    <cellStyle name="AggGreen 3 3 11" xfId="5837" xr:uid="{E2D7B99E-E624-4531-97E8-0223C1B35D01}"/>
    <cellStyle name="AggGreen 3 3 12" xfId="5760" xr:uid="{4B5E95AE-CF6E-425D-BB22-202037A250E4}"/>
    <cellStyle name="AggGreen 3 3 13" xfId="6488" xr:uid="{72130FE6-AFB5-4534-A601-C2BC874691CC}"/>
    <cellStyle name="AggGreen 3 3 14" xfId="7429" xr:uid="{1841CA0E-8A60-4AB3-B20C-31A8C01E03B7}"/>
    <cellStyle name="AggGreen 3 3 15" xfId="8011" xr:uid="{1F6BAE48-4A96-44AA-BEBD-68F9787B145F}"/>
    <cellStyle name="AggGreen 3 3 16" xfId="7951" xr:uid="{DAB074BD-EC8A-421A-A404-E2F458996D28}"/>
    <cellStyle name="AggGreen 3 3 17" xfId="8796" xr:uid="{5237FF97-3878-47DF-985F-B25260F054C6}"/>
    <cellStyle name="AggGreen 3 3 18" xfId="9643" xr:uid="{D579CD6A-FE56-40DE-8312-E226C8C414EC}"/>
    <cellStyle name="AggGreen 3 3 19" xfId="10229" xr:uid="{D5FFC141-4454-483B-98DC-51BD9B4ED2F5}"/>
    <cellStyle name="AggGreen 3 3 2" xfId="1183" xr:uid="{76F306E9-6371-4D71-A2C6-D387BEC4D37A}"/>
    <cellStyle name="AggGreen 3 3 20" xfId="10627" xr:uid="{DA2F4323-D77E-4E96-B5A6-1C980443FC22}"/>
    <cellStyle name="AggGreen 3 3 21" xfId="10467" xr:uid="{51596609-86AA-4715-B084-812C5926D298}"/>
    <cellStyle name="AggGreen 3 3 22" xfId="11283" xr:uid="{4CC2352E-FB26-4056-ACEF-A67070D79D5B}"/>
    <cellStyle name="AggGreen 3 3 23" xfId="12062" xr:uid="{C1105E57-D982-42B3-AF14-8A1703A25446}"/>
    <cellStyle name="AggGreen 3 3 24" xfId="12535" xr:uid="{E4301851-B162-4B9A-A633-8DA49B1784C3}"/>
    <cellStyle name="AggGreen 3 3 25" xfId="12969" xr:uid="{54D9F913-2E7F-4DA6-8164-B40A9EDC7484}"/>
    <cellStyle name="AggGreen 3 3 26" xfId="13406" xr:uid="{0B84764D-1023-4E8F-842A-0013F74D08E3}"/>
    <cellStyle name="AggGreen 3 3 27" xfId="11443" xr:uid="{FBF8A12D-4D2E-4414-B4E5-9D47399FF97E}"/>
    <cellStyle name="AggGreen 3 3 28" xfId="14396" xr:uid="{811BCA09-6638-4382-9C63-34ABFD67828A}"/>
    <cellStyle name="AggGreen 3 3 29" xfId="14877" xr:uid="{A0A33C6C-F161-4F63-8C1E-B1911C84B239}"/>
    <cellStyle name="AggGreen 3 3 3" xfId="1449" xr:uid="{418B5F6E-F671-4694-90BF-DA6412EB9342}"/>
    <cellStyle name="AggGreen 3 3 30" xfId="14808" xr:uid="{21B6020A-36BD-477E-802E-66072A4AAC11}"/>
    <cellStyle name="AggGreen 3 3 31" xfId="14998" xr:uid="{5EEBF3C5-31F2-4E58-97D4-590C5B97543C}"/>
    <cellStyle name="AggGreen 3 3 32" xfId="15976" xr:uid="{7CE595E7-AB6D-4FFD-8FA7-D613A0DE6BB1}"/>
    <cellStyle name="AggGreen 3 3 33" xfId="16754" xr:uid="{EEBADB54-4311-46AE-8563-E6C91B33DE11}"/>
    <cellStyle name="AggGreen 3 3 34" xfId="17350" xr:uid="{4634DDEE-5127-41A4-A0A3-0208149F97F1}"/>
    <cellStyle name="AggGreen 3 3 35" xfId="17792" xr:uid="{C208FC60-3766-412B-9C77-2BD492898170}"/>
    <cellStyle name="AggGreen 3 3 36" xfId="18111" xr:uid="{01B3E128-E799-488B-A62A-3EA11EEFD011}"/>
    <cellStyle name="AggGreen 3 3 37" xfId="18572" xr:uid="{0D1014D8-FC89-414F-B0AE-0FAAA52753F7}"/>
    <cellStyle name="AggGreen 3 3 38" xfId="18928" xr:uid="{D1661294-0E7C-4CC5-B705-E8D466304ED7}"/>
    <cellStyle name="AggGreen 3 3 39" xfId="19015" xr:uid="{9EBCF192-ACDA-4F27-9491-3D3FEA1AFF71}"/>
    <cellStyle name="AggGreen 3 3 4" xfId="2531" xr:uid="{6BA52C32-6AE3-4501-A099-892A759A786E}"/>
    <cellStyle name="AggGreen 3 3 40" xfId="20091" xr:uid="{56789F0B-ED52-4F68-AD7D-BDE899CB785D}"/>
    <cellStyle name="AggGreen 3 3 41" xfId="20701" xr:uid="{15D412D3-7D38-4614-96F0-DB422CBBF424}"/>
    <cellStyle name="AggGreen 3 3 42" xfId="21158" xr:uid="{DC1A5CB0-BC38-413A-9631-25209CC5A8E5}"/>
    <cellStyle name="AggGreen 3 3 43" xfId="21559" xr:uid="{03D9F112-2D46-436A-A945-91F9F77F3D77}"/>
    <cellStyle name="AggGreen 3 3 44" xfId="22089" xr:uid="{13094BB0-B455-4583-B34C-B7E6F10E0421}"/>
    <cellStyle name="AggGreen 3 3 45" xfId="22517" xr:uid="{72A6C025-D3F3-4FF3-B50A-7CAEAC60CA96}"/>
    <cellStyle name="AggGreen 3 3 46" xfId="20663" xr:uid="{6B566D64-163B-4939-8DB6-7241ABA2D567}"/>
    <cellStyle name="AggGreen 3 3 47" xfId="23214" xr:uid="{44C89A32-0B86-4E08-99C6-3CF3EB328AE0}"/>
    <cellStyle name="AggGreen 3 3 48" xfId="23255" xr:uid="{975D71B7-6251-4A72-9583-5EA057706D84}"/>
    <cellStyle name="AggGreen 3 3 49" xfId="23891" xr:uid="{7EFC04A2-5899-44CB-BB7B-8358FE5640C5}"/>
    <cellStyle name="AggGreen 3 3 5" xfId="2303" xr:uid="{65DFFBCF-617A-4D5A-A0AC-F331319EC42B}"/>
    <cellStyle name="AggGreen 3 3 50" xfId="24799" xr:uid="{E221A4AB-3186-4F03-8893-7F05F473A37E}"/>
    <cellStyle name="AggGreen 3 3 51" xfId="25404" xr:uid="{009E6E5B-A83B-4578-8CAB-AF0EEBC056B4}"/>
    <cellStyle name="AggGreen 3 3 52" xfId="25715" xr:uid="{2B1EDF41-87DE-477E-9B93-417C7D54333D}"/>
    <cellStyle name="AggGreen 3 3 53" xfId="25197" xr:uid="{C22A5E84-255F-401A-9BA9-88729141A4F8}"/>
    <cellStyle name="AggGreen 3 3 54" xfId="26507" xr:uid="{823C34F9-BF9C-47F4-AEB5-B6C946E45161}"/>
    <cellStyle name="AggGreen 3 3 55" xfId="27003" xr:uid="{687044C2-B9EF-4036-A669-739280258361}"/>
    <cellStyle name="AggGreen 3 3 56" xfId="27422" xr:uid="{F8DD3A82-CF17-4404-9EF8-B5A9BA0BB3CE}"/>
    <cellStyle name="AggGreen 3 3 57" xfId="27777" xr:uid="{756BA733-E2AB-498B-8B38-EF03C337E5CB}"/>
    <cellStyle name="AggGreen 3 3 58" xfId="28549" xr:uid="{106F1473-F814-4D79-8DCF-ED50DDEE271C}"/>
    <cellStyle name="AggGreen 3 3 59" xfId="29016" xr:uid="{23D4F693-6640-4183-9586-00B0C9642DC4}"/>
    <cellStyle name="AggGreen 3 3 6" xfId="2283" xr:uid="{D3FBBAAC-8EA8-491E-A87E-475EFE228FBF}"/>
    <cellStyle name="AggGreen 3 3 60" xfId="29519" xr:uid="{60B3E0C7-1EDD-434F-9696-C5556F7E0DF5}"/>
    <cellStyle name="AggGreen 3 3 61" xfId="29805" xr:uid="{6514B839-FE97-473D-88BE-598CC13C23FB}"/>
    <cellStyle name="AggGreen 3 3 62" xfId="30211" xr:uid="{36525D02-CD76-42DF-90FF-761DD07AD0A5}"/>
    <cellStyle name="AggGreen 3 3 63" xfId="30628" xr:uid="{BCF6225C-8DAA-4744-86D7-F05ED9131A1E}"/>
    <cellStyle name="AggGreen 3 3 64" xfId="30947" xr:uid="{49017E77-7AAE-4D87-8631-43923812C4FE}"/>
    <cellStyle name="AggGreen 3 3 65" xfId="31244" xr:uid="{E1F24EA3-4564-40D1-89BE-372657198770}"/>
    <cellStyle name="AggGreen 3 3 66" xfId="31935" xr:uid="{E8EEB47D-14F4-427F-9BCA-FFB4CC120564}"/>
    <cellStyle name="AggGreen 3 3 67" xfId="31716" xr:uid="{B5EC89A8-9F25-49A9-BF46-FE0C6CF363A4}"/>
    <cellStyle name="AggGreen 3 3 7" xfId="4027" xr:uid="{41C5C2D6-0EFE-485D-A56C-C97475091EF4}"/>
    <cellStyle name="AggGreen 3 3 8" xfId="4464" xr:uid="{C906CB77-0253-402A-AB62-4AE62DC136EC}"/>
    <cellStyle name="AggGreen 3 3 9" xfId="4846" xr:uid="{9D0117DE-0EE3-4A4F-BCEA-07526D4127FA}"/>
    <cellStyle name="AggGreen 4" xfId="260" xr:uid="{00FC83E1-1D75-438F-AFCC-2394AAFB8A1A}"/>
    <cellStyle name="AggGreen 4 10" xfId="3270" xr:uid="{7A2D2173-C94F-4CCF-8860-2C93686F63F3}"/>
    <cellStyle name="AggGreen 4 11" xfId="4209" xr:uid="{B957283D-43BF-4A61-B8F1-4EFFC0D5350E}"/>
    <cellStyle name="AggGreen 4 12" xfId="3171" xr:uid="{B8BA4FE3-4DE0-4EF5-BE3B-5E8825728944}"/>
    <cellStyle name="AggGreen 4 13" xfId="3416" xr:uid="{4322C9EA-0335-41F2-A78E-B1089E531C00}"/>
    <cellStyle name="AggGreen 4 14" xfId="4827" xr:uid="{3B92FE8A-1EEB-4E20-80DA-6721E2BAFDC3}"/>
    <cellStyle name="AggGreen 4 15" xfId="6307" xr:uid="{96370CAE-7E7D-43FF-B31E-58A636B76431}"/>
    <cellStyle name="AggGreen 4 16" xfId="6427" xr:uid="{3BF830D2-089F-403B-989D-6026174F7892}"/>
    <cellStyle name="AggGreen 4 17" xfId="6990" xr:uid="{B2313747-E7AB-4A48-AA95-45952EA56566}"/>
    <cellStyle name="AggGreen 4 18" xfId="7082" xr:uid="{2AE7D591-8486-4D8E-A647-A75F71CD3C4A}"/>
    <cellStyle name="AggGreen 4 19" xfId="8601" xr:uid="{C713BCE8-0748-45FE-B54A-62A83437D101}"/>
    <cellStyle name="AggGreen 4 2" xfId="599" xr:uid="{909419BC-9DE0-46FB-B1DE-7E686EFA637E}"/>
    <cellStyle name="AggGreen 4 2 10" xfId="4958" xr:uid="{27EE805D-C850-412A-A5F2-69B8062F1563}"/>
    <cellStyle name="AggGreen 4 2 11" xfId="5247" xr:uid="{D089DA28-4E69-49C3-AF81-DB0514BCDE94}"/>
    <cellStyle name="AggGreen 4 2 12" xfId="5003" xr:uid="{8F6FF977-5DA1-4E08-955D-C636597D99A0}"/>
    <cellStyle name="AggGreen 4 2 13" xfId="5582" xr:uid="{94D4F330-BB99-459C-9782-42D83D6EB7AA}"/>
    <cellStyle name="AggGreen 4 2 14" xfId="4689" xr:uid="{086414B6-88AE-473B-AC94-26AD0691935C}"/>
    <cellStyle name="AggGreen 4 2 15" xfId="7319" xr:uid="{FBD9BE4C-81D1-4FDD-8B77-A935F129F68A}"/>
    <cellStyle name="AggGreen 4 2 16" xfId="7101" xr:uid="{11FAB550-9241-4FDA-8BB2-E2E80CBFD10E}"/>
    <cellStyle name="AggGreen 4 2 17" xfId="7863" xr:uid="{C698C68D-2D3E-4EE1-BDEB-9E16814DD438}"/>
    <cellStyle name="AggGreen 4 2 18" xfId="8804" xr:uid="{584A4BF7-F26E-4775-81F4-F0FCB95512D4}"/>
    <cellStyle name="AggGreen 4 2 19" xfId="9533" xr:uid="{D5EE9CD4-A2F7-46C7-914C-BE4D9F270E7F}"/>
    <cellStyle name="AggGreen 4 2 2" xfId="814" xr:uid="{4132A7C0-7354-4DE9-B909-0A64F2FE9636}"/>
    <cellStyle name="AggGreen 4 2 2 10" xfId="5462" xr:uid="{C071BE16-2219-4EAC-BA96-0F8D90F5613B}"/>
    <cellStyle name="AggGreen 4 2 2 11" xfId="5814" xr:uid="{5B5A6071-65B0-45EA-BD0D-1AEC94716781}"/>
    <cellStyle name="AggGreen 4 2 2 12" xfId="4221" xr:uid="{005E2B76-3772-4D6A-ADD7-2C77E7C4C901}"/>
    <cellStyle name="AggGreen 4 2 2 13" xfId="6568" xr:uid="{3CD9CCD3-DDEC-4215-B7C1-B8D547E8BD0E}"/>
    <cellStyle name="AggGreen 4 2 2 14" xfId="7534" xr:uid="{A6D52CDD-0342-4781-8228-C3C351F3136A}"/>
    <cellStyle name="AggGreen 4 2 2 15" xfId="7203" xr:uid="{76894B68-ED74-4AA8-A299-472626A3288B}"/>
    <cellStyle name="AggGreen 4 2 2 16" xfId="8331" xr:uid="{88D6244C-CC84-4598-8B66-5AD08F37E5A6}"/>
    <cellStyle name="AggGreen 4 2 2 17" xfId="8747" xr:uid="{4C46D908-AB47-4AD9-AFE0-09F5970994F8}"/>
    <cellStyle name="AggGreen 4 2 2 18" xfId="9748" xr:uid="{5E1D9F5C-5808-4F60-8180-41B12367A686}"/>
    <cellStyle name="AggGreen 4 2 2 19" xfId="9416" xr:uid="{D9929CD0-7B16-4C4C-9695-F9BEE3ED528A}"/>
    <cellStyle name="AggGreen 4 2 2 2" xfId="1288" xr:uid="{F8ED2C57-2B86-4AB6-8C9C-3AAAA8088C6C}"/>
    <cellStyle name="AggGreen 4 2 2 20" xfId="9032" xr:uid="{BE21210D-8391-4A5C-B1EC-A47613EA0FB2}"/>
    <cellStyle name="AggGreen 4 2 2 21" xfId="10729" xr:uid="{F1804967-44D2-4174-968B-C5732D12CD18}"/>
    <cellStyle name="AggGreen 4 2 2 22" xfId="10317" xr:uid="{D828F07C-A345-46F4-B63B-945A2C8AB590}"/>
    <cellStyle name="AggGreen 4 2 2 23" xfId="12167" xr:uid="{3F9EB27F-E342-496E-BE37-F9E3E28DF0D5}"/>
    <cellStyle name="AggGreen 4 2 2 24" xfId="12640" xr:uid="{9C42C84D-E95B-47CC-AAA3-4774A1F137F7}"/>
    <cellStyle name="AggGreen 4 2 2 25" xfId="13074" xr:uid="{27CBBEEC-B392-4DF5-8A3A-19C6FD983837}"/>
    <cellStyle name="AggGreen 4 2 2 26" xfId="13511" xr:uid="{ADB9822F-4C3F-4BB6-B4A3-335925D14AB0}"/>
    <cellStyle name="AggGreen 4 2 2 27" xfId="13721" xr:uid="{54C32B85-C9A3-49D7-96D9-BD27886F79B5}"/>
    <cellStyle name="AggGreen 4 2 2 28" xfId="14332" xr:uid="{597E47B6-AE13-4B23-B691-D3374C73173D}"/>
    <cellStyle name="AggGreen 4 2 2 29" xfId="14111" xr:uid="{402DAD01-9C14-4540-B624-5E616040B454}"/>
    <cellStyle name="AggGreen 4 2 2 3" xfId="1420" xr:uid="{F4DD594D-5050-46F2-9931-BCA57F84F6BB}"/>
    <cellStyle name="AggGreen 4 2 2 30" xfId="14125" xr:uid="{C8B3418B-1C6D-47EB-AA03-EF679F7D1FB0}"/>
    <cellStyle name="AggGreen 4 2 2 31" xfId="14976" xr:uid="{1C752E85-6E5C-41C7-AEDE-2BE27AD853C8}"/>
    <cellStyle name="AggGreen 4 2 2 32" xfId="15581" xr:uid="{38C42A74-B310-46B9-AB70-EAC4B2AA9E3D}"/>
    <cellStyle name="AggGreen 4 2 2 33" xfId="16859" xr:uid="{FF9FEBF1-6B36-4988-833B-210581ECC9C0}"/>
    <cellStyle name="AggGreen 4 2 2 34" xfId="16525" xr:uid="{E1852517-00A8-4ED3-9DCF-A5AD77C21FC0}"/>
    <cellStyle name="AggGreen 4 2 2 35" xfId="16738" xr:uid="{521E6E14-5BE2-4051-80A4-7040F426C5E4}"/>
    <cellStyle name="AggGreen 4 2 2 36" xfId="17939" xr:uid="{460839E9-6EE5-4A47-9B47-D9C9FAA91A88}"/>
    <cellStyle name="AggGreen 4 2 2 37" xfId="18677" xr:uid="{2C2C1B67-19A1-45E6-AD26-B0ABED3CECC7}"/>
    <cellStyle name="AggGreen 4 2 2 38" xfId="18932" xr:uid="{B3579674-DAD0-47AB-8CCB-F3DD3B91EFBF}"/>
    <cellStyle name="AggGreen 4 2 2 39" xfId="19214" xr:uid="{8BF5F517-E6DA-4BE9-A1B9-2BD1E3368076}"/>
    <cellStyle name="AggGreen 4 2 2 4" xfId="2636" xr:uid="{84005D87-22C6-438E-85EE-C4D26F5E9602}"/>
    <cellStyle name="AggGreen 4 2 2 40" xfId="20196" xr:uid="{30B9E928-A1C4-4761-9423-E90B1CC784DE}"/>
    <cellStyle name="AggGreen 4 2 2 41" xfId="19861" xr:uid="{A3650326-C3CA-4F59-AD61-57B06218F225}"/>
    <cellStyle name="AggGreen 4 2 2 42" xfId="20617" xr:uid="{6C7EAE5D-C9F0-4F53-9928-28541BAB0E0B}"/>
    <cellStyle name="AggGreen 4 2 2 43" xfId="21580" xr:uid="{5DF4FC2B-5818-468E-8E4D-D0A49DEE15E3}"/>
    <cellStyle name="AggGreen 4 2 2 44" xfId="21043" xr:uid="{80730668-AE67-4B4C-B031-223C8B8970AC}"/>
    <cellStyle name="AggGreen 4 2 2 45" xfId="21756" xr:uid="{E89D7B44-09BA-42EA-A338-320932809A96}"/>
    <cellStyle name="AggGreen 4 2 2 46" xfId="22717" xr:uid="{5E7E24AF-C003-48D7-82EA-1432C86E0FB2}"/>
    <cellStyle name="AggGreen 4 2 2 47" xfId="23219" xr:uid="{84A9021D-9D8B-4E83-8FF7-C4E81CCEEBB1}"/>
    <cellStyle name="AggGreen 4 2 2 48" xfId="23634" xr:uid="{5F797E8C-316B-4A8D-BDF2-A2AF6B9815D8}"/>
    <cellStyle name="AggGreen 4 2 2 49" xfId="23996" xr:uid="{999B0188-3EE0-4651-BD71-26C0BE65BE18}"/>
    <cellStyle name="AggGreen 4 2 2 5" xfId="2886" xr:uid="{299702F1-4833-4E45-9AFA-8235B0652016}"/>
    <cellStyle name="AggGreen 4 2 2 50" xfId="24904" xr:uid="{05B70A90-946C-4136-A4A7-EED9F4B9ECEF}"/>
    <cellStyle name="AggGreen 4 2 2 51" xfId="24565" xr:uid="{AEC5F209-1303-4B70-A819-6E59991E7084}"/>
    <cellStyle name="AggGreen 4 2 2 52" xfId="25820" xr:uid="{1C8478A7-5F7C-4EC5-B6B3-E59D49E045CB}"/>
    <cellStyle name="AggGreen 4 2 2 53" xfId="25995" xr:uid="{F02A84F5-5BE3-4ACB-A707-075DD5A78F85}"/>
    <cellStyle name="AggGreen 4 2 2 54" xfId="26403" xr:uid="{59A9B5CC-D084-47EA-8768-C2D09B64A0D9}"/>
    <cellStyle name="AggGreen 4 2 2 55" xfId="27108" xr:uid="{F9BD7457-EF8D-4E4D-A332-9A18EC55CCA6}"/>
    <cellStyle name="AggGreen 4 2 2 56" xfId="27527" xr:uid="{C749B08C-4BE5-49F1-9474-4482163D0061}"/>
    <cellStyle name="AggGreen 4 2 2 57" xfId="27208" xr:uid="{F3427754-DA93-472A-8E43-6AE96AF5ED92}"/>
    <cellStyle name="AggGreen 4 2 2 58" xfId="28654" xr:uid="{1B828796-976A-4F08-AED3-8058408E26C3}"/>
    <cellStyle name="AggGreen 4 2 2 59" xfId="29121" xr:uid="{5F59491C-B786-4750-83C7-4FA565E491D8}"/>
    <cellStyle name="AggGreen 4 2 2 6" xfId="3446" xr:uid="{204BB699-7A23-4EAA-BB40-0DF5D92FF7AA}"/>
    <cellStyle name="AggGreen 4 2 2 60" xfId="27978" xr:uid="{4BDFA8D8-72DE-4A59-B156-370354E7F26F}"/>
    <cellStyle name="AggGreen 4 2 2 61" xfId="29910" xr:uid="{F781EACB-A480-47DA-812C-DA07D2A89069}"/>
    <cellStyle name="AggGreen 4 2 2 62" xfId="30316" xr:uid="{011B1D4B-FBFD-4ED3-9830-25F281EAD72A}"/>
    <cellStyle name="AggGreen 4 2 2 63" xfId="30733" xr:uid="{90B3F198-0726-4F7C-98F0-1279A2DEB5D0}"/>
    <cellStyle name="AggGreen 4 2 2 64" xfId="29207" xr:uid="{219A7588-8CC3-4EFA-B9E9-9B6DB63D7631}"/>
    <cellStyle name="AggGreen 4 2 2 65" xfId="31349" xr:uid="{ADC31152-4274-4BC0-8698-983580ACBF4B}"/>
    <cellStyle name="AggGreen 4 2 2 66" xfId="32040" xr:uid="{22EF4901-BB29-42CC-86BA-754F6EEA26F9}"/>
    <cellStyle name="AggGreen 4 2 2 67" xfId="32168" xr:uid="{25991E97-915B-4DAF-90FC-44802FB78483}"/>
    <cellStyle name="AggGreen 4 2 2 7" xfId="4132" xr:uid="{EC447489-C40D-463F-8A3C-5C4D0562CA6D}"/>
    <cellStyle name="AggGreen 4 2 2 8" xfId="4569" xr:uid="{3F4EE4D1-0F0A-45F6-AAAC-FD019E31428E}"/>
    <cellStyle name="AggGreen 4 2 2 9" xfId="4017" xr:uid="{25E6A711-B7DE-4DA3-B8A1-2798F1C4DAC9}"/>
    <cellStyle name="AggGreen 4 2 20" xfId="9187" xr:uid="{F3B6F22A-E972-49CB-A5D8-29DA79B1C287}"/>
    <cellStyle name="AggGreen 4 2 21" xfId="9047" xr:uid="{AC75CF4A-C024-4052-BCA7-96287F04AA11}"/>
    <cellStyle name="AggGreen 4 2 22" xfId="10977" xr:uid="{1DC46D3E-C4A5-4C48-885C-5AED4C4FE996}"/>
    <cellStyle name="AggGreen 4 2 23" xfId="10859" xr:uid="{2E387733-9DC1-4FF6-9B68-B0ADAD93ADDD}"/>
    <cellStyle name="AggGreen 4 2 24" xfId="11952" xr:uid="{BB3E27BB-6C62-4E99-A044-72CC62461E85}"/>
    <cellStyle name="AggGreen 4 2 25" xfId="12425" xr:uid="{4314E611-ED26-4863-9ED8-C996853D3495}"/>
    <cellStyle name="AggGreen 4 2 26" xfId="12859" xr:uid="{E63E2F30-A2D1-4575-8858-507D8544CE16}"/>
    <cellStyle name="AggGreen 4 2 27" xfId="13296" xr:uid="{4DE20FB0-470C-4AFA-8CCE-668A528B4013}"/>
    <cellStyle name="AggGreen 4 2 28" xfId="13915" xr:uid="{C2DCED1F-4DB8-4573-83A9-0432825BC6D4}"/>
    <cellStyle name="AggGreen 4 2 29" xfId="14173" xr:uid="{6B1CD1A8-298D-4885-83A2-6B8096AC3836}"/>
    <cellStyle name="AggGreen 4 2 3" xfId="1082" xr:uid="{DDB74BDE-3BDE-4207-95E4-22E863CB481B}"/>
    <cellStyle name="AggGreen 4 2 30" xfId="11579" xr:uid="{893DEF76-6F42-43C1-8154-604F8C51DC7B}"/>
    <cellStyle name="AggGreen 4 2 31" xfId="15210" xr:uid="{F0AFE372-A2AC-439B-B1F5-89F0ABC55AEB}"/>
    <cellStyle name="AggGreen 4 2 32" xfId="15472" xr:uid="{A476A1AA-4D75-4C27-A130-78187428028A}"/>
    <cellStyle name="AggGreen 4 2 33" xfId="14143" xr:uid="{ABBC23BA-CAB8-45E4-A58A-575051D8E35B}"/>
    <cellStyle name="AggGreen 4 2 34" xfId="16644" xr:uid="{99A64E81-5FD9-40D2-B845-02ED7BAE75AD}"/>
    <cellStyle name="AggGreen 4 2 35" xfId="16423" xr:uid="{954BC724-5171-470B-B599-CF7E77A0901A}"/>
    <cellStyle name="AggGreen 4 2 36" xfId="16168" xr:uid="{9A22DAAC-C445-45FB-B7A3-790E6FC767DD}"/>
    <cellStyle name="AggGreen 4 2 37" xfId="16257" xr:uid="{B0563D15-D6ED-402B-B61D-56A271F079B0}"/>
    <cellStyle name="AggGreen 4 2 38" xfId="18462" xr:uid="{CF83F06F-8971-4DFF-9DF6-9B0772CB613B}"/>
    <cellStyle name="AggGreen 4 2 39" xfId="18563" xr:uid="{42B4F491-9A76-4D35-8114-346A94DDEFF6}"/>
    <cellStyle name="AggGreen 4 2 4" xfId="1376" xr:uid="{A677C579-7EF1-4A42-876F-3C7B0D7CB1BF}"/>
    <cellStyle name="AggGreen 4 2 40" xfId="19212" xr:uid="{32F2234C-43A9-4287-B999-121ADEAD5F85}"/>
    <cellStyle name="AggGreen 4 2 41" xfId="19981" xr:uid="{01DE1493-E3A9-48D4-B23E-F8031908ACE8}"/>
    <cellStyle name="AggGreen 4 2 42" xfId="20276" xr:uid="{B61B4AE8-B443-4D18-B00F-A3A746A49385}"/>
    <cellStyle name="AggGreen 4 2 43" xfId="19519" xr:uid="{209D341C-363A-453C-A15B-C33F8BC750F2}"/>
    <cellStyle name="AggGreen 4 2 44" xfId="21459" xr:uid="{3C9227AE-FAE6-4009-8977-147B5C6EFD28}"/>
    <cellStyle name="AggGreen 4 2 45" xfId="19486" xr:uid="{8216D96C-0CC1-4EA4-BB02-9DF7EE4303FD}"/>
    <cellStyle name="AggGreen 4 2 46" xfId="19682" xr:uid="{0283DFA7-39E3-464F-8627-7D15E11B6EDC}"/>
    <cellStyle name="AggGreen 4 2 47" xfId="22891" xr:uid="{0249364A-86E7-4976-BB0A-F816896FD29A}"/>
    <cellStyle name="AggGreen 4 2 48" xfId="22937" xr:uid="{9C7E88BA-2C5C-4CC8-8A5B-ADDE72D21ED6}"/>
    <cellStyle name="AggGreen 4 2 49" xfId="23529" xr:uid="{028E86A2-3FE7-4CBC-850B-AD1B7CF07D31}"/>
    <cellStyle name="AggGreen 4 2 5" xfId="2421" xr:uid="{602E1353-D263-4D44-BF66-BAB2117D6EA8}"/>
    <cellStyle name="AggGreen 4 2 50" xfId="23790" xr:uid="{EB144D19-9CBD-43B2-95DD-F1EC79B7255A}"/>
    <cellStyle name="AggGreen 4 2 51" xfId="24689" xr:uid="{06AE86EC-9100-412E-8871-760EC0FCA8D1}"/>
    <cellStyle name="AggGreen 4 2 52" xfId="24992" xr:uid="{997A3F65-C102-4D17-9548-A325142C0483}"/>
    <cellStyle name="AggGreen 4 2 53" xfId="25607" xr:uid="{6DED6D1E-3127-45CD-9597-BCE37242FE51}"/>
    <cellStyle name="AggGreen 4 2 54" xfId="26198" xr:uid="{9DFBDEEE-3738-4DD2-B77A-EFCA1BB1A5F4}"/>
    <cellStyle name="AggGreen 4 2 55" xfId="26338" xr:uid="{DDC2F014-D395-4C8A-B102-7E23845F4426}"/>
    <cellStyle name="AggGreen 4 2 56" xfId="26897" xr:uid="{9E2F577F-0651-4A1B-BCF3-32206E4522CC}"/>
    <cellStyle name="AggGreen 4 2 57" xfId="27316" xr:uid="{4974033B-D60B-4E4F-9292-47EBC49DC311}"/>
    <cellStyle name="AggGreen 4 2 58" xfId="27640" xr:uid="{BBC10C63-1C9F-48C5-B55E-6C2F4881FBB1}"/>
    <cellStyle name="AggGreen 4 2 59" xfId="28439" xr:uid="{660DC6A7-27CA-4D55-97A9-CD8FD3ECB452}"/>
    <cellStyle name="AggGreen 4 2 6" xfId="3083" xr:uid="{D91C1130-BAFF-4363-ABC2-8EA00B03426E}"/>
    <cellStyle name="AggGreen 4 2 60" xfId="28907" xr:uid="{29378B12-65C1-4E71-BEEB-9C2891CAA265}"/>
    <cellStyle name="AggGreen 4 2 61" xfId="28197" xr:uid="{DBE42C23-9D79-4346-B78B-ADD89FEF706B}"/>
    <cellStyle name="AggGreen 4 2 62" xfId="29697" xr:uid="{D10FBC6D-C7DE-4546-ADD7-1D18EA77EADB}"/>
    <cellStyle name="AggGreen 4 2 63" xfId="30105" xr:uid="{4447F704-5985-4D05-A9E3-B982570D8F69}"/>
    <cellStyle name="AggGreen 4 2 64" xfId="30519" xr:uid="{AA60349E-7452-429C-AB12-3FEFE52FE75B}"/>
    <cellStyle name="AggGreen 4 2 65" xfId="30843" xr:uid="{A65EF9B4-8DDE-40F3-80E1-E12FDB14B9D4}"/>
    <cellStyle name="AggGreen 4 2 66" xfId="31143" xr:uid="{6A9DBBAC-C05A-4137-823C-3A7EC6F0AAF8}"/>
    <cellStyle name="AggGreen 4 2 67" xfId="31829" xr:uid="{3BE74C66-8CE0-42E5-9C6A-59F4BE4CC851}"/>
    <cellStyle name="AggGreen 4 2 68" xfId="32205" xr:uid="{0786FE67-C356-41CC-88E1-5A172EBFDFD9}"/>
    <cellStyle name="AggGreen 4 2 7" xfId="3596" xr:uid="{EBDDB30C-82E8-48B1-BC09-1D7DC5DAA650}"/>
    <cellStyle name="AggGreen 4 2 8" xfId="3917" xr:uid="{0B2C0EC9-2AF7-4D9D-94C8-F827C2644BC3}"/>
    <cellStyle name="AggGreen 4 2 9" xfId="4355" xr:uid="{0419026D-0731-4146-9320-F6CFC31C7391}"/>
    <cellStyle name="AggGreen 4 20" xfId="8741" xr:uid="{D4705D71-3B15-410A-BB41-FA5222BFDE10}"/>
    <cellStyle name="AggGreen 4 21" xfId="9204" xr:uid="{A1B9F52B-DF29-42A2-BDBD-348B46D9E085}"/>
    <cellStyle name="AggGreen 4 22" xfId="9060" xr:uid="{59303903-A36A-4C0E-A084-3987CCA0597C}"/>
    <cellStyle name="AggGreen 4 23" xfId="9154" xr:uid="{8713E1F2-CC3A-4B1C-8F44-ED370374A2FC}"/>
    <cellStyle name="AggGreen 4 24" xfId="10090" xr:uid="{86390CF8-F6D1-47F2-A764-9C9DF2C8E2B2}"/>
    <cellStyle name="AggGreen 4 25" xfId="11114" xr:uid="{44E7D0DA-C914-40F2-B1E1-4455DE0B8699}"/>
    <cellStyle name="AggGreen 4 26" xfId="11616" xr:uid="{A9539303-11B5-4F68-8B30-EFEB5B03F493}"/>
    <cellStyle name="AggGreen 4 27" xfId="11486" xr:uid="{F42A32E3-9117-4DC8-B3DC-12362721C350}"/>
    <cellStyle name="AggGreen 4 28" xfId="11653" xr:uid="{7F3DD19E-3B60-4C5B-904C-3AA268D08642}"/>
    <cellStyle name="AggGreen 4 29" xfId="13151" xr:uid="{CF2D7B3F-7A8A-4E31-8F3D-A78E5335FFA2}"/>
    <cellStyle name="AggGreen 4 3" xfId="514" xr:uid="{639012D1-F55E-4DEF-AC95-C2E4AFACCBAD}"/>
    <cellStyle name="AggGreen 4 3 10" xfId="4850" xr:uid="{F026DD21-4EE4-4C42-B826-7AAF988C48CF}"/>
    <cellStyle name="AggGreen 4 3 11" xfId="5162" xr:uid="{E7F3F59E-AB2A-4A9B-A24F-5BA22B95D3A2}"/>
    <cellStyle name="AggGreen 4 3 12" xfId="5790" xr:uid="{5CB5BC20-400C-4558-824A-0F44C699A9C1}"/>
    <cellStyle name="AggGreen 4 3 13" xfId="6038" xr:uid="{CBB7E678-DA3E-4A24-B6F0-52580F0F6F7C}"/>
    <cellStyle name="AggGreen 4 3 14" xfId="6161" xr:uid="{640B093F-FB78-40D7-A09F-D6A4CE787A2C}"/>
    <cellStyle name="AggGreen 4 3 15" xfId="7234" xr:uid="{FD8FEA10-B6B3-4A9B-9788-A4FF510783B5}"/>
    <cellStyle name="AggGreen 4 3 16" xfId="7968" xr:uid="{21C06279-6EFF-43B1-AFD9-1ACFB34A83D2}"/>
    <cellStyle name="AggGreen 4 3 17" xfId="6843" xr:uid="{9BB61236-57F2-4BCB-8C4C-AC574B4A917A}"/>
    <cellStyle name="AggGreen 4 3 18" xfId="8740" xr:uid="{1CEA7EDD-2929-473F-AC64-A718896AE873}"/>
    <cellStyle name="AggGreen 4 3 19" xfId="9448" xr:uid="{861ADA53-4DAE-455F-A19F-8B3A2C2E3E9B}"/>
    <cellStyle name="AggGreen 4 3 2" xfId="729" xr:uid="{B4654C8C-FBB2-424E-BCC2-C1C402A09DA7}"/>
    <cellStyle name="AggGreen 4 3 2 10" xfId="5377" xr:uid="{F12B164F-CC32-4D91-A70A-B1D9D7DBA83A}"/>
    <cellStyle name="AggGreen 4 3 2 11" xfId="3331" xr:uid="{6CEA1015-F2D3-4C29-808F-E0B802A61A57}"/>
    <cellStyle name="AggGreen 4 3 2 12" xfId="6302" xr:uid="{E7B887C6-D629-4DDA-85FF-74ECC01C2241}"/>
    <cellStyle name="AggGreen 4 3 2 13" xfId="6571" xr:uid="{EFFA8881-3BBA-49F2-BEA3-DAEEC3EF97A9}"/>
    <cellStyle name="AggGreen 4 3 2 14" xfId="7449" xr:uid="{44EEE425-F171-457E-A442-BBA8FC527A84}"/>
    <cellStyle name="AggGreen 4 3 2 15" xfId="7761" xr:uid="{FCAF985E-17AA-4188-9790-77D4EE512243}"/>
    <cellStyle name="AggGreen 4 3 2 16" xfId="8611" xr:uid="{0F9B09EA-CF17-4977-9BD2-868AEE6D7B53}"/>
    <cellStyle name="AggGreen 4 3 2 17" xfId="7223" xr:uid="{C1461557-ECB4-4E60-B989-3928E323F7A1}"/>
    <cellStyle name="AggGreen 4 3 2 18" xfId="9663" xr:uid="{B5E04DA0-6867-466F-9AD9-26D05136592C}"/>
    <cellStyle name="AggGreen 4 3 2 19" xfId="9974" xr:uid="{FEA9AF58-E9B2-49D1-AE7A-48D1B791CB2B}"/>
    <cellStyle name="AggGreen 4 3 2 2" xfId="1203" xr:uid="{5A3842F8-0948-43FD-81B3-9AEED38D462E}"/>
    <cellStyle name="AggGreen 4 3 2 20" xfId="10402" xr:uid="{94C5AE30-CF9B-40CE-B5A6-0CF259D2DF9F}"/>
    <cellStyle name="AggGreen 4 3 2 21" xfId="10688" xr:uid="{C92F77F0-D1AA-4A83-907B-68605074A2BB}"/>
    <cellStyle name="AggGreen 4 3 2 22" xfId="11144" xr:uid="{9D8072F1-26BF-4C7C-9760-17265CEA0F87}"/>
    <cellStyle name="AggGreen 4 3 2 23" xfId="12082" xr:uid="{A59C8846-595B-4D56-BA71-AC9162FC6090}"/>
    <cellStyle name="AggGreen 4 3 2 24" xfId="12555" xr:uid="{6592B4F9-A8D8-492F-BAFC-4E428EE00761}"/>
    <cellStyle name="AggGreen 4 3 2 25" xfId="12989" xr:uid="{572D4121-78A4-4D50-B45F-77A3795C23AE}"/>
    <cellStyle name="AggGreen 4 3 2 26" xfId="13426" xr:uid="{F262DA14-4F30-4231-9ACC-1695F07E3211}"/>
    <cellStyle name="AggGreen 4 3 2 27" xfId="13982" xr:uid="{5DB2299E-433E-4A92-914A-95850E06305C}"/>
    <cellStyle name="AggGreen 4 3 2 28" xfId="11374" xr:uid="{1D3DD44F-94C6-4414-9FDB-B8C5CF46D349}"/>
    <cellStyle name="AggGreen 4 3 2 29" xfId="14627" xr:uid="{9FA2F14C-BAE4-40E6-AEE5-81C888B56D5B}"/>
    <cellStyle name="AggGreen 4 3 2 3" xfId="1492" xr:uid="{0E69793D-8000-46ED-84DD-8CA462EDFB4C}"/>
    <cellStyle name="AggGreen 4 3 2 30" xfId="11444" xr:uid="{5E91AB16-33AB-4449-BD4A-26516D080AE8}"/>
    <cellStyle name="AggGreen 4 3 2 31" xfId="15050" xr:uid="{F5C89B8D-0ACD-4C82-B430-D46D97AA4235}"/>
    <cellStyle name="AggGreen 4 3 2 32" xfId="15838" xr:uid="{DBA0C6BC-448D-4FC4-8689-487ACB4D3D02}"/>
    <cellStyle name="AggGreen 4 3 2 33" xfId="16774" xr:uid="{5A27DB3A-4733-4EE9-9F25-B3FC57B6CDB4}"/>
    <cellStyle name="AggGreen 4 3 2 34" xfId="17089" xr:uid="{50318CB9-FA9D-4C36-96FE-059444DA8F6B}"/>
    <cellStyle name="AggGreen 4 3 2 35" xfId="17537" xr:uid="{0E489E20-C488-43CA-87A9-C3FDC96695E5}"/>
    <cellStyle name="AggGreen 4 3 2 36" xfId="16053" xr:uid="{09E05FE7-A2CE-4B7E-BCF2-B556A7510C30}"/>
    <cellStyle name="AggGreen 4 3 2 37" xfId="18592" xr:uid="{C19C82DD-EBF0-4C5A-AF58-FFD23E15B8D6}"/>
    <cellStyle name="AggGreen 4 3 2 38" xfId="18125" xr:uid="{D80C986F-E14F-47BF-BA38-825784500552}"/>
    <cellStyle name="AggGreen 4 3 2 39" xfId="18853" xr:uid="{DB813C3F-E6D3-42E2-8B0C-33DCFE98EA9A}"/>
    <cellStyle name="AggGreen 4 3 2 4" xfId="2551" xr:uid="{2D087E8E-1320-4533-9811-3F64F7BF3A18}"/>
    <cellStyle name="AggGreen 4 3 2 40" xfId="20111" xr:uid="{CB6420D6-FC64-4965-8C49-83D1918DC914}"/>
    <cellStyle name="AggGreen 4 3 2 41" xfId="20443" xr:uid="{ABE7D071-31A6-4072-9EAA-E6908FD2DCF4}"/>
    <cellStyle name="AggGreen 4 3 2 42" xfId="20895" xr:uid="{5794885C-D4E0-4ED0-8435-E88032D51C0A}"/>
    <cellStyle name="AggGreen 4 3 2 43" xfId="21114" xr:uid="{3367B46C-6B7D-47AD-A3BA-D7C4C91AF85F}"/>
    <cellStyle name="AggGreen 4 3 2 44" xfId="21825" xr:uid="{3648E51D-A548-4BBE-93C8-26827ED63867}"/>
    <cellStyle name="AggGreen 4 3 2 45" xfId="22261" xr:uid="{9DBCB74F-6405-450E-BAEB-3753A8481D53}"/>
    <cellStyle name="AggGreen 4 3 2 46" xfId="22954" xr:uid="{4DF5BEF7-E27D-4A74-8721-46DEF085E46A}"/>
    <cellStyle name="AggGreen 4 3 2 47" xfId="22913" xr:uid="{D5D97370-C570-498E-8B10-A3DD9C252CA6}"/>
    <cellStyle name="AggGreen 4 3 2 48" xfId="23644" xr:uid="{A3E92ED4-0A92-40BB-9036-6B8D2F860238}"/>
    <cellStyle name="AggGreen 4 3 2 49" xfId="23911" xr:uid="{0A42CC3A-7CB6-43B4-97A4-B9EAEA16590B}"/>
    <cellStyle name="AggGreen 4 3 2 5" xfId="3153" xr:uid="{269C01F5-CC2F-48A8-A6B7-53546B5060C5}"/>
    <cellStyle name="AggGreen 4 3 2 50" xfId="24819" xr:uid="{0C8CCF06-D396-4DDA-B94E-E29FA5624F5E}"/>
    <cellStyle name="AggGreen 4 3 2 51" xfId="25150" xr:uid="{6F12A1B1-A747-467E-B4F9-658E8B300105}"/>
    <cellStyle name="AggGreen 4 3 2 52" xfId="25735" xr:uid="{794EA4A5-6FFA-4AAF-9288-600086BE5C58}"/>
    <cellStyle name="AggGreen 4 3 2 53" xfId="26261" xr:uid="{4EF560FF-98C1-45D5-89ED-B33366564741}"/>
    <cellStyle name="AggGreen 4 3 2 54" xfId="26368" xr:uid="{16FFDCD1-17F4-4469-B796-0D06FEEAA81A}"/>
    <cellStyle name="AggGreen 4 3 2 55" xfId="27023" xr:uid="{26EF3B09-F666-4467-A5B3-8E9FFB1F8584}"/>
    <cellStyle name="AggGreen 4 3 2 56" xfId="27442" xr:uid="{4F6E9100-FAB8-440D-A03A-348A531A1618}"/>
    <cellStyle name="AggGreen 4 3 2 57" xfId="27696" xr:uid="{E7C1DA7F-B82C-4A41-BC1B-2801808A161B}"/>
    <cellStyle name="AggGreen 4 3 2 58" xfId="28569" xr:uid="{37006222-B9E9-432B-BB98-43DFF41F47AF}"/>
    <cellStyle name="AggGreen 4 3 2 59" xfId="29036" xr:uid="{B90B8312-6E22-416A-9C8A-331E06B5CF15}"/>
    <cellStyle name="AggGreen 4 3 2 6" xfId="3705" xr:uid="{D0D7F705-6061-46B0-89AC-C8FD8472A290}"/>
    <cellStyle name="AggGreen 4 3 2 60" xfId="29300" xr:uid="{170D7635-C033-4667-8E80-B02CCA244416}"/>
    <cellStyle name="AggGreen 4 3 2 61" xfId="29825" xr:uid="{FD4E3B0C-42D3-4CD0-8D2F-47F464791A5E}"/>
    <cellStyle name="AggGreen 4 3 2 62" xfId="30231" xr:uid="{6FBFCED4-6543-423C-8593-9E1EF49566C5}"/>
    <cellStyle name="AggGreen 4 3 2 63" xfId="30648" xr:uid="{0DC9781C-F465-4150-BD90-715BFC2BAACF}"/>
    <cellStyle name="AggGreen 4 3 2 64" xfId="28774" xr:uid="{E1C418C1-A550-4765-9B7C-DE65D37066F9}"/>
    <cellStyle name="AggGreen 4 3 2 65" xfId="31264" xr:uid="{13650907-596E-4324-A829-47F91C62F6CC}"/>
    <cellStyle name="AggGreen 4 3 2 66" xfId="31955" xr:uid="{5FBB7D08-7DE5-409B-9FE1-FB74A11B2E13}"/>
    <cellStyle name="AggGreen 4 3 2 67" xfId="31669" xr:uid="{BB9F813C-5899-4297-85E6-FCC0A6FDA53C}"/>
    <cellStyle name="AggGreen 4 3 2 7" xfId="4047" xr:uid="{8F9FD519-3FF6-4115-824E-B643AE232FA8}"/>
    <cellStyle name="AggGreen 4 3 2 8" xfId="4484" xr:uid="{032CE391-52DB-4B69-A644-94CDD79B5516}"/>
    <cellStyle name="AggGreen 4 3 2 9" xfId="3761" xr:uid="{2566BC23-78E1-4A45-9948-760E3172624E}"/>
    <cellStyle name="AggGreen 4 3 20" xfId="10184" xr:uid="{2BF98D02-292D-4CF1-92D5-027F1FAC010F}"/>
    <cellStyle name="AggGreen 4 3 21" xfId="10590" xr:uid="{1B944A23-F6C4-4BBE-B80C-9A1157E6AA1D}"/>
    <cellStyle name="AggGreen 4 3 22" xfId="9068" xr:uid="{A0D19B96-23B4-436A-B73A-76EBFDFB221A}"/>
    <cellStyle name="AggGreen 4 3 23" xfId="11042" xr:uid="{D913DEBF-FE64-4C14-9C50-50C0C5C850FB}"/>
    <cellStyle name="AggGreen 4 3 24" xfId="11867" xr:uid="{5B00121F-07B8-4343-B263-A9DC8483CB06}"/>
    <cellStyle name="AggGreen 4 3 25" xfId="12340" xr:uid="{121E7E74-95A4-480F-A8B4-470704A88B2C}"/>
    <cellStyle name="AggGreen 4 3 26" xfId="12774" xr:uid="{C8FE9B48-6E2D-43CD-8AC2-239D4AD3C555}"/>
    <cellStyle name="AggGreen 4 3 27" xfId="13211" xr:uid="{7A733494-6589-461D-8BA1-82D81A4BED7B}"/>
    <cellStyle name="AggGreen 4 3 28" xfId="12269" xr:uid="{7A498712-C91C-4DD2-AE3E-B588B1B8F677}"/>
    <cellStyle name="AggGreen 4 3 29" xfId="14454" xr:uid="{531153FB-020A-4368-86A8-9AEA0F5B02F9}"/>
    <cellStyle name="AggGreen 4 3 3" xfId="997" xr:uid="{DA03FE0C-F846-4845-BE33-AED7B1FD03BA}"/>
    <cellStyle name="AggGreen 4 3 30" xfId="11847" xr:uid="{23B833B3-F9C7-4C71-8A29-D99EE4B9E449}"/>
    <cellStyle name="AggGreen 4 3 31" xfId="15117" xr:uid="{EE876333-CCA2-42E6-A5DF-CEEC729A1D28}"/>
    <cellStyle name="AggGreen 4 3 32" xfId="15465" xr:uid="{4CEEB57D-C0AD-4759-B2F2-78D4EAB04148}"/>
    <cellStyle name="AggGreen 4 3 33" xfId="15952" xr:uid="{ECE91FA8-56E3-45AE-974C-0E3E44324420}"/>
    <cellStyle name="AggGreen 4 3 34" xfId="16559" xr:uid="{3806DEE8-8689-4C49-9D7C-5AC3C595DD3D}"/>
    <cellStyle name="AggGreen 4 3 35" xfId="17304" xr:uid="{E84B413D-B13C-40AD-9ACF-7F2CE7510B54}"/>
    <cellStyle name="AggGreen 4 3 36" xfId="17747" xr:uid="{DD98BD3F-1422-4DC1-8021-0E030B7190A4}"/>
    <cellStyle name="AggGreen 4 3 37" xfId="18132" xr:uid="{A357B7CF-A646-4ADB-A8A3-BA19ED2D7AC5}"/>
    <cellStyle name="AggGreen 4 3 38" xfId="18377" xr:uid="{3E36C912-46A4-4BCE-93F7-5BD6260461CD}"/>
    <cellStyle name="AggGreen 4 3 39" xfId="18886" xr:uid="{18E83E6D-8D74-45A9-AB08-79C71BD67DE8}"/>
    <cellStyle name="AggGreen 4 3 4" xfId="1733" xr:uid="{35DEDE6E-8D28-4CC0-91A0-6EDABA954195}"/>
    <cellStyle name="AggGreen 4 3 40" xfId="19083" xr:uid="{717CC6F6-A025-49B4-9403-077EABAA8775}"/>
    <cellStyle name="AggGreen 4 3 41" xfId="19896" xr:uid="{A1ECECE1-B98A-4CEC-AA81-FF412564C7CA}"/>
    <cellStyle name="AggGreen 4 3 42" xfId="20655" xr:uid="{C20FCE90-59BD-4852-A543-9C68D0BB7925}"/>
    <cellStyle name="AggGreen 4 3 43" xfId="21112" xr:uid="{77DCEC0A-C066-4397-9DAE-0872F631F12A}"/>
    <cellStyle name="AggGreen 4 3 44" xfId="21321" xr:uid="{E2C806D8-48A8-4A80-810C-C973595182D9}"/>
    <cellStyle name="AggGreen 4 3 45" xfId="22043" xr:uid="{1B827BE4-616D-43F4-8D6F-C885F768479C}"/>
    <cellStyle name="AggGreen 4 3 46" xfId="22472" xr:uid="{DB0D3099-2300-4CD5-B915-2C8048F01A79}"/>
    <cellStyle name="AggGreen 4 3 47" xfId="21599" xr:uid="{34A55336-EE8E-4EAC-A067-820B39D4D7C2}"/>
    <cellStyle name="AggGreen 4 3 48" xfId="23161" xr:uid="{7A02E9B2-E748-49AE-92CC-98456632094E}"/>
    <cellStyle name="AggGreen 4 3 49" xfId="21457" xr:uid="{6C9A61C5-DB03-4377-ABE4-FCE424EF784F}"/>
    <cellStyle name="AggGreen 4 3 5" xfId="2336" xr:uid="{E398E4E5-97ED-48D3-BF39-DD35F6BD0BFE}"/>
    <cellStyle name="AggGreen 4 3 50" xfId="23705" xr:uid="{109F611D-702C-4E44-B790-894AA2B2E288}"/>
    <cellStyle name="AggGreen 4 3 51" xfId="24604" xr:uid="{ECF44D92-2EFC-4A97-BC6A-ED181829EBFA}"/>
    <cellStyle name="AggGreen 4 3 52" xfId="25359" xr:uid="{1CCBD8AD-EC99-47E7-91B3-E81C625D1B76}"/>
    <cellStyle name="AggGreen 4 3 53" xfId="25522" xr:uid="{669B666E-6ADB-4FDE-B8F6-277FCA979793}"/>
    <cellStyle name="AggGreen 4 3 54" xfId="25257" xr:uid="{48F77182-F2A9-4BA5-A128-A3EF4577B850}"/>
    <cellStyle name="AggGreen 4 3 55" xfId="26633" xr:uid="{8F7AA052-B98E-43FC-97A3-6B5B5BD7A8DA}"/>
    <cellStyle name="AggGreen 4 3 56" xfId="26812" xr:uid="{DC8E1FDA-D8BD-4B6C-BB63-81D10CA760CF}"/>
    <cellStyle name="AggGreen 4 3 57" xfId="27231" xr:uid="{9927072F-1708-4680-A581-023D70214645}"/>
    <cellStyle name="AggGreen 4 3 58" xfId="25186" xr:uid="{DA1A75D4-FECC-4DFE-A768-9AA63A27D30E}"/>
    <cellStyle name="AggGreen 4 3 59" xfId="28354" xr:uid="{693BB170-D928-4135-9220-53C03D05817F}"/>
    <cellStyle name="AggGreen 4 3 6" xfId="2070" xr:uid="{D4313F95-23FB-4FFF-8042-763B8A669E3F}"/>
    <cellStyle name="AggGreen 4 3 60" xfId="28822" xr:uid="{8C5E2485-7FB3-4851-98A3-CC89883D7A7A}"/>
    <cellStyle name="AggGreen 4 3 61" xfId="29482" xr:uid="{50DA02DE-6480-40CD-A208-EA7180CDF6BE}"/>
    <cellStyle name="AggGreen 4 3 62" xfId="29612" xr:uid="{EE84E2C4-AF4A-4FC0-8D7B-5BCA79819B3A}"/>
    <cellStyle name="AggGreen 4 3 63" xfId="30020" xr:uid="{C9ED4AD2-D60C-4A5D-8EC2-595ED5B97331}"/>
    <cellStyle name="AggGreen 4 3 64" xfId="30434" xr:uid="{9F7A6FF7-75A3-4419-8CBA-08B003F3BB48}"/>
    <cellStyle name="AggGreen 4 3 65" xfId="30955" xr:uid="{75FED948-F45F-423F-8545-C53BCDDDBB8E}"/>
    <cellStyle name="AggGreen 4 3 66" xfId="31058" xr:uid="{A9649D5A-BC69-46E8-88F1-0BA52ECC84DA}"/>
    <cellStyle name="AggGreen 4 3 67" xfId="31744" xr:uid="{E21F8CC4-AAE0-47C3-8442-5ABFD1800097}"/>
    <cellStyle name="AggGreen 4 3 68" xfId="32245" xr:uid="{8941F41F-1D4A-485D-8007-9E8DB6A53C86}"/>
    <cellStyle name="AggGreen 4 3 7" xfId="3254" xr:uid="{24A96C83-07DA-4E95-A3AE-901000631721}"/>
    <cellStyle name="AggGreen 4 3 8" xfId="3832" xr:uid="{0B9B574F-7BFD-49AC-B731-AD3D212D5DED}"/>
    <cellStyle name="AggGreen 4 3 9" xfId="4270" xr:uid="{9FE883F8-6706-45D7-BC32-9BBC5DCB3D5B}"/>
    <cellStyle name="AggGreen 4 30" xfId="12741" xr:uid="{64514D25-0012-49D7-943D-052BC0402F16}"/>
    <cellStyle name="AggGreen 4 31" xfId="11699" xr:uid="{86C2CF88-31D3-445F-8953-8A3FDFB90AE8}"/>
    <cellStyle name="AggGreen 4 32" xfId="11686" xr:uid="{0A924781-59C9-498B-956C-1F789051EBC0}"/>
    <cellStyle name="AggGreen 4 33" xfId="15028" xr:uid="{3BE3CF2A-53AF-4C01-9FD7-3D1ED5B72DB2}"/>
    <cellStyle name="AggGreen 4 34" xfId="15112" xr:uid="{6E7513C2-2F4D-4A35-9952-D896E34C33F7}"/>
    <cellStyle name="AggGreen 4 35" xfId="15697" xr:uid="{E078E4C2-5189-454F-8115-3E0A7907403F}"/>
    <cellStyle name="AggGreen 4 36" xfId="16311" xr:uid="{D2511AAF-E593-42F8-BA9E-2F4F58B2FA2F}"/>
    <cellStyle name="AggGreen 4 37" xfId="16404" xr:uid="{A74FE9F3-7D1D-4251-87F3-67384510A6D7}"/>
    <cellStyle name="AggGreen 4 38" xfId="17276" xr:uid="{32966673-238E-4F5B-9908-B0DD2F64CA98}"/>
    <cellStyle name="AggGreen 4 39" xfId="17976" xr:uid="{F9DDE20E-5DE8-4590-95C2-8A9E263A3C64}"/>
    <cellStyle name="AggGreen 4 4" xfId="632" xr:uid="{3A7643F8-54FE-40DA-9228-64F66CE5278D}"/>
    <cellStyle name="AggGreen 4 4 10" xfId="3806" xr:uid="{9CD49529-8197-454D-9796-97632361870B}"/>
    <cellStyle name="AggGreen 4 4 11" xfId="5280" xr:uid="{83069777-9E64-4D46-AE6D-30C185F65C70}"/>
    <cellStyle name="AggGreen 4 4 12" xfId="5681" xr:uid="{39737C48-FE4D-408B-9504-666CCAB80229}"/>
    <cellStyle name="AggGreen 4 4 13" xfId="1828" xr:uid="{46718C63-0AD9-4D16-BB6C-8D7F761A6508}"/>
    <cellStyle name="AggGreen 4 4 14" xfId="5145" xr:uid="{FEDBD1DA-2CC2-43FF-9CC5-7F138EDB6B22}"/>
    <cellStyle name="AggGreen 4 4 15" xfId="7352" xr:uid="{DBF12F61-10B8-4F1F-8D0D-1C8D24AF0F89}"/>
    <cellStyle name="AggGreen 4 4 16" xfId="7890" xr:uid="{32006CD1-FB45-4823-95E4-4F160847A7AF}"/>
    <cellStyle name="AggGreen 4 4 17" xfId="8131" xr:uid="{A098D14D-A691-4096-A5E9-B8A243D4A6EE}"/>
    <cellStyle name="AggGreen 4 4 18" xfId="7043" xr:uid="{6FC78A5F-A812-4FE0-9C9B-DF5931A46DC8}"/>
    <cellStyle name="AggGreen 4 4 19" xfId="9566" xr:uid="{0130450F-976F-43C3-BFCD-D9E23E179383}"/>
    <cellStyle name="AggGreen 4 4 2" xfId="847" xr:uid="{A8A79DA9-F94B-4AF5-9A23-E7C8EF805176}"/>
    <cellStyle name="AggGreen 4 4 2 10" xfId="5495" xr:uid="{500A520A-F537-4110-88B6-B306A594EAC7}"/>
    <cellStyle name="AggGreen 4 4 2 11" xfId="4999" xr:uid="{D404F51C-6BAF-4136-B518-5187D40EA75C}"/>
    <cellStyle name="AggGreen 4 4 2 12" xfId="6159" xr:uid="{C7AB55F6-6FCC-4EB2-8C22-AE68EB4EC8FA}"/>
    <cellStyle name="AggGreen 4 4 2 13" xfId="6532" xr:uid="{612B4148-D3BA-4B4E-90F1-F955CF384DEE}"/>
    <cellStyle name="AggGreen 4 4 2 14" xfId="7567" xr:uid="{4B1F996E-6C9E-4477-A32E-CDF3CBD5D3EA}"/>
    <cellStyle name="AggGreen 4 4 2 15" xfId="7207" xr:uid="{B9E2959B-C25D-40E1-AA02-74A1BF98AD26}"/>
    <cellStyle name="AggGreen 4 4 2 16" xfId="8238" xr:uid="{C869D8B1-6996-4509-83FE-1EB63C1516A9}"/>
    <cellStyle name="AggGreen 4 4 2 17" xfId="8881" xr:uid="{F2A35E61-D65A-446B-9D07-1666C65725C1}"/>
    <cellStyle name="AggGreen 4 4 2 18" xfId="9781" xr:uid="{E43E2B42-338E-4911-B944-9AD058B6AA33}"/>
    <cellStyle name="AggGreen 4 4 2 19" xfId="9420" xr:uid="{BBEBA339-626C-4434-9269-4D25228736A1}"/>
    <cellStyle name="AggGreen 4 4 2 2" xfId="1321" xr:uid="{4E4F955C-19CD-4CCA-96EA-056443FC43C2}"/>
    <cellStyle name="AggGreen 4 4 2 20" xfId="9138" xr:uid="{3033CA0E-F421-42FB-9657-D906D5C670B5}"/>
    <cellStyle name="AggGreen 4 4 2 21" xfId="10754" xr:uid="{E59D8250-D396-4843-8372-22BB46AC6CB4}"/>
    <cellStyle name="AggGreen 4 4 2 22" xfId="8961" xr:uid="{0ECDFD52-E4A6-4C7F-885D-8BB738EFED44}"/>
    <cellStyle name="AggGreen 4 4 2 23" xfId="12200" xr:uid="{77608F7E-6120-469F-BC77-8C6BE031EE72}"/>
    <cellStyle name="AggGreen 4 4 2 24" xfId="12673" xr:uid="{BB9616B3-F9F5-40CD-8838-D0B4CF393190}"/>
    <cellStyle name="AggGreen 4 4 2 25" xfId="13107" xr:uid="{1483B3DF-44F3-4437-BF42-D9CBD6DD1E78}"/>
    <cellStyle name="AggGreen 4 4 2 26" xfId="13544" xr:uid="{DE15A720-3577-49BB-8134-4E8AF84B57D7}"/>
    <cellStyle name="AggGreen 4 4 2 27" xfId="13820" xr:uid="{31EAE559-8CA1-46B7-945F-93A1B3C9AB28}"/>
    <cellStyle name="AggGreen 4 4 2 28" xfId="11644" xr:uid="{7CBB2E1D-C35F-41EB-A965-34167D999FE1}"/>
    <cellStyle name="AggGreen 4 4 2 29" xfId="14323" xr:uid="{33ABC988-EBB2-4A4D-9E44-553B721CA054}"/>
    <cellStyle name="AggGreen 4 4 2 3" xfId="1770" xr:uid="{F546BB60-4A71-4CDA-8E46-CAF62618E900}"/>
    <cellStyle name="AggGreen 4 4 2 30" xfId="15137" xr:uid="{4865BEF0-97C2-4317-B4C4-25366366119B}"/>
    <cellStyle name="AggGreen 4 4 2 31" xfId="15164" xr:uid="{5CC57C52-18E2-49FA-9B51-EA2668DDBADE}"/>
    <cellStyle name="AggGreen 4 4 2 32" xfId="15527" xr:uid="{DB4A1C29-2448-4519-842C-64AEA47241A2}"/>
    <cellStyle name="AggGreen 4 4 2 33" xfId="16892" xr:uid="{BDC5ECE7-0A2A-42A0-AB76-BEDFFFD916B8}"/>
    <cellStyle name="AggGreen 4 4 2 34" xfId="16529" xr:uid="{3C2E4759-E823-45A0-B29D-E9A23B48B6FB}"/>
    <cellStyle name="AggGreen 4 4 2 35" xfId="16749" xr:uid="{CA783A26-180F-467E-BFCB-F01E427B0F22}"/>
    <cellStyle name="AggGreen 4 4 2 36" xfId="17777" xr:uid="{0B661438-3B28-4A96-ADCD-23E79C4EC1F0}"/>
    <cellStyle name="AggGreen 4 4 2 37" xfId="18710" xr:uid="{1DAE0954-AD89-408B-B1C1-50B3C50DF704}"/>
    <cellStyle name="AggGreen 4 4 2 38" xfId="18967" xr:uid="{A2D81995-90EF-4680-8AE7-B9F578679F96}"/>
    <cellStyle name="AggGreen 4 4 2 39" xfId="19254" xr:uid="{979ECCAD-8FB8-4FE2-8735-67F2E3092365}"/>
    <cellStyle name="AggGreen 4 4 2 4" xfId="2669" xr:uid="{23795840-8280-456A-9788-AD50D387E7B1}"/>
    <cellStyle name="AggGreen 4 4 2 40" xfId="20229" xr:uid="{40EA3C7C-EE9B-4DF0-9C67-213B5DB21017}"/>
    <cellStyle name="AggGreen 4 4 2 41" xfId="19865" xr:uid="{E30C64A8-F296-4E4E-A079-FAE14CAAEFDF}"/>
    <cellStyle name="AggGreen 4 4 2 42" xfId="19398" xr:uid="{50F120CC-47E3-4409-8A3B-2195C21F8E13}"/>
    <cellStyle name="AggGreen 4 4 2 43" xfId="21521" xr:uid="{F3F80CD7-5840-46A0-9C56-B57B12C695E1}"/>
    <cellStyle name="AggGreen 4 4 2 44" xfId="19677" xr:uid="{78B4AEA3-5BF8-4C8C-B82E-E7AA43D4BAF5}"/>
    <cellStyle name="AggGreen 4 4 2 45" xfId="21822" xr:uid="{04D5099E-8831-4FEC-9E48-558FF7C7B18A}"/>
    <cellStyle name="AggGreen 4 4 2 46" xfId="22808" xr:uid="{9951DF45-C8AB-464B-88DD-53BA9883010B}"/>
    <cellStyle name="AggGreen 4 4 2 47" xfId="23253" xr:uid="{4F97CF0F-EA33-4092-84A5-D8B7E61751EF}"/>
    <cellStyle name="AggGreen 4 4 2 48" xfId="23617" xr:uid="{9B99E5B2-BFA2-4FA3-B1A8-4E979AB9BB70}"/>
    <cellStyle name="AggGreen 4 4 2 49" xfId="24029" xr:uid="{0DCE4964-B7B2-4611-B246-D695862BA9A3}"/>
    <cellStyle name="AggGreen 4 4 2 5" xfId="2986" xr:uid="{B166B574-ED4B-45E6-848B-6847AA750F67}"/>
    <cellStyle name="AggGreen 4 4 2 50" xfId="24937" xr:uid="{2C510ED4-5C81-4767-8617-9CF6CBD4D00C}"/>
    <cellStyle name="AggGreen 4 4 2 51" xfId="24431" xr:uid="{32C508EF-E702-41D9-9F5D-92019DCCD2FE}"/>
    <cellStyle name="AggGreen 4 4 2 52" xfId="25853" xr:uid="{379123D0-6FDF-43D1-95AB-7E6B3AEE00BD}"/>
    <cellStyle name="AggGreen 4 4 2 53" xfId="26105" xr:uid="{19ED74C4-87EB-4CC3-B3E2-F81439E563E6}"/>
    <cellStyle name="AggGreen 4 4 2 54" xfId="24411" xr:uid="{BA6A5CF3-A6D6-4569-99FB-ABC33CABC041}"/>
    <cellStyle name="AggGreen 4 4 2 55" xfId="27141" xr:uid="{DDF31943-844B-466C-8482-742AA0C64A13}"/>
    <cellStyle name="AggGreen 4 4 2 56" xfId="27560" xr:uid="{C509844F-F3A8-4544-A916-1D49097C68E3}"/>
    <cellStyle name="AggGreen 4 4 2 57" xfId="25972" xr:uid="{F38FF766-B8D5-416C-8886-9EA622213747}"/>
    <cellStyle name="AggGreen 4 4 2 58" xfId="28687" xr:uid="{D4535E4F-8A3D-4074-B2B4-E9483EF37E02}"/>
    <cellStyle name="AggGreen 4 4 2 59" xfId="29154" xr:uid="{329DF76C-E24A-46FF-BD2A-5419E2682988}"/>
    <cellStyle name="AggGreen 4 4 2 6" xfId="3544" xr:uid="{4FAE5746-4094-4597-8E75-A6289E6237B7}"/>
    <cellStyle name="AggGreen 4 4 2 60" xfId="28094" xr:uid="{4745E344-9BF8-487C-A63A-33F57D063D43}"/>
    <cellStyle name="AggGreen 4 4 2 61" xfId="29943" xr:uid="{2459AC1A-FE98-402F-8C12-3C93AEB97DAA}"/>
    <cellStyle name="AggGreen 4 4 2 62" xfId="30349" xr:uid="{B721D1C9-843F-4A98-B6DA-77B3BA47BD35}"/>
    <cellStyle name="AggGreen 4 4 2 63" xfId="30766" xr:uid="{14506C6B-CC4F-43EF-A6B5-374B3AAAC612}"/>
    <cellStyle name="AggGreen 4 4 2 64" xfId="30416" xr:uid="{FE06A570-048C-4EA1-B66B-6A36324D4CA3}"/>
    <cellStyle name="AggGreen 4 4 2 65" xfId="31382" xr:uid="{1446F2A9-72E8-429F-B47A-910C55B21B0B}"/>
    <cellStyle name="AggGreen 4 4 2 66" xfId="32073" xr:uid="{2F719DF9-6AD0-4991-8D96-C816E1826354}"/>
    <cellStyle name="AggGreen 4 4 2 67" xfId="31705" xr:uid="{06719992-8895-4239-BEAC-534672DF0432}"/>
    <cellStyle name="AggGreen 4 4 2 7" xfId="4165" xr:uid="{7E88B055-3E79-4FE5-97D3-ABA780B2FF59}"/>
    <cellStyle name="AggGreen 4 4 2 8" xfId="4602" xr:uid="{C1F4C817-CD64-4B78-A9E8-1CE7D3AC027B}"/>
    <cellStyle name="AggGreen 4 4 2 9" xfId="3798" xr:uid="{802AA629-A49B-455E-929E-954F34D2696A}"/>
    <cellStyle name="AggGreen 4 4 20" xfId="10103" xr:uid="{E1910387-659F-4625-87D1-0A50698ED23C}"/>
    <cellStyle name="AggGreen 4 4 21" xfId="10519" xr:uid="{2FE5596B-6781-4481-A1A9-3EB1510BB256}"/>
    <cellStyle name="AggGreen 4 4 22" xfId="9438" xr:uid="{AD64BF45-4D8D-4C77-8122-3871631303FF}"/>
    <cellStyle name="AggGreen 4 4 23" xfId="10815" xr:uid="{1F74F17D-D196-45C9-8300-AFC7D7E5610F}"/>
    <cellStyle name="AggGreen 4 4 24" xfId="11985" xr:uid="{E70EB67C-5C8A-45C0-AF45-BBB7E36718CD}"/>
    <cellStyle name="AggGreen 4 4 25" xfId="12458" xr:uid="{56EB6D22-D7D0-4490-9D82-F25B0194422F}"/>
    <cellStyle name="AggGreen 4 4 26" xfId="12892" xr:uid="{C132989A-8ABB-4407-8A29-7FA328BD139C}"/>
    <cellStyle name="AggGreen 4 4 27" xfId="13329" xr:uid="{077AD47A-903F-4FC4-9618-320DA82A39E5}"/>
    <cellStyle name="AggGreen 4 4 28" xfId="13396" xr:uid="{67EC0BDC-5E71-4278-8E23-87D84DFD74DD}"/>
    <cellStyle name="AggGreen 4 4 29" xfId="13698" xr:uid="{5C248D98-416D-4C8C-93F4-095915C183BB}"/>
    <cellStyle name="AggGreen 4 4 3" xfId="1115" xr:uid="{769CEEF6-7D90-4B54-A59C-E195F82B8EBA}"/>
    <cellStyle name="AggGreen 4 4 30" xfId="14644" xr:uid="{1CA630C7-4163-4F9C-A91B-38828A3856DD}"/>
    <cellStyle name="AggGreen 4 4 31" xfId="15075" xr:uid="{23C1D21E-6F6F-4CD7-849F-9A92B294919C}"/>
    <cellStyle name="AggGreen 4 4 32" xfId="15536" xr:uid="{2B2E182E-223D-4B4B-A317-FEE0BC148D21}"/>
    <cellStyle name="AggGreen 4 4 33" xfId="15913" xr:uid="{CB95E37D-9E6E-446B-9020-F0A7BB4965F0}"/>
    <cellStyle name="AggGreen 4 4 34" xfId="16677" xr:uid="{1AF9AA96-EC70-4A61-8542-B9B22FB99F20}"/>
    <cellStyle name="AggGreen 4 4 35" xfId="17222" xr:uid="{86F59BBB-7ADB-49D4-9D05-227BCF059502}"/>
    <cellStyle name="AggGreen 4 4 36" xfId="17667" xr:uid="{B50FD068-0A5C-4896-A267-D6292425CD05}"/>
    <cellStyle name="AggGreen 4 4 37" xfId="17312" xr:uid="{65662373-97F3-4BB7-8AC3-E7CD6813CFAE}"/>
    <cellStyle name="AggGreen 4 4 38" xfId="18495" xr:uid="{1D3A1A72-784B-4922-B4C9-4C22A7CE311A}"/>
    <cellStyle name="AggGreen 4 4 39" xfId="18296" xr:uid="{1ECB196E-6024-44A7-822D-C5EFA59ED0AE}"/>
    <cellStyle name="AggGreen 4 4 4" xfId="1633" xr:uid="{BE0F5E07-021B-4008-9601-4B509749108E}"/>
    <cellStyle name="AggGreen 4 4 40" xfId="19247" xr:uid="{C582343D-EE9C-40F6-8C6F-6EDDF086DAC0}"/>
    <cellStyle name="AggGreen 4 4 41" xfId="20014" xr:uid="{0BDC2216-1C58-4FF3-824A-1FFEC6FF608E}"/>
    <cellStyle name="AggGreen 4 4 42" xfId="20575" xr:uid="{E6FE0411-4CDD-4D78-87C1-6538D0ACABBD}"/>
    <cellStyle name="AggGreen 4 4 43" xfId="21028" xr:uid="{2DCAD772-1A65-48BE-97F7-2517487E531F}"/>
    <cellStyle name="AggGreen 4 4 44" xfId="21089" xr:uid="{17C54648-AB65-4B8C-BA94-DA204E3F61EE}"/>
    <cellStyle name="AggGreen 4 4 45" xfId="21959" xr:uid="{EE25A6F2-25FA-4233-9ED0-2DDD8EC2056F}"/>
    <cellStyle name="AggGreen 4 4 46" xfId="22390" xr:uid="{5B58F699-7CEF-47A4-96E1-C05C0C7D2527}"/>
    <cellStyle name="AggGreen 4 4 47" xfId="22468" xr:uid="{307C908C-F5A6-4AF7-90EF-00CE47CFBEE9}"/>
    <cellStyle name="AggGreen 4 4 48" xfId="22697" xr:uid="{F2B1E7B5-A444-4068-BC94-496199C1F90F}"/>
    <cellStyle name="AggGreen 4 4 49" xfId="23651" xr:uid="{B65DA5CF-0B20-4EBA-B6B0-7B57621A1BF3}"/>
    <cellStyle name="AggGreen 4 4 5" xfId="2454" xr:uid="{FB20EA5E-2C76-47B5-8732-9340FD0C17C8}"/>
    <cellStyle name="AggGreen 4 4 50" xfId="23823" xr:uid="{62AC21DD-0504-4057-90C8-E4D49BD97279}"/>
    <cellStyle name="AggGreen 4 4 51" xfId="24722" xr:uid="{03D3021B-3659-4058-9EC4-90F1BF25C385}"/>
    <cellStyle name="AggGreen 4 4 52" xfId="25283" xr:uid="{4DC4B0C4-8B47-4596-BA3A-92A5B3AD4B96}"/>
    <cellStyle name="AggGreen 4 4 53" xfId="25640" xr:uid="{F5B272D8-0913-4BAD-9A6B-4FA75F8C5E29}"/>
    <cellStyle name="AggGreen 4 4 54" xfId="25897" xr:uid="{95DA9896-B21D-4EC5-AA84-2AEC59E308FD}"/>
    <cellStyle name="AggGreen 4 4 55" xfId="26103" xr:uid="{3E7B7FC2-0661-43D1-94E3-5F03E08A5317}"/>
    <cellStyle name="AggGreen 4 4 56" xfId="26930" xr:uid="{A1EE8B43-4DE4-4C40-8736-A70776163FD4}"/>
    <cellStyle name="AggGreen 4 4 57" xfId="27349" xr:uid="{44BF202D-0734-4648-BDBE-2CD5809BC70D}"/>
    <cellStyle name="AggGreen 4 4 58" xfId="24517" xr:uid="{F607210D-7FFE-4BA3-ACDB-002272BAF8D5}"/>
    <cellStyle name="AggGreen 4 4 59" xfId="28472" xr:uid="{0BD432B0-A8DC-4412-9BEE-F2DA133A6081}"/>
    <cellStyle name="AggGreen 4 4 6" xfId="1900" xr:uid="{842E92EC-DA51-43FC-9BE9-17D6EB070D5D}"/>
    <cellStyle name="AggGreen 4 4 60" xfId="28940" xr:uid="{162A9981-FF63-42BC-9A89-72CE466785D6}"/>
    <cellStyle name="AggGreen 4 4 61" xfId="29411" xr:uid="{0A7C1BBA-D37A-4BF6-BF95-E1013E59AE0B}"/>
    <cellStyle name="AggGreen 4 4 62" xfId="29730" xr:uid="{CAA63B9A-8592-41EA-890C-9CA4866A31EE}"/>
    <cellStyle name="AggGreen 4 4 63" xfId="30138" xr:uid="{2308C0F8-3E43-4F11-87E2-8F72A6A18948}"/>
    <cellStyle name="AggGreen 4 4 64" xfId="30552" xr:uid="{2BE43283-E3AE-4BE0-9CAA-766B51A39BDF}"/>
    <cellStyle name="AggGreen 4 4 65" xfId="30984" xr:uid="{13EA5EF8-A876-476E-AF9A-AC658F908A58}"/>
    <cellStyle name="AggGreen 4 4 66" xfId="31176" xr:uid="{199BBB73-3758-48FC-93C8-BC166F3572C6}"/>
    <cellStyle name="AggGreen 4 4 67" xfId="31862" xr:uid="{A9C52A07-2485-4538-A47A-B674BA3011AC}"/>
    <cellStyle name="AggGreen 4 4 68" xfId="32162" xr:uid="{0CA68DDD-BF8C-44F5-BFC9-8574B7E58835}"/>
    <cellStyle name="AggGreen 4 4 7" xfId="2811" xr:uid="{D01D7D4F-5569-4A98-A44C-F02ADD2ED8E9}"/>
    <cellStyle name="AggGreen 4 4 8" xfId="3950" xr:uid="{C91C76B3-5A37-4927-AF0F-67EFCAD42DCB}"/>
    <cellStyle name="AggGreen 4 4 9" xfId="4388" xr:uid="{165B7C57-D6D8-48B8-80D1-4547CE4A0213}"/>
    <cellStyle name="AggGreen 4 40" xfId="17717" xr:uid="{D4D24DA4-768A-431A-990C-30BEE0F72629}"/>
    <cellStyle name="AggGreen 4 41" xfId="18910" xr:uid="{E982690F-F78B-4EE7-B6E6-EA504011AD2F}"/>
    <cellStyle name="AggGreen 4 42" xfId="18057" xr:uid="{F39F5D62-B00E-4A0D-9B89-8672045ADD8C}"/>
    <cellStyle name="AggGreen 4 43" xfId="19644" xr:uid="{8AD1D806-5F29-4048-9370-2498FEB30EF4}"/>
    <cellStyle name="AggGreen 4 44" xfId="19737" xr:uid="{F446A490-2E33-4C43-BF89-A130E753BB6A}"/>
    <cellStyle name="AggGreen 4 45" xfId="20609" xr:uid="{8B75CD5B-153E-453A-8FDD-68288A8D2649}"/>
    <cellStyle name="AggGreen 4 46" xfId="21103" xr:uid="{C1598C5A-8D70-4AE1-BAB9-4763C8D1389E}"/>
    <cellStyle name="AggGreen 4 47" xfId="19870" xr:uid="{89A1F68D-F4FE-4F1D-9237-4BEA08B498EC}"/>
    <cellStyle name="AggGreen 4 48" xfId="21867" xr:uid="{9A888B64-6E0C-4F89-89F7-38C9612A5EB7}"/>
    <cellStyle name="AggGreen 4 49" xfId="22097" xr:uid="{A42519E5-E303-4DA7-8BF0-0FAD81346930}"/>
    <cellStyle name="AggGreen 4 5" xfId="937" xr:uid="{8AE992C3-7813-41AD-83CF-C30F2F9E69A1}"/>
    <cellStyle name="AggGreen 4 50" xfId="23188" xr:uid="{0D799067-9B73-4FA0-A2FD-43CFC4139148}"/>
    <cellStyle name="AggGreen 4 51" xfId="23031" xr:uid="{3E289EA1-CF57-4EBE-AB77-57B218D4F895}"/>
    <cellStyle name="AggGreen 4 52" xfId="22929" xr:uid="{8BE192E2-0FF1-4862-B2DA-8C231A839ABA}"/>
    <cellStyle name="AggGreen 4 53" xfId="24364" xr:uid="{4BE8B6CE-87D4-40DA-B577-724D2FA5B03A}"/>
    <cellStyle name="AggGreen 4 54" xfId="25034" xr:uid="{E4D753C0-DD2E-4F2A-A1C6-0691EE6AF5E5}"/>
    <cellStyle name="AggGreen 4 55" xfId="25193" xr:uid="{29608500-3E64-4E77-8878-3225DA91D90A}"/>
    <cellStyle name="AggGreen 4 56" xfId="24215" xr:uid="{4DCF35AE-E839-465D-A671-9A6B6B766F22}"/>
    <cellStyle name="AggGreen 4 57" xfId="26484" xr:uid="{324A3B16-FB71-4E45-9D94-07BEB49BFDAC}"/>
    <cellStyle name="AggGreen 4 58" xfId="26109" xr:uid="{17643FAA-D9DC-4295-8F55-80F9C967D7F0}"/>
    <cellStyle name="AggGreen 4 59" xfId="25476" xr:uid="{D9BA27AD-DE69-42BE-8BE9-A44475D90313}"/>
    <cellStyle name="AggGreen 4 6" xfId="1534" xr:uid="{0122B9DA-813D-419C-9536-94BDC3DDA563}"/>
    <cellStyle name="AggGreen 4 60" xfId="26460" xr:uid="{E73E2D53-D928-46FA-9760-E7262EC65942}"/>
    <cellStyle name="AggGreen 4 61" xfId="28135" xr:uid="{FEA24765-50D0-4251-87E2-B2D7DC54EC02}"/>
    <cellStyle name="AggGreen 4 62" xfId="28021" xr:uid="{2565AC22-B210-42FD-B3A9-9F0A08A024FA}"/>
    <cellStyle name="AggGreen 4 63" xfId="28062" xr:uid="{7CC98BDE-1B8E-4748-AA58-C53DA23AB4C7}"/>
    <cellStyle name="AggGreen 4 64" xfId="27909" xr:uid="{C919EFBB-3DA0-46ED-AA22-2E29CC0559AF}"/>
    <cellStyle name="AggGreen 4 65" xfId="29381" xr:uid="{E4AAD484-F33E-4B6B-A44C-AB608CE24075}"/>
    <cellStyle name="AggGreen 4 66" xfId="29376" xr:uid="{DED619A9-8570-4CD3-9FF4-C56D6209C29A}"/>
    <cellStyle name="AggGreen 4 67" xfId="30811" xr:uid="{9A0FA32E-C437-46D1-ADC6-65DD4D744F52}"/>
    <cellStyle name="AggGreen 4 68" xfId="28274" xr:uid="{BF8F580E-FF40-4D54-A39E-3415F5006727}"/>
    <cellStyle name="AggGreen 4 69" xfId="31587" xr:uid="{2ECBDF94-B933-4AE8-BCFC-01C3DBE7C5C0}"/>
    <cellStyle name="AggGreen 4 7" xfId="2084" xr:uid="{07DBCC8C-B61D-4182-8C00-39D5345B12BA}"/>
    <cellStyle name="AggGreen 4 70" xfId="31441" xr:uid="{768B11B6-1977-437B-A5DC-F88952BCF7B6}"/>
    <cellStyle name="AggGreen 4 8" xfId="2206" xr:uid="{F2A6FC56-518C-4183-8817-A2116FBCEE6C}"/>
    <cellStyle name="AggGreen 4 9" xfId="2897" xr:uid="{77C74D6E-AD81-4289-B9AA-2B55AF6EF403}"/>
    <cellStyle name="AggGreen 5" xfId="76" xr:uid="{74782D46-EE93-4856-85F0-93DC50C466F2}"/>
    <cellStyle name="AggGreen 5 10" xfId="16128" xr:uid="{7DDE0833-4A27-448D-B654-C1E397EF47E7}"/>
    <cellStyle name="AggGreen 5 11" xfId="18960" xr:uid="{876729EB-8E32-436D-A85A-8B514D77C3DF}"/>
    <cellStyle name="AggGreen 5 12" xfId="19461" xr:uid="{9FEF8616-7DE3-4601-89D3-6C848EA5E90C}"/>
    <cellStyle name="AggGreen 5 13" xfId="22479" xr:uid="{BA51436C-6AFE-4E01-91E0-8B131C0B1BD4}"/>
    <cellStyle name="AggGreen 5 14" xfId="24182" xr:uid="{BC992617-65E1-4DED-9C97-F6EEC6EBA08F}"/>
    <cellStyle name="AggGreen 5 15" xfId="26539" xr:uid="{E0954195-7CB1-43B7-94B3-9C325CC42CD9}"/>
    <cellStyle name="AggGreen 5 16" xfId="27975" xr:uid="{E93165C1-C050-4160-A46E-51BBDB5FA7FE}"/>
    <cellStyle name="AggGreen 5 17" xfId="31489" xr:uid="{DB580D6D-873E-4646-B356-FFB848F2B10E}"/>
    <cellStyle name="AggGreen 5 2" xfId="921" xr:uid="{28E525F4-757E-4A0D-8CA0-C3A867CD0037}"/>
    <cellStyle name="AggGreen 5 3" xfId="1904" xr:uid="{12E9B9C9-64C8-4A7E-B2C1-4E86C160B3E7}"/>
    <cellStyle name="AggGreen 5 4" xfId="3582" xr:uid="{7254A4F0-F86D-4366-971A-6E9261544B18}"/>
    <cellStyle name="AggGreen 5 5" xfId="3328" xr:uid="{A1F3BBA5-1A53-4BBA-AEE3-168ED41815FB}"/>
    <cellStyle name="AggGreen 5 6" xfId="6817" xr:uid="{D8F15E08-A554-4F83-8AEA-D63C69729619}"/>
    <cellStyle name="AggGreen 5 7" xfId="8483" xr:uid="{87D02548-FF44-4EE1-9431-6F7DEA2D8C4E}"/>
    <cellStyle name="AggGreen 5 8" xfId="9031" xr:uid="{B31ABF98-9731-4EBE-BEC0-BC4E6553D899}"/>
    <cellStyle name="AggGreen 5 9" xfId="11436" xr:uid="{79F4AC41-F548-4728-8633-72A14F265E02}"/>
    <cellStyle name="AggGreen_Bbdr" xfId="25" xr:uid="{6AF3ED15-6184-4190-B432-7DD1899DD1D6}"/>
    <cellStyle name="AggGreen12" xfId="22" xr:uid="{7FBA6500-DA27-44F6-BD14-3A6FF781C884}"/>
    <cellStyle name="AggGreen12 2" xfId="115" xr:uid="{EE1B7331-A7DD-45BC-9BC0-7144F65CFB6F}"/>
    <cellStyle name="AggGreen12 2 2" xfId="405" xr:uid="{FE8470F5-6E8E-48DD-82DE-4CC091F37F07}"/>
    <cellStyle name="AggGreen12 2 2 2" xfId="598" xr:uid="{7093A909-17B6-4E06-84D8-E6800D7789A7}"/>
    <cellStyle name="AggGreen12 2 2 2 10" xfId="4871" xr:uid="{9BE8E04B-C4DE-4797-9273-62DE9D7026C5}"/>
    <cellStyle name="AggGreen12 2 2 2 11" xfId="5246" xr:uid="{19C31085-9C49-4696-A6D0-FE799B1391C9}"/>
    <cellStyle name="AggGreen12 2 2 2 12" xfId="5959" xr:uid="{B91951D3-5F80-46B9-A0E6-FF9FC45FD64E}"/>
    <cellStyle name="AggGreen12 2 2 2 13" xfId="6276" xr:uid="{9D2CB6B4-4D96-4E9B-9DA0-BDA0B6006953}"/>
    <cellStyle name="AggGreen12 2 2 2 14" xfId="6132" xr:uid="{6F6B7528-9AEB-4D10-9EAE-1BA0628A9840}"/>
    <cellStyle name="AggGreen12 2 2 2 15" xfId="7318" xr:uid="{85F7A698-C5AD-484B-932B-1E4C0A8D1FD9}"/>
    <cellStyle name="AggGreen12 2 2 2 16" xfId="7708" xr:uid="{04ABD9F0-0C10-449B-A52B-557EC74EE92A}"/>
    <cellStyle name="AggGreen12 2 2 2 17" xfId="8398" xr:uid="{958F311D-C8B7-423B-B350-127A527A12C4}"/>
    <cellStyle name="AggGreen12 2 2 2 18" xfId="7126" xr:uid="{4F4094AA-4026-4F3C-8330-73C21052D1D6}"/>
    <cellStyle name="AggGreen12 2 2 2 19" xfId="9532" xr:uid="{A5F60BB2-9921-4F2F-A036-4CCD66B9EB8C}"/>
    <cellStyle name="AggGreen12 2 2 2 2" xfId="813" xr:uid="{5D8A91BF-D59B-4330-911E-5048781661B4}"/>
    <cellStyle name="AggGreen12 2 2 2 2 10" xfId="5461" xr:uid="{60D789E7-A1DF-4CCC-B7EC-8D8F35EEEBE3}"/>
    <cellStyle name="AggGreen12 2 2 2 2 11" xfId="4013" xr:uid="{73E13D7E-1779-48D6-A79B-E9EA0251EC84}"/>
    <cellStyle name="AggGreen12 2 2 2 2 12" xfId="6046" xr:uid="{FB791855-A64D-449A-9DE0-418D084A653A}"/>
    <cellStyle name="AggGreen12 2 2 2 2 13" xfId="6580" xr:uid="{7BE3E69C-F056-41F3-9B53-B6BCB720E836}"/>
    <cellStyle name="AggGreen12 2 2 2 2 14" xfId="7533" xr:uid="{D826CA6A-4298-4A8E-A54B-AD70BB24884E}"/>
    <cellStyle name="AggGreen12 2 2 2 2 15" xfId="7074" xr:uid="{E44B86E5-7329-46B7-A994-DC4ECC8D2780}"/>
    <cellStyle name="AggGreen12 2 2 2 2 16" xfId="8170" xr:uid="{3F976FDB-003B-47FF-9973-DE9778ADC3DA}"/>
    <cellStyle name="AggGreen12 2 2 2 2 17" xfId="8735" xr:uid="{ED8FF6B0-DC5E-4DFB-89E0-782817D67714}"/>
    <cellStyle name="AggGreen12 2 2 2 2 18" xfId="9747" xr:uid="{BB389EA2-E68C-4A4B-87AE-D2410FD4B596}"/>
    <cellStyle name="AggGreen12 2 2 2 2 19" xfId="9287" xr:uid="{461FC399-5551-4DA3-A47D-46F3FD975967}"/>
    <cellStyle name="AggGreen12 2 2 2 2 2" xfId="1287" xr:uid="{556B5014-CF80-4AA1-8D44-33082B4F9ABB}"/>
    <cellStyle name="AggGreen12 2 2 2 2 20" xfId="9861" xr:uid="{08735BB8-0849-455F-B358-5FA71B70EAF2}"/>
    <cellStyle name="AggGreen12 2 2 2 2 21" xfId="10697" xr:uid="{EB016AD6-6ABB-4CA8-8462-C9B97AAFFF49}"/>
    <cellStyle name="AggGreen12 2 2 2 2 22" xfId="11053" xr:uid="{E1806B37-93D5-4E5D-8057-C5FF89CC8633}"/>
    <cellStyle name="AggGreen12 2 2 2 2 23" xfId="12166" xr:uid="{B30E8A1D-803A-4003-980C-C658680F66A3}"/>
    <cellStyle name="AggGreen12 2 2 2 2 24" xfId="12639" xr:uid="{3D2E7291-6023-4953-9ED3-48D14AF4CCA0}"/>
    <cellStyle name="AggGreen12 2 2 2 2 25" xfId="13073" xr:uid="{3585F08F-DAD0-4E1C-B73A-D09EB6891D41}"/>
    <cellStyle name="AggGreen12 2 2 2 2 26" xfId="13510" xr:uid="{29F2E0E1-53AE-4AD8-8D26-DD2C96977FC3}"/>
    <cellStyle name="AggGreen12 2 2 2 2 27" xfId="13615" xr:uid="{58C3283E-9941-4B61-9A79-09DE347E6DBA}"/>
    <cellStyle name="AggGreen12 2 2 2 2 28" xfId="12297" xr:uid="{99B60D2A-9B62-411F-8266-90CFE8CCAAC3}"/>
    <cellStyle name="AggGreen12 2 2 2 2 29" xfId="14386" xr:uid="{AEF55AEE-11D0-4B19-ADFC-286166E8F32C}"/>
    <cellStyle name="AggGreen12 2 2 2 2 3" xfId="1477" xr:uid="{CEC976EB-858E-4932-80AC-C04A02D8D2B0}"/>
    <cellStyle name="AggGreen12 2 2 2 2 30" xfId="15110" xr:uid="{E150C874-6B43-426B-BEDD-3585F5A74F91}"/>
    <cellStyle name="AggGreen12 2 2 2 2 31" xfId="14272" xr:uid="{FAA41DBB-8678-4064-87EA-E806B7A387F7}"/>
    <cellStyle name="AggGreen12 2 2 2 2 32" xfId="15751" xr:uid="{0A985B00-0CF4-4414-B848-F2B90C6BC31A}"/>
    <cellStyle name="AggGreen12 2 2 2 2 33" xfId="16858" xr:uid="{B1B6D352-C988-4D3B-ABCA-49C289B8C749}"/>
    <cellStyle name="AggGreen12 2 2 2 2 34" xfId="16395" xr:uid="{F5A78369-D611-400C-BD81-02AEB42374CB}"/>
    <cellStyle name="AggGreen12 2 2 2 2 35" xfId="16977" xr:uid="{0D4BD36E-CCDE-49F3-A2E4-902A7AA73B2B}"/>
    <cellStyle name="AggGreen12 2 2 2 2 36" xfId="18121" xr:uid="{90CD1132-7A36-40B0-BBA6-66902F545876}"/>
    <cellStyle name="AggGreen12 2 2 2 2 37" xfId="18676" xr:uid="{D9D0F0B6-8F02-4FBB-B42A-50DA39FC6FE2}"/>
    <cellStyle name="AggGreen12 2 2 2 2 38" xfId="18834" xr:uid="{30FDE097-7546-45A4-ADB6-C7D6B1E54720}"/>
    <cellStyle name="AggGreen12 2 2 2 2 39" xfId="19171" xr:uid="{1CD34DDC-2720-4704-B16C-CDD56B209A17}"/>
    <cellStyle name="AggGreen12 2 2 2 2 4" xfId="2635" xr:uid="{A8819D87-2603-4196-9A62-D1455F7DD729}"/>
    <cellStyle name="AggGreen12 2 2 2 2 40" xfId="20195" xr:uid="{DD6C0F8D-D3AF-49A7-9B57-9F7EDC8D0572}"/>
    <cellStyle name="AggGreen12 2 2 2 2 41" xfId="19730" xr:uid="{97CFEB7E-28A7-43EC-A7D7-26A4C2123BC8}"/>
    <cellStyle name="AggGreen12 2 2 2 2 42" xfId="19464" xr:uid="{95305B0D-DEF0-464F-9C3B-80677E34F383}"/>
    <cellStyle name="AggGreen12 2 2 2 2 43" xfId="19672" xr:uid="{709FB0ED-2F61-4E45-8874-D5255C830643}"/>
    <cellStyle name="AggGreen12 2 2 2 2 44" xfId="21495" xr:uid="{D129FA68-4FA3-4C92-B2BB-F00EB9F427C1}"/>
    <cellStyle name="AggGreen12 2 2 2 2 45" xfId="21904" xr:uid="{FD633071-258C-49D4-81AF-4102A99DF6EC}"/>
    <cellStyle name="AggGreen12 2 2 2 2 46" xfId="22624" xr:uid="{39E7568F-325F-4C7F-8536-E562DAE1A30D}"/>
    <cellStyle name="AggGreen12 2 2 2 2 47" xfId="23108" xr:uid="{A8EDFCD9-524F-445F-80A5-C29D6E7BFBE7}"/>
    <cellStyle name="AggGreen12 2 2 2 2 48" xfId="23441" xr:uid="{876401AD-54DA-4192-A8F8-893676C65A48}"/>
    <cellStyle name="AggGreen12 2 2 2 2 49" xfId="23995" xr:uid="{E9CA9BAB-2B13-4A4D-9DD2-0336CC143E20}"/>
    <cellStyle name="AggGreen12 2 2 2 2 5" xfId="2782" xr:uid="{015E2C87-536C-4299-9E9B-71D05EF94D3B}"/>
    <cellStyle name="AggGreen12 2 2 2 2 50" xfId="24903" xr:uid="{276527BB-9EC5-48B1-89C0-445F1AE0CA3E}"/>
    <cellStyle name="AggGreen12 2 2 2 2 51" xfId="24336" xr:uid="{BD4806AE-0ECB-4C7C-A06E-33205DCBDD1E}"/>
    <cellStyle name="AggGreen12 2 2 2 2 52" xfId="25819" xr:uid="{45790369-C4F3-4C5F-9396-A4FE1FBBAD1E}"/>
    <cellStyle name="AggGreen12 2 2 2 2 53" xfId="25928" xr:uid="{AF03BB90-6D85-4038-A651-A191F0F1667E}"/>
    <cellStyle name="AggGreen12 2 2 2 2 54" xfId="26559" xr:uid="{6B0B84F0-D47B-4054-801B-4699D914899D}"/>
    <cellStyle name="AggGreen12 2 2 2 2 55" xfId="27107" xr:uid="{74053065-1E87-40FD-BDA3-B1C836A42AE3}"/>
    <cellStyle name="AggGreen12 2 2 2 2 56" xfId="27526" xr:uid="{69DF5F35-44A7-437C-A7B8-99C90BF7E8A8}"/>
    <cellStyle name="AggGreen12 2 2 2 2 57" xfId="26777" xr:uid="{F280621D-956F-4ED8-AA42-63E246607323}"/>
    <cellStyle name="AggGreen12 2 2 2 2 58" xfId="28653" xr:uid="{253BA738-80E5-44B0-A294-91AA56E33251}"/>
    <cellStyle name="AggGreen12 2 2 2 2 59" xfId="29120" xr:uid="{4FE65D98-AD2F-448C-9251-F98E56184FF9}"/>
    <cellStyle name="AggGreen12 2 2 2 2 6" xfId="1862" xr:uid="{5888174B-C32A-475F-B7DC-41E4B3CFA982}"/>
    <cellStyle name="AggGreen12 2 2 2 2 60" xfId="28300" xr:uid="{865256E3-3A0F-4DD2-B0FF-734A54C5D5C1}"/>
    <cellStyle name="AggGreen12 2 2 2 2 61" xfId="29909" xr:uid="{F82D9CE0-3B04-4C22-B332-B0950EA3B970}"/>
    <cellStyle name="AggGreen12 2 2 2 2 62" xfId="30315" xr:uid="{E6DE3B13-1164-4179-B3C4-1D9891494192}"/>
    <cellStyle name="AggGreen12 2 2 2 2 63" xfId="30732" xr:uid="{7D015979-5687-4428-92BA-915BB16C54BE}"/>
    <cellStyle name="AggGreen12 2 2 2 2 64" xfId="29419" xr:uid="{24BF8397-EC97-4B2E-9CD4-7076B3D30D6A}"/>
    <cellStyle name="AggGreen12 2 2 2 2 65" xfId="31348" xr:uid="{DA7AE5EA-2920-4E29-949C-5BED39460BD2}"/>
    <cellStyle name="AggGreen12 2 2 2 2 66" xfId="32039" xr:uid="{B8AEB0C5-E1D3-4E63-94D9-C00B2A806B30}"/>
    <cellStyle name="AggGreen12 2 2 2 2 67" xfId="31513" xr:uid="{59F56094-DB6A-4D60-AE8D-511E401E5A93}"/>
    <cellStyle name="AggGreen12 2 2 2 2 7" xfId="4131" xr:uid="{7258A890-AF01-4DF8-9C74-D7AA1869521C}"/>
    <cellStyle name="AggGreen12 2 2 2 2 8" xfId="4568" xr:uid="{970E4232-D282-4AC1-A30E-AA3978E2E163}"/>
    <cellStyle name="AggGreen12 2 2 2 2 9" xfId="3484" xr:uid="{E08C37AD-0C2D-4589-A555-840CD7DC6FBB}"/>
    <cellStyle name="AggGreen12 2 2 2 20" xfId="9922" xr:uid="{9929455C-4C3B-42E0-ACFE-B74F011CF0E4}"/>
    <cellStyle name="AggGreen12 2 2 2 21" xfId="10353" xr:uid="{6C82A95B-BB99-4815-9932-2A69BEEDD273}"/>
    <cellStyle name="AggGreen12 2 2 2 22" xfId="10984" xr:uid="{25C66927-4018-4451-9FED-7A987C2E1E4A}"/>
    <cellStyle name="AggGreen12 2 2 2 23" xfId="10526" xr:uid="{75A3F214-61F3-4AD4-A4FB-873E8A61520B}"/>
    <cellStyle name="AggGreen12 2 2 2 24" xfId="11951" xr:uid="{88250C85-EECD-4371-8599-E0046B1CF762}"/>
    <cellStyle name="AggGreen12 2 2 2 25" xfId="12424" xr:uid="{827D4654-70DC-4460-A2FB-27D1974AFDC0}"/>
    <cellStyle name="AggGreen12 2 2 2 26" xfId="12858" xr:uid="{878B8725-4599-4155-8F46-025C631D9BCF}"/>
    <cellStyle name="AggGreen12 2 2 2 27" xfId="13295" xr:uid="{928CBD00-ECAE-4DC3-8D22-457D21143FD7}"/>
    <cellStyle name="AggGreen12 2 2 2 28" xfId="11664" xr:uid="{870D5D9E-97CE-48AE-A21F-E83A3665F8D2}"/>
    <cellStyle name="AggGreen12 2 2 2 29" xfId="14371" xr:uid="{6CA0584F-9185-48D7-AD9E-E8C8A25CD663}"/>
    <cellStyle name="AggGreen12 2 2 2 3" xfId="1081" xr:uid="{529B8053-34D2-4BAB-AC86-7E0E55484BDE}"/>
    <cellStyle name="AggGreen12 2 2 2 30" xfId="14248" xr:uid="{D2A06395-5274-4A3B-A8C8-B28FAAC8F2AB}"/>
    <cellStyle name="AggGreen12 2 2 2 31" xfId="14533" xr:uid="{84DD33F8-B94B-4A20-8E13-919B7E1DAD50}"/>
    <cellStyle name="AggGreen12 2 2 2 32" xfId="14966" xr:uid="{8F78E2D1-D5D7-4F04-9AD1-ABFFE54CF58E}"/>
    <cellStyle name="AggGreen12 2 2 2 33" xfId="15810" xr:uid="{F8C21387-FE8C-456B-B340-2CA191866B64}"/>
    <cellStyle name="AggGreen12 2 2 2 34" xfId="16643" xr:uid="{1EE2ACC7-87C2-4AFC-B61A-6B43B45274AF}"/>
    <cellStyle name="AggGreen12 2 2 2 35" xfId="17036" xr:uid="{80D437E6-46B0-40B9-8DB3-F873DB3C202A}"/>
    <cellStyle name="AggGreen12 2 2 2 36" xfId="17484" xr:uid="{CF558671-6EB9-409C-BD8B-71900CAC58C2}"/>
    <cellStyle name="AggGreen12 2 2 2 37" xfId="16043" xr:uid="{E2BBA6BF-9444-49E9-8394-D2FDCC52FC16}"/>
    <cellStyle name="AggGreen12 2 2 2 38" xfId="18461" xr:uid="{0EBADAF8-8514-4D71-9708-5E90CD5EDE4F}"/>
    <cellStyle name="AggGreen12 2 2 2 39" xfId="17016" xr:uid="{46EDCE93-159F-46CE-851F-43F62F7B0150}"/>
    <cellStyle name="AggGreen12 2 2 2 4" xfId="1378" xr:uid="{D48B82FA-B0FF-4C93-AD7D-52D6E440F885}"/>
    <cellStyle name="AggGreen12 2 2 2 40" xfId="19249" xr:uid="{D620BF10-BB5F-4CF4-9598-5E02A7A3E4A1}"/>
    <cellStyle name="AggGreen12 2 2 2 41" xfId="19980" xr:uid="{6918B49F-6604-4840-9001-E17453551BE0}"/>
    <cellStyle name="AggGreen12 2 2 2 42" xfId="20388" xr:uid="{B4898125-8473-44E2-8900-4425E90BCBE3}"/>
    <cellStyle name="AggGreen12 2 2 2 43" xfId="20841" xr:uid="{BFA38743-D823-4336-A277-0FCF355D6BDF}"/>
    <cellStyle name="AggGreen12 2 2 2 44" xfId="21608" xr:uid="{89D87259-20C1-458A-B16B-A3152212B60B}"/>
    <cellStyle name="AggGreen12 2 2 2 45" xfId="21774" xr:uid="{A4FF3F5C-4D73-41BE-9D00-E3A644C6B5A8}"/>
    <cellStyle name="AggGreen12 2 2 2 46" xfId="22211" xr:uid="{41DE7BF3-5476-4BCE-87BE-EFB3F1BC02E4}"/>
    <cellStyle name="AggGreen12 2 2 2 47" xfId="20897" xr:uid="{6B44527C-8967-4B22-AE75-B27B0C822880}"/>
    <cellStyle name="AggGreen12 2 2 2 48" xfId="21820" xr:uid="{B7743485-8D9C-49C2-9B4E-2F32BBB952DE}"/>
    <cellStyle name="AggGreen12 2 2 2 49" xfId="23535" xr:uid="{73BE1099-CA4A-460A-A3DD-F12AABE9E353}"/>
    <cellStyle name="AggGreen12 2 2 2 5" xfId="2420" xr:uid="{D9EDA0FC-A78A-4714-8DBB-2FFED064CFAF}"/>
    <cellStyle name="AggGreen12 2 2 2 50" xfId="23789" xr:uid="{517A1281-891C-4696-9CE8-3FDD510117C6}"/>
    <cellStyle name="AggGreen12 2 2 2 51" xfId="24688" xr:uid="{4F9F3AA5-F036-4331-856D-5E6BDBF2631F}"/>
    <cellStyle name="AggGreen12 2 2 2 52" xfId="25098" xr:uid="{ABC62125-6451-4FBD-BAEC-FE501C40820F}"/>
    <cellStyle name="AggGreen12 2 2 2 53" xfId="25606" xr:uid="{325F304A-812F-480D-9715-157E7A0A523D}"/>
    <cellStyle name="AggGreen12 2 2 2 54" xfId="25479" xr:uid="{3A14FDC4-7AEE-43C9-BA25-DF926EB05A7F}"/>
    <cellStyle name="AggGreen12 2 2 2 55" xfId="26237" xr:uid="{5D6CEDF0-E3ED-48C1-9451-490741E1A90F}"/>
    <cellStyle name="AggGreen12 2 2 2 56" xfId="26896" xr:uid="{3B4E589F-6A22-4C01-B548-9B693D20F789}"/>
    <cellStyle name="AggGreen12 2 2 2 57" xfId="27315" xr:uid="{DEF6BA64-0B6F-4630-B61F-6A2D71367705}"/>
    <cellStyle name="AggGreen12 2 2 2 58" xfId="27762" xr:uid="{EDA2BCA3-27B1-4341-B1CF-B22AED3AC517}"/>
    <cellStyle name="AggGreen12 2 2 2 59" xfId="28438" xr:uid="{BEBDC5E0-8521-469B-97CE-C7AF6B4EBE8F}"/>
    <cellStyle name="AggGreen12 2 2 2 6" xfId="1986" xr:uid="{B1C031A1-3375-45FB-A048-058184920ACA}"/>
    <cellStyle name="AggGreen12 2 2 2 60" xfId="28906" xr:uid="{F5E65C78-5E61-4CFF-92DE-665B7A580C04}"/>
    <cellStyle name="AggGreen12 2 2 2 61" xfId="29252" xr:uid="{8F6A0B78-7113-4A42-8A74-84C8CFA6B887}"/>
    <cellStyle name="AggGreen12 2 2 2 62" xfId="29696" xr:uid="{BF6BA17B-F279-4538-AD9A-D17971446F93}"/>
    <cellStyle name="AggGreen12 2 2 2 63" xfId="30104" xr:uid="{3405B57A-D0B9-4D95-814C-35AA9619B201}"/>
    <cellStyle name="AggGreen12 2 2 2 64" xfId="30518" xr:uid="{A3D485E6-3490-4C82-9908-EE93D24B92A2}"/>
    <cellStyle name="AggGreen12 2 2 2 65" xfId="30958" xr:uid="{2417168C-D805-40C1-8CF8-86196364024E}"/>
    <cellStyle name="AggGreen12 2 2 2 66" xfId="31142" xr:uid="{5C0A7974-B127-4BA3-8BD5-6BE7FA1EC4F3}"/>
    <cellStyle name="AggGreen12 2 2 2 67" xfId="31828" xr:uid="{CDD091D3-096C-428F-9662-2652C23D396A}"/>
    <cellStyle name="AggGreen12 2 2 2 68" xfId="32369" xr:uid="{D58C701E-DE81-453D-AA1B-A4D123BBEB6F}"/>
    <cellStyle name="AggGreen12 2 2 2 7" xfId="2305" xr:uid="{256697ED-58BC-4F6A-B9BF-632433DF664A}"/>
    <cellStyle name="AggGreen12 2 2 2 8" xfId="3916" xr:uid="{EF95FEEF-6A23-4B22-A1A8-5A4E13BFFB63}"/>
    <cellStyle name="AggGreen12 2 2 2 9" xfId="4354" xr:uid="{178F5176-B7C5-4089-9D0E-656D774BD31F}"/>
    <cellStyle name="AggGreen12 2 2 3" xfId="712" xr:uid="{B3163420-C6FC-4683-8480-07DAFA446AE5}"/>
    <cellStyle name="AggGreen12 2 2 3 10" xfId="5360" xr:uid="{D0DAD2C8-0650-48B7-885F-0F4EFA44FEDF}"/>
    <cellStyle name="AggGreen12 2 2 3 11" xfId="5758" xr:uid="{A3B1BA5A-0493-4E77-9A98-2E1892D5F120}"/>
    <cellStyle name="AggGreen12 2 2 3 12" xfId="4928" xr:uid="{8F0D98AF-6F12-4EF2-8C9A-B6CF61AA285E}"/>
    <cellStyle name="AggGreen12 2 2 3 13" xfId="6545" xr:uid="{4C48B605-36C2-4FDE-BB2E-3EDC2B505139}"/>
    <cellStyle name="AggGreen12 2 2 3 14" xfId="7432" xr:uid="{661A2C49-034F-497E-B932-D9119C7E2CFA}"/>
    <cellStyle name="AggGreen12 2 2 3 15" xfId="7698" xr:uid="{C76A5A34-495A-4910-BBA1-3707D19B0096}"/>
    <cellStyle name="AggGreen12 2 2 3 16" xfId="8169" xr:uid="{BD185D73-E60C-4162-A6A2-767EFD5C655F}"/>
    <cellStyle name="AggGreen12 2 2 3 17" xfId="7666" xr:uid="{78FD2B1C-622C-4C22-8046-CB8E8C28315D}"/>
    <cellStyle name="AggGreen12 2 2 3 18" xfId="9646" xr:uid="{690FA0CD-EA54-41EC-86BD-681DD85506A8}"/>
    <cellStyle name="AggGreen12 2 2 3 19" xfId="9913" xr:uid="{3ECDA328-A55E-4E3A-A34A-A8C65BED8C63}"/>
    <cellStyle name="AggGreen12 2 2 3 2" xfId="1186" xr:uid="{7F6053C8-0CB2-408D-9C9D-28DC851C6F2D}"/>
    <cellStyle name="AggGreen12 2 2 3 20" xfId="10344" xr:uid="{16D1C070-7E7B-4B2C-9031-F461BFAA38FC}"/>
    <cellStyle name="AggGreen12 2 2 3 21" xfId="10894" xr:uid="{81C59C96-0F3D-4D5A-9ACF-93E95A924E9A}"/>
    <cellStyle name="AggGreen12 2 2 3 22" xfId="11250" xr:uid="{7DA845F9-74BC-4F6D-A7C2-F899FCFD200E}"/>
    <cellStyle name="AggGreen12 2 2 3 23" xfId="12065" xr:uid="{F5AB66CB-2967-4A05-93C1-C13F684ED20A}"/>
    <cellStyle name="AggGreen12 2 2 3 24" xfId="12538" xr:uid="{D1A1D2D7-31E9-4636-94D1-F8CE65E105C2}"/>
    <cellStyle name="AggGreen12 2 2 3 25" xfId="12972" xr:uid="{A92AD388-4E6A-4F86-93D1-EFAAB3C18E2C}"/>
    <cellStyle name="AggGreen12 2 2 3 26" xfId="13409" xr:uid="{6B67AFD6-C73E-40FB-9F5E-5AA4C9D1C781}"/>
    <cellStyle name="AggGreen12 2 2 3 27" xfId="13928" xr:uid="{6B4BF06F-8AA0-4D45-A7FE-086ECB5849B5}"/>
    <cellStyle name="AggGreen12 2 2 3 28" xfId="14299" xr:uid="{9327B942-E00F-43E8-9B2B-7D36426C5AA5}"/>
    <cellStyle name="AggGreen12 2 2 3 29" xfId="14564" xr:uid="{9915E051-4F9D-40B8-84AF-905B775FAAC9}"/>
    <cellStyle name="AggGreen12 2 2 3 3" xfId="1448" xr:uid="{7B33E0B4-3DB1-421D-91F3-46D72369229F}"/>
    <cellStyle name="AggGreen12 2 2 3 30" xfId="15275" xr:uid="{99964E5C-191A-4E8E-B627-306DD64F045B}"/>
    <cellStyle name="AggGreen12 2 2 3 31" xfId="15750" xr:uid="{55B882A4-1B7C-4E99-8E31-82C738674D3D}"/>
    <cellStyle name="AggGreen12 2 2 3 32" xfId="15808" xr:uid="{A4D1712B-722B-47CD-92D1-6EF7136171D5}"/>
    <cellStyle name="AggGreen12 2 2 3 33" xfId="16757" xr:uid="{9C156898-191D-4D1C-9EE1-C7CC56D91383}"/>
    <cellStyle name="AggGreen12 2 2 3 34" xfId="17026" xr:uid="{CF6E2346-D307-4A71-B276-CBE92E29962E}"/>
    <cellStyle name="AggGreen12 2 2 3 35" xfId="17473" xr:uid="{CB212194-DAA7-4279-8F5F-D43628E3ACC2}"/>
    <cellStyle name="AggGreen12 2 2 3 36" xfId="18009" xr:uid="{87E2F00E-3FEE-4433-82C5-E7B8ADF42EC3}"/>
    <cellStyle name="AggGreen12 2 2 3 37" xfId="18575" xr:uid="{CD4267F0-E94A-4681-8A96-22B18B7D13EB}"/>
    <cellStyle name="AggGreen12 2 2 3 38" xfId="17625" xr:uid="{8DEAAEBF-B0F2-4BC0-9CD8-BCF96A58AF55}"/>
    <cellStyle name="AggGreen12 2 2 3 39" xfId="19251" xr:uid="{EA315897-5D1A-46B6-862F-FE215E3B330D}"/>
    <cellStyle name="AggGreen12 2 2 3 4" xfId="2534" xr:uid="{D67DC2E1-9FF0-41DA-92CF-C8FC091D5A05}"/>
    <cellStyle name="AggGreen12 2 2 3 40" xfId="20094" xr:uid="{5DFB6B37-927B-4274-8C28-807CFCC75C4E}"/>
    <cellStyle name="AggGreen12 2 2 3 41" xfId="20377" xr:uid="{38010BA1-DD4B-48A6-9CA7-CA12BF680B5F}"/>
    <cellStyle name="AggGreen12 2 2 3 42" xfId="20831" xr:uid="{9FCE610A-A193-47A2-A966-78DB6C22AD82}"/>
    <cellStyle name="AggGreen12 2 2 3 43" xfId="20780" xr:uid="{D2A71F35-E5C5-4BF0-B77F-F929575A55AD}"/>
    <cellStyle name="AggGreen12 2 2 3 44" xfId="21763" xr:uid="{6AA8A6F9-61A9-472B-9828-1F3C996A6D37}"/>
    <cellStyle name="AggGreen12 2 2 3 45" xfId="22202" xr:uid="{7D30D76C-7764-4BBE-B361-B2DD06F2FF8C}"/>
    <cellStyle name="AggGreen12 2 2 3 46" xfId="22904" xr:uid="{61A5A1E8-82C1-4B7E-8D11-63178488180D}"/>
    <cellStyle name="AggGreen12 2 2 3 47" xfId="22240" xr:uid="{C14BC6F7-0EB8-4A9C-A7DC-ECB137E4AE4D}"/>
    <cellStyle name="AggGreen12 2 2 3 48" xfId="23466" xr:uid="{26572F2C-D368-4627-B3BB-C8CC9EE956EA}"/>
    <cellStyle name="AggGreen12 2 2 3 49" xfId="23894" xr:uid="{75552E28-5AB2-49F2-873B-6327F0C4DFBB}"/>
    <cellStyle name="AggGreen12 2 2 3 5" xfId="3096" xr:uid="{FD5231A4-E551-42DB-A522-58AF367A3829}"/>
    <cellStyle name="AggGreen12 2 2 3 50" xfId="24802" xr:uid="{2FDDF093-FEEB-4684-9B14-C0318009DDA5}"/>
    <cellStyle name="AggGreen12 2 2 3 51" xfId="25088" xr:uid="{2C59B976-B1DF-4904-AC39-8B5820A2984D}"/>
    <cellStyle name="AggGreen12 2 2 3 52" xfId="25718" xr:uid="{6DCD1BF7-24B3-4CD9-9598-FD87BC06E7E3}"/>
    <cellStyle name="AggGreen12 2 2 3 53" xfId="26209" xr:uid="{3850917A-B8AD-4F32-9D73-1217CC89E769}"/>
    <cellStyle name="AggGreen12 2 2 3 54" xfId="26538" xr:uid="{218047F8-7F09-45F8-88D5-B185B92711C7}"/>
    <cellStyle name="AggGreen12 2 2 3 55" xfId="27006" xr:uid="{4FA099D9-B934-4F11-8E9A-7C8A950C26E5}"/>
    <cellStyle name="AggGreen12 2 2 3 56" xfId="27425" xr:uid="{1F49EB2C-C022-4E2C-8E72-D71D9A2AD5C2}"/>
    <cellStyle name="AggGreen12 2 2 3 57" xfId="26461" xr:uid="{3E12F252-3138-44D3-B47E-34C11499C32B}"/>
    <cellStyle name="AggGreen12 2 2 3 58" xfId="28552" xr:uid="{A6FE60F8-1DA9-4E53-83E9-81E6F2978F85}"/>
    <cellStyle name="AggGreen12 2 2 3 59" xfId="29019" xr:uid="{3ABAB81E-E66C-49AF-92B8-961ABEE1A31D}"/>
    <cellStyle name="AggGreen12 2 2 3 6" xfId="2907" xr:uid="{B06777E7-FF14-49D5-967C-E1114954D4A2}"/>
    <cellStyle name="AggGreen12 2 2 3 60" xfId="29243" xr:uid="{CAD70EA0-5252-4293-9EFF-C9B3E0A7619C}"/>
    <cellStyle name="AggGreen12 2 2 3 61" xfId="29808" xr:uid="{A59125B3-E439-46B3-AEB3-69F077EFE2A5}"/>
    <cellStyle name="AggGreen12 2 2 3 62" xfId="30214" xr:uid="{61F9729B-B7DD-42EE-9218-EECE97F296B3}"/>
    <cellStyle name="AggGreen12 2 2 3 63" xfId="30631" xr:uid="{8B2D2E6C-AA3D-43B6-982E-7EEAE1A83A9C}"/>
    <cellStyle name="AggGreen12 2 2 3 64" xfId="31019" xr:uid="{DAC1416F-C4EE-4C45-B418-325A5F4F765C}"/>
    <cellStyle name="AggGreen12 2 2 3 65" xfId="31247" xr:uid="{57393ADA-268E-43DD-A44C-715458704DE7}"/>
    <cellStyle name="AggGreen12 2 2 3 66" xfId="31938" xr:uid="{71468A9F-4362-44E9-BC9E-DDDEFD0B2635}"/>
    <cellStyle name="AggGreen12 2 2 3 67" xfId="32257" xr:uid="{B58A1980-8373-4270-8C5B-42D3C83DFF2A}"/>
    <cellStyle name="AggGreen12 2 2 3 7" xfId="4030" xr:uid="{7EDF04AA-9323-450A-8CA8-DE6CF287BADC}"/>
    <cellStyle name="AggGreen12 2 2 3 8" xfId="4467" xr:uid="{628DA683-E691-4BA9-81A3-E38DE6D448BE}"/>
    <cellStyle name="AggGreen12 2 2 3 9" xfId="4265" xr:uid="{A6417FDE-0B90-4F60-9AA2-30673FF3BB40}"/>
    <cellStyle name="AggGreen12 2 3" xfId="263" xr:uid="{FB690A81-7D2F-468E-8D98-74D7821A2FD2}"/>
    <cellStyle name="AggGreen12 2 3 10" xfId="3551" xr:uid="{07F55A49-5B17-4336-80CF-ED380829BAE5}"/>
    <cellStyle name="AggGreen12 2 3 11" xfId="2730" xr:uid="{4CA7F284-E990-45CD-BD50-9ABA245742C7}"/>
    <cellStyle name="AggGreen12 2 3 12" xfId="3825" xr:uid="{A4DF5911-37DE-4B4D-AC05-A80F2692440E}"/>
    <cellStyle name="AggGreen12 2 3 13" xfId="3458" xr:uid="{0A26B013-E5EB-4662-AD7D-08CDBF013919}"/>
    <cellStyle name="AggGreen12 2 3 14" xfId="4794" xr:uid="{C2557F91-1CB7-4649-8F5B-284434097EAC}"/>
    <cellStyle name="AggGreen12 2 3 15" xfId="6150" xr:uid="{6FA04B25-21D1-46AB-AD6D-8787BF03F9D9}"/>
    <cellStyle name="AggGreen12 2 3 16" xfId="6095" xr:uid="{A780920C-599D-424B-8CB4-D8102A65585C}"/>
    <cellStyle name="AggGreen12 2 3 17" xfId="6993" xr:uid="{0A9AC4AA-D28B-4783-94A4-013DB424E530}"/>
    <cellStyle name="AggGreen12 2 3 18" xfId="6952" xr:uid="{6E88F788-4E96-43FA-AD04-A141BFCDFC29}"/>
    <cellStyle name="AggGreen12 2 3 19" xfId="8518" xr:uid="{13B2DDD0-2202-40DB-B7C7-C77B84D79832}"/>
    <cellStyle name="AggGreen12 2 3 2" xfId="602" xr:uid="{5CD3E4F8-C7D0-4A90-80F4-EEE361081FD9}"/>
    <cellStyle name="AggGreen12 2 3 2 10" xfId="4733" xr:uid="{6143BD6A-476D-4582-975F-749021523EAB}"/>
    <cellStyle name="AggGreen12 2 3 2 11" xfId="5250" xr:uid="{9B9AB669-CC6C-4284-B99C-F20E0E049D3D}"/>
    <cellStyle name="AggGreen12 2 3 2 12" xfId="4817" xr:uid="{9350EFFF-F73D-4BC0-A9A0-1AC57DB5A6E6}"/>
    <cellStyle name="AggGreen12 2 3 2 13" xfId="5545" xr:uid="{A1331A4F-BAED-4B24-99D6-EDB3C9CA432D}"/>
    <cellStyle name="AggGreen12 2 3 2 14" xfId="6152" xr:uid="{5D652DF7-97B6-4DA5-85BF-037E31B84E2D}"/>
    <cellStyle name="AggGreen12 2 3 2 15" xfId="7322" xr:uid="{B0B79458-8DA0-457C-B39D-CAD5442FBE71}"/>
    <cellStyle name="AggGreen12 2 3 2 16" xfId="7122" xr:uid="{0F7EC19B-9A2D-4091-858F-24C7AAFE7979}"/>
    <cellStyle name="AggGreen12 2 3 2 17" xfId="8287" xr:uid="{351592E3-16EF-4BC9-B33A-90F5325895D6}"/>
    <cellStyle name="AggGreen12 2 3 2 18" xfId="8761" xr:uid="{EBDA7B0C-82CE-421E-8F1B-85E43A53CB36}"/>
    <cellStyle name="AggGreen12 2 3 2 19" xfId="9536" xr:uid="{9215B63F-131A-474A-A458-F76B48F90359}"/>
    <cellStyle name="AggGreen12 2 3 2 2" xfId="817" xr:uid="{EC637064-10AF-47AC-B0BC-7F6FF8747A8C}"/>
    <cellStyle name="AggGreen12 2 3 2 2 10" xfId="5465" xr:uid="{FD86384F-9C83-4ED0-B0E3-00469573A50C}"/>
    <cellStyle name="AggGreen12 2 3 2 2 11" xfId="4674" xr:uid="{6ECFFDE1-A4BF-43DF-9966-B8666A5C72C1}"/>
    <cellStyle name="AggGreen12 2 3 2 2 12" xfId="5583" xr:uid="{EC24DFCA-5C35-4D36-A1EA-2812AB253F49}"/>
    <cellStyle name="AggGreen12 2 3 2 2 13" xfId="3061" xr:uid="{C4C0420F-F7EF-450C-BF8D-C6B6AF78E89F}"/>
    <cellStyle name="AggGreen12 2 3 2 2 14" xfId="7537" xr:uid="{C3C0AC06-F4AF-4404-95B6-F199B29E60CD}"/>
    <cellStyle name="AggGreen12 2 3 2 2 15" xfId="7096" xr:uid="{24AF1A81-A37A-445B-9C14-A1E002F05630}"/>
    <cellStyle name="AggGreen12 2 3 2 2 16" xfId="8210" xr:uid="{5B5CAD71-B060-4FC0-9DD1-578BFBD1E183}"/>
    <cellStyle name="AggGreen12 2 3 2 2 17" xfId="8743" xr:uid="{DC254A98-2BE3-4A72-8B29-57103C638C64}"/>
    <cellStyle name="AggGreen12 2 3 2 2 18" xfId="9751" xr:uid="{B86947FC-B66E-47AD-B8ED-0A93812EE86B}"/>
    <cellStyle name="AggGreen12 2 3 2 2 19" xfId="9081" xr:uid="{A9A7D65C-ABAE-4516-871F-E88BE73C699D}"/>
    <cellStyle name="AggGreen12 2 3 2 2 2" xfId="1291" xr:uid="{0F118FBE-EF25-4CDA-BBD3-C87078A2B8CE}"/>
    <cellStyle name="AggGreen12 2 3 2 2 20" xfId="9439" xr:uid="{388325E7-0B3D-454F-8E9E-1D329A6D6DD5}"/>
    <cellStyle name="AggGreen12 2 3 2 2 21" xfId="9634" xr:uid="{69E17296-2699-47A9-AEC5-C5505C7B8341}"/>
    <cellStyle name="AggGreen12 2 3 2 2 22" xfId="10772" xr:uid="{67C951C0-D37B-49A8-8ED5-9E36716ED268}"/>
    <cellStyle name="AggGreen12 2 3 2 2 23" xfId="12170" xr:uid="{C7C25EF4-07BA-47BE-ACE8-2A67C7A465B9}"/>
    <cellStyle name="AggGreen12 2 3 2 2 24" xfId="12643" xr:uid="{9FAB4961-D6E4-47D3-9D08-DF68C30F37C8}"/>
    <cellStyle name="AggGreen12 2 3 2 2 25" xfId="13077" xr:uid="{426ECE36-FB69-4CAA-A6F8-1DA7539706D1}"/>
    <cellStyle name="AggGreen12 2 3 2 2 26" xfId="13514" xr:uid="{1AB317D4-5F0B-4ED5-9761-46F9598595F9}"/>
    <cellStyle name="AggGreen12 2 3 2 2 27" xfId="13594" xr:uid="{2DEC5069-4A2B-4C74-ADFD-88E608E5F4D4}"/>
    <cellStyle name="AggGreen12 2 3 2 2 28" xfId="14232" xr:uid="{F8483871-0BE2-46C7-B3B7-8EAE0BFB43DF}"/>
    <cellStyle name="AggGreen12 2 3 2 2 29" xfId="13885" xr:uid="{43BB5648-ABB6-4EF8-9604-125D7E62F189}"/>
    <cellStyle name="AggGreen12 2 3 2 2 3" xfId="1475" xr:uid="{1B383BEA-6831-43E8-AA00-FD0F22350672}"/>
    <cellStyle name="AggGreen12 2 3 2 2 30" xfId="15156" xr:uid="{3EE66BB2-F144-4842-87EF-34AC364D4C74}"/>
    <cellStyle name="AggGreen12 2 3 2 2 31" xfId="15331" xr:uid="{412D2CAC-6362-4BFB-833C-6B821B03858C}"/>
    <cellStyle name="AggGreen12 2 3 2 2 32" xfId="15625" xr:uid="{C9F906D5-868E-47F7-8CCE-7CF1F19B81D5}"/>
    <cellStyle name="AggGreen12 2 3 2 2 33" xfId="16862" xr:uid="{39C4CAD7-B351-41B6-83E6-07A2091D29F8}"/>
    <cellStyle name="AggGreen12 2 3 2 2 34" xfId="16418" xr:uid="{F2577450-69FF-4754-A37C-254833409E0A}"/>
    <cellStyle name="AggGreen12 2 3 2 2 35" xfId="16549" xr:uid="{93FE4A1A-6BDC-490E-A3A5-8FE6157003EC}"/>
    <cellStyle name="AggGreen12 2 3 2 2 36" xfId="17226" xr:uid="{557FEE32-F674-4F9E-A5FD-3E6E5C8B123A}"/>
    <cellStyle name="AggGreen12 2 3 2 2 37" xfId="18680" xr:uid="{A313B9F3-5FFD-4947-9263-474582F05E7B}"/>
    <cellStyle name="AggGreen12 2 3 2 2 38" xfId="18934" xr:uid="{12C0CBD1-B592-4824-B131-7B15E7D80A6A}"/>
    <cellStyle name="AggGreen12 2 3 2 2 39" xfId="19158" xr:uid="{EE796031-CBB3-4E15-AC13-A4FEAD812B88}"/>
    <cellStyle name="AggGreen12 2 3 2 2 4" xfId="2639" xr:uid="{712F28F5-7FCB-4A0B-BB6F-3DFECDC3F262}"/>
    <cellStyle name="AggGreen12 2 3 2 2 40" xfId="20199" xr:uid="{FF559089-FADD-4AD1-943A-DB4620290CFC}"/>
    <cellStyle name="AggGreen12 2 3 2 2 41" xfId="19513" xr:uid="{32442B9B-EC6E-4F02-ADF9-53DD31DA1CC8}"/>
    <cellStyle name="AggGreen12 2 3 2 2 42" xfId="19504" xr:uid="{18DF3C1A-F48F-4909-9E00-A1F9026DE15A}"/>
    <cellStyle name="AggGreen12 2 3 2 2 43" xfId="21583" xr:uid="{72E3494B-489A-4BEE-BF72-F7DC0B87AC2E}"/>
    <cellStyle name="AggGreen12 2 3 2 2 44" xfId="20891" xr:uid="{9262CD28-9A0C-4431-9DC7-D4A5736E5ECC}"/>
    <cellStyle name="AggGreen12 2 3 2 2 45" xfId="21066" xr:uid="{E269EAE8-317D-48C9-ACC1-2AFCD0223EA0}"/>
    <cellStyle name="AggGreen12 2 3 2 2 46" xfId="22603" xr:uid="{BE30FB52-124E-429B-9BD1-4BA86F93EDBB}"/>
    <cellStyle name="AggGreen12 2 3 2 2 47" xfId="23221" xr:uid="{74F22032-B1CE-4A2C-A479-141628B468C5}"/>
    <cellStyle name="AggGreen12 2 3 2 2 48" xfId="23198" xr:uid="{2D67C3CE-E870-458C-91D9-316105688703}"/>
    <cellStyle name="AggGreen12 2 3 2 2 49" xfId="23999" xr:uid="{AC32429E-591E-4856-9B90-0AE397BCADFE}"/>
    <cellStyle name="AggGreen12 2 3 2 2 5" xfId="2760" xr:uid="{43859014-B5F7-4545-9D54-3525BD6186F7}"/>
    <cellStyle name="AggGreen12 2 3 2 2 50" xfId="24907" xr:uid="{7491CF0A-B6BD-438B-9CA0-20FFAA2E5778}"/>
    <cellStyle name="AggGreen12 2 3 2 2 51" xfId="24227" xr:uid="{4B565498-65F8-4C8D-9CC9-7BB2CC7AE1CA}"/>
    <cellStyle name="AggGreen12 2 3 2 2 52" xfId="25823" xr:uid="{D67DD9F8-A186-4657-83F2-18EEAD58C8F7}"/>
    <cellStyle name="AggGreen12 2 3 2 2 53" xfId="25001" xr:uid="{CD38CB6F-B1BD-492F-AAA7-615A3D73F749}"/>
    <cellStyle name="AggGreen12 2 3 2 2 54" xfId="25303" xr:uid="{24D4CED3-18F2-451F-AA24-C8929072190B}"/>
    <cellStyle name="AggGreen12 2 3 2 2 55" xfId="27111" xr:uid="{17BAA88C-F681-4D0B-8D8B-499827884B1B}"/>
    <cellStyle name="AggGreen12 2 3 2 2 56" xfId="27530" xr:uid="{0622BACB-22B9-4A8F-AE69-D0C0EF821544}"/>
    <cellStyle name="AggGreen12 2 3 2 2 57" xfId="26451" xr:uid="{62BCFF47-5708-4BFB-9DBA-C4AEC2F57048}"/>
    <cellStyle name="AggGreen12 2 3 2 2 58" xfId="28657" xr:uid="{D5B53A4B-10F2-43C1-B656-0051C14E9070}"/>
    <cellStyle name="AggGreen12 2 3 2 2 59" xfId="29124" xr:uid="{39B8EAA5-3BE6-46F7-9845-AF578C5FFF78}"/>
    <cellStyle name="AggGreen12 2 3 2 2 6" xfId="3381" xr:uid="{390858FF-1D49-4B92-ABBD-873F83266CB1}"/>
    <cellStyle name="AggGreen12 2 3 2 2 60" xfId="28162" xr:uid="{1863BD24-7679-4C32-AEE1-3DAE059E9D9A}"/>
    <cellStyle name="AggGreen12 2 3 2 2 61" xfId="29913" xr:uid="{E1970DC8-8D56-429A-B60E-65F94B1CBFC7}"/>
    <cellStyle name="AggGreen12 2 3 2 2 62" xfId="30319" xr:uid="{88C12AE5-D2F4-4181-ACDA-994C0B69F552}"/>
    <cellStyle name="AggGreen12 2 3 2 2 63" xfId="30736" xr:uid="{8544F965-BE10-4521-ABAF-082EBBAD8404}"/>
    <cellStyle name="AggGreen12 2 3 2 2 64" xfId="28189" xr:uid="{D1F0B613-671D-4193-B579-B9F44756F200}"/>
    <cellStyle name="AggGreen12 2 3 2 2 65" xfId="31352" xr:uid="{6D96C004-0D73-4D9A-A029-965C22C5F913}"/>
    <cellStyle name="AggGreen12 2 3 2 2 66" xfId="32043" xr:uid="{FE748165-27DB-4882-B3C3-A31DF9A615D1}"/>
    <cellStyle name="AggGreen12 2 3 2 2 67" xfId="31686" xr:uid="{FDB09E65-9659-4AB7-BB67-243283EFF065}"/>
    <cellStyle name="AggGreen12 2 3 2 2 7" xfId="4135" xr:uid="{5BD3767B-1F2F-4B46-BD1D-42B6133670D7}"/>
    <cellStyle name="AggGreen12 2 3 2 2 8" xfId="4572" xr:uid="{87AC3AA3-EAA3-4BAC-9E18-1C797723F986}"/>
    <cellStyle name="AggGreen12 2 3 2 2 9" xfId="5017" xr:uid="{DE3C0327-553B-4A1D-AB76-72F675BEAF39}"/>
    <cellStyle name="AggGreen12 2 3 2 20" xfId="9335" xr:uid="{77668001-1AEE-4ABF-BAFF-94F1581CC8D0}"/>
    <cellStyle name="AggGreen12 2 3 2 21" xfId="10047" xr:uid="{A37117C0-3D0E-4E97-9C04-BDE53EC9E345}"/>
    <cellStyle name="AggGreen12 2 3 2 22" xfId="10759" xr:uid="{CB667EA8-2CBE-41C8-A08A-0DEBFB960863}"/>
    <cellStyle name="AggGreen12 2 3 2 23" xfId="10016" xr:uid="{55BD08CB-232A-4FC2-A8A6-F046C2BE6BBA}"/>
    <cellStyle name="AggGreen12 2 3 2 24" xfId="11955" xr:uid="{2C51BC05-DF53-44CF-9F3E-50401BC3C209}"/>
    <cellStyle name="AggGreen12 2 3 2 25" xfId="12428" xr:uid="{E7C0E5F3-F0AF-4BD2-BCD8-16504DA95F0B}"/>
    <cellStyle name="AggGreen12 2 3 2 26" xfId="12862" xr:uid="{780051AB-14F0-49AC-A06A-1BBB2DDFF4C6}"/>
    <cellStyle name="AggGreen12 2 3 2 27" xfId="13299" xr:uid="{E2D7348C-009B-44CA-BEA2-99CB4F1C774C}"/>
    <cellStyle name="AggGreen12 2 3 2 28" xfId="13725" xr:uid="{4CF60B6A-2DC0-4E86-8D3C-C2FE06BD04EC}"/>
    <cellStyle name="AggGreen12 2 3 2 29" xfId="14404" xr:uid="{165AA6EF-8118-4C03-8EBD-286AA2041A38}"/>
    <cellStyle name="AggGreen12 2 3 2 3" xfId="1085" xr:uid="{A19FD46A-4F94-45B2-B32E-889D93D6EF5D}"/>
    <cellStyle name="AggGreen12 2 3 2 30" xfId="14819" xr:uid="{18C2011B-5BDA-49C7-9E1B-80DC928E3BA3}"/>
    <cellStyle name="AggGreen12 2 3 2 31" xfId="14791" xr:uid="{B725FC08-0CA2-473F-9A14-202B4AD3DD38}"/>
    <cellStyle name="AggGreen12 2 3 2 32" xfId="14321" xr:uid="{DFD6F94A-0782-46AD-845B-FA15E745DBF0}"/>
    <cellStyle name="AggGreen12 2 3 2 33" xfId="15644" xr:uid="{0C8E3A35-B456-45F6-8983-D53A546F33E0}"/>
    <cellStyle name="AggGreen12 2 3 2 34" xfId="16647" xr:uid="{E28F342C-605E-4222-BDB1-0CFBB3F5FD19}"/>
    <cellStyle name="AggGreen12 2 3 2 35" xfId="16444" xr:uid="{457FAF3B-CABB-4C6C-84FD-26A4A7E17F22}"/>
    <cellStyle name="AggGreen12 2 3 2 36" xfId="17165" xr:uid="{4076A8D9-1E5E-4BA3-871C-011F4CAD4705}"/>
    <cellStyle name="AggGreen12 2 3 2 37" xfId="18022" xr:uid="{6772E909-A997-4DE4-9AA6-383058F85EE7}"/>
    <cellStyle name="AggGreen12 2 3 2 38" xfId="18465" xr:uid="{8612F3E8-928E-40FC-851D-D1B452B98BB2}"/>
    <cellStyle name="AggGreen12 2 3 2 39" xfId="18854" xr:uid="{39E8FB9B-B446-4E3C-8923-EDFA1191FFE6}"/>
    <cellStyle name="AggGreen12 2 3 2 4" xfId="1627" xr:uid="{EDEA5592-5180-4CE4-AACA-8B2E5853E5FB}"/>
    <cellStyle name="AggGreen12 2 3 2 40" xfId="19218" xr:uid="{27221518-7CB7-462C-B70F-E01E120A7C82}"/>
    <cellStyle name="AggGreen12 2 3 2 41" xfId="19984" xr:uid="{4B3A7E30-6FCE-4E49-BC31-366110420453}"/>
    <cellStyle name="AggGreen12 2 3 2 42" xfId="19778" xr:uid="{D42A7E18-28BF-47AA-988E-44FF414BFF89}"/>
    <cellStyle name="AggGreen12 2 3 2 43" xfId="19594" xr:uid="{3BD5CC99-6923-4DB9-882A-450F630B6C78}"/>
    <cellStyle name="AggGreen12 2 3 2 44" xfId="21282" xr:uid="{E4ACC5AB-38E0-4DDE-8CFD-E148569EA18E}"/>
    <cellStyle name="AggGreen12 2 3 2 45" xfId="20999" xr:uid="{8D2C89AA-9700-4632-A91E-4126F22B1C22}"/>
    <cellStyle name="AggGreen12 2 3 2 46" xfId="21918" xr:uid="{99D471DC-0D75-4909-9A54-AEB6AC4ADB2D}"/>
    <cellStyle name="AggGreen12 2 3 2 47" xfId="22721" xr:uid="{37BE4B9F-D29E-4DC3-82E1-DCEA183A47E8}"/>
    <cellStyle name="AggGreen12 2 3 2 48" xfId="23131" xr:uid="{3474A60C-B491-46AF-92A0-26F36F218D73}"/>
    <cellStyle name="AggGreen12 2 3 2 49" xfId="23278" xr:uid="{5FEF927B-43FD-47DB-8691-7BD803B691F1}"/>
    <cellStyle name="AggGreen12 2 3 2 5" xfId="2424" xr:uid="{F96426B4-722B-4A76-9D61-23BEB38FE40C}"/>
    <cellStyle name="AggGreen12 2 3 2 50" xfId="23793" xr:uid="{3B300368-C446-4AAE-9FBC-D118E290D2BC}"/>
    <cellStyle name="AggGreen12 2 3 2 51" xfId="24692" xr:uid="{E50C6A5E-70B0-4A30-92CE-3D78ADED970A}"/>
    <cellStyle name="AggGreen12 2 3 2 52" xfId="24405" xr:uid="{EE3F29BC-FE84-47FA-8FFD-E63A00F3D2FB}"/>
    <cellStyle name="AggGreen12 2 3 2 53" xfId="25610" xr:uid="{DBC6D884-57E2-412B-808D-B6C9BF58C473}"/>
    <cellStyle name="AggGreen12 2 3 2 54" xfId="26007" xr:uid="{A71B0295-C126-4E1B-909B-0558C35E65AF}"/>
    <cellStyle name="AggGreen12 2 3 2 55" xfId="24595" xr:uid="{CD6231CF-2BC5-414A-BB31-73A7834319C3}"/>
    <cellStyle name="AggGreen12 2 3 2 56" xfId="26900" xr:uid="{ACA1C7A1-D8D1-4B28-A928-099ADBE56560}"/>
    <cellStyle name="AggGreen12 2 3 2 57" xfId="27319" xr:uid="{16E24DC3-A8E1-4EB8-86B8-8DA5BB548574}"/>
    <cellStyle name="AggGreen12 2 3 2 58" xfId="27788" xr:uid="{B8EFDF3C-12C4-437E-93A3-1ADB4400C118}"/>
    <cellStyle name="AggGreen12 2 3 2 59" xfId="28442" xr:uid="{0FFC0A5A-4751-44F7-A30A-B697513641B6}"/>
    <cellStyle name="AggGreen12 2 3 2 6" xfId="2890" xr:uid="{38232749-2B36-4637-8E25-50A8E19E0FD0}"/>
    <cellStyle name="AggGreen12 2 3 2 60" xfId="28910" xr:uid="{DC410AF5-4D1D-4EB9-97E2-6F0EDB90D205}"/>
    <cellStyle name="AggGreen12 2 3 2 61" xfId="28219" xr:uid="{B55D62B4-7787-410F-A82A-1F02E3F3258B}"/>
    <cellStyle name="AggGreen12 2 3 2 62" xfId="29700" xr:uid="{EBCDDEBA-1B98-4165-A2EB-705836A40E63}"/>
    <cellStyle name="AggGreen12 2 3 2 63" xfId="30108" xr:uid="{278D39DD-6E46-4DE0-9188-3EB6AEA87AD6}"/>
    <cellStyle name="AggGreen12 2 3 2 64" xfId="30522" xr:uid="{4BA64EB0-0DD5-411C-A366-FC8A2E10339E}"/>
    <cellStyle name="AggGreen12 2 3 2 65" xfId="27938" xr:uid="{946CD759-5BB4-475F-AD27-006BDB193F51}"/>
    <cellStyle name="AggGreen12 2 3 2 66" xfId="31146" xr:uid="{6F276CF7-EA1F-4982-B645-080CDD41DDF3}"/>
    <cellStyle name="AggGreen12 2 3 2 67" xfId="31832" xr:uid="{61D4DDA5-505D-46D1-9E3E-69764AA0ABB3}"/>
    <cellStyle name="AggGreen12 2 3 2 68" xfId="32301" xr:uid="{2095AB03-1AD1-4666-BE28-A63E674EB09D}"/>
    <cellStyle name="AggGreen12 2 3 2 7" xfId="3535" xr:uid="{E30D547C-470A-407E-B843-3DF7D34AB184}"/>
    <cellStyle name="AggGreen12 2 3 2 8" xfId="3920" xr:uid="{A7E156BD-11C6-44D6-A773-FEC39C22D50C}"/>
    <cellStyle name="AggGreen12 2 3 2 9" xfId="4358" xr:uid="{66EB17C4-E079-4E1D-8BBB-995ED0D23568}"/>
    <cellStyle name="AggGreen12 2 3 20" xfId="8281" xr:uid="{2EE436B6-BD8E-4F82-8595-2D632437E2F8}"/>
    <cellStyle name="AggGreen12 2 3 21" xfId="9207" xr:uid="{AB836030-7A4A-4221-8396-D91F2D151224}"/>
    <cellStyle name="AggGreen12 2 3 22" xfId="9294" xr:uid="{249143AD-84FF-40A9-8A6A-5CCB48286A77}"/>
    <cellStyle name="AggGreen12 2 3 23" xfId="9104" xr:uid="{D1C51640-D0F5-4DDE-9BB7-9D055A5B4434}"/>
    <cellStyle name="AggGreen12 2 3 24" xfId="10480" xr:uid="{B8B02BBC-B121-4697-B1C8-EF431D6BAAD0}"/>
    <cellStyle name="AggGreen12 2 3 25" xfId="11056" xr:uid="{F14E7CC9-21C5-4767-8692-D21DABF35B7E}"/>
    <cellStyle name="AggGreen12 2 3 26" xfId="11619" xr:uid="{CD4B6074-A569-4D6D-9C4C-C48FEF18144D}"/>
    <cellStyle name="AggGreen12 2 3 27" xfId="11483" xr:uid="{1CA12D68-5042-4A69-BAC9-FEE78C166E33}"/>
    <cellStyle name="AggGreen12 2 3 28" xfId="12335" xr:uid="{31530978-47CF-4B43-BF0A-C90D58B73DDE}"/>
    <cellStyle name="AggGreen12 2 3 29" xfId="11393" xr:uid="{B15F0BEC-41B4-47B3-B23A-B9406BC9740A}"/>
    <cellStyle name="AggGreen12 2 3 3" xfId="551" xr:uid="{4C123CD4-E1D9-448C-B5E7-C1CD179A2BC8}"/>
    <cellStyle name="AggGreen12 2 3 3 10" xfId="4717" xr:uid="{9D261982-8108-4041-8C5F-3A0DE1E0674A}"/>
    <cellStyle name="AggGreen12 2 3 3 11" xfId="5199" xr:uid="{56DE24D2-813D-4811-B831-61E4DED88B7B}"/>
    <cellStyle name="AggGreen12 2 3 3 12" xfId="5997" xr:uid="{5A88E9CA-B5BF-4EA4-B332-D73F95868BB9}"/>
    <cellStyle name="AggGreen12 2 3 3 13" xfId="6359" xr:uid="{333B7AB4-6ABE-405B-BCFC-140DBB4BEB4D}"/>
    <cellStyle name="AggGreen12 2 3 3 14" xfId="3824" xr:uid="{970D2A1C-F349-4AE2-A200-B370B0BF0698}"/>
    <cellStyle name="AggGreen12 2 3 3 15" xfId="7271" xr:uid="{99021FEF-04E8-4B24-B620-132F87EE03F2}"/>
    <cellStyle name="AggGreen12 2 3 3 16" xfId="7026" xr:uid="{17F685C5-F2E9-4D26-813A-935D4147CD57}"/>
    <cellStyle name="AggGreen12 2 3 3 17" xfId="7873" xr:uid="{0D6A7608-2DEB-4B26-8BE8-986CCF046CA1}"/>
    <cellStyle name="AggGreen12 2 3 3 18" xfId="8733" xr:uid="{1E0A553F-EA26-4AD3-9482-90C5FAF53C75}"/>
    <cellStyle name="AggGreen12 2 3 3 19" xfId="9485" xr:uid="{01140836-8934-4476-85C2-D195D6B2D9EE}"/>
    <cellStyle name="AggGreen12 2 3 3 2" xfId="766" xr:uid="{98A57A07-A801-48EF-A21F-31D1497301A1}"/>
    <cellStyle name="AggGreen12 2 3 3 2 10" xfId="5414" xr:uid="{9AFEFDBF-6E31-4FB1-B66F-1DE3EE6E6322}"/>
    <cellStyle name="AggGreen12 2 3 3 2 11" xfId="5645" xr:uid="{AD5C7206-9E3E-4969-AADC-62B98AAEDEDF}"/>
    <cellStyle name="AggGreen12 2 3 3 2 12" xfId="2738" xr:uid="{44B358F8-487B-4746-873C-C2DA27459E1D}"/>
    <cellStyle name="AggGreen12 2 3 3 2 13" xfId="5704" xr:uid="{1A74D739-A9E8-4A2C-84CC-97783FA6A9AD}"/>
    <cellStyle name="AggGreen12 2 3 3 2 14" xfId="7486" xr:uid="{4F49F51B-03C9-4AEB-8581-712BCDCCF3E0}"/>
    <cellStyle name="AggGreen12 2 3 3 2 15" xfId="7056" xr:uid="{D93AA536-6EA7-4670-9FFA-0CF61C55875C}"/>
    <cellStyle name="AggGreen12 2 3 3 2 16" xfId="8508" xr:uid="{63EB97B5-14D2-4371-9C66-52C98D219031}"/>
    <cellStyle name="AggGreen12 2 3 3 2 17" xfId="8858" xr:uid="{CA4D02EA-1143-4945-9E4A-A5748CBC72BE}"/>
    <cellStyle name="AggGreen12 2 3 3 2 18" xfId="9700" xr:uid="{F1CADE31-38D2-44CD-9FC1-610A245CCDEA}"/>
    <cellStyle name="AggGreen12 2 3 3 2 19" xfId="9269" xr:uid="{0E1B4686-778B-492E-8EBD-7FAE8F127EC1}"/>
    <cellStyle name="AggGreen12 2 3 3 2 2" xfId="1240" xr:uid="{B77DD33F-81A9-49F0-B3B6-1F6DF0F9F987}"/>
    <cellStyle name="AggGreen12 2 3 3 2 20" xfId="9938" xr:uid="{45B4F558-FFDA-4AA1-B6C8-EEE5B0EC7ABD}"/>
    <cellStyle name="AggGreen12 2 3 3 2 21" xfId="10238" xr:uid="{6EAB350D-0A20-4CE8-935E-A39231BACAED}"/>
    <cellStyle name="AggGreen12 2 3 3 2 22" xfId="11078" xr:uid="{E21866BC-45E8-4286-8A15-B22DA49DD574}"/>
    <cellStyle name="AggGreen12 2 3 3 2 23" xfId="12119" xr:uid="{1420BB87-8E25-4200-9572-B6F294703BB6}"/>
    <cellStyle name="AggGreen12 2 3 3 2 24" xfId="12592" xr:uid="{76B9A45C-EEED-4ED4-A6C3-60F95A4E0CCC}"/>
    <cellStyle name="AggGreen12 2 3 3 2 25" xfId="13026" xr:uid="{BD2DFECB-E596-449D-8783-05DDDD3C92C2}"/>
    <cellStyle name="AggGreen12 2 3 3 2 26" xfId="13463" xr:uid="{14A06789-1E35-4851-80AA-65F6A3761339}"/>
    <cellStyle name="AggGreen12 2 3 3 2 27" xfId="11679" xr:uid="{7BE2A9FD-CCAB-4328-9BFE-3EAB76510265}"/>
    <cellStyle name="AggGreen12 2 3 3 2 28" xfId="13935" xr:uid="{86C573AC-2AB0-4999-930B-658D06FB1527}"/>
    <cellStyle name="AggGreen12 2 3 3 2 29" xfId="14210" xr:uid="{549CB966-7338-48DD-B1FA-BC38CD4A570A}"/>
    <cellStyle name="AggGreen12 2 3 3 2 3" xfId="1541" xr:uid="{6FD51C54-DE68-433A-B379-DB8E04250954}"/>
    <cellStyle name="AggGreen12 2 3 3 2 30" xfId="14812" xr:uid="{1034744C-956C-476A-8EBD-28B6F981CEC9}"/>
    <cellStyle name="AggGreen12 2 3 3 2 31" xfId="15431" xr:uid="{27D2F357-AABC-4F10-A30C-CC82AEF0BA77}"/>
    <cellStyle name="AggGreen12 2 3 3 2 32" xfId="15469" xr:uid="{616A11FF-F26D-4B13-A466-0372AAADAD4D}"/>
    <cellStyle name="AggGreen12 2 3 3 2 33" xfId="16811" xr:uid="{037CD74E-E08A-46E2-BFC6-01EFFCD5FCEA}"/>
    <cellStyle name="AggGreen12 2 3 3 2 34" xfId="16378" xr:uid="{702BA521-12D4-4F7A-B245-A6F8D2371541}"/>
    <cellStyle name="AggGreen12 2 3 3 2 35" xfId="17052" xr:uid="{34C13B85-F06E-468A-9040-462B60CA231B}"/>
    <cellStyle name="AggGreen12 2 3 3 2 36" xfId="16080" xr:uid="{C22D0CFF-B79C-4D39-88F9-C588E9B2EB80}"/>
    <cellStyle name="AggGreen12 2 3 3 2 37" xfId="18629" xr:uid="{DB42B704-3FD9-445C-82F5-B97AF57B2FAD}"/>
    <cellStyle name="AggGreen12 2 3 3 2 38" xfId="19020" xr:uid="{68D33BA0-226B-44F3-8ACB-CA449D7D720C}"/>
    <cellStyle name="AggGreen12 2 3 3 2 39" xfId="18094" xr:uid="{E2EF2829-7D31-4F00-8CF8-636394A431E1}"/>
    <cellStyle name="AggGreen12 2 3 3 2 4" xfId="2588" xr:uid="{5A4392AB-37A2-4526-9C80-58A69E9ED04D}"/>
    <cellStyle name="AggGreen12 2 3 3 2 40" xfId="20148" xr:uid="{F722C652-4986-4413-976E-CFE4E89EBB3E}"/>
    <cellStyle name="AggGreen12 2 3 3 2 41" xfId="19712" xr:uid="{BBF1422F-7CCB-4519-BC67-0D3ECC50C9A1}"/>
    <cellStyle name="AggGreen12 2 3 3 2 42" xfId="20535" xr:uid="{15E2E09B-F601-4939-8B98-891278A2B00F}"/>
    <cellStyle name="AggGreen12 2 3 3 2 43" xfId="21273" xr:uid="{349010D3-56EA-4725-A981-249EC8FFF919}"/>
    <cellStyle name="AggGreen12 2 3 3 2 44" xfId="21228" xr:uid="{985537DE-91A8-4074-9D0F-E281C5F61ABF}"/>
    <cellStyle name="AggGreen12 2 3 3 2 45" xfId="22016" xr:uid="{E2E37DB4-851B-4E44-9F6A-20D5BB0C6102}"/>
    <cellStyle name="AggGreen12 2 3 3 2 46" xfId="22535" xr:uid="{9BF96679-7264-4ED0-9CD9-224BC17E4A43}"/>
    <cellStyle name="AggGreen12 2 3 3 2 47" xfId="23299" xr:uid="{FC5B3F59-A34A-422A-948E-00C72285E73F}"/>
    <cellStyle name="AggGreen12 2 3 3 2 48" xfId="21748" xr:uid="{5AD2ED28-870F-4B13-A136-B50E49526E09}"/>
    <cellStyle name="AggGreen12 2 3 3 2 49" xfId="23948" xr:uid="{16AA37B5-A35F-4EE4-AC63-04DACEB3A886}"/>
    <cellStyle name="AggGreen12 2 3 3 2 5" xfId="2259" xr:uid="{2C317E9B-9BDD-4ACF-8146-D59D6A23E07A}"/>
    <cellStyle name="AggGreen12 2 3 3 2 50" xfId="24856" xr:uid="{18CF2B84-2A39-49F7-899B-21C17AAA75DC}"/>
    <cellStyle name="AggGreen12 2 3 3 2 51" xfId="24559" xr:uid="{A4E663C4-33EF-49A7-8F31-C5B65028150B}"/>
    <cellStyle name="AggGreen12 2 3 3 2 52" xfId="25772" xr:uid="{AD4B71ED-4128-4AB9-9638-DD0181C7E871}"/>
    <cellStyle name="AggGreen12 2 3 3 2 53" xfId="24324" xr:uid="{11B35ADA-32B5-447D-9A5E-C5AECD20F744}"/>
    <cellStyle name="AggGreen12 2 3 3 2 54" xfId="26573" xr:uid="{1A28D2EE-3F78-4573-81D1-2CF1F843B506}"/>
    <cellStyle name="AggGreen12 2 3 3 2 55" xfId="27060" xr:uid="{C7E39A8B-25D3-4C01-A421-44B510674D18}"/>
    <cellStyle name="AggGreen12 2 3 3 2 56" xfId="27479" xr:uid="{92C533A9-B7F5-41B1-907E-C6EEEBECDDC2}"/>
    <cellStyle name="AggGreen12 2 3 3 2 57" xfId="25116" xr:uid="{6098E7DE-1C8B-45F2-A19A-A44746043901}"/>
    <cellStyle name="AggGreen12 2 3 3 2 58" xfId="28606" xr:uid="{C24D7E6D-1C41-41E9-B678-2088886E8B44}"/>
    <cellStyle name="AggGreen12 2 3 3 2 59" xfId="29073" xr:uid="{E9E904CF-74FB-4556-B9B6-B8F8A08DE986}"/>
    <cellStyle name="AggGreen12 2 3 3 2 6" xfId="2742" xr:uid="{B57730FE-9D49-4D99-B762-F15FE358EDD7}"/>
    <cellStyle name="AggGreen12 2 3 3 2 60" xfId="28788" xr:uid="{EEE723ED-F239-4A6B-BAAF-223AEEE390A5}"/>
    <cellStyle name="AggGreen12 2 3 3 2 61" xfId="29862" xr:uid="{E4553C3E-AC7D-4422-B88C-D1896254399D}"/>
    <cellStyle name="AggGreen12 2 3 3 2 62" xfId="30268" xr:uid="{2A3E2531-A9E1-47BA-AFD2-AB0FB1743EF1}"/>
    <cellStyle name="AggGreen12 2 3 3 2 63" xfId="30685" xr:uid="{C1848FE5-17F8-4261-A741-A5637E9EA0C9}"/>
    <cellStyle name="AggGreen12 2 3 3 2 64" xfId="30407" xr:uid="{D844A86E-851C-48CB-97D4-973CCF73C114}"/>
    <cellStyle name="AggGreen12 2 3 3 2 65" xfId="31301" xr:uid="{C28A68CD-D6A8-4116-A3F8-0C0353D458F5}"/>
    <cellStyle name="AggGreen12 2 3 3 2 66" xfId="31992" xr:uid="{03C2017C-A92D-4B14-BC6A-33893BC6C530}"/>
    <cellStyle name="AggGreen12 2 3 3 2 67" xfId="32342" xr:uid="{9592CBFC-B466-4DAA-B8BA-A631E71754A7}"/>
    <cellStyle name="AggGreen12 2 3 3 2 7" xfId="4084" xr:uid="{06369C9E-9053-4C68-9CCF-94B828CCDEFF}"/>
    <cellStyle name="AggGreen12 2 3 3 2 8" xfId="4521" xr:uid="{DC535542-2B19-4301-83F5-596F33BA9841}"/>
    <cellStyle name="AggGreen12 2 3 3 2 9" xfId="3378" xr:uid="{791DD60D-5B48-44EB-88A1-127136211183}"/>
    <cellStyle name="AggGreen12 2 3 3 20" xfId="9238" xr:uid="{D463F61E-29CD-4FAA-B625-6C3410E77561}"/>
    <cellStyle name="AggGreen12 2 3 3 21" xfId="9337" xr:uid="{15792E70-09A4-4393-8273-EF03EC5AF76E}"/>
    <cellStyle name="AggGreen12 2 3 3 22" xfId="10929" xr:uid="{A19734BB-D15C-4438-8ECC-B6E1C6EE4D6F}"/>
    <cellStyle name="AggGreen12 2 3 3 23" xfId="10337" xr:uid="{D832E7D3-F33B-4EB8-B0BF-D70970EEE850}"/>
    <cellStyle name="AggGreen12 2 3 3 24" xfId="11904" xr:uid="{03183E75-859A-4854-8078-0163B8B1F0C9}"/>
    <cellStyle name="AggGreen12 2 3 3 25" xfId="12377" xr:uid="{2C31DE35-2686-458F-91A7-1EBDF96F2ABE}"/>
    <cellStyle name="AggGreen12 2 3 3 26" xfId="12811" xr:uid="{44B0D006-67F2-4381-91ED-38DDBE12C96E}"/>
    <cellStyle name="AggGreen12 2 3 3 27" xfId="13248" xr:uid="{57444BE6-CA98-4805-BB6A-CC28AD4A228D}"/>
    <cellStyle name="AggGreen12 2 3 3 28" xfId="11858" xr:uid="{BAC1368F-7D5A-45E9-895E-76116D54EEFB}"/>
    <cellStyle name="AggGreen12 2 3 3 29" xfId="14442" xr:uid="{6E25E015-D886-42D3-85F5-A73977C050AC}"/>
    <cellStyle name="AggGreen12 2 3 3 3" xfId="1034" xr:uid="{C0DCE4C1-9AA2-4C80-9893-74E7DE54A11B}"/>
    <cellStyle name="AggGreen12 2 3 3 30" xfId="14904" xr:uid="{89D5E0A1-8015-4319-8609-DA1BA8C9CB6D}"/>
    <cellStyle name="AggGreen12 2 3 3 31" xfId="15375" xr:uid="{F76E9B43-16DB-45D4-A5A1-5D038E4158E5}"/>
    <cellStyle name="AggGreen12 2 3 3 32" xfId="11708" xr:uid="{D6E62893-6A5A-4017-B8F9-06BD4A0B95B9}"/>
    <cellStyle name="AggGreen12 2 3 3 33" xfId="14244" xr:uid="{1037AECA-9FA1-45D3-B30D-ACC7A7FE2E35}"/>
    <cellStyle name="AggGreen12 2 3 3 34" xfId="16596" xr:uid="{B8818C80-106D-4B13-BC2E-01EF835F6818}"/>
    <cellStyle name="AggGreen12 2 3 3 35" xfId="16348" xr:uid="{5DAF5DCB-8223-49FB-8D16-5B7522202457}"/>
    <cellStyle name="AggGreen12 2 3 3 36" xfId="16446" xr:uid="{D4831851-7B8D-4764-ACE1-29B8D6FD1552}"/>
    <cellStyle name="AggGreen12 2 3 3 37" xfId="18119" xr:uid="{623CE670-8608-4225-BD2F-3676912A7975}"/>
    <cellStyle name="AggGreen12 2 3 3 38" xfId="18414" xr:uid="{B1C8FEF2-7E6D-4FD5-8BC9-84C1A50E9E52}"/>
    <cellStyle name="AggGreen12 2 3 3 39" xfId="18805" xr:uid="{4C0F8D9C-46B7-4B27-8DF5-9886428A4981}"/>
    <cellStyle name="AggGreen12 2 3 3 4" xfId="1379" xr:uid="{4F81F0FA-7DCE-4205-BB5B-ECF79EC19885}"/>
    <cellStyle name="AggGreen12 2 3 3 40" xfId="19142" xr:uid="{8B740B0C-2D90-4E01-AAC9-E0138E2250C8}"/>
    <cellStyle name="AggGreen12 2 3 3 41" xfId="19933" xr:uid="{827B2285-A79F-499A-B891-8EC714629094}"/>
    <cellStyle name="AggGreen12 2 3 3 42" xfId="19681" xr:uid="{8F448D6F-D64F-4E56-BC12-36C05C4898BF}"/>
    <cellStyle name="AggGreen12 2 3 3 43" xfId="20683" xr:uid="{01C35044-8191-499C-96A8-7915CC40BBF3}"/>
    <cellStyle name="AggGreen12 2 3 3 44" xfId="20954" xr:uid="{566A52DA-5C88-4E85-AB9F-0FEDF6E0AE1C}"/>
    <cellStyle name="AggGreen12 2 3 3 45" xfId="20634" xr:uid="{4F978E43-E2A5-4C8A-9B3C-2B6502252456}"/>
    <cellStyle name="AggGreen12 2 3 3 46" xfId="22018" xr:uid="{CBBE239B-B4A8-487B-889B-D5FA9AF998C5}"/>
    <cellStyle name="AggGreen12 2 3 3 47" xfId="21044" xr:uid="{DC173A52-8A48-4354-A1A1-DB4289178CC6}"/>
    <cellStyle name="AggGreen12 2 3 3 48" xfId="23078" xr:uid="{0651F582-5836-4945-AAF2-6E50D3B6F963}"/>
    <cellStyle name="AggGreen12 2 3 3 49" xfId="23495" xr:uid="{433F8649-51D1-4775-9CD0-DE50945612D7}"/>
    <cellStyle name="AggGreen12 2 3 3 5" xfId="2373" xr:uid="{1AB5906B-C5B1-4AAA-8395-0349B014D778}"/>
    <cellStyle name="AggGreen12 2 3 3 50" xfId="23742" xr:uid="{11644E62-A22F-479F-8423-5BFF258148BB}"/>
    <cellStyle name="AggGreen12 2 3 3 51" xfId="24641" xr:uid="{1DD3B13B-4D2A-482E-91DE-4DA24ED3FB0D}"/>
    <cellStyle name="AggGreen12 2 3 3 52" xfId="24456" xr:uid="{68E37167-B38A-4DAC-A901-7711AE98F04E}"/>
    <cellStyle name="AggGreen12 2 3 3 53" xfId="25559" xr:uid="{36E1FA10-3948-4EAB-9D30-AE0CB4859DC9}"/>
    <cellStyle name="AggGreen12 2 3 3 54" xfId="24199" xr:uid="{2E03AAC1-D99B-41FC-BDCA-20EB404D1BA3}"/>
    <cellStyle name="AggGreen12 2 3 3 55" xfId="26211" xr:uid="{4A3E3AE4-EBF6-46F3-9469-0C615574CD44}"/>
    <cellStyle name="AggGreen12 2 3 3 56" xfId="26849" xr:uid="{7C3A527F-9E55-40B9-AAE4-D0AF14C6AD67}"/>
    <cellStyle name="AggGreen12 2 3 3 57" xfId="27268" xr:uid="{63EC36D6-4A58-47D4-BC0B-C440B550727F}"/>
    <cellStyle name="AggGreen12 2 3 3 58" xfId="27641" xr:uid="{6770F042-43C9-40D6-A5DB-ECF2439ABA66}"/>
    <cellStyle name="AggGreen12 2 3 3 59" xfId="28391" xr:uid="{F0434830-3E4F-41AF-8F47-480D1F55D2B2}"/>
    <cellStyle name="AggGreen12 2 3 3 6" xfId="2733" xr:uid="{5428FD88-959F-4F1A-9CB2-5E96C5433650}"/>
    <cellStyle name="AggGreen12 2 3 3 60" xfId="28859" xr:uid="{CDC2926B-52C4-4582-8159-3DADF7230D11}"/>
    <cellStyle name="AggGreen12 2 3 3 61" xfId="28741" xr:uid="{2AD27C4E-7088-4D30-AE42-B6B9DCB7CB4B}"/>
    <cellStyle name="AggGreen12 2 3 3 62" xfId="29649" xr:uid="{EC08EA12-2DE9-4C15-9C31-11AFE80B8340}"/>
    <cellStyle name="AggGreen12 2 3 3 63" xfId="30057" xr:uid="{248DB156-485E-47BB-BBA3-162F7FF4F33A}"/>
    <cellStyle name="AggGreen12 2 3 3 64" xfId="30471" xr:uid="{DE6C2C24-1B51-4825-8640-074DB426DEF6}"/>
    <cellStyle name="AggGreen12 2 3 3 65" xfId="30836" xr:uid="{CAE8EE3E-65A7-426B-80AE-253191F85C47}"/>
    <cellStyle name="AggGreen12 2 3 3 66" xfId="31095" xr:uid="{5B4243A2-1D7A-4380-807D-454AB28ACE7C}"/>
    <cellStyle name="AggGreen12 2 3 3 67" xfId="31781" xr:uid="{83E74D34-2E98-4FB2-A6DE-9C3ED1547B42}"/>
    <cellStyle name="AggGreen12 2 3 3 68" xfId="32336" xr:uid="{97C463F6-5895-4095-81A9-334BE93CF7BE}"/>
    <cellStyle name="AggGreen12 2 3 3 7" xfId="2074" xr:uid="{08E72D6F-E45C-4875-8F85-66385D56622B}"/>
    <cellStyle name="AggGreen12 2 3 3 8" xfId="3869" xr:uid="{9D3E64E9-6AA9-43BF-8758-F39A07A435C2}"/>
    <cellStyle name="AggGreen12 2 3 3 9" xfId="4307" xr:uid="{F8CAD078-C843-4D39-BC36-B2021D2B8270}"/>
    <cellStyle name="AggGreen12 2 3 30" xfId="12305" xr:uid="{101B5D0D-80C5-4588-8D18-01310F54D77E}"/>
    <cellStyle name="AggGreen12 2 3 31" xfId="11583" xr:uid="{FD7CBB3C-1ED2-4C2F-A95C-0EBAEF66572E}"/>
    <cellStyle name="AggGreen12 2 3 32" xfId="14218" xr:uid="{517C5EA1-0403-41DB-AF1E-D98D6B25F59B}"/>
    <cellStyle name="AggGreen12 2 3 33" xfId="13910" xr:uid="{3334167A-851D-4ACD-9EF2-49B26B81C8F6}"/>
    <cellStyle name="AggGreen12 2 3 34" xfId="15729" xr:uid="{014E955A-E73F-4781-9C27-9C011096C538}"/>
    <cellStyle name="AggGreen12 2 3 35" xfId="14993" xr:uid="{181D82F4-175B-4DEA-954B-667DF03F792A}"/>
    <cellStyle name="AggGreen12 2 3 36" xfId="16314" xr:uid="{2FCAC2E3-E30B-4DAA-A2F0-210EC2471782}"/>
    <cellStyle name="AggGreen12 2 3 37" xfId="16271" xr:uid="{1BA821E2-A0EC-4441-A80E-E350337C3FB9}"/>
    <cellStyle name="AggGreen12 2 3 38" xfId="17210" xr:uid="{4FC9479F-9011-43FB-B19D-AE9783926EDB}"/>
    <cellStyle name="AggGreen12 2 3 39" xfId="17285" xr:uid="{E202B532-32ED-468C-9F7F-D2591EFAF86B}"/>
    <cellStyle name="AggGreen12 2 3 4" xfId="631" xr:uid="{618E212C-5964-4C75-8A95-2B58C6B84CC8}"/>
    <cellStyle name="AggGreen12 2 3 4 10" xfId="4823" xr:uid="{E3C7905C-E857-4B63-9D9F-73FBA6A32671}"/>
    <cellStyle name="AggGreen12 2 3 4 11" xfId="5279" xr:uid="{8FE6287F-6809-4BB0-9A7D-19C8A892262E}"/>
    <cellStyle name="AggGreen12 2 3 4 12" xfId="5850" xr:uid="{7B386501-2755-4A9C-9CDF-924066E6E112}"/>
    <cellStyle name="AggGreen12 2 3 4 13" xfId="2860" xr:uid="{9A038BCE-27E3-4BFC-BBC7-C73687BF5773}"/>
    <cellStyle name="AggGreen12 2 3 4 14" xfId="6675" xr:uid="{E5BEF997-519A-48B6-845C-5BC236DD22D0}"/>
    <cellStyle name="AggGreen12 2 3 4 15" xfId="7351" xr:uid="{1D2990EB-4CCA-4CB5-A68A-F7B6D319F89D}"/>
    <cellStyle name="AggGreen12 2 3 4 16" xfId="6759" xr:uid="{2AF49FF6-1683-4D44-93A6-E6F345A0891B}"/>
    <cellStyle name="AggGreen12 2 3 4 17" xfId="8216" xr:uid="{B2DBA330-A3C8-4EA5-94D2-5B1DCB0EC4E6}"/>
    <cellStyle name="AggGreen12 2 3 4 18" xfId="7930" xr:uid="{811917C9-4816-4234-A101-66200728A3CA}"/>
    <cellStyle name="AggGreen12 2 3 4 19" xfId="9565" xr:uid="{78C5EFED-E7F0-4BED-9CF8-C1405A9FFE10}"/>
    <cellStyle name="AggGreen12 2 3 4 2" xfId="846" xr:uid="{B3E68385-607E-4942-B875-22ECFA2CD40B}"/>
    <cellStyle name="AggGreen12 2 3 4 2 10" xfId="5494" xr:uid="{159F1E57-F72A-44BA-9FEA-FE00A14CCC1E}"/>
    <cellStyle name="AggGreen12 2 3 4 2 11" xfId="3514" xr:uid="{E5DAAD88-668F-410C-AAE7-54A205C9D48F}"/>
    <cellStyle name="AggGreen12 2 3 4 2 12" xfId="3731" xr:uid="{FD441F55-FB46-4207-AD74-11B34ECC56E2}"/>
    <cellStyle name="AggGreen12 2 3 4 2 13" xfId="6628" xr:uid="{E56A191B-888A-4EB1-A971-AF16A176E957}"/>
    <cellStyle name="AggGreen12 2 3 4 2 14" xfId="7566" xr:uid="{84678BC1-D9DC-4FCE-80F0-AF4BAFA1811A}"/>
    <cellStyle name="AggGreen12 2 3 4 2 15" xfId="6881" xr:uid="{5B2E7458-0B4D-4C9F-93AF-0F6F2978DFB5}"/>
    <cellStyle name="AggGreen12 2 3 4 2 16" xfId="7944" xr:uid="{15F7AA52-BB9C-4A7F-888B-51ED60CEE034}"/>
    <cellStyle name="AggGreen12 2 3 4 2 17" xfId="8726" xr:uid="{5C7A327E-5EC5-498F-B13A-094315CC5F24}"/>
    <cellStyle name="AggGreen12 2 3 4 2 18" xfId="9780" xr:uid="{629A2D7E-F83F-4D24-8690-5979CA4382FC}"/>
    <cellStyle name="AggGreen12 2 3 4 2 19" xfId="9094" xr:uid="{7941BCFB-EBCF-4368-B0AD-9A4FE407E1A0}"/>
    <cellStyle name="AggGreen12 2 3 4 2 2" xfId="1320" xr:uid="{265309A4-9A6A-45EC-AD66-26BC566E3AF3}"/>
    <cellStyle name="AggGreen12 2 3 4 2 20" xfId="9440" xr:uid="{DC177CC8-BBCD-42C3-AE00-246DB40BD8D9}"/>
    <cellStyle name="AggGreen12 2 3 4 2 21" xfId="10702" xr:uid="{60B87606-8CC8-4DCC-82F5-4E777D3DACB7}"/>
    <cellStyle name="AggGreen12 2 3 4 2 22" xfId="11132" xr:uid="{086A8558-3587-4C77-94BB-8237EAEFBEE5}"/>
    <cellStyle name="AggGreen12 2 3 4 2 23" xfId="12199" xr:uid="{26BA5716-48E7-4968-A41B-3887E602B951}"/>
    <cellStyle name="AggGreen12 2 3 4 2 24" xfId="12672" xr:uid="{F76A6923-5D15-4C18-93C5-1CF7D0AD940B}"/>
    <cellStyle name="AggGreen12 2 3 4 2 25" xfId="13106" xr:uid="{0340E457-7FEE-4E9E-A5E7-768472428B52}"/>
    <cellStyle name="AggGreen12 2 3 4 2 26" xfId="13543" xr:uid="{2A6A1F0C-E3DC-4107-B1D8-12ADD57BFE5B}"/>
    <cellStyle name="AggGreen12 2 3 4 2 27" xfId="11506" xr:uid="{5CCCC969-23C9-4F41-887C-05710C4099E0}"/>
    <cellStyle name="AggGreen12 2 3 4 2 28" xfId="13631" xr:uid="{49BCBE63-2BD4-4787-97DB-302F75DDFD28}"/>
    <cellStyle name="AggGreen12 2 3 4 2 29" xfId="12747" xr:uid="{9A212134-45C9-45C6-A379-5BE9099274F5}"/>
    <cellStyle name="AggGreen12 2 3 4 2 3" xfId="1769" xr:uid="{6D664288-09E4-4E0C-8BFF-A55D857DAC38}"/>
    <cellStyle name="AggGreen12 2 3 4 2 30" xfId="15138" xr:uid="{2EA49DE7-8E5E-40D7-94B4-9CA4062AC36D}"/>
    <cellStyle name="AggGreen12 2 3 4 2 31" xfId="15280" xr:uid="{C0A1D7D8-4EFF-4E44-BA71-D4B782627326}"/>
    <cellStyle name="AggGreen12 2 3 4 2 32" xfId="15388" xr:uid="{027EC01E-51F6-4B7F-A511-B258A7DFB27A}"/>
    <cellStyle name="AggGreen12 2 3 4 2 33" xfId="16891" xr:uid="{91CB402D-BE3E-4DEA-9644-9091092A8A55}"/>
    <cellStyle name="AggGreen12 2 3 4 2 34" xfId="16197" xr:uid="{27F10A16-D82A-4264-9B0F-C905A2EA65C8}"/>
    <cellStyle name="AggGreen12 2 3 4 2 35" xfId="16550" xr:uid="{137131D5-EAC1-46BD-9C81-03C3FF50BBC5}"/>
    <cellStyle name="AggGreen12 2 3 4 2 36" xfId="18084" xr:uid="{36281B8C-FDD6-45E6-9062-3E4C1FAE3A24}"/>
    <cellStyle name="AggGreen12 2 3 4 2 37" xfId="18709" xr:uid="{A5DD5AD1-F144-4D35-BF99-AFC81C23E257}"/>
    <cellStyle name="AggGreen12 2 3 4 2 38" xfId="18927" xr:uid="{1AE9213C-88C9-4645-9F74-4045B035AFCA}"/>
    <cellStyle name="AggGreen12 2 3 4 2 39" xfId="19087" xr:uid="{9FE0B4CF-7045-485F-9450-4AF04486A6C8}"/>
    <cellStyle name="AggGreen12 2 3 4 2 4" xfId="2668" xr:uid="{127E9604-5F68-4F4C-99D8-8D53018B1C54}"/>
    <cellStyle name="AggGreen12 2 3 4 2 40" xfId="20228" xr:uid="{6C45810C-49D3-4BC4-805D-E7BD8EE090F2}"/>
    <cellStyle name="AggGreen12 2 3 4 2 41" xfId="19529" xr:uid="{155ED968-A2E6-49D2-9A67-94B44F68FCC1}"/>
    <cellStyle name="AggGreen12 2 3 4 2 42" xfId="19786" xr:uid="{B59EFE77-2F0D-4F84-93EE-6D5C217FFCBC}"/>
    <cellStyle name="AggGreen12 2 3 4 2 43" xfId="21558" xr:uid="{94B08646-0503-42AD-A917-0EB1E53B997C}"/>
    <cellStyle name="AggGreen12 2 3 4 2 44" xfId="20700" xr:uid="{B37D9FED-F512-4E0D-B536-634E33C675B6}"/>
    <cellStyle name="AggGreen12 2 3 4 2 45" xfId="22100" xr:uid="{91DEE5D4-BD7E-4D05-BE6A-7F72C714DAED}"/>
    <cellStyle name="AggGreen12 2 3 4 2 46" xfId="19568" xr:uid="{B3F0E850-0D71-44DA-A9A6-5FB6ECF7FAAA}"/>
    <cellStyle name="AggGreen12 2 3 4 2 47" xfId="23213" xr:uid="{30527744-16EB-4A91-B4C8-B0A044988DC0}"/>
    <cellStyle name="AggGreen12 2 3 4 2 48" xfId="21812" xr:uid="{0E2EBFAB-8738-4946-B2E6-630A046CDAA9}"/>
    <cellStyle name="AggGreen12 2 3 4 2 49" xfId="24028" xr:uid="{D4F4DBC5-1DA5-4782-9226-67991A54847D}"/>
    <cellStyle name="AggGreen12 2 3 4 2 5" xfId="1919" xr:uid="{FF47B89A-9D71-47EC-AA6B-8B03E69FB845}"/>
    <cellStyle name="AggGreen12 2 3 4 2 50" xfId="24936" xr:uid="{4B80892C-9916-4C48-B8BD-FAABE5755383}"/>
    <cellStyle name="AggGreen12 2 3 4 2 51" xfId="24134" xr:uid="{658C44B2-EDE9-497D-86BA-6DBEC283F53C}"/>
    <cellStyle name="AggGreen12 2 3 4 2 52" xfId="25852" xr:uid="{A4238045-8D05-45B0-A11C-856E44F7CFD8}"/>
    <cellStyle name="AggGreen12 2 3 4 2 53" xfId="25929" xr:uid="{E713BD38-B867-4942-91D6-92AC2AD4DDEE}"/>
    <cellStyle name="AggGreen12 2 3 4 2 54" xfId="26310" xr:uid="{007268DC-ECBC-47A1-BB77-FA0CF351D645}"/>
    <cellStyle name="AggGreen12 2 3 4 2 55" xfId="27140" xr:uid="{91A156F8-B80F-4EAA-803D-53FB86FCB073}"/>
    <cellStyle name="AggGreen12 2 3 4 2 56" xfId="27559" xr:uid="{783DD872-0D95-4860-A43D-E2EEA3C2795C}"/>
    <cellStyle name="AggGreen12 2 3 4 2 57" xfId="27623" xr:uid="{6844C628-EDE0-468A-B9CF-51B260EAA1E3}"/>
    <cellStyle name="AggGreen12 2 3 4 2 58" xfId="28686" xr:uid="{242A387E-FA16-4BAA-81E8-A007ECB7337D}"/>
    <cellStyle name="AggGreen12 2 3 4 2 59" xfId="29153" xr:uid="{20EF566E-5463-415F-9515-47413B6697AC}"/>
    <cellStyle name="AggGreen12 2 3 4 2 6" xfId="2014" xr:uid="{5390CA29-1EE3-42CD-BA45-7AC500E08954}"/>
    <cellStyle name="AggGreen12 2 3 4 2 60" xfId="28754" xr:uid="{D5576011-03BD-419E-ACB1-BA0593154586}"/>
    <cellStyle name="AggGreen12 2 3 4 2 61" xfId="29942" xr:uid="{6707656C-BFC7-4F0F-B7F6-62BBCABA362A}"/>
    <cellStyle name="AggGreen12 2 3 4 2 62" xfId="30348" xr:uid="{F1ED3254-B0D6-47A5-8737-7D3C21D5595D}"/>
    <cellStyle name="AggGreen12 2 3 4 2 63" xfId="30765" xr:uid="{C863413B-3E7D-4F5A-8999-08DE194F077C}"/>
    <cellStyle name="AggGreen12 2 3 4 2 64" xfId="29477" xr:uid="{F136AE91-BEFC-41DD-8DAF-19313DE14B13}"/>
    <cellStyle name="AggGreen12 2 3 4 2 65" xfId="31381" xr:uid="{932D6D9F-E072-437D-A96C-29387D439DC4}"/>
    <cellStyle name="AggGreen12 2 3 4 2 66" xfId="32072" xr:uid="{2B6D4B6E-BFAA-4A38-928E-98098DA7306E}"/>
    <cellStyle name="AggGreen12 2 3 4 2 67" xfId="32203" xr:uid="{C7E67DEB-2CF2-4F86-A1B9-453A2A3E4339}"/>
    <cellStyle name="AggGreen12 2 3 4 2 7" xfId="4164" xr:uid="{92AD2CD0-4886-48A8-8B20-3E9F82561D57}"/>
    <cellStyle name="AggGreen12 2 3 4 2 8" xfId="4601" xr:uid="{35F9EADE-15A7-4CA9-AB6C-50D71D8F90AE}"/>
    <cellStyle name="AggGreen12 2 3 4 2 9" xfId="3433" xr:uid="{833578E9-2210-4A29-A5A9-5580E7603938}"/>
    <cellStyle name="AggGreen12 2 3 4 20" xfId="9070" xr:uid="{CB22CB08-FB39-4C51-841C-DB3A7FEC4075}"/>
    <cellStyle name="AggGreen12 2 3 4 21" xfId="10181" xr:uid="{26882FBB-EB36-443C-8A32-92370274D478}"/>
    <cellStyle name="AggGreen12 2 3 4 22" xfId="10490" xr:uid="{D1ABE3FD-0F0D-4419-B422-B4783C9410F0}"/>
    <cellStyle name="AggGreen12 2 3 4 23" xfId="11292" xr:uid="{305EDD74-2204-4855-831B-15040D916748}"/>
    <cellStyle name="AggGreen12 2 3 4 24" xfId="11984" xr:uid="{707D9E77-9619-404C-BA48-D8DF00A1A124}"/>
    <cellStyle name="AggGreen12 2 3 4 25" xfId="12457" xr:uid="{837648AC-127C-4383-BB48-F33570D385DB}"/>
    <cellStyle name="AggGreen12 2 3 4 26" xfId="12891" xr:uid="{BFE75BA5-98E0-468F-9889-854F0BDD162F}"/>
    <cellStyle name="AggGreen12 2 3 4 27" xfId="13328" xr:uid="{BC2DC4A2-6500-4DB2-956D-682266F21454}"/>
    <cellStyle name="AggGreen12 2 3 4 28" xfId="13589" xr:uid="{9804A683-2427-42A3-AF28-BF412773A345}"/>
    <cellStyle name="AggGreen12 2 3 4 29" xfId="11352" xr:uid="{053CB1C9-4DA8-4556-A804-4CAA927A24FF}"/>
    <cellStyle name="AggGreen12 2 3 4 3" xfId="1114" xr:uid="{A04B3E37-54AE-4CB7-8A1D-226814EE3E09}"/>
    <cellStyle name="AggGreen12 2 3 4 30" xfId="14845" xr:uid="{62FBDD95-FF88-4385-AD80-51C9DAA5E668}"/>
    <cellStyle name="AggGreen12 2 3 4 31" xfId="15151" xr:uid="{E4A3E8BA-722F-45F1-8941-6A9F96B9CBE4}"/>
    <cellStyle name="AggGreen12 2 3 4 32" xfId="15621" xr:uid="{8D4990DC-3341-42B8-BA6B-77BEF8B96115}"/>
    <cellStyle name="AggGreen12 2 3 4 33" xfId="14987" xr:uid="{201DABF3-D30A-4BBE-85FA-DBCF98F22DB4}"/>
    <cellStyle name="AggGreen12 2 3 4 34" xfId="16676" xr:uid="{63F000B3-28A1-4E08-B39F-97EEFF96217D}"/>
    <cellStyle name="AggGreen12 2 3 4 35" xfId="16068" xr:uid="{147E6819-4377-496F-A68D-8FF7F6BC6BB6}"/>
    <cellStyle name="AggGreen12 2 3 4 36" xfId="17147" xr:uid="{07901028-F28F-4B32-8D12-0E96EEEF2D65}"/>
    <cellStyle name="AggGreen12 2 3 4 37" xfId="17961" xr:uid="{AE71F221-A4D3-4637-8A44-CC2200D2262D}"/>
    <cellStyle name="AggGreen12 2 3 4 38" xfId="18494" xr:uid="{35EA4679-856B-4EC2-83BF-3303CF51F919}"/>
    <cellStyle name="AggGreen12 2 3 4 39" xfId="18876" xr:uid="{86F843CC-A41D-434D-BE5E-2BB6350A4039}"/>
    <cellStyle name="AggGreen12 2 3 4 4" xfId="1725" xr:uid="{A4EFEE12-59BF-45BB-AA09-785B166AECB6}"/>
    <cellStyle name="AggGreen12 2 3 4 40" xfId="19153" xr:uid="{F20CB2E1-9AAE-48CF-BCD7-951FDD0E6E62}"/>
    <cellStyle name="AggGreen12 2 3 4 41" xfId="20013" xr:uid="{787E05B2-4718-4ACF-A9E8-3DF99A513394}"/>
    <cellStyle name="AggGreen12 2 3 4 42" xfId="19796" xr:uid="{62E41705-2D98-4B78-AB19-D641577EE852}"/>
    <cellStyle name="AggGreen12 2 3 4 43" xfId="20445" xr:uid="{51F6F3E5-C041-45D2-B13D-3F9A6FE65658}"/>
    <cellStyle name="AggGreen12 2 3 4 44" xfId="21454" xr:uid="{F14B6960-F1FB-43A1-8C65-2CA95902817A}"/>
    <cellStyle name="AggGreen12 2 3 4 45" xfId="20833" xr:uid="{AFCD599A-C620-4779-9466-F9B72CE78563}"/>
    <cellStyle name="AggGreen12 2 3 4 46" xfId="22106" xr:uid="{67E6AE63-204C-4260-83BD-F0265D5B01E8}"/>
    <cellStyle name="AggGreen12 2 3 4 47" xfId="22598" xr:uid="{B14B2C18-38F4-4F56-BF2D-C4F38A1D9F40}"/>
    <cellStyle name="AggGreen12 2 3 4 48" xfId="23153" xr:uid="{F0D154E6-BB51-4F76-9366-9815F6892BAD}"/>
    <cellStyle name="AggGreen12 2 3 4 49" xfId="22854" xr:uid="{C676A403-F1EA-4073-9251-62D18D16E8A4}"/>
    <cellStyle name="AggGreen12 2 3 4 5" xfId="2453" xr:uid="{214BFAD6-DAB0-4535-BC21-D12038A8A6BE}"/>
    <cellStyle name="AggGreen12 2 3 4 50" xfId="23822" xr:uid="{F8E08736-3A2D-42BE-BB3B-C6F272CE0D6D}"/>
    <cellStyle name="AggGreen12 2 3 4 51" xfId="24721" xr:uid="{51442ED4-4489-4778-A644-E03A7797E965}"/>
    <cellStyle name="AggGreen12 2 3 4 52" xfId="24223" xr:uid="{68D15BB6-CC35-48D9-A154-5CD33D388790}"/>
    <cellStyle name="AggGreen12 2 3 4 53" xfId="25639" xr:uid="{03F1579F-4FB1-410B-A22F-FEA8BF5B277F}"/>
    <cellStyle name="AggGreen12 2 3 4 54" xfId="24421" xr:uid="{8E86B900-DBC1-4D8A-9920-10870D1A9500}"/>
    <cellStyle name="AggGreen12 2 3 4 55" xfId="24280" xr:uid="{2836CF52-B0C7-4456-ADB1-608307DDE316}"/>
    <cellStyle name="AggGreen12 2 3 4 56" xfId="26929" xr:uid="{61E03CEE-B015-493B-B086-CD7078805C1D}"/>
    <cellStyle name="AggGreen12 2 3 4 57" xfId="27348" xr:uid="{36D7FD90-F2F5-4C30-A80B-9DD7AE2678E8}"/>
    <cellStyle name="AggGreen12 2 3 4 58" xfId="26452" xr:uid="{AC36644B-11F7-449C-BAB4-A0C6545C94F9}"/>
    <cellStyle name="AggGreen12 2 3 4 59" xfId="28471" xr:uid="{E00791AF-62F2-43ED-95D0-D1BCC0CB226B}"/>
    <cellStyle name="AggGreen12 2 3 4 6" xfId="2755" xr:uid="{FD7933FD-6E4D-45FC-AD1D-FD4429180951}"/>
    <cellStyle name="AggGreen12 2 3 4 60" xfId="28939" xr:uid="{A740FC7E-5667-4E2A-84FA-7B1507E767AB}"/>
    <cellStyle name="AggGreen12 2 3 4 61" xfId="29005" xr:uid="{67CB8719-E3BA-486B-90A0-C828FD905F02}"/>
    <cellStyle name="AggGreen12 2 3 4 62" xfId="29729" xr:uid="{9F8A0B12-6BAB-4DC3-8CBD-4A878466791A}"/>
    <cellStyle name="AggGreen12 2 3 4 63" xfId="30137" xr:uid="{971F42C4-3777-4711-B174-79760F26DD76}"/>
    <cellStyle name="AggGreen12 2 3 4 64" xfId="30551" xr:uid="{204FBE5D-8452-4F44-A0E2-D672C7461E78}"/>
    <cellStyle name="AggGreen12 2 3 4 65" xfId="30895" xr:uid="{DDCF3A1B-6B09-4FC2-9ED3-5753A99631D6}"/>
    <cellStyle name="AggGreen12 2 3 4 66" xfId="31175" xr:uid="{2D71326A-E2CC-481B-876B-D69691C1A27A}"/>
    <cellStyle name="AggGreen12 2 3 4 67" xfId="31861" xr:uid="{43F15A13-9BE4-4985-9BB7-CDEB796CD5BA}"/>
    <cellStyle name="AggGreen12 2 3 4 68" xfId="32320" xr:uid="{FF65DADA-6AED-4810-BAE3-20B217152AB6}"/>
    <cellStyle name="AggGreen12 2 3 4 7" xfId="3243" xr:uid="{EB88EE00-C3ED-4A91-A123-D8BD4F738BFA}"/>
    <cellStyle name="AggGreen12 2 3 4 8" xfId="3949" xr:uid="{7565FB31-5C4C-4BF8-9568-CD53070B6DAE}"/>
    <cellStyle name="AggGreen12 2 3 4 9" xfId="4387" xr:uid="{2E49F277-8693-4715-A5C6-156FC391CD67}"/>
    <cellStyle name="AggGreen12 2 3 40" xfId="17126" xr:uid="{F9BFCEAB-2D79-433D-8C30-A03EF82967CD}"/>
    <cellStyle name="AggGreen12 2 3 41" xfId="18559" xr:uid="{80FA9C88-2672-4F14-B710-A8383A467CA2}"/>
    <cellStyle name="AggGreen12 2 3 42" xfId="18946" xr:uid="{B598D3DE-970E-4BC2-93A4-04E55305303A}"/>
    <cellStyle name="AggGreen12 2 3 43" xfId="19647" xr:uid="{89CDDCB1-DCE0-4AE0-871C-39EE7C28362E}"/>
    <cellStyle name="AggGreen12 2 3 44" xfId="19602" xr:uid="{62802EBF-8CE1-454D-B227-5382C30EFF39}"/>
    <cellStyle name="AggGreen12 2 3 45" xfId="19782" xr:uid="{4751C135-369C-4E36-98C2-C8D4BC60A312}"/>
    <cellStyle name="AggGreen12 2 3 46" xfId="20941" xr:uid="{87BAA0FA-78E7-45AC-88C4-ADED1544F906}"/>
    <cellStyle name="AggGreen12 2 3 47" xfId="21433" xr:uid="{8E4B0FAA-1667-4F3B-8C43-27D5CAE50076}"/>
    <cellStyle name="AggGreen12 2 3 48" xfId="21786" xr:uid="{336D7C23-477E-4EDA-A763-B949FD3B094C}"/>
    <cellStyle name="AggGreen12 2 3 49" xfId="22161" xr:uid="{5B7CDBFE-8780-4668-BD4E-92A39E34510D}"/>
    <cellStyle name="AggGreen12 2 3 5" xfId="940" xr:uid="{D97E27E1-8D8F-4472-AAFF-920C29B9CB5B}"/>
    <cellStyle name="AggGreen12 2 3 50" xfId="22430" xr:uid="{2F993EB6-FCDB-4931-979A-8BB4F045B758}"/>
    <cellStyle name="AggGreen12 2 3 51" xfId="23087" xr:uid="{8550B3E6-488B-4808-88A8-9B1C45003637}"/>
    <cellStyle name="AggGreen12 2 3 52" xfId="23632" xr:uid="{58110163-91E6-488A-BD62-DB72496A56B8}"/>
    <cellStyle name="AggGreen12 2 3 53" xfId="24367" xr:uid="{B5A2216D-AA39-4455-84DE-3E96E53E85BC}"/>
    <cellStyle name="AggGreen12 2 3 54" xfId="24453" xr:uid="{CE8D01DF-F87D-447F-9FAD-947068C31A81}"/>
    <cellStyle name="AggGreen12 2 3 55" xfId="25256" xr:uid="{D4B0BAA9-6689-47A4-8680-2722A726C101}"/>
    <cellStyle name="AggGreen12 2 3 56" xfId="25331" xr:uid="{585B0396-E4E4-407E-A5D6-D5E6D0C3B1BE}"/>
    <cellStyle name="AggGreen12 2 3 57" xfId="25122" xr:uid="{D2117AAA-7681-4287-9DB3-D420CA54ABE2}"/>
    <cellStyle name="AggGreen12 2 3 58" xfId="26722" xr:uid="{D2EF292D-D886-4BD4-AEA3-806DAC5A09E3}"/>
    <cellStyle name="AggGreen12 2 3 59" xfId="26994" xr:uid="{DC8C1FB4-05C5-471D-8AB5-932873B4C293}"/>
    <cellStyle name="AggGreen12 2 3 6" xfId="1537" xr:uid="{E85D206E-687A-4D9D-B6BF-792C36616F3B}"/>
    <cellStyle name="AggGreen12 2 3 60" xfId="26779" xr:uid="{C511236E-70DA-4DD0-B148-3FE973F5D38F}"/>
    <cellStyle name="AggGreen12 2 3 61" xfId="28138" xr:uid="{2D99BE02-6614-4C57-8A08-991C2983FA54}"/>
    <cellStyle name="AggGreen12 2 3 62" xfId="28018" xr:uid="{37EE0971-8B32-4D20-88D6-C5EC59DD0B7C}"/>
    <cellStyle name="AggGreen12 2 3 63" xfId="28236" xr:uid="{484AAEFB-6EF2-4B68-800B-BEFE2413902D}"/>
    <cellStyle name="AggGreen12 2 3 64" xfId="28745" xr:uid="{910BB5DC-6713-4139-9F37-A983F812CEE5}"/>
    <cellStyle name="AggGreen12 2 3 65" xfId="29608" xr:uid="{59D69836-DCC6-42B2-B405-081AA4EAEF28}"/>
    <cellStyle name="AggGreen12 2 3 66" xfId="29414" xr:uid="{10ECB747-B278-4C8D-A077-E332E69E8227}"/>
    <cellStyle name="AggGreen12 2 3 67" xfId="28047" xr:uid="{CC979769-E34F-4B47-8B4B-09AFA1630D70}"/>
    <cellStyle name="AggGreen12 2 3 68" xfId="29461" xr:uid="{519345D6-8A39-4D2F-8F4A-9C72E0556206}"/>
    <cellStyle name="AggGreen12 2 3 69" xfId="31590" xr:uid="{87CDAAED-163B-4544-9933-E5BBD3A9014A}"/>
    <cellStyle name="AggGreen12 2 3 7" xfId="2087" xr:uid="{040C1086-798B-4404-9630-484BC2F772EA}"/>
    <cellStyle name="AggGreen12 2 3 70" xfId="32241" xr:uid="{BB327E25-D525-41B6-8130-7830E4B88253}"/>
    <cellStyle name="AggGreen12 2 3 8" xfId="1961" xr:uid="{C347DD5E-717B-4356-996D-5494931B13BA}"/>
    <cellStyle name="AggGreen12 2 3 9" xfId="3537" xr:uid="{C93FA67A-9754-4B12-AF49-5E843DCF66B4}"/>
    <cellStyle name="AggGreen12 3" xfId="404" xr:uid="{83396624-5A8E-48EF-9C44-A992673DB914}"/>
    <cellStyle name="AggGreen12 3 2" xfId="528" xr:uid="{68985DA6-95E4-4C82-B9FD-7ECFB67D5EFB}"/>
    <cellStyle name="AggGreen12 3 2 10" xfId="4953" xr:uid="{1101CDAA-79F1-4B87-AA84-EBBC8E307B5F}"/>
    <cellStyle name="AggGreen12 3 2 11" xfId="5176" xr:uid="{4BEF2CD0-D8E1-480E-BF42-9DDB448A5808}"/>
    <cellStyle name="AggGreen12 3 2 12" xfId="4757" xr:uid="{4EACC40F-D335-4F2B-AF64-0E2EAF27DF10}"/>
    <cellStyle name="AggGreen12 3 2 13" xfId="6298" xr:uid="{00DBA62C-3FB6-47D0-850C-DBC4AE2A8116}"/>
    <cellStyle name="AggGreen12 3 2 14" xfId="6528" xr:uid="{2ACB17B0-FDA5-4955-A1D6-EDB97CA02822}"/>
    <cellStyle name="AggGreen12 3 2 15" xfId="7248" xr:uid="{1A7D3E72-2A03-4F73-B191-5FC08AE74CA3}"/>
    <cellStyle name="AggGreen12 3 2 16" xfId="7851" xr:uid="{12B2DBB0-76C3-4352-9FCB-0F9869D9091D}"/>
    <cellStyle name="AggGreen12 3 2 17" xfId="8647" xr:uid="{8AB256C0-18F2-498F-AE2D-5632FBDB165F}"/>
    <cellStyle name="AggGreen12 3 2 18" xfId="8840" xr:uid="{36E87396-44FD-421F-AA60-51280C470110}"/>
    <cellStyle name="AggGreen12 3 2 19" xfId="9462" xr:uid="{879B524D-B802-47AD-B0DC-85E2BD42251B}"/>
    <cellStyle name="AggGreen12 3 2 2" xfId="743" xr:uid="{98BD573D-D526-4FCF-9EFF-79440AA82A94}"/>
    <cellStyle name="AggGreen12 3 2 2 10" xfId="5391" xr:uid="{23564D61-A3CE-4DC1-920C-AAE49B6E1731}"/>
    <cellStyle name="AggGreen12 3 2 2 11" xfId="5094" xr:uid="{70B21828-020A-4843-BA82-69174420A194}"/>
    <cellStyle name="AggGreen12 3 2 2 12" xfId="5641" xr:uid="{736856CF-DE73-42CB-99D7-FA6081D174C1}"/>
    <cellStyle name="AggGreen12 3 2 2 13" xfId="6450" xr:uid="{2730EDDA-ED70-4C70-85E8-5A75B9EB37B6}"/>
    <cellStyle name="AggGreen12 3 2 2 14" xfId="7463" xr:uid="{F3032AB1-FF3C-4F3D-A44C-213D4D080C40}"/>
    <cellStyle name="AggGreen12 3 2 2 15" xfId="6903" xr:uid="{FD705554-0998-4EA1-BCB7-89221480C62C}"/>
    <cellStyle name="AggGreen12 3 2 2 16" xfId="7994" xr:uid="{FFE89F51-228D-4428-A5EC-27158003972B}"/>
    <cellStyle name="AggGreen12 3 2 2 17" xfId="8704" xr:uid="{7EF2C7B5-FCDC-4931-B891-6D0912306DEA}"/>
    <cellStyle name="AggGreen12 3 2 2 18" xfId="9677" xr:uid="{71BA72AE-8248-4B71-A0BB-CD08201079B8}"/>
    <cellStyle name="AggGreen12 3 2 2 19" xfId="9116" xr:uid="{A5F34ACA-9F9C-4F70-A7AF-DF7B40F2B9F5}"/>
    <cellStyle name="AggGreen12 3 2 2 2" xfId="1217" xr:uid="{A8CFF091-CFA7-4627-88B9-D4DAC50846B2}"/>
    <cellStyle name="AggGreen12 3 2 2 20" xfId="9939" xr:uid="{3E1A99C3-B354-4880-A9AC-04EF11252849}"/>
    <cellStyle name="AggGreen12 3 2 2 21" xfId="10625" xr:uid="{2F59E8F2-1765-4147-878E-B66AF337F3FC}"/>
    <cellStyle name="AggGreen12 3 2 2 22" xfId="10879" xr:uid="{46580E70-0F15-4BE5-B82B-BEB961F4A5DF}"/>
    <cellStyle name="AggGreen12 3 2 2 23" xfId="12096" xr:uid="{EBA4FA51-4E4A-42D6-8FD7-A841F877EFB6}"/>
    <cellStyle name="AggGreen12 3 2 2 24" xfId="12569" xr:uid="{6AE416AB-87C6-4651-A6C4-8ADFAE9C36F3}"/>
    <cellStyle name="AggGreen12 3 2 2 25" xfId="13003" xr:uid="{9976A9DE-B7F7-4AC7-9147-3B70081FE37B}"/>
    <cellStyle name="AggGreen12 3 2 2 26" xfId="13440" xr:uid="{D3A2A13E-9450-4CD8-B651-4B6E0F38E1D2}"/>
    <cellStyle name="AggGreen12 3 2 2 27" xfId="12955" xr:uid="{444F878F-AB6F-4713-ADDA-FA424BB126AD}"/>
    <cellStyle name="AggGreen12 3 2 2 28" xfId="12306" xr:uid="{0DE610BC-29CB-4B6A-BE3B-266B2F0495F7}"/>
    <cellStyle name="AggGreen12 3 2 2 29" xfId="14067" xr:uid="{4042AD92-BDA0-4201-8A30-452D71F20DD5}"/>
    <cellStyle name="AggGreen12 3 2 2 3" xfId="1435" xr:uid="{68E54D82-B66D-4345-9703-EA830CB85521}"/>
    <cellStyle name="AggGreen12 3 2 2 30" xfId="15317" xr:uid="{80BDEB16-6C02-4F85-AFAA-AA0E4C6B12D3}"/>
    <cellStyle name="AggGreen12 3 2 2 31" xfId="15440" xr:uid="{08E6C309-E813-4DD5-A0E9-DD5FC71D5835}"/>
    <cellStyle name="AggGreen12 3 2 2 32" xfId="15578" xr:uid="{8782FA79-13D3-413F-9D98-FA6DC0738098}"/>
    <cellStyle name="AggGreen12 3 2 2 33" xfId="16788" xr:uid="{F121BEB9-9C7B-434F-8A64-8BC25E7CFD9F}"/>
    <cellStyle name="AggGreen12 3 2 2 34" xfId="16220" xr:uid="{45B0A108-BD52-4C44-8295-6D9F66383DA7}"/>
    <cellStyle name="AggGreen12 3 2 2 35" xfId="17053" xr:uid="{5940A3A5-0184-4C43-878F-FFAA96182707}"/>
    <cellStyle name="AggGreen12 3 2 2 36" xfId="18052" xr:uid="{11E31690-1F70-493B-BB29-C455270F9590}"/>
    <cellStyle name="AggGreen12 3 2 2 37" xfId="18606" xr:uid="{A729DD9B-3616-40B2-8DCA-5194826F61F4}"/>
    <cellStyle name="AggGreen12 3 2 2 38" xfId="18783" xr:uid="{977824F6-581D-4CDE-AC41-1C017BC048BC}"/>
    <cellStyle name="AggGreen12 3 2 2 39" xfId="18785" xr:uid="{034CDDA3-1BBB-4700-A9FB-DD4AEE981360}"/>
    <cellStyle name="AggGreen12 3 2 2 4" xfId="2565" xr:uid="{A5A11E76-1CD4-4805-BCB5-3F8C50B86D58}"/>
    <cellStyle name="AggGreen12 3 2 2 40" xfId="20125" xr:uid="{4AE9F8C8-30BE-45BD-A1BF-95941FDF769A}"/>
    <cellStyle name="AggGreen12 3 2 2 41" xfId="19553" xr:uid="{7EC4EAF2-D89A-4F36-898C-91738597A6D1}"/>
    <cellStyle name="AggGreen12 3 2 2 42" xfId="20661" xr:uid="{91B50089-0E6D-4333-A69A-C67DFA88F554}"/>
    <cellStyle name="AggGreen12 3 2 2 43" xfId="21251" xr:uid="{77731666-AEF8-4ECE-82A7-E587BF4B5967}"/>
    <cellStyle name="AggGreen12 3 2 2 44" xfId="21581" xr:uid="{A80D1F2C-818B-46B1-BA57-9B1400662DEB}"/>
    <cellStyle name="AggGreen12 3 2 2 45" xfId="22073" xr:uid="{CB70EAE0-B7EB-415C-B7CD-9883FE7083E3}"/>
    <cellStyle name="AggGreen12 3 2 2 46" xfId="21743" xr:uid="{2085E137-11F9-4A7F-9B83-7284970161F3}"/>
    <cellStyle name="AggGreen12 3 2 2 47" xfId="23055" xr:uid="{FDD545D5-F0BD-4CF4-B34D-DC279CDD8EDD}"/>
    <cellStyle name="AggGreen12 3 2 2 48" xfId="22801" xr:uid="{FA6461EE-9358-4817-9183-5CC97F3B0A69}"/>
    <cellStyle name="AggGreen12 3 2 2 49" xfId="23925" xr:uid="{465E3483-F87D-45A6-A0C9-398B89130C14}"/>
    <cellStyle name="AggGreen12 3 2 2 5" xfId="2492" xr:uid="{9D86D795-E004-4BBE-9488-9585EB57E4AA}"/>
    <cellStyle name="AggGreen12 3 2 2 50" xfId="24833" xr:uid="{53C87AC2-1FD2-4C35-BD03-0737F2DEF080}"/>
    <cellStyle name="AggGreen12 3 2 2 51" xfId="24274" xr:uid="{56D2BBD9-4112-41C0-8F89-A3A629344AD2}"/>
    <cellStyle name="AggGreen12 3 2 2 52" xfId="25749" xr:uid="{2C365305-F201-4CBC-909F-9832DFBC221D}"/>
    <cellStyle name="AggGreen12 3 2 2 53" xfId="24477" xr:uid="{BAF18700-E813-4987-8319-CB0A40B6BDB8}"/>
    <cellStyle name="AggGreen12 3 2 2 54" xfId="26374" xr:uid="{C3BE0BB7-46A4-4E65-AC16-416CEC8A02D4}"/>
    <cellStyle name="AggGreen12 3 2 2 55" xfId="27037" xr:uid="{7E67F535-DFC4-41E1-87FC-50F4AAE18C89}"/>
    <cellStyle name="AggGreen12 3 2 2 56" xfId="27456" xr:uid="{18EE1691-993E-4F53-9C3E-3A6800DA23BE}"/>
    <cellStyle name="AggGreen12 3 2 2 57" xfId="26270" xr:uid="{905CC16B-31DD-4BC8-AFB7-F68E6CFD1E73}"/>
    <cellStyle name="AggGreen12 3 2 2 58" xfId="28583" xr:uid="{C4D88BC4-43CB-4638-B01C-9F1220B1582A}"/>
    <cellStyle name="AggGreen12 3 2 2 59" xfId="29050" xr:uid="{00D748BB-A73A-4DDE-840E-20D6DFD92211}"/>
    <cellStyle name="AggGreen12 3 2 2 6" xfId="3103" xr:uid="{0B6587FF-94AF-4A1B-8823-7FC5B6BC4282}"/>
    <cellStyle name="AggGreen12 3 2 2 60" xfId="28748" xr:uid="{65EA18AD-C4CC-4CE6-AA52-17B774B9B692}"/>
    <cellStyle name="AggGreen12 3 2 2 61" xfId="29839" xr:uid="{D1C6E7E0-9712-48B2-83CC-8EF27CD54787}"/>
    <cellStyle name="AggGreen12 3 2 2 62" xfId="30245" xr:uid="{DB62901B-7ECA-432B-88E6-33FAF941294B}"/>
    <cellStyle name="AggGreen12 3 2 2 63" xfId="30662" xr:uid="{B3A92074-A833-4063-9B4C-CE99ED0F8433}"/>
    <cellStyle name="AggGreen12 3 2 2 64" xfId="28309" xr:uid="{575C6701-8202-4805-B8C2-6C6E5DA52842}"/>
    <cellStyle name="AggGreen12 3 2 2 65" xfId="31278" xr:uid="{EE01B268-4399-427D-A4BC-4E5FD4EAEE94}"/>
    <cellStyle name="AggGreen12 3 2 2 66" xfId="31969" xr:uid="{4DE48365-A4E1-423F-A074-D6C1D1743EF9}"/>
    <cellStyle name="AggGreen12 3 2 2 67" xfId="31496" xr:uid="{756A1EE0-B22B-4F40-8CA8-02C0283A2EAA}"/>
    <cellStyle name="AggGreen12 3 2 2 7" xfId="4061" xr:uid="{6727BBFD-3D94-46C9-B98C-E29BC785CFA5}"/>
    <cellStyle name="AggGreen12 3 2 2 8" xfId="4498" xr:uid="{B82A6386-9410-4AE9-A98C-D87B31669A1E}"/>
    <cellStyle name="AggGreen12 3 2 2 9" xfId="4227" xr:uid="{030FF000-5B57-45BD-964E-FD685213C9D4}"/>
    <cellStyle name="AggGreen12 3 2 20" xfId="10063" xr:uid="{4EA72C10-8006-4F35-989B-D3875EE25B9A}"/>
    <cellStyle name="AggGreen12 3 2 21" xfId="10481" xr:uid="{FDDB8B63-016A-4B5E-89D7-987F615F67D0}"/>
    <cellStyle name="AggGreen12 3 2 22" xfId="10736" xr:uid="{6BC7C8A8-C870-4F5F-A32F-3380958A2144}"/>
    <cellStyle name="AggGreen12 3 2 23" xfId="11141" xr:uid="{9EF4F8BA-AAB1-4606-B4AC-BDD8E508F7B3}"/>
    <cellStyle name="AggGreen12 3 2 24" xfId="11881" xr:uid="{070C5E42-8A3A-4000-923B-56650B06C7C6}"/>
    <cellStyle name="AggGreen12 3 2 25" xfId="12354" xr:uid="{A3BBEB18-F046-4789-BE2C-181C783351DA}"/>
    <cellStyle name="AggGreen12 3 2 26" xfId="12788" xr:uid="{19F7E8EF-2B11-4BA6-B21A-646993919B17}"/>
    <cellStyle name="AggGreen12 3 2 27" xfId="13225" xr:uid="{52721374-620D-45D6-AB49-C6DF76922A8E}"/>
    <cellStyle name="AggGreen12 3 2 28" xfId="13736" xr:uid="{84D1386D-315E-4254-AC2B-38A1DCBE1CCD}"/>
    <cellStyle name="AggGreen12 3 2 29" xfId="14168" xr:uid="{66559F41-3547-46A3-AC8B-3E44A6024645}"/>
    <cellStyle name="AggGreen12 3 2 3" xfId="1011" xr:uid="{55DEB196-726D-4E42-8460-165014DA6C75}"/>
    <cellStyle name="AggGreen12 3 2 30" xfId="14705" xr:uid="{7EDAF73F-A4AE-48EE-BE49-5BC73AB9B1E3}"/>
    <cellStyle name="AggGreen12 3 2 31" xfId="14728" xr:uid="{E4BD87C6-FEB3-4FD8-8CA1-F07D4111093E}"/>
    <cellStyle name="AggGreen12 3 2 32" xfId="15525" xr:uid="{075DDC11-F5A6-4959-8200-5C805E097D00}"/>
    <cellStyle name="AggGreen12 3 2 33" xfId="15889" xr:uid="{9EE6C3E4-BCF6-4A44-AFAA-A61333B7A542}"/>
    <cellStyle name="AggGreen12 3 2 34" xfId="16573" xr:uid="{FF10DC80-94E8-4FBD-AFB1-06D4B650A7CC}"/>
    <cellStyle name="AggGreen12 3 2 35" xfId="17180" xr:uid="{B87D4CED-0E91-42D2-A324-1CDE529F78B4}"/>
    <cellStyle name="AggGreen12 3 2 36" xfId="17626" xr:uid="{D7AE50E5-FCA0-4F3B-AD92-1DA1F1F4160E}"/>
    <cellStyle name="AggGreen12 3 2 37" xfId="17051" xr:uid="{248EC23A-1C58-4095-A532-D435A0A92A34}"/>
    <cellStyle name="AggGreen12 3 2 38" xfId="18391" xr:uid="{F0F317E9-59A2-4CE7-8AA9-C6640B498B99}"/>
    <cellStyle name="AggGreen12 3 2 39" xfId="19001" xr:uid="{C7494DB7-B1C1-4762-B13D-B12F465D8E44}"/>
    <cellStyle name="AggGreen12 3 2 4" xfId="1667" xr:uid="{C17E92AC-9E8E-4EA0-ADEF-B7B3A7B98AC5}"/>
    <cellStyle name="AggGreen12 3 2 40" xfId="16129" xr:uid="{EAAEA303-A5BB-4D56-A97E-FFD92649374F}"/>
    <cellStyle name="AggGreen12 3 2 41" xfId="19910" xr:uid="{0BFCB4FA-8F68-4B76-92ED-0EB435DC485A}"/>
    <cellStyle name="AggGreen12 3 2 42" xfId="20533" xr:uid="{EFD8EA8F-DD61-4CCB-AADB-4DC57A90ACB3}"/>
    <cellStyle name="AggGreen12 3 2 43" xfId="20986" xr:uid="{20B71930-3432-451F-9E1B-8B250B233315}"/>
    <cellStyle name="AggGreen12 3 2 44" xfId="21362" xr:uid="{9801C518-C96D-44AE-95AC-F3191C5D0A7D}"/>
    <cellStyle name="AggGreen12 3 2 45" xfId="21917" xr:uid="{EFE97E43-3874-4EB1-AF09-7F57015E6239}"/>
    <cellStyle name="AggGreen12 3 2 46" xfId="22351" xr:uid="{A3E1B600-7942-4958-928B-9536D006AE1B}"/>
    <cellStyle name="AggGreen12 3 2 47" xfId="22731" xr:uid="{017B7A6D-F356-4B40-891E-ACFAEE967218}"/>
    <cellStyle name="AggGreen12 3 2 48" xfId="23283" xr:uid="{FD4A02ED-7DB1-46E7-89A2-594EA9D7CDD8}"/>
    <cellStyle name="AggGreen12 3 2 49" xfId="22610" xr:uid="{B63A870A-643A-4910-80B7-00F2F47785FF}"/>
    <cellStyle name="AggGreen12 3 2 5" xfId="2350" xr:uid="{2478B0BF-E414-4F0C-97B5-8BF4CF9C9402}"/>
    <cellStyle name="AggGreen12 3 2 50" xfId="23719" xr:uid="{3BE2F6BD-AAF4-4E13-BF8D-E07D8A4093B8}"/>
    <cellStyle name="AggGreen12 3 2 51" xfId="24618" xr:uid="{FBEC8962-CD83-4BFD-9987-B48CBA945018}"/>
    <cellStyle name="AggGreen12 3 2 52" xfId="25242" xr:uid="{EDF30F1C-9B44-4B7D-8D08-192ED8B0EE23}"/>
    <cellStyle name="AggGreen12 3 2 53" xfId="25536" xr:uid="{B10AA6F9-A0DA-415F-96AD-08B99054651D}"/>
    <cellStyle name="AggGreen12 3 2 54" xfId="26036" xr:uid="{AD79B0A8-1BE9-42CB-9B5C-87A3352C691A}"/>
    <cellStyle name="AggGreen12 3 2 55" xfId="26229" xr:uid="{492F40FA-601F-4D98-9BA4-FF73295DFC45}"/>
    <cellStyle name="AggGreen12 3 2 56" xfId="26826" xr:uid="{B117587D-14E1-4CF4-9D39-E1EB8D9B17E6}"/>
    <cellStyle name="AggGreen12 3 2 57" xfId="27245" xr:uid="{D5FD07FA-8336-41DF-A2A5-44516085D6BD}"/>
    <cellStyle name="AggGreen12 3 2 58" xfId="27795" xr:uid="{CD4072C9-6786-48E7-BA62-686033FD085D}"/>
    <cellStyle name="AggGreen12 3 2 59" xfId="28368" xr:uid="{07CC4246-6DE9-47A1-ABB7-16AEDE267413}"/>
    <cellStyle name="AggGreen12 3 2 6" xfId="2901" xr:uid="{526DEAE9-FC33-436D-A4CD-9D1BE3363556}"/>
    <cellStyle name="AggGreen12 3 2 60" xfId="28836" xr:uid="{A8DF96CE-F62A-4E99-8549-F512AE058A4F}"/>
    <cellStyle name="AggGreen12 3 2 61" xfId="29380" xr:uid="{CACCF247-8BE3-485A-BF52-19A5EE208563}"/>
    <cellStyle name="AggGreen12 3 2 62" xfId="29626" xr:uid="{441F2193-2BAC-4FD5-9529-660F404244D2}"/>
    <cellStyle name="AggGreen12 3 2 63" xfId="30034" xr:uid="{506F2F72-4E7B-4252-8CCF-474F927385EE}"/>
    <cellStyle name="AggGreen12 3 2 64" xfId="30448" xr:uid="{6F3673BC-FBF9-44C5-B0C4-CC536E1DF17A}"/>
    <cellStyle name="AggGreen12 3 2 65" xfId="30956" xr:uid="{D9102F8F-5CAD-4D67-BC05-56817B1E93EA}"/>
    <cellStyle name="AggGreen12 3 2 66" xfId="31072" xr:uid="{8E4B4BA9-DD82-4085-B452-A7841B59D961}"/>
    <cellStyle name="AggGreen12 3 2 67" xfId="31758" xr:uid="{D93BEECF-CE5B-4310-84C2-924BDBFFB429}"/>
    <cellStyle name="AggGreen12 3 2 68" xfId="31550" xr:uid="{86C59B85-A220-49AF-8071-4C27464DF575}"/>
    <cellStyle name="AggGreen12 3 2 7" xfId="3749" xr:uid="{DFC0D76D-0C8D-4B00-9783-5706DE9EA6D8}"/>
    <cellStyle name="AggGreen12 3 2 8" xfId="3846" xr:uid="{91E53692-6165-4D33-901E-67D567468405}"/>
    <cellStyle name="AggGreen12 3 2 9" xfId="4284" xr:uid="{CC42357C-DC77-4D07-B6B7-6C4DF335685F}"/>
    <cellStyle name="AggGreen12 3 3" xfId="711" xr:uid="{C099825D-315B-48A5-B9ED-54ED4873A1DD}"/>
    <cellStyle name="AggGreen12 3 3 10" xfId="5359" xr:uid="{E3611C86-B3A7-4F8D-B624-086B7EC6D865}"/>
    <cellStyle name="AggGreen12 3 3 11" xfId="4701" xr:uid="{2821E797-C8FA-4995-8AC4-F6381A2C561F}"/>
    <cellStyle name="AggGreen12 3 3 12" xfId="6122" xr:uid="{CF106F42-B6DE-49DA-860C-977F5888DFC7}"/>
    <cellStyle name="AggGreen12 3 3 13" xfId="5894" xr:uid="{EEB66831-82EF-4515-93E8-599101AB21F2}"/>
    <cellStyle name="AggGreen12 3 3 14" xfId="7431" xr:uid="{6D3270FF-DB1D-48BE-AB3C-B687D3D520A0}"/>
    <cellStyle name="AggGreen12 3 3 15" xfId="7904" xr:uid="{88BFA229-9C84-4245-B262-0DBB1FC8CDF0}"/>
    <cellStyle name="AggGreen12 3 3 16" xfId="8396" xr:uid="{3C165117-3D9C-491B-AC1D-DA859D67A947}"/>
    <cellStyle name="AggGreen12 3 3 17" xfId="8868" xr:uid="{A0C90E66-C22A-44BF-B8D1-88412518BCCB}"/>
    <cellStyle name="AggGreen12 3 3 18" xfId="9645" xr:uid="{2FC45540-B8FE-4A1D-BEC3-63FE81AD4D36}"/>
    <cellStyle name="AggGreen12 3 3 19" xfId="10117" xr:uid="{22F72A9B-BCE2-430D-A8E3-5E59EB5AA0EC}"/>
    <cellStyle name="AggGreen12 3 3 2" xfId="1185" xr:uid="{C749F530-1CAA-418F-BA5E-A0829F0E4388}"/>
    <cellStyle name="AggGreen12 3 3 20" xfId="10528" xr:uid="{EA3E79E5-A80B-47BC-86E2-AD560525E2B2}"/>
    <cellStyle name="AggGreen12 3 3 21" xfId="10437" xr:uid="{D55923CA-D6FE-4FCE-A24A-DFBA7C56B0B2}"/>
    <cellStyle name="AggGreen12 3 3 22" xfId="11085" xr:uid="{4A2B9055-C4FC-42ED-AD22-4AE7043758FA}"/>
    <cellStyle name="AggGreen12 3 3 23" xfId="12064" xr:uid="{E4E60C91-E2D2-48F4-8FCE-4F2CED57F00F}"/>
    <cellStyle name="AggGreen12 3 3 24" xfId="12537" xr:uid="{7E53293F-D915-446F-B60A-2DE800B22A0F}"/>
    <cellStyle name="AggGreen12 3 3 25" xfId="12971" xr:uid="{4BFEE92F-B2DC-45A6-B7B8-13CC9EC78019}"/>
    <cellStyle name="AggGreen12 3 3 26" xfId="13408" xr:uid="{03D0A1D6-19C8-420D-A0D8-B6C139E7906C}"/>
    <cellStyle name="AggGreen12 3 3 27" xfId="13712" xr:uid="{E9B8A056-324A-4AFB-AEFF-21F335FCCD92}"/>
    <cellStyle name="AggGreen12 3 3 28" xfId="13206" xr:uid="{FBCFFBFB-6F83-442C-B295-3CF095C11193}"/>
    <cellStyle name="AggGreen12 3 3 29" xfId="14766" xr:uid="{69728DD7-6026-482E-BC96-CA69ADE2EAC7}"/>
    <cellStyle name="AggGreen12 3 3 3" xfId="1380" xr:uid="{C3A97A5F-EF18-4AD6-ACE2-0505A52114D1}"/>
    <cellStyle name="AggGreen12 3 3 30" xfId="14535" xr:uid="{24E7980D-B5AF-48E8-97EF-88B113111A00}"/>
    <cellStyle name="AggGreen12 3 3 31" xfId="15570" xr:uid="{74A80D03-BA57-4065-ABFC-85199D8B3B77}"/>
    <cellStyle name="AggGreen12 3 3 32" xfId="15919" xr:uid="{ECEE3826-2B8C-4C79-8DE4-C51A6A8A2824}"/>
    <cellStyle name="AggGreen12 3 3 33" xfId="16756" xr:uid="{7DD92B9D-91B9-4AFA-9443-D9FB414CC17F}"/>
    <cellStyle name="AggGreen12 3 3 34" xfId="17236" xr:uid="{5C439DD8-510E-40EF-934F-7C6635106CED}"/>
    <cellStyle name="AggGreen12 3 3 35" xfId="17680" xr:uid="{C4540331-5638-4ABA-A596-2C2138937416}"/>
    <cellStyle name="AggGreen12 3 3 36" xfId="17340" xr:uid="{A88C2572-2A26-4AC6-9829-EEED1FADF71E}"/>
    <cellStyle name="AggGreen12 3 3 37" xfId="18574" xr:uid="{BE49563D-B14D-4A74-AD0F-806028AEC757}"/>
    <cellStyle name="AggGreen12 3 3 38" xfId="19065" xr:uid="{EED2988A-BD40-4EA8-9EEE-B556FB9833E0}"/>
    <cellStyle name="AggGreen12 3 3 39" xfId="18969" xr:uid="{F3EC5586-BE78-47F1-80EE-774656201BFA}"/>
    <cellStyle name="AggGreen12 3 3 4" xfId="2533" xr:uid="{02748244-436D-405F-B71F-7785382148A7}"/>
    <cellStyle name="AggGreen12 3 3 40" xfId="20093" xr:uid="{11732DF9-D132-4B23-8D06-B1B2DD64583A}"/>
    <cellStyle name="AggGreen12 3 3 41" xfId="20587" xr:uid="{851D8753-C4F2-4BBD-8B92-AACE1A1A8C30}"/>
    <cellStyle name="AggGreen12 3 3 42" xfId="21041" xr:uid="{E05BD60D-49FC-40A7-811C-9327E9BDAC18}"/>
    <cellStyle name="AggGreen12 3 3 43" xfId="21613" xr:uid="{75860894-03DE-4A8C-ADB6-E07EF5841A66}"/>
    <cellStyle name="AggGreen12 3 3 44" xfId="21972" xr:uid="{326DBE03-FC6B-44A8-88EA-58263D6E055C}"/>
    <cellStyle name="AggGreen12 3 3 45" xfId="22404" xr:uid="{F723F723-C9ED-47B8-863B-DC335CF25006}"/>
    <cellStyle name="AggGreen12 3 3 46" xfId="22708" xr:uid="{6EE61662-DDC6-464F-BB90-47D5B6D5A076}"/>
    <cellStyle name="AggGreen12 3 3 47" xfId="23342" xr:uid="{7FFFDCA0-C981-4B17-BB93-EA4423FA618D}"/>
    <cellStyle name="AggGreen12 3 3 48" xfId="22585" xr:uid="{27FC7DC2-77F6-4176-86B8-4D4C2C750362}"/>
    <cellStyle name="AggGreen12 3 3 49" xfId="23893" xr:uid="{174FF747-6671-4A7C-B77A-2911B415B946}"/>
    <cellStyle name="AggGreen12 3 3 5" xfId="2877" xr:uid="{AD719DAD-D985-48F7-9B6E-BF1C365998D7}"/>
    <cellStyle name="AggGreen12 3 3 50" xfId="24801" xr:uid="{DD920814-E064-4212-9489-40AA7CD41F0D}"/>
    <cellStyle name="AggGreen12 3 3 51" xfId="25296" xr:uid="{79436FDF-033E-43BB-AF80-FEE515D6A062}"/>
    <cellStyle name="AggGreen12 3 3 52" xfId="25717" xr:uid="{1DE42143-39DF-48BD-B249-D63C4A0583B1}"/>
    <cellStyle name="AggGreen12 3 3 53" xfId="26013" xr:uid="{88F267B3-AA3E-450C-B9CA-CBD8987D26AC}"/>
    <cellStyle name="AggGreen12 3 3 54" xfId="26610" xr:uid="{1979AF04-FD0C-4BA2-B11B-42AE0A61EA0E}"/>
    <cellStyle name="AggGreen12 3 3 55" xfId="27005" xr:uid="{CA1822C8-5B26-40AE-904B-FF28632AD672}"/>
    <cellStyle name="AggGreen12 3 3 56" xfId="27424" xr:uid="{B7AD84EA-B6EB-4072-8946-476360C4B1A4}"/>
    <cellStyle name="AggGreen12 3 3 57" xfId="26108" xr:uid="{99300C16-ABB9-4CB2-A849-B8D09C37650C}"/>
    <cellStyle name="AggGreen12 3 3 58" xfId="28551" xr:uid="{6159C7A3-69D0-4E6C-91C2-01C2521FCDDA}"/>
    <cellStyle name="AggGreen12 3 3 59" xfId="29018" xr:uid="{2D7BA184-F33F-41EB-AC86-931F190B94E2}"/>
    <cellStyle name="AggGreen12 3 3 6" xfId="3327" xr:uid="{D775EAF8-46E2-45AB-B959-96DAB218A768}"/>
    <cellStyle name="AggGreen12 3 3 60" xfId="29421" xr:uid="{6291F496-7FB7-4986-8887-89F254A48631}"/>
    <cellStyle name="AggGreen12 3 3 61" xfId="29807" xr:uid="{DA507971-9DB5-4FDE-999B-05CEB49248DA}"/>
    <cellStyle name="AggGreen12 3 3 62" xfId="30213" xr:uid="{7E6D1DA6-1EE7-4047-9E52-89665E8B4266}"/>
    <cellStyle name="AggGreen12 3 3 63" xfId="30630" xr:uid="{B275A802-8C47-4D5A-BA11-607C16C04791}"/>
    <cellStyle name="AggGreen12 3 3 64" xfId="29337" xr:uid="{57E1B119-1BCA-4D7C-8730-B9E139FDAFF0}"/>
    <cellStyle name="AggGreen12 3 3 65" xfId="31246" xr:uid="{33745B47-8E1D-4981-B1F9-E3D971AD7B7E}"/>
    <cellStyle name="AggGreen12 3 3 66" xfId="31937" xr:uid="{F2D9E46E-576D-4ED0-B75B-01685E509B67}"/>
    <cellStyle name="AggGreen12 3 3 67" xfId="32273" xr:uid="{8FB72D3B-3C0E-4E54-999F-EFA281653C2A}"/>
    <cellStyle name="AggGreen12 3 3 7" xfId="4029" xr:uid="{66086E6B-1380-41BA-B04D-176D206376DE}"/>
    <cellStyle name="AggGreen12 3 3 8" xfId="4466" xr:uid="{EB61F62F-93D4-491D-AF16-03D1AD7FE421}"/>
    <cellStyle name="AggGreen12 3 3 9" xfId="4781" xr:uid="{104614FC-00C3-4CD3-A8C8-AB7E582307F6}"/>
    <cellStyle name="AggGreen12 4" xfId="262" xr:uid="{31E622B0-E25F-4CBB-9244-D926143FD719}"/>
    <cellStyle name="AggGreen12 4 10" xfId="3552" xr:uid="{5C2893E9-84AB-44BF-B060-45BB961FE7AB}"/>
    <cellStyle name="AggGreen12 4 11" xfId="3485" xr:uid="{D8F04D47-3FEC-4B2F-A59E-DD2C532E1AF7}"/>
    <cellStyle name="AggGreen12 4 12" xfId="3449" xr:uid="{BFB37CE6-5431-47C4-8A7F-16923A61E3B8}"/>
    <cellStyle name="AggGreen12 4 13" xfId="5047" xr:uid="{F4AD783B-3F40-48B7-B4CB-87121FC07946}"/>
    <cellStyle name="AggGreen12 4 14" xfId="5130" xr:uid="{9F7C9ABB-375D-444A-B368-EE54711F4570}"/>
    <cellStyle name="AggGreen12 4 15" xfId="5834" xr:uid="{62C9AFF5-C19A-400C-A65A-49D5D58E57CD}"/>
    <cellStyle name="AggGreen12 4 16" xfId="6451" xr:uid="{05749E91-C03F-4599-B6D0-5AC3F4FB9F05}"/>
    <cellStyle name="AggGreen12 4 17" xfId="6992" xr:uid="{FD893D3F-647F-4E83-87CE-3CAA98AC1144}"/>
    <cellStyle name="AggGreen12 4 18" xfId="7647" xr:uid="{FE397D29-7042-4A7F-8586-E7A7BD801169}"/>
    <cellStyle name="AggGreen12 4 19" xfId="8276" xr:uid="{58653042-9539-4D13-B131-1072BA8952CD}"/>
    <cellStyle name="AggGreen12 4 2" xfId="601" xr:uid="{044FA821-8406-4D6C-8CCB-D8D2E012D1CB}"/>
    <cellStyle name="AggGreen12 4 2 10" xfId="4935" xr:uid="{EB2B8ABC-F033-48F1-9276-FDB250CDBA1A}"/>
    <cellStyle name="AggGreen12 4 2 11" xfId="5249" xr:uid="{AA2F6106-EB37-4EA9-A2D4-5D6326BD98B2}"/>
    <cellStyle name="AggGreen12 4 2 12" xfId="2965" xr:uid="{09DD4C5B-82C5-485A-85F4-D204E30D0955}"/>
    <cellStyle name="AggGreen12 4 2 13" xfId="6320" xr:uid="{C0BD34BC-68D1-4FA0-B824-0C44944B9573}"/>
    <cellStyle name="AggGreen12 4 2 14" xfId="5575" xr:uid="{60555072-8248-4E6D-9E04-C0390CF87AFF}"/>
    <cellStyle name="AggGreen12 4 2 15" xfId="7321" xr:uid="{8DB4D4F7-1BAB-42AA-BD54-C834D0D4C8EE}"/>
    <cellStyle name="AggGreen12 4 2 16" xfId="6923" xr:uid="{10D6D1BA-FC2C-4D67-85A1-D7B3E6F7CE2F}"/>
    <cellStyle name="AggGreen12 4 2 17" xfId="8465" xr:uid="{A7A13595-E80D-4566-8BBE-2CF3FE717C46}"/>
    <cellStyle name="AggGreen12 4 2 18" xfId="8848" xr:uid="{E594B041-3D9E-4F30-A01C-D43188A28D59}"/>
    <cellStyle name="AggGreen12 4 2 19" xfId="9535" xr:uid="{2997C17A-7218-486B-91B6-F83F275E284F}"/>
    <cellStyle name="AggGreen12 4 2 2" xfId="816" xr:uid="{630ED325-8520-4D39-BDF9-F74BFB3F1DBD}"/>
    <cellStyle name="AggGreen12 4 2 2 10" xfId="5464" xr:uid="{03154D76-069F-4532-87B3-6FC6CCCC4C78}"/>
    <cellStyle name="AggGreen12 4 2 2 11" xfId="5784" xr:uid="{973E8AF1-DDC0-464D-A3C2-F673B7B53623}"/>
    <cellStyle name="AggGreen12 4 2 2 12" xfId="5656" xr:uid="{93FE14BF-CF3A-409B-8E57-259420213608}"/>
    <cellStyle name="AggGreen12 4 2 2 13" xfId="6476" xr:uid="{373B8548-7243-467A-B8FC-04CC43928F1D}"/>
    <cellStyle name="AggGreen12 4 2 2 14" xfId="7536" xr:uid="{24BA5E47-EB8A-4DE1-8C61-63C744FE8E85}"/>
    <cellStyle name="AggGreen12 4 2 2 15" xfId="7059" xr:uid="{A6C5A8A2-A38E-4C66-9193-30D7A895D4D3}"/>
    <cellStyle name="AggGreen12 4 2 2 16" xfId="8422" xr:uid="{621EDFBA-CFD7-4270-B93F-8191F1E0B43A}"/>
    <cellStyle name="AggGreen12 4 2 2 17" xfId="7687" xr:uid="{01A2156F-A2D8-4630-B0A6-D3A310A0178F}"/>
    <cellStyle name="AggGreen12 4 2 2 18" xfId="9750" xr:uid="{9AFA564D-3154-4514-B632-8B62A9777FE7}"/>
    <cellStyle name="AggGreen12 4 2 2 19" xfId="9272" xr:uid="{CA41F6F5-DAEB-4DF3-A121-D882606CCD63}"/>
    <cellStyle name="AggGreen12 4 2 2 2" xfId="1290" xr:uid="{C34F5283-97CE-42D7-9F57-04C44845EC36}"/>
    <cellStyle name="AggGreen12 4 2 2 20" xfId="10005" xr:uid="{BDA64D81-D510-4476-90C8-33B32C37D0E7}"/>
    <cellStyle name="AggGreen12 4 2 2 21" xfId="10883" xr:uid="{D09808D5-C686-46DD-BF51-903933846E0F}"/>
    <cellStyle name="AggGreen12 4 2 2 22" xfId="11110" xr:uid="{9B508EA7-60D8-448A-9999-B4458BC914B1}"/>
    <cellStyle name="AggGreen12 4 2 2 23" xfId="12169" xr:uid="{72B4E77F-5FD4-4AA4-A3F3-08722BF47EE8}"/>
    <cellStyle name="AggGreen12 4 2 2 24" xfId="12642" xr:uid="{6B63323E-60F1-4220-B9F6-62D7285B50FA}"/>
    <cellStyle name="AggGreen12 4 2 2 25" xfId="13076" xr:uid="{DFC446CA-239B-4EC1-BEC8-388E573BA5F5}"/>
    <cellStyle name="AggGreen12 4 2 2 26" xfId="13513" xr:uid="{170FC007-3A72-41A3-973F-56396D31D063}"/>
    <cellStyle name="AggGreen12 4 2 2 27" xfId="13932" xr:uid="{0629D466-031F-4C3C-B3BF-F1B7C43EFA5C}"/>
    <cellStyle name="AggGreen12 4 2 2 28" xfId="14432" xr:uid="{BDA58876-2D6C-4D04-B089-8BD90124046B}"/>
    <cellStyle name="AggGreen12 4 2 2 29" xfId="14249" xr:uid="{10880DE4-6D03-4A73-A2D1-DDF8DC047287}"/>
    <cellStyle name="AggGreen12 4 2 2 3" xfId="1419" xr:uid="{7751A398-1DA5-46D1-AF9F-8B15BE9DF07B}"/>
    <cellStyle name="AggGreen12 4 2 2 30" xfId="14732" xr:uid="{AF8C55EF-AB14-4EC8-A0E4-0C5C679638D4}"/>
    <cellStyle name="AggGreen12 4 2 2 31" xfId="15022" xr:uid="{7A1E967F-FB52-4452-B8D2-8DD043A71E0E}"/>
    <cellStyle name="AggGreen12 4 2 2 32" xfId="15523" xr:uid="{71E0D3D1-9BC9-4EAC-86B0-3CA2E90CD48A}"/>
    <cellStyle name="AggGreen12 4 2 2 33" xfId="16861" xr:uid="{BFAF0E2E-4B3C-4DC8-9AAB-CC46FEC0A7F4}"/>
    <cellStyle name="AggGreen12 4 2 2 34" xfId="16381" xr:uid="{ABEEAB4C-8081-4FAF-B471-5A18DB9364FD}"/>
    <cellStyle name="AggGreen12 4 2 2 35" xfId="17121" xr:uid="{5D727C92-62BB-493F-8AFB-AD42688C70FA}"/>
    <cellStyle name="AggGreen12 4 2 2 36" xfId="16050" xr:uid="{512905EC-6DFB-44A5-8BC2-E17BA164F35E}"/>
    <cellStyle name="AggGreen12 4 2 2 37" xfId="18679" xr:uid="{DD162E33-8081-44F2-87EC-6B0561AA432F}"/>
    <cellStyle name="AggGreen12 4 2 2 38" xfId="17134" xr:uid="{224B100F-EB6D-454F-81BE-D4A494338F5C}"/>
    <cellStyle name="AggGreen12 4 2 2 39" xfId="19306" xr:uid="{8BD47952-9778-4675-ABB4-9792BE136451}"/>
    <cellStyle name="AggGreen12 4 2 2 4" xfId="2638" xr:uid="{A27C1FA3-D4D1-4C53-8B88-C744D0335B79}"/>
    <cellStyle name="AggGreen12 4 2 2 40" xfId="20198" xr:uid="{8595C412-B9AC-4C8A-AB51-5F6EB1F1B085}"/>
    <cellStyle name="AggGreen12 4 2 2 41" xfId="19715" xr:uid="{1E9066DC-1FD6-40F5-97A9-31F1ED9A0863}"/>
    <cellStyle name="AggGreen12 4 2 2 42" xfId="20421" xr:uid="{8384BB26-FE7D-4637-85C0-BE9FB08D39E4}"/>
    <cellStyle name="AggGreen12 4 2 2 43" xfId="21032" xr:uid="{03EEBD13-04A7-4C63-AD99-22B5199786EE}"/>
    <cellStyle name="AggGreen12 4 2 2 44" xfId="21474" xr:uid="{4D904D90-755F-481D-B0F7-0F4EE70AF669}"/>
    <cellStyle name="AggGreen12 4 2 2 45" xfId="21418" xr:uid="{80E6D22A-AE17-4ECE-ACD7-2666F60332D4}"/>
    <cellStyle name="AggGreen12 4 2 2 46" xfId="22907" xr:uid="{FB528573-FEA9-44B5-A5F0-E3233BEB4B6B}"/>
    <cellStyle name="AggGreen12 4 2 2 47" xfId="21925" xr:uid="{6A05088A-3F5F-4DF5-9A27-C4D3A6559865}"/>
    <cellStyle name="AggGreen12 4 2 2 48" xfId="23458" xr:uid="{38DF3D15-0264-4C12-B1C1-1D55B13AA866}"/>
    <cellStyle name="AggGreen12 4 2 2 49" xfId="23998" xr:uid="{8BEE9C54-5DB2-4178-AADC-86ECBB995AE6}"/>
    <cellStyle name="AggGreen12 4 2 2 5" xfId="3100" xr:uid="{264948AE-DD48-415F-8DE0-4894E57AC2F4}"/>
    <cellStyle name="AggGreen12 4 2 2 50" xfId="24906" xr:uid="{40A19794-6E9A-48AE-9CFB-657B9E7A2BF3}"/>
    <cellStyle name="AggGreen12 4 2 2 51" xfId="24426" xr:uid="{63C7A928-6F9E-4A75-B768-A1E002571198}"/>
    <cellStyle name="AggGreen12 4 2 2 52" xfId="25822" xr:uid="{F0D0DA7B-A8B5-45A6-AB20-6D851FB9DEC0}"/>
    <cellStyle name="AggGreen12 4 2 2 53" xfId="26189" xr:uid="{0580474B-18D0-4983-8724-5D5F03F10459}"/>
    <cellStyle name="AggGreen12 4 2 2 54" xfId="26624" xr:uid="{B9A9991F-D5E6-496D-8472-870F5B1953B2}"/>
    <cellStyle name="AggGreen12 4 2 2 55" xfId="27110" xr:uid="{127B61FE-E928-4976-B6DF-5EE1E589DD24}"/>
    <cellStyle name="AggGreen12 4 2 2 56" xfId="27529" xr:uid="{446E3836-528B-4F71-8EA0-A1B19765069F}"/>
    <cellStyle name="AggGreen12 4 2 2 57" xfId="26563" xr:uid="{025C2C62-116C-49A1-ACA8-9F1A62D945D7}"/>
    <cellStyle name="AggGreen12 4 2 2 58" xfId="28656" xr:uid="{34541827-EDB6-41F3-8EE8-E6BF822E3DCB}"/>
    <cellStyle name="AggGreen12 4 2 2 59" xfId="29123" xr:uid="{ACE3EC74-55E3-40BF-A8A4-7E81B0CC05DD}"/>
    <cellStyle name="AggGreen12 4 2 2 6" xfId="3574" xr:uid="{7D623F90-BD6E-46E8-B018-BE4AD8166AEC}"/>
    <cellStyle name="AggGreen12 4 2 2 60" xfId="28796" xr:uid="{011E5B3F-7E90-4197-B117-AAF7490AC1A4}"/>
    <cellStyle name="AggGreen12 4 2 2 61" xfId="29912" xr:uid="{30055B8F-CD6E-4D87-AEE6-A3B2433699E5}"/>
    <cellStyle name="AggGreen12 4 2 2 62" xfId="30318" xr:uid="{AE4376ED-8EA0-47F8-A846-65438461EAD9}"/>
    <cellStyle name="AggGreen12 4 2 2 63" xfId="30735" xr:uid="{2219DCE6-D898-47EA-A46A-A884872CDF49}"/>
    <cellStyle name="AggGreen12 4 2 2 64" xfId="28343" xr:uid="{7B2E0D4D-3D84-40D6-9C61-4D0F645E4E6D}"/>
    <cellStyle name="AggGreen12 4 2 2 65" xfId="31351" xr:uid="{F6F54E51-05FB-4E3B-84CB-9C0989F8D817}"/>
    <cellStyle name="AggGreen12 4 2 2 66" xfId="32042" xr:uid="{647109DB-53A0-417F-BC7B-1B54C370269E}"/>
    <cellStyle name="AggGreen12 4 2 2 67" xfId="31707" xr:uid="{7A945531-A7BD-4824-A336-3F070D56E07E}"/>
    <cellStyle name="AggGreen12 4 2 2 7" xfId="4134" xr:uid="{FDF38063-5677-4420-B491-907EE3ADB718}"/>
    <cellStyle name="AggGreen12 4 2 2 8" xfId="4571" xr:uid="{AA0EA624-9CC2-4F76-A5AB-6DC9DB18FE92}"/>
    <cellStyle name="AggGreen12 4 2 2 9" xfId="4718" xr:uid="{B0F87D0A-1BD7-4EE9-AF14-CAC69EE9B546}"/>
    <cellStyle name="AggGreen12 4 2 20" xfId="9136" xr:uid="{7D58024F-C55C-409E-BADD-DD0E1C75FECB}"/>
    <cellStyle name="AggGreen12 4 2 21" xfId="10168" xr:uid="{ADD9D108-1F02-4335-B9FC-2105C395CC53}"/>
    <cellStyle name="AggGreen12 4 2 22" xfId="10251" xr:uid="{9E230EBE-A242-4247-9C0D-A7CC568D16E6}"/>
    <cellStyle name="AggGreen12 4 2 23" xfId="11069" xr:uid="{AADCC594-6827-4787-A84A-7521A3162139}"/>
    <cellStyle name="AggGreen12 4 2 24" xfId="11954" xr:uid="{EB10AD6D-18F1-41B0-A231-B3D82393AFEE}"/>
    <cellStyle name="AggGreen12 4 2 25" xfId="12427" xr:uid="{9D83EC4B-8DE0-43C5-B54E-BEE8D6B5AEB2}"/>
    <cellStyle name="AggGreen12 4 2 26" xfId="12861" xr:uid="{B793395E-D683-49A5-9A8F-2A1C076DAF46}"/>
    <cellStyle name="AggGreen12 4 2 27" xfId="13298" xr:uid="{DBE5F0C2-F73E-486C-81F6-161799EBAB8D}"/>
    <cellStyle name="AggGreen12 4 2 28" xfId="11539" xr:uid="{1E41F72F-209C-46A2-B9D7-E07AD2875B26}"/>
    <cellStyle name="AggGreen12 4 2 29" xfId="14150" xr:uid="{F7A0766C-3B2F-4DD3-B944-0A93353800EB}"/>
    <cellStyle name="AggGreen12 4 2 3" xfId="1084" xr:uid="{DB3D6027-074B-41BF-A378-9C6BC0923E52}"/>
    <cellStyle name="AggGreen12 4 2 30" xfId="14735" xr:uid="{FCB62223-1166-48C5-A6C1-D1A358759F59}"/>
    <cellStyle name="AggGreen12 4 2 31" xfId="15089" xr:uid="{48C5427B-2E61-4F81-876F-76FF435B8D58}"/>
    <cellStyle name="AggGreen12 4 2 32" xfId="15430" xr:uid="{0E35A627-A202-4BF2-BF57-1A063BF1D194}"/>
    <cellStyle name="AggGreen12 4 2 33" xfId="15507" xr:uid="{B0C59D1E-2ADE-4859-A153-BE49A5080AF0}"/>
    <cellStyle name="AggGreen12 4 2 34" xfId="16646" xr:uid="{0AB2203B-14CB-4C04-81BB-6569A474AED0}"/>
    <cellStyle name="AggGreen12 4 2 35" xfId="16240" xr:uid="{9044A24D-D73E-4F9B-AED4-0413E13BFC59}"/>
    <cellStyle name="AggGreen12 4 2 36" xfId="17288" xr:uid="{130A745D-78B5-4166-A339-27B4DA1E5A7A}"/>
    <cellStyle name="AggGreen12 4 2 37" xfId="17003" xr:uid="{4894CBCC-0A54-491E-856D-ADC20265C2F5}"/>
    <cellStyle name="AggGreen12 4 2 38" xfId="18464" xr:uid="{33CACAB5-B8BD-440E-A531-A5E08CE939C6}"/>
    <cellStyle name="AggGreen12 4 2 39" xfId="18998" xr:uid="{7706EF66-525B-4018-85C2-2AADE227A418}"/>
    <cellStyle name="AggGreen12 4 2 4" xfId="1719" xr:uid="{88682BAE-4552-4735-999A-54E7D075FFD0}"/>
    <cellStyle name="AggGreen12 4 2 40" xfId="19052" xr:uid="{CE5F055D-8FA7-47A8-B483-03499CD7DB62}"/>
    <cellStyle name="AggGreen12 4 2 41" xfId="19983" xr:uid="{6A37D9B7-8ABE-4CCD-AC85-AB41FA68877F}"/>
    <cellStyle name="AggGreen12 4 2 42" xfId="19573" xr:uid="{082AF45B-7827-4B2C-B074-7092ECEE0B2B}"/>
    <cellStyle name="AggGreen12 4 2 43" xfId="19736" xr:uid="{4DC746F6-2140-40BF-97C4-38D74EF58440}"/>
    <cellStyle name="AggGreen12 4 2 44" xfId="21263" xr:uid="{A0148A65-0D49-4FF8-ACE4-925E97A6A0FD}"/>
    <cellStyle name="AggGreen12 4 2 45" xfId="20875" xr:uid="{9757F4CE-EF1D-4E8C-9B61-909335EF3E47}"/>
    <cellStyle name="AggGreen12 4 2 46" xfId="22025" xr:uid="{8225D0AA-9C9E-424C-A614-2592180C746A}"/>
    <cellStyle name="AggGreen12 4 2 47" xfId="22509" xr:uid="{4AF539CE-0104-43B8-A661-7DFDE44C88C4}"/>
    <cellStyle name="AggGreen12 4 2 48" xfId="23280" xr:uid="{91C1DB7B-BB5B-451C-9504-08245D2AFD53}"/>
    <cellStyle name="AggGreen12 4 2 49" xfId="23103" xr:uid="{78E002B5-E55B-48DB-ABF5-357B16ABE4AF}"/>
    <cellStyle name="AggGreen12 4 2 5" xfId="2423" xr:uid="{F79E4A13-2A15-4C41-AB96-7B81D72C01B5}"/>
    <cellStyle name="AggGreen12 4 2 50" xfId="23792" xr:uid="{D1E534AE-1577-4D76-A4EC-BF9DA2B6888D}"/>
    <cellStyle name="AggGreen12 4 2 51" xfId="24691" xr:uid="{1D2CDB6C-63C3-4F56-885A-A272F677F5DA}"/>
    <cellStyle name="AggGreen12 4 2 52" xfId="24294" xr:uid="{9DD89C53-54F4-4043-809D-8F4563EBBF56}"/>
    <cellStyle name="AggGreen12 4 2 53" xfId="25609" xr:uid="{5BDE9FAD-0909-4A91-8DDB-29BE05A4D867}"/>
    <cellStyle name="AggGreen12 4 2 54" xfId="24509" xr:uid="{CD5BD21D-E86E-4441-AFB5-5D292A2EB482}"/>
    <cellStyle name="AggGreen12 4 2 55" xfId="25063" xr:uid="{9F884E1C-FD18-4D9B-851E-55E1D68E2D79}"/>
    <cellStyle name="AggGreen12 4 2 56" xfId="26899" xr:uid="{D96CCAD4-FD60-4810-9ABB-5DA213C2BF5D}"/>
    <cellStyle name="AggGreen12 4 2 57" xfId="27318" xr:uid="{DA712416-DF3F-4554-961E-5770E0FB5DC2}"/>
    <cellStyle name="AggGreen12 4 2 58" xfId="27651" xr:uid="{56440F93-3B0D-4383-9A86-342DB9EA8D14}"/>
    <cellStyle name="AggGreen12 4 2 59" xfId="28441" xr:uid="{6EAEE384-A33A-4838-8C8B-DE069EF985B2}"/>
    <cellStyle name="AggGreen12 4 2 6" xfId="1996" xr:uid="{46D5E69D-7E4C-4D4D-A16D-7315E514E281}"/>
    <cellStyle name="AggGreen12 4 2 60" xfId="28909" xr:uid="{D5871BE0-61E1-4B6A-891D-E00156FD9A74}"/>
    <cellStyle name="AggGreen12 4 2 61" xfId="28059" xr:uid="{0575990A-02C8-44CE-BDE1-18AA0F5A6F08}"/>
    <cellStyle name="AggGreen12 4 2 62" xfId="29699" xr:uid="{66F9AFD9-1234-4402-841C-04F839C245A3}"/>
    <cellStyle name="AggGreen12 4 2 63" xfId="30107" xr:uid="{D0AD3797-D10B-40A3-BEE4-A3594617AD79}"/>
    <cellStyle name="AggGreen12 4 2 64" xfId="30521" xr:uid="{ED54336D-BA6C-47BB-ACE2-6D0AB2613C0F}"/>
    <cellStyle name="AggGreen12 4 2 65" xfId="30872" xr:uid="{07780774-328A-4A50-917D-1522141FE445}"/>
    <cellStyle name="AggGreen12 4 2 66" xfId="31145" xr:uid="{55EB78B2-06FB-46A6-9D6E-57BCF9213DC1}"/>
    <cellStyle name="AggGreen12 4 2 67" xfId="31831" xr:uid="{79DE580E-672D-46FC-8A72-42B993862D71}"/>
    <cellStyle name="AggGreen12 4 2 68" xfId="31518" xr:uid="{436F238F-866B-4F17-B559-3597D992CE1F}"/>
    <cellStyle name="AggGreen12 4 2 7" xfId="3423" xr:uid="{43B4F66B-6A2F-4012-B9D2-4FD3707854A3}"/>
    <cellStyle name="AggGreen12 4 2 8" xfId="3919" xr:uid="{44504666-FFAA-429C-961F-3E9FED5F74F8}"/>
    <cellStyle name="AggGreen12 4 2 9" xfId="4357" xr:uid="{39B7A680-EBC7-40AC-A033-C2BE56897D62}"/>
    <cellStyle name="AggGreen12 4 20" xfId="8096" xr:uid="{137ADF5E-D15C-457F-8306-062831FA3B8F}"/>
    <cellStyle name="AggGreen12 4 21" xfId="9206" xr:uid="{F62140C2-3B27-4C48-B684-8B6BF40C87FE}"/>
    <cellStyle name="AggGreen12 4 22" xfId="9857" xr:uid="{5C207036-175B-48C9-8410-7503EF9CDC87}"/>
    <cellStyle name="AggGreen12 4 23" xfId="10300" xr:uid="{B900B2ED-1990-4A68-BB26-4127BCB05B09}"/>
    <cellStyle name="AggGreen12 4 24" xfId="10910" xr:uid="{A01CDCE7-406F-43B7-826B-09D438734733}"/>
    <cellStyle name="AggGreen12 4 25" xfId="11282" xr:uid="{46221AD2-55B1-4071-B1D1-7A71E41A589D}"/>
    <cellStyle name="AggGreen12 4 26" xfId="11618" xr:uid="{D8D62260-3155-415B-A28E-2FC7376D9914}"/>
    <cellStyle name="AggGreen12 4 27" xfId="11484" xr:uid="{DEA51027-2646-4CBF-A7E1-18EE6EACB5F8}"/>
    <cellStyle name="AggGreen12 4 28" xfId="12717" xr:uid="{3B20E080-4C5B-4C44-A267-B660EA162F2E}"/>
    <cellStyle name="AggGreen12 4 29" xfId="11767" xr:uid="{BAF5ECB8-087F-4A66-AA47-422A774F2ED5}"/>
    <cellStyle name="AggGreen12 4 3" xfId="653" xr:uid="{AAD2EDE7-F3ED-4A6B-9F67-19491EF26994}"/>
    <cellStyle name="AggGreen12 4 3 10" xfId="3334" xr:uid="{21E205AE-6913-43F3-B557-5C82ABF4C92F}"/>
    <cellStyle name="AggGreen12 4 3 11" xfId="5301" xr:uid="{E5511464-33C5-4120-8D8E-14A10D4E976F}"/>
    <cellStyle name="AggGreen12 4 3 12" xfId="2121" xr:uid="{EC8DDBA2-0BB6-4F5B-A726-48A74744EF55}"/>
    <cellStyle name="AggGreen12 4 3 13" xfId="6073" xr:uid="{2BAB7EAE-6429-4D49-BC5F-B21DDD4977F8}"/>
    <cellStyle name="AggGreen12 4 3 14" xfId="6618" xr:uid="{FBE31EF1-348F-4E63-9E72-07E90F2479B0}"/>
    <cellStyle name="AggGreen12 4 3 15" xfId="7373" xr:uid="{9A00EBAF-0AB8-4C2B-8CD5-A6679D42D747}"/>
    <cellStyle name="AggGreen12 4 3 16" xfId="6818" xr:uid="{FBB1DFEA-3004-4D6F-982C-DB93018B62BC}"/>
    <cellStyle name="AggGreen12 4 3 17" xfId="8609" xr:uid="{E20DB3BA-E32A-4A0A-8CB2-D3289336EE60}"/>
    <cellStyle name="AggGreen12 4 3 18" xfId="8371" xr:uid="{1FD755A8-93D4-46C4-B1ED-0399027D4690}"/>
    <cellStyle name="AggGreen12 4 3 19" xfId="9587" xr:uid="{953A51D5-4792-47FD-9EFF-EFDEDEB75A48}"/>
    <cellStyle name="AggGreen12 4 3 2" xfId="868" xr:uid="{40713929-9F93-441F-B0ED-31DEC22CE183}"/>
    <cellStyle name="AggGreen12 4 3 2 10" xfId="5516" xr:uid="{2912C25E-214D-4CE0-8469-716E33A94DAE}"/>
    <cellStyle name="AggGreen12 4 3 2 11" xfId="5030" xr:uid="{3C8A6527-D212-48DD-AAC4-EBC49C842669}"/>
    <cellStyle name="AggGreen12 4 3 2 12" xfId="6333" xr:uid="{578DB8AA-1DBB-4400-885C-C29E44A2B930}"/>
    <cellStyle name="AggGreen12 4 3 2 13" xfId="6147" xr:uid="{781C5831-167B-4F6D-8ED1-238C70DDA6E8}"/>
    <cellStyle name="AggGreen12 4 3 2 14" xfId="7588" xr:uid="{9C8FC909-06D4-480F-9E45-390F266E4EC4}"/>
    <cellStyle name="AggGreen12 4 3 2 15" xfId="6899" xr:uid="{26F62D92-31C8-49C0-A6B0-AA9126CE8FBC}"/>
    <cellStyle name="AggGreen12 4 3 2 16" xfId="8661" xr:uid="{4F5A1EB8-6752-407C-8462-5C92FD698541}"/>
    <cellStyle name="AggGreen12 4 3 2 17" xfId="8794" xr:uid="{91FB6F1C-E5B6-4F36-A312-B01B4370DE45}"/>
    <cellStyle name="AggGreen12 4 3 2 18" xfId="9802" xr:uid="{C96BE886-BC96-46D0-A668-174F532303A9}"/>
    <cellStyle name="AggGreen12 4 3 2 19" xfId="9113" xr:uid="{92F10126-F1B4-49E2-A90A-CF5B7CD0FA4A}"/>
    <cellStyle name="AggGreen12 4 3 2 2" xfId="1342" xr:uid="{5766724B-D9EA-4F6F-A318-F2504081E7A3}"/>
    <cellStyle name="AggGreen12 4 3 2 20" xfId="10189" xr:uid="{D8D88CCB-223A-44B3-BB0B-2A50E115AAB9}"/>
    <cellStyle name="AggGreen12 4 3 2 21" xfId="10822" xr:uid="{2F69F00D-209C-43BE-B7F8-44D504257267}"/>
    <cellStyle name="AggGreen12 4 3 2 22" xfId="11071" xr:uid="{E3667863-A18F-4F99-86F1-BA2448A53FEE}"/>
    <cellStyle name="AggGreen12 4 3 2 23" xfId="12221" xr:uid="{52AA8C00-C4F3-481D-86E7-D897AB1DA56B}"/>
    <cellStyle name="AggGreen12 4 3 2 24" xfId="12694" xr:uid="{AB7D2B20-8B9C-4847-B9E8-8C7186E07C02}"/>
    <cellStyle name="AggGreen12 4 3 2 25" xfId="13128" xr:uid="{15C65AD9-12F7-4726-85C2-8FFA778E9F90}"/>
    <cellStyle name="AggGreen12 4 3 2 26" xfId="13565" xr:uid="{CC8C82C6-AEF9-4861-8E91-34789147186B}"/>
    <cellStyle name="AggGreen12 4 3 2 27" xfId="11779" xr:uid="{F694D946-87AB-44EE-946D-BF79B0EE3181}"/>
    <cellStyle name="AggGreen12 4 3 2 28" xfId="14484" xr:uid="{8D0B800F-92ED-4C0F-A28B-2D18872300F6}"/>
    <cellStyle name="AggGreen12 4 3 2 29" xfId="14119" xr:uid="{6ECCB10B-B550-4212-A638-57A00D15B250}"/>
    <cellStyle name="AggGreen12 4 3 2 3" xfId="1791" xr:uid="{F87309E9-BACC-4000-B768-A8F352F1A150}"/>
    <cellStyle name="AggGreen12 4 3 2 30" xfId="14948" xr:uid="{7F67F37F-729A-4F74-B948-C351C29359D2}"/>
    <cellStyle name="AggGreen12 4 3 2 31" xfId="14520" xr:uid="{7EB7979B-C6E7-4D5C-AEE0-BAEFCAAA5161}"/>
    <cellStyle name="AggGreen12 4 3 2 32" xfId="15463" xr:uid="{95C9625E-3007-4198-89CD-87756D9BF57E}"/>
    <cellStyle name="AggGreen12 4 3 2 33" xfId="16913" xr:uid="{5EDB1B24-0FB4-4EE2-8522-FBFF7168E9AF}"/>
    <cellStyle name="AggGreen12 4 3 2 34" xfId="16216" xr:uid="{FCAF752A-D3ED-4E6F-B7D3-F6AAD84F895F}"/>
    <cellStyle name="AggGreen12 4 3 2 35" xfId="17310" xr:uid="{4A77B2F1-A1E8-40A2-A835-86BDFB3B656C}"/>
    <cellStyle name="AggGreen12 4 3 2 36" xfId="18030" xr:uid="{75C3F38D-BCF1-4E99-8BFF-CE794E8281E8}"/>
    <cellStyle name="AggGreen12 4 3 2 37" xfId="18731" xr:uid="{951754C0-2556-47D3-9B74-0CDC501219EE}"/>
    <cellStyle name="AggGreen12 4 3 2 38" xfId="18925" xr:uid="{F91FB540-D6AB-4D2D-BC8C-14DAC8C8C143}"/>
    <cellStyle name="AggGreen12 4 3 2 39" xfId="19080" xr:uid="{855ED258-F305-408C-975D-73A1B5B797D9}"/>
    <cellStyle name="AggGreen12 4 3 2 4" xfId="2690" xr:uid="{2568663D-AAB3-47F8-A0B2-6BF88599CCF7}"/>
    <cellStyle name="AggGreen12 4 3 2 40" xfId="20250" xr:uid="{52CC6FFE-88C1-4724-97E4-2FA368C45824}"/>
    <cellStyle name="AggGreen12 4 3 2 41" xfId="19549" xr:uid="{80946F56-ED23-4314-9A3A-015D35294038}"/>
    <cellStyle name="AggGreen12 4 3 2 42" xfId="20657" xr:uid="{E6B5BA32-4FD3-436A-B1DB-8E39D671CAAE}"/>
    <cellStyle name="AggGreen12 4 3 2 43" xfId="21532" xr:uid="{3B59477D-6CB2-4420-BDD1-E30191505DFA}"/>
    <cellStyle name="AggGreen12 4 3 2 44" xfId="21531" xr:uid="{146535A1-2863-4EDE-95FF-D4DD1F24B161}"/>
    <cellStyle name="AggGreen12 4 3 2 45" xfId="22053" xr:uid="{73DAB958-1705-4C1E-B0D7-3063E4571FED}"/>
    <cellStyle name="AggGreen12 4 3 2 46" xfId="22393" xr:uid="{B62745A1-0867-4668-8536-3916757D1D92}"/>
    <cellStyle name="AggGreen12 4 3 2 47" xfId="23209" xr:uid="{1EA98A8E-E929-4CE4-82E4-F9CD8CEECA69}"/>
    <cellStyle name="AggGreen12 4 3 2 48" xfId="23631" xr:uid="{B270C012-7101-4F47-B0F1-39C310C795C5}"/>
    <cellStyle name="AggGreen12 4 3 2 49" xfId="24050" xr:uid="{64B0A10A-AD8F-4420-8C5A-ECCF4F0BEB74}"/>
    <cellStyle name="AggGreen12 4 3 2 5" xfId="2182" xr:uid="{DFECAAED-E9FC-4095-B2C2-794C674C600A}"/>
    <cellStyle name="AggGreen12 4 3 2 50" xfId="24958" xr:uid="{9ED7EF7C-75B6-4C21-A08F-17D32B5E6073}"/>
    <cellStyle name="AggGreen12 4 3 2 51" xfId="24107" xr:uid="{B18B3826-9F3F-4622-BE8F-CE71D8C95D57}"/>
    <cellStyle name="AggGreen12 4 3 2 52" xfId="25874" xr:uid="{B6BAABCD-C66D-48ED-8364-F219FEE9EE6C}"/>
    <cellStyle name="AggGreen12 4 3 2 53" xfId="26145" xr:uid="{BFA3C950-38A9-4B93-8CA9-E7D74CC253E2}"/>
    <cellStyle name="AggGreen12 4 3 2 54" xfId="26741" xr:uid="{FA3557E3-3389-46A8-A5DD-934FD10789CE}"/>
    <cellStyle name="AggGreen12 4 3 2 55" xfId="27162" xr:uid="{9E528823-88C5-494A-9ED1-F4B2D6FCACD1}"/>
    <cellStyle name="AggGreen12 4 3 2 56" xfId="27581" xr:uid="{DE7F3551-3AF1-4ACC-8F14-8137A1EE45BE}"/>
    <cellStyle name="AggGreen12 4 3 2 57" xfId="26683" xr:uid="{852848B5-3AFF-4D2D-97CF-1E30FF4CF43F}"/>
    <cellStyle name="AggGreen12 4 3 2 58" xfId="28708" xr:uid="{84D99888-105A-4B50-A13F-0562EC7E92AB}"/>
    <cellStyle name="AggGreen12 4 3 2 59" xfId="29175" xr:uid="{58557E51-ADFD-49A2-90B4-A60BCF7488B7}"/>
    <cellStyle name="AggGreen12 4 3 2 6" xfId="3765" xr:uid="{2CDB2A43-CA9B-4C43-B0D5-D8F38B438BD5}"/>
    <cellStyle name="AggGreen12 4 3 2 60" xfId="28346" xr:uid="{6E76A413-FFE8-4D1B-8770-22F83B4FDED6}"/>
    <cellStyle name="AggGreen12 4 3 2 61" xfId="29964" xr:uid="{18702337-869E-4DAD-AD02-E5F79290FE38}"/>
    <cellStyle name="AggGreen12 4 3 2 62" xfId="30370" xr:uid="{C98D54BB-BF1E-456B-ADB5-32009CBEB306}"/>
    <cellStyle name="AggGreen12 4 3 2 63" xfId="30787" xr:uid="{0B738A55-E2E9-41E1-B62C-233209557A55}"/>
    <cellStyle name="AggGreen12 4 3 2 64" xfId="31032" xr:uid="{B2CD3C3A-D1D8-4CDF-A717-669AD1B5D990}"/>
    <cellStyle name="AggGreen12 4 3 2 65" xfId="31403" xr:uid="{73A4CEDB-AA11-47E6-A962-05932DA8B3F2}"/>
    <cellStyle name="AggGreen12 4 3 2 66" xfId="32094" xr:uid="{9ED9ECD3-7C80-444A-A5C5-9947435BB069}"/>
    <cellStyle name="AggGreen12 4 3 2 67" xfId="32234" xr:uid="{3E7EEF62-C8BA-45D0-96E0-0616EF1F2B08}"/>
    <cellStyle name="AggGreen12 4 3 2 7" xfId="4186" xr:uid="{77EFF0DA-BABF-424E-9039-735CF2D7713E}"/>
    <cellStyle name="AggGreen12 4 3 2 8" xfId="4623" xr:uid="{70FA8E7D-2653-48C7-9FD7-A54439BA0133}"/>
    <cellStyle name="AggGreen12 4 3 2 9" xfId="5069" xr:uid="{0D36DEF5-A07F-4FCD-A908-5015CB0BF18D}"/>
    <cellStyle name="AggGreen12 4 3 20" xfId="9033" xr:uid="{7A8ABDA9-AC00-4389-AC10-6434D3129A5E}"/>
    <cellStyle name="AggGreen12 4 3 21" xfId="10008" xr:uid="{9BC89209-7098-4731-BEBB-83ECBA62A072}"/>
    <cellStyle name="AggGreen12 4 3 22" xfId="10916" xr:uid="{C3A01E9C-24A3-4734-A122-46D0E0D5C5CB}"/>
    <cellStyle name="AggGreen12 4 3 23" xfId="10953" xr:uid="{4AED989B-3894-46CD-B194-DCE5A8E8F6DB}"/>
    <cellStyle name="AggGreen12 4 3 24" xfId="12006" xr:uid="{4BB3C9A4-1716-419C-AAEE-9EA4978943E8}"/>
    <cellStyle name="AggGreen12 4 3 25" xfId="12479" xr:uid="{38642759-09F8-4198-997D-6EA6800046D0}"/>
    <cellStyle name="AggGreen12 4 3 26" xfId="12913" xr:uid="{2CA98622-68A5-4A87-ADD3-D1ABFA862995}"/>
    <cellStyle name="AggGreen12 4 3 27" xfId="13350" xr:uid="{A1BED3E3-15A3-4B7E-8DF1-F23CF05C3B0D}"/>
    <cellStyle name="AggGreen12 4 3 28" xfId="13861" xr:uid="{3575AD05-761E-4E90-BA56-1A57102CBDA5}"/>
    <cellStyle name="AggGreen12 4 3 29" xfId="14325" xr:uid="{A245B011-A56E-4DD8-A509-E6A431422A6D}"/>
    <cellStyle name="AggGreen12 4 3 3" xfId="1136" xr:uid="{794AAD20-9CAE-4184-A6F5-C842892D94E5}"/>
    <cellStyle name="AggGreen12 4 3 30" xfId="13740" xr:uid="{2E7D9F9D-57A9-4CCC-948F-27BE6E9DBCA8}"/>
    <cellStyle name="AggGreen12 4 3 31" xfId="15270" xr:uid="{EFB46912-35B6-4427-B4B1-490830E19485}"/>
    <cellStyle name="AggGreen12 4 3 32" xfId="15467" xr:uid="{B27242B5-F6F8-493A-8183-7AB34AF5D298}"/>
    <cellStyle name="AggGreen12 4 3 33" xfId="15707" xr:uid="{D8685619-FCEE-4C37-B4AB-930EAF1614A9}"/>
    <cellStyle name="AggGreen12 4 3 34" xfId="16698" xr:uid="{D6508516-7E2C-44D7-A5F2-AC200ECB354C}"/>
    <cellStyle name="AggGreen12 4 3 35" xfId="16130" xr:uid="{54F96468-E8E8-48AD-8A09-A180FF1ED664}"/>
    <cellStyle name="AggGreen12 4 3 36" xfId="17124" xr:uid="{DB93E708-42BB-4099-B6CC-6EE534578813}"/>
    <cellStyle name="AggGreen12 4 3 37" xfId="17127" xr:uid="{ACF5D74B-DD26-4B5E-8EF1-D16D7283792F}"/>
    <cellStyle name="AggGreen12 4 3 38" xfId="18516" xr:uid="{45D3E7FB-118D-40BD-B75C-A83E1EDD5684}"/>
    <cellStyle name="AggGreen12 4 3 39" xfId="18345" xr:uid="{31EC636A-93F0-48A0-B035-C00A3FD569F8}"/>
    <cellStyle name="AggGreen12 4 3 4" xfId="1662" xr:uid="{C6F60D8F-93F9-4F75-97A9-56F70327C212}"/>
    <cellStyle name="AggGreen12 4 3 40" xfId="19273" xr:uid="{F596026E-CE91-4A97-9B7C-719C17A6F8B2}"/>
    <cellStyle name="AggGreen12 4 3 41" xfId="20035" xr:uid="{BCC989B0-F612-48C7-A616-8D6259E5F790}"/>
    <cellStyle name="AggGreen12 4 3 42" xfId="19463" xr:uid="{05BBAE24-6F65-42D7-84E6-7DD06179976E}"/>
    <cellStyle name="AggGreen12 4 3 43" xfId="20405" xr:uid="{CDCAECED-A52B-4118-B201-1B6DACE50943}"/>
    <cellStyle name="AggGreen12 4 3 44" xfId="20988" xr:uid="{D55F16D1-3FF3-4ED3-BE5E-5D9E6B0C498D}"/>
    <cellStyle name="AggGreen12 4 3 45" xfId="21323" xr:uid="{0148A6E6-FC61-4B6C-97B3-B5AFDBFE459D}"/>
    <cellStyle name="AggGreen12 4 3 46" xfId="21929" xr:uid="{2F487098-FB24-407A-B924-1A34DA903591}"/>
    <cellStyle name="AggGreen12 4 3 47" xfId="22844" xr:uid="{649477A8-E940-41E2-BA1B-41C27661E4EA}"/>
    <cellStyle name="AggGreen12 4 3 48" xfId="22898" xr:uid="{F052F641-9FC1-4024-852A-89CBA24B6CFE}"/>
    <cellStyle name="AggGreen12 4 3 49" xfId="23484" xr:uid="{8FC4B414-D0DA-4596-B1D8-2FA783D582BD}"/>
    <cellStyle name="AggGreen12 4 3 5" xfId="2475" xr:uid="{5EF39151-9DCF-41F8-90B5-B4613A0A3DA5}"/>
    <cellStyle name="AggGreen12 4 3 50" xfId="23844" xr:uid="{94BC4D06-1855-482A-94F9-A63A578772BC}"/>
    <cellStyle name="AggGreen12 4 3 51" xfId="24743" xr:uid="{C84D7E20-F6F7-4EA2-AF48-B65B8A766864}"/>
    <cellStyle name="AggGreen12 4 3 52" xfId="24184" xr:uid="{7C71DF4B-2547-47E0-82F0-16D48803D463}"/>
    <cellStyle name="AggGreen12 4 3 53" xfId="25661" xr:uid="{369A832B-2DC9-4CCA-A37F-3BE492168A5A}"/>
    <cellStyle name="AggGreen12 4 3 54" xfId="26149" xr:uid="{B40F3D91-C3B9-4F26-85B5-4BEC002D0369}"/>
    <cellStyle name="AggGreen12 4 3 55" xfId="25227" xr:uid="{EF6FC44B-5CE9-4F29-A7CC-92CB48518D51}"/>
    <cellStyle name="AggGreen12 4 3 56" xfId="26951" xr:uid="{76A2718F-89AF-4B44-A0CF-21D50939B19F}"/>
    <cellStyle name="AggGreen12 4 3 57" xfId="27370" xr:uid="{4CE40A07-116C-4CE2-AB4C-4B00531EB790}"/>
    <cellStyle name="AggGreen12 4 3 58" xfId="27683" xr:uid="{18A217F5-8D16-4F71-A725-E877D0F955CE}"/>
    <cellStyle name="AggGreen12 4 3 59" xfId="28493" xr:uid="{A1626215-8A52-4999-BFC0-2C24A9730A7F}"/>
    <cellStyle name="AggGreen12 4 3 6" xfId="3027" xr:uid="{39EBDF47-3F2E-4EBE-96C7-EB358ABF7191}"/>
    <cellStyle name="AggGreen12 4 3 60" xfId="28961" xr:uid="{D993624D-98CC-4CB7-9A3D-64321E952A44}"/>
    <cellStyle name="AggGreen12 4 3 61" xfId="28750" xr:uid="{B539BE7C-0B69-48B0-9990-0C9C46325206}"/>
    <cellStyle name="AggGreen12 4 3 62" xfId="29751" xr:uid="{4592164C-8623-4BD1-B9DC-E6AD7626C9CC}"/>
    <cellStyle name="AggGreen12 4 3 63" xfId="30159" xr:uid="{41D0E3E7-BFEE-411F-8DB8-F31333EA9674}"/>
    <cellStyle name="AggGreen12 4 3 64" xfId="30573" xr:uid="{8D32534A-0EDD-49D4-90FC-94DCF251EA4F}"/>
    <cellStyle name="AggGreen12 4 3 65" xfId="30981" xr:uid="{2F097254-F9E7-4173-AAB4-91EE40C42BC2}"/>
    <cellStyle name="AggGreen12 4 3 66" xfId="31197" xr:uid="{792DC590-D8E0-4DC4-A219-804A4CCD5F08}"/>
    <cellStyle name="AggGreen12 4 3 67" xfId="31883" xr:uid="{C0C15542-65A3-4BC4-89DF-D7825B835AB2}"/>
    <cellStyle name="AggGreen12 4 3 68" xfId="31712" xr:uid="{4E9835F7-0FFD-45DD-8738-EB7ED0DEE333}"/>
    <cellStyle name="AggGreen12 4 3 7" xfId="3703" xr:uid="{9D3D3396-607E-48E6-94B2-C3161455C301}"/>
    <cellStyle name="AggGreen12 4 3 8" xfId="3971" xr:uid="{19C45565-E61D-4479-9674-AE34A7BF827C}"/>
    <cellStyle name="AggGreen12 4 3 9" xfId="4409" xr:uid="{207825F5-B6E4-4A95-9B75-43BCEBB06F4E}"/>
    <cellStyle name="AggGreen12 4 30" xfId="11793" xr:uid="{EC674996-B045-4947-8863-691927C0CB98}"/>
    <cellStyle name="AggGreen12 4 31" xfId="11785" xr:uid="{6A6BD94E-E3C9-4536-9CC2-B20B9D45DAD5}"/>
    <cellStyle name="AggGreen12 4 32" xfId="13665" xr:uid="{94D72EE9-20FD-4DEF-A923-96F8BFE2F374}"/>
    <cellStyle name="AggGreen12 4 33" xfId="15198" xr:uid="{2D9FE3EA-6E52-4F0E-91D7-22551B371CFB}"/>
    <cellStyle name="AggGreen12 4 34" xfId="15736" xr:uid="{89454246-F8C7-4BB9-BB54-6EE184133E1C}"/>
    <cellStyle name="AggGreen12 4 35" xfId="15154" xr:uid="{5BD2AC93-1A41-4D1B-A60D-D68130C28CE8}"/>
    <cellStyle name="AggGreen12 4 36" xfId="16313" xr:uid="{815A5ABE-D10B-4890-836F-BFD620980ECC}"/>
    <cellStyle name="AggGreen12 4 37" xfId="16973" xr:uid="{0D09A592-D5AE-4710-9D6D-595B63F50B41}"/>
    <cellStyle name="AggGreen12 4 38" xfId="17424" xr:uid="{CF4116D9-0FCB-4023-9668-E84CECA5BFC3}"/>
    <cellStyle name="AggGreen12 4 39" xfId="17239" xr:uid="{48B19E67-864D-44DA-BBF9-A959C8E1711C}"/>
    <cellStyle name="AggGreen12 4 4" xfId="664" xr:uid="{22471F15-5F48-4126-8B29-3073D31CEA6C}"/>
    <cellStyle name="AggGreen12 4 4 10" xfId="1856" xr:uid="{71DF16CC-101D-419B-8E6E-35C161A977E7}"/>
    <cellStyle name="AggGreen12 4 4 11" xfId="5312" xr:uid="{0491CBCA-5408-4144-BFBE-59E7515E0444}"/>
    <cellStyle name="AggGreen12 4 4 12" xfId="5155" xr:uid="{763CA9C3-E6E1-4400-AC9F-BDB3D156C0A1}"/>
    <cellStyle name="AggGreen12 4 4 13" xfId="6294" xr:uid="{21E15510-6ECD-43A3-903C-6A6958F9E14C}"/>
    <cellStyle name="AggGreen12 4 4 14" xfId="6070" xr:uid="{C7568B9A-D019-42B7-8EA1-3C4CC6610933}"/>
    <cellStyle name="AggGreen12 4 4 15" xfId="7384" xr:uid="{BF460671-021E-4359-8DEF-C01003B85102}"/>
    <cellStyle name="AggGreen12 4 4 16" xfId="7888" xr:uid="{EAD219DD-CABA-4860-BA3F-118D282E57A2}"/>
    <cellStyle name="AggGreen12 4 4 17" xfId="8447" xr:uid="{A89DA7E4-8F9B-4049-A339-A996FB7411E7}"/>
    <cellStyle name="AggGreen12 4 4 18" xfId="8114" xr:uid="{58A08616-07CF-4C43-87BD-B4AEFC72FED1}"/>
    <cellStyle name="AggGreen12 4 4 19" xfId="9598" xr:uid="{74AF5BBD-F8BD-4D86-9C9E-F5F14DF97020}"/>
    <cellStyle name="AggGreen12 4 4 2" xfId="879" xr:uid="{AC3E1F07-34DA-4A2F-929D-BFFBED741C90}"/>
    <cellStyle name="AggGreen12 4 4 2 10" xfId="5527" xr:uid="{2ACE5F86-F0BA-4E98-9578-8B5BF54E4E75}"/>
    <cellStyle name="AggGreen12 4 4 2 11" xfId="6021" xr:uid="{D6CC794E-0DD8-4FA8-B051-3D488454A684}"/>
    <cellStyle name="AggGreen12 4 4 2 12" xfId="6380" xr:uid="{17AD0CB6-3A84-4F98-AE86-5483D1911474}"/>
    <cellStyle name="AggGreen12 4 4 2 13" xfId="6718" xr:uid="{16874CBA-6A8C-42B6-A4EF-2FD8B0693698}"/>
    <cellStyle name="AggGreen12 4 4 2 14" xfId="7599" xr:uid="{CBEFFF94-1344-475B-9FA2-0880B54ED6AC}"/>
    <cellStyle name="AggGreen12 4 4 2 15" xfId="8063" xr:uid="{16E08EB3-5B78-49E7-97C2-A8B178B7ED33}"/>
    <cellStyle name="AggGreen12 4 4 2 16" xfId="8672" xr:uid="{518E3561-332D-496A-A0A9-DDE497322A9A}"/>
    <cellStyle name="AggGreen12 4 4 2 17" xfId="8931" xr:uid="{BDCFEAC2-02B6-40A3-A249-B81F87A39FC4}"/>
    <cellStyle name="AggGreen12 4 4 2 18" xfId="9813" xr:uid="{CB46D8D6-05F5-4FDB-BACA-BB0EEFE5FBFE}"/>
    <cellStyle name="AggGreen12 4 4 2 19" xfId="10282" xr:uid="{C0E7D683-0620-4DE0-9FA5-4FB8D1E92BA4}"/>
    <cellStyle name="AggGreen12 4 4 2 2" xfId="1353" xr:uid="{2D199D63-2BBA-4E50-8FF8-8BDC490252F5}"/>
    <cellStyle name="AggGreen12 4 4 2 20" xfId="10676" xr:uid="{D98637D7-969C-49F2-ACCE-C47B60B29386}"/>
    <cellStyle name="AggGreen12 4 4 2 21" xfId="11025" xr:uid="{6B0DD2C6-F7AA-4640-A1B6-1B57A32B6D58}"/>
    <cellStyle name="AggGreen12 4 4 2 22" xfId="11335" xr:uid="{8347C0FC-A2E2-41B6-8A64-CF150895E907}"/>
    <cellStyle name="AggGreen12 4 4 2 23" xfId="12232" xr:uid="{E3973568-1467-41D5-A91F-7FBDD1901636}"/>
    <cellStyle name="AggGreen12 4 4 2 24" xfId="12705" xr:uid="{7EDC15DF-8CA3-4F48-A8A1-E40699946BE4}"/>
    <cellStyle name="AggGreen12 4 4 2 25" xfId="13139" xr:uid="{9CD6A5D7-3587-4BD0-B9FF-C9007EAFC53B}"/>
    <cellStyle name="AggGreen12 4 4 2 26" xfId="13576" xr:uid="{069C83BD-26E2-4EDF-A171-ADBB979C1633}"/>
    <cellStyle name="AggGreen12 4 4 2 27" xfId="14048" xr:uid="{DFD3A804-0DC5-4C0E-94C2-29D9CA765DA6}"/>
    <cellStyle name="AggGreen12 4 4 2 28" xfId="14495" xr:uid="{8DCA3D1C-A33E-4D0E-84BE-78E1B6E6DEC5}"/>
    <cellStyle name="AggGreen12 4 4 2 29" xfId="14929" xr:uid="{0BFAA873-4288-4918-8C64-F22B5E698C32}"/>
    <cellStyle name="AggGreen12 4 4 2 3" xfId="1802" xr:uid="{C3761ACB-A983-4F72-B8FF-D04E1CE74912}"/>
    <cellStyle name="AggGreen12 4 4 2 30" xfId="15399" xr:uid="{2EFF6E40-C21F-4C3A-8091-A85501730AA7}"/>
    <cellStyle name="AggGreen12 4 4 2 31" xfId="15789" xr:uid="{3C711387-1A21-409D-A696-FF0DCF2F3B16}"/>
    <cellStyle name="AggGreen12 4 4 2 32" xfId="16011" xr:uid="{666CE2D7-3BAA-4189-B738-EC76FB6C6450}"/>
    <cellStyle name="AggGreen12 4 4 2 33" xfId="16924" xr:uid="{B34DD73D-5991-413F-A113-71BEFFE538B8}"/>
    <cellStyle name="AggGreen12 4 4 2 34" xfId="17405" xr:uid="{9193E1D7-4E26-4195-8DB7-870AE73BE846}"/>
    <cellStyle name="AggGreen12 4 4 2 35" xfId="17846" xr:uid="{8B3C2573-5B19-4276-A816-30284F9B5720}"/>
    <cellStyle name="AggGreen12 4 4 2 36" xfId="18321" xr:uid="{6EDD4BA4-A9D9-4264-A00A-592EDF06130A}"/>
    <cellStyle name="AggGreen12 4 4 2 37" xfId="18742" xr:uid="{BF896D28-5377-4ED9-9C07-0FAF3CFCBD34}"/>
    <cellStyle name="AggGreen12 4 4 2 38" xfId="19129" xr:uid="{871DE929-4405-4085-9719-6F225936243D}"/>
    <cellStyle name="AggGreen12 4 4 2 39" xfId="19359" xr:uid="{29C96EE9-65D7-49BB-BDBB-2B81C1E29EC9}"/>
    <cellStyle name="AggGreen12 4 4 2 4" xfId="2701" xr:uid="{808DFF70-9013-4371-84F5-34F258D66945}"/>
    <cellStyle name="AggGreen12 4 4 2 40" xfId="20261" xr:uid="{B8093E0B-6FB2-4934-B096-CCC5F585A1EB}"/>
    <cellStyle name="AggGreen12 4 4 2 41" xfId="20754" xr:uid="{CE506499-1237-4D5D-8D7F-63A020FB379A}"/>
    <cellStyle name="AggGreen12 4 4 2 42" xfId="21213" xr:uid="{229F248F-EFB7-4475-9A35-46ECBD445B8A}"/>
    <cellStyle name="AggGreen12 4 4 2 43" xfId="21705" xr:uid="{DFCE054A-B2B2-4F21-86FF-2920594C85A5}"/>
    <cellStyle name="AggGreen12 4 4 2 44" xfId="22144" xr:uid="{F08AA732-F4C0-4A62-8D92-F6839733B3E3}"/>
    <cellStyle name="AggGreen12 4 4 2 45" xfId="22571" xr:uid="{62A00C93-DEE6-4AF5-9602-91D6045D86FF}"/>
    <cellStyle name="AggGreen12 4 4 2 46" xfId="23016" xr:uid="{A2F771DF-20F7-42E5-B674-48787C5E2960}"/>
    <cellStyle name="AggGreen12 4 4 2 47" xfId="23418" xr:uid="{E3B6BF90-9E69-4BD6-B6AF-D8A5AE5CE7FF}"/>
    <cellStyle name="AggGreen12 4 4 2 48" xfId="23681" xr:uid="{16CBBD0E-C5F1-4554-B1FB-63B5CCBAB5E0}"/>
    <cellStyle name="AggGreen12 4 4 2 49" xfId="24061" xr:uid="{70DE4B55-1514-4580-BFDB-CE38AF7E5BCA}"/>
    <cellStyle name="AggGreen12 4 4 2 5" xfId="3221" xr:uid="{8596C453-A951-41CF-B0A8-8236ECBA4505}"/>
    <cellStyle name="AggGreen12 4 4 2 50" xfId="24969" xr:uid="{791A1D19-0C35-4028-B7D2-9527FE9004C5}"/>
    <cellStyle name="AggGreen12 4 4 2 51" xfId="25457" xr:uid="{1C97E2FA-A8C4-4DE5-9A04-ABB44F9F665D}"/>
    <cellStyle name="AggGreen12 4 4 2 52" xfId="25885" xr:uid="{BBBE4F68-69B6-43FE-9A81-7AA0EE919037}"/>
    <cellStyle name="AggGreen12 4 4 2 53" xfId="26323" xr:uid="{51C2A5EB-10E5-4F1B-B8ED-22D0D21FDF8C}"/>
    <cellStyle name="AggGreen12 4 4 2 54" xfId="26752" xr:uid="{904F7D64-4304-4E2C-94CF-7E8873E2449B}"/>
    <cellStyle name="AggGreen12 4 4 2 55" xfId="27173" xr:uid="{F988E21B-00B0-4493-A512-C10AB872A062}"/>
    <cellStyle name="AggGreen12 4 4 2 56" xfId="27592" xr:uid="{E3216A8D-E693-4FDD-96D1-1EBF6AAA624F}"/>
    <cellStyle name="AggGreen12 4 4 2 57" xfId="27830" xr:uid="{95EF8C21-6645-43B6-9E24-AD00E9BBACBC}"/>
    <cellStyle name="AggGreen12 4 4 2 58" xfId="28719" xr:uid="{A58A30C4-ED00-4DE3-8DE8-D3A6C7981537}"/>
    <cellStyle name="AggGreen12 4 4 2 59" xfId="29186" xr:uid="{4A761735-08F5-44FE-95CB-4584934E5963}"/>
    <cellStyle name="AggGreen12 4 4 2 6" xfId="3776" xr:uid="{B85D4540-E5AB-48C1-9C02-F102062C7C78}"/>
    <cellStyle name="AggGreen12 4 4 2 60" xfId="29568" xr:uid="{C7C4BCF9-DD6D-4991-A9F8-1BA1DB0C15BA}"/>
    <cellStyle name="AggGreen12 4 4 2 61" xfId="29975" xr:uid="{DB1E9366-F5CB-4889-81A7-80696165F65F}"/>
    <cellStyle name="AggGreen12 4 4 2 62" xfId="30381" xr:uid="{0A5005C8-2E72-477E-A92A-D4E637CFF31E}"/>
    <cellStyle name="AggGreen12 4 4 2 63" xfId="30798" xr:uid="{68088DFD-A183-4F92-971A-226EFBC056AF}"/>
    <cellStyle name="AggGreen12 4 4 2 64" xfId="31043" xr:uid="{5FA3D5C8-A9DB-46ED-BE3C-11353765BD5A}"/>
    <cellStyle name="AggGreen12 4 4 2 65" xfId="31414" xr:uid="{608B8243-F87A-454C-B40C-6E92749827C6}"/>
    <cellStyle name="AggGreen12 4 4 2 66" xfId="32105" xr:uid="{839207F7-4209-4DB1-9444-DCD893E82919}"/>
    <cellStyle name="AggGreen12 4 4 2 67" xfId="32392" xr:uid="{279176D4-61E1-47BF-B6FA-E1D573EB137A}"/>
    <cellStyle name="AggGreen12 4 4 2 7" xfId="4197" xr:uid="{EF9F7446-33E8-4B2E-B572-670C76FDE558}"/>
    <cellStyle name="AggGreen12 4 4 2 8" xfId="4634" xr:uid="{15AF5CA6-1EC2-42BF-A694-573EA1C86081}"/>
    <cellStyle name="AggGreen12 4 4 2 9" xfId="5080" xr:uid="{B864755B-C08D-4E84-BD50-C4DEA65533CB}"/>
    <cellStyle name="AggGreen12 4 4 20" xfId="10101" xr:uid="{E5E7BEE8-4B3F-4CFC-818A-0331F8614AD7}"/>
    <cellStyle name="AggGreen12 4 4 21" xfId="10517" xr:uid="{ECAE05F3-B340-4F52-B018-299EAACAF3FA}"/>
    <cellStyle name="AggGreen12 4 4 22" xfId="10889" xr:uid="{6F3FC829-D2CE-4145-87F8-1A76854E166C}"/>
    <cellStyle name="AggGreen12 4 4 23" xfId="10714" xr:uid="{0497C823-826E-460F-9BAF-5021616558B5}"/>
    <cellStyle name="AggGreen12 4 4 24" xfId="12017" xr:uid="{41FD1FE4-72DA-4E79-BB1B-9F2C33BE127A}"/>
    <cellStyle name="AggGreen12 4 4 25" xfId="12490" xr:uid="{C12B53FE-90B0-4C3D-88C7-E1D54F30D72D}"/>
    <cellStyle name="AggGreen12 4 4 26" xfId="12924" xr:uid="{7C5C5363-7CBE-4C22-AA91-C713573D2E76}"/>
    <cellStyle name="AggGreen12 4 4 27" xfId="13361" xr:uid="{0E91C2C7-82B6-45A1-9362-66E6C3FDF54D}"/>
    <cellStyle name="AggGreen12 4 4 28" xfId="13942" xr:uid="{25654D1E-10A8-4C9E-B893-E7DC2E53F2A0}"/>
    <cellStyle name="AggGreen12 4 4 29" xfId="14019" xr:uid="{C6E7117E-B9C3-4674-8126-8CE9C6A9861B}"/>
    <cellStyle name="AggGreen12 4 4 3" xfId="1147" xr:uid="{3D14DB11-B930-41DE-9050-5523315050D1}"/>
    <cellStyle name="AggGreen12 4 4 30" xfId="14751" xr:uid="{37DB05AD-8396-4381-8575-961AB77D510B}"/>
    <cellStyle name="AggGreen12 4 4 31" xfId="14960" xr:uid="{CA09FB1F-3FC0-4A15-A83A-506FDD4CCDAB}"/>
    <cellStyle name="AggGreen12 4 4 32" xfId="15426" xr:uid="{0F69CC14-5421-4062-A833-B299C944AA71}"/>
    <cellStyle name="AggGreen12 4 4 33" xfId="15911" xr:uid="{D745BC8B-3791-4146-A3CC-09C81665B779}"/>
    <cellStyle name="AggGreen12 4 4 34" xfId="16709" xr:uid="{BD7BF6E6-1B3B-42D2-A85A-634DE13FD6EF}"/>
    <cellStyle name="AggGreen12 4 4 35" xfId="17220" xr:uid="{1FB0DE34-24A3-4CEA-A0AF-E489DAA97B4D}"/>
    <cellStyle name="AggGreen12 4 4 36" xfId="17665" xr:uid="{B4CB7533-67AD-4894-8DA4-203A64E1888C}"/>
    <cellStyle name="AggGreen12 4 4 37" xfId="17973" xr:uid="{3D98C477-D224-4568-B5B9-FD64DBBC3F84}"/>
    <cellStyle name="AggGreen12 4 4 38" xfId="18527" xr:uid="{8B147C59-4079-40AD-9835-D3DBF5DBF856}"/>
    <cellStyle name="AggGreen12 4 4 39" xfId="18010" xr:uid="{1B9C96B2-A3D5-431A-92E3-52315157C97E}"/>
    <cellStyle name="AggGreen12 4 4 4" xfId="1644" xr:uid="{4BE55187-2923-45D6-BDBB-3D24E17080A9}"/>
    <cellStyle name="AggGreen12 4 4 40" xfId="18880" xr:uid="{669DB598-96CE-4812-BBB4-14ABE2CFA4FF}"/>
    <cellStyle name="AggGreen12 4 4 41" xfId="20046" xr:uid="{88D4C444-81FD-42F3-8C29-EAC77DA8C27D}"/>
    <cellStyle name="AggGreen12 4 4 42" xfId="20573" xr:uid="{78D6E605-FA96-43D9-A963-813440362288}"/>
    <cellStyle name="AggGreen12 4 4 43" xfId="21026" xr:uid="{709EFCD3-2229-47DB-8211-4E1BDEFCC591}"/>
    <cellStyle name="AggGreen12 4 4 44" xfId="21033" xr:uid="{F8327A31-5763-4321-9B50-895EB3B1B483}"/>
    <cellStyle name="AggGreen12 4 4 45" xfId="21957" xr:uid="{02E944CA-5A4E-46CD-9D53-FF56E12300E4}"/>
    <cellStyle name="AggGreen12 4 4 46" xfId="22388" xr:uid="{5BE38F46-BE66-4994-9A4E-BFA720DE8CB1}"/>
    <cellStyle name="AggGreen12 4 4 47" xfId="22916" xr:uid="{7C3A0DF8-4ACE-459F-8EA9-D956A53DFBBC}"/>
    <cellStyle name="AggGreen12 4 4 48" xfId="22195" xr:uid="{F0B1EBEF-B1F1-420E-8D2A-8455EC6B42A8}"/>
    <cellStyle name="AggGreen12 4 4 49" xfId="23462" xr:uid="{190491D3-70C6-4030-9840-31AE94D59DAD}"/>
    <cellStyle name="AggGreen12 4 4 5" xfId="2486" xr:uid="{C8D2922E-20E8-4F68-9151-C961DC82E7A8}"/>
    <cellStyle name="AggGreen12 4 4 50" xfId="23855" xr:uid="{BF312128-F981-4F18-95D2-636538ADC4EE}"/>
    <cellStyle name="AggGreen12 4 4 51" xfId="24754" xr:uid="{3782E4FE-96C0-41B0-8504-E804517FAA2A}"/>
    <cellStyle name="AggGreen12 4 4 52" xfId="25281" xr:uid="{437792A9-F5CA-4CE5-8684-675B2F0104D7}"/>
    <cellStyle name="AggGreen12 4 4 53" xfId="25672" xr:uid="{E929350B-335C-48A3-A225-627BF49513DE}"/>
    <cellStyle name="AggGreen12 4 4 54" xfId="26222" xr:uid="{A7A0C7D6-747C-4610-96E4-9D7787DD8570}"/>
    <cellStyle name="AggGreen12 4 4 55" xfId="24291" xr:uid="{67F30263-A8B4-4E2F-9308-7761AA32F080}"/>
    <cellStyle name="AggGreen12 4 4 56" xfId="26962" xr:uid="{0C931427-C34C-40D7-87AE-68A47D259757}"/>
    <cellStyle name="AggGreen12 4 4 57" xfId="27381" xr:uid="{1CE96E10-656A-4FB0-8676-DF5658BF77C5}"/>
    <cellStyle name="AggGreen12 4 4 58" xfId="27212" xr:uid="{0D755A8C-0809-428C-8B9D-2E59F22A68FE}"/>
    <cellStyle name="AggGreen12 4 4 59" xfId="28504" xr:uid="{1CA3C98D-E066-4BBA-B68D-B56DFDCC6541}"/>
    <cellStyle name="AggGreen12 4 4 6" xfId="3110" xr:uid="{B855DCC5-10EF-4607-A497-38FCC0CE1908}"/>
    <cellStyle name="AggGreen12 4 4 60" xfId="28972" xr:uid="{925C1CFC-34F7-4A7F-8D67-5A5FE66B2D5F}"/>
    <cellStyle name="AggGreen12 4 4 61" xfId="29409" xr:uid="{F22A9308-4A08-4053-84FF-36B203999821}"/>
    <cellStyle name="AggGreen12 4 4 62" xfId="29762" xr:uid="{D85EBAB4-5C61-450F-8DBB-325134886F3B}"/>
    <cellStyle name="AggGreen12 4 4 63" xfId="30170" xr:uid="{08C52BCF-3D2B-4AF4-9F12-4ADDE05E80C0}"/>
    <cellStyle name="AggGreen12 4 4 64" xfId="30584" xr:uid="{03EB2D32-8250-4AFC-9C6E-46F734B4C2B5}"/>
    <cellStyle name="AggGreen12 4 4 65" xfId="30982" xr:uid="{847DA4D0-CB8C-42C9-9C67-7093FF323145}"/>
    <cellStyle name="AggGreen12 4 4 66" xfId="31208" xr:uid="{640AF3E0-2D25-46CA-82F6-7CAFD1943B28}"/>
    <cellStyle name="AggGreen12 4 4 67" xfId="31894" xr:uid="{D6B3E5CF-D234-4541-9C5B-0F4AA1D660C4}"/>
    <cellStyle name="AggGreen12 4 4 68" xfId="32326" xr:uid="{4774D1D0-74AA-4E7A-9DBA-26B8C72A3FFF}"/>
    <cellStyle name="AggGreen12 4 4 7" xfId="3554" xr:uid="{0CF17C67-09D8-4A1A-BD13-4925D56BFBE7}"/>
    <cellStyle name="AggGreen12 4 4 8" xfId="3982" xr:uid="{209AA0EB-DABD-4540-84CB-A86AC9E1294A}"/>
    <cellStyle name="AggGreen12 4 4 9" xfId="4420" xr:uid="{A3AE5F52-DDFC-4947-9CF0-6C78AE26576C}"/>
    <cellStyle name="AggGreen12 4 40" xfId="18333" xr:uid="{43CB6F31-0B15-48F6-8E1A-CECDE9F91A2A}"/>
    <cellStyle name="AggGreen12 4 41" xfId="19070" xr:uid="{FA3194C3-8102-4A9B-9440-FB732ECFA449}"/>
    <cellStyle name="AggGreen12 4 42" xfId="19260" xr:uid="{712E2E8F-B575-429C-B568-D1DCB778B47D}"/>
    <cellStyle name="AggGreen12 4 43" xfId="19646" xr:uid="{C9F32E27-0D03-4605-B84E-C4D97A4A31C2}"/>
    <cellStyle name="AggGreen12 4 44" xfId="20320" xr:uid="{15E81857-06E7-4474-90EF-886973A120A9}"/>
    <cellStyle name="AggGreen12 4 45" xfId="20776" xr:uid="{B4A45FC6-FE5A-4DA9-A102-9A6AF1E47797}"/>
    <cellStyle name="AggGreen12 4 46" xfId="20811" xr:uid="{2582C13D-7C3F-4D3B-9427-331B699E9562}"/>
    <cellStyle name="AggGreen12 4 47" xfId="20791" xr:uid="{0815D141-9393-49F8-964A-48E084982D03}"/>
    <cellStyle name="AggGreen12 4 48" xfId="21289" xr:uid="{8223324A-811D-4487-A44D-06D1625CB44E}"/>
    <cellStyle name="AggGreen12 4 49" xfId="22367" xr:uid="{BDF2102F-7BD0-40C1-B393-88B574837F7B}"/>
    <cellStyle name="AggGreen12 4 5" xfId="939" xr:uid="{782B3B80-28EF-4D4B-B99E-EF040D96C98C}"/>
    <cellStyle name="AggGreen12 4 50" xfId="23347" xr:uid="{7B089832-900D-4C87-9CF5-43F88A176668}"/>
    <cellStyle name="AggGreen12 4 51" xfId="23479" xr:uid="{4D13BAE4-AC2D-424A-A3F0-08C9F0E8BD6B}"/>
    <cellStyle name="AggGreen12 4 52" xfId="21800" xr:uid="{EAD77274-E95A-4639-92E2-EB25FE71159A}"/>
    <cellStyle name="AggGreen12 4 53" xfId="24366" xr:uid="{17D7D0FE-53F5-4EE8-9656-C3BA9ED15EA9}"/>
    <cellStyle name="AggGreen12 4 54" xfId="24206" xr:uid="{D092E767-836B-423A-9C35-FB11A5C04CDD}"/>
    <cellStyle name="AggGreen12 4 55" xfId="25469" xr:uid="{0286FF0A-D499-4121-819A-3AF3F3289727}"/>
    <cellStyle name="AggGreen12 4 56" xfId="25161" xr:uid="{3518D363-B4B3-4462-BEB4-E2BF96090D3C}"/>
    <cellStyle name="AggGreen12 4 57" xfId="25302" xr:uid="{CC17CED7-BB69-4CA4-99C7-AFA56C0002BE}"/>
    <cellStyle name="AggGreen12 4 58" xfId="26634" xr:uid="{B1BB844C-FE67-4355-A047-4FF1DC023CE7}"/>
    <cellStyle name="AggGreen12 4 59" xfId="25486" xr:uid="{080E4A21-8576-4A22-B92A-59B6F0BFD144}"/>
    <cellStyle name="AggGreen12 4 6" xfId="1592" xr:uid="{3B5740EA-289D-4FC3-8338-D69A6098BD60}"/>
    <cellStyle name="AggGreen12 4 60" xfId="26201" xr:uid="{B8D83FF3-7E38-4112-890B-864A517C8F3D}"/>
    <cellStyle name="AggGreen12 4 61" xfId="28137" xr:uid="{14039DF5-E883-48F0-80E4-822A201028EE}"/>
    <cellStyle name="AggGreen12 4 62" xfId="28019" xr:uid="{A785EAA1-98FB-40DA-8B01-F2D0EFE60F8A}"/>
    <cellStyle name="AggGreen12 4 63" xfId="29200" xr:uid="{8E68900D-1C3E-458E-8795-7DB07A467C91}"/>
    <cellStyle name="AggGreen12 4 64" xfId="29456" xr:uid="{69855E77-1120-4034-8505-0DD20AD5C36D}"/>
    <cellStyle name="AggGreen12 4 65" xfId="29987" xr:uid="{D9FB3856-5206-4EBA-BAF3-F717192E1DDF}"/>
    <cellStyle name="AggGreen12 4 66" xfId="28269" xr:uid="{62F24A52-07F6-4C9A-B696-2FDC20F7FA95}"/>
    <cellStyle name="AggGreen12 4 67" xfId="29235" xr:uid="{712E4C48-8712-4A37-B253-6295E1D1B922}"/>
    <cellStyle name="AggGreen12 4 68" xfId="29527" xr:uid="{B9CAA10F-6C4F-4FAB-B35A-0189AD1B2772}"/>
    <cellStyle name="AggGreen12 4 69" xfId="31589" xr:uid="{5885BA2D-F18B-4903-BF5A-D8DC34C9FC65}"/>
    <cellStyle name="AggGreen12 4 7" xfId="2086" xr:uid="{11185679-171F-4955-93D4-104248872192}"/>
    <cellStyle name="AggGreen12 4 70" xfId="31582" xr:uid="{F801C80A-6023-4DC9-B199-BC28B7C51D74}"/>
    <cellStyle name="AggGreen12 4 8" xfId="2719" xr:uid="{CD9F756A-22E8-42AA-BADC-86DE07F8C8C1}"/>
    <cellStyle name="AggGreen12 4 9" xfId="2225" xr:uid="{3CA0CA2A-84E5-45FD-B15D-1A88115E333A}"/>
    <cellStyle name="AggGreen12 5" xfId="74" xr:uid="{CBF3D1F7-9C3D-4518-8B32-9F51AA30E6E3}"/>
    <cellStyle name="AggGreen12 5 10" xfId="16126" xr:uid="{323F258D-7375-472D-BB9B-F361BD1A9613}"/>
    <cellStyle name="AggGreen12 5 11" xfId="18162" xr:uid="{381847AE-CEA8-4623-89A4-10C30553E2A3}"/>
    <cellStyle name="AggGreen12 5 12" xfId="19459" xr:uid="{23F057AA-20E6-4341-AABA-E69FB27263E3}"/>
    <cellStyle name="AggGreen12 5 13" xfId="21645" xr:uid="{3715B264-B896-4177-BFB7-1EEC4BDC3F6E}"/>
    <cellStyle name="AggGreen12 5 14" xfId="24180" xr:uid="{7A1F089C-D3B0-4D94-AD06-B0A802FDC055}"/>
    <cellStyle name="AggGreen12 5 15" xfId="25495" xr:uid="{ACFACE99-8203-462F-8183-EA395675C317}"/>
    <cellStyle name="AggGreen12 5 16" xfId="27973" xr:uid="{FA571C3B-4BE6-481C-B927-C44DBE38287D}"/>
    <cellStyle name="AggGreen12 5 17" xfId="31487" xr:uid="{6096BE88-E668-4EB6-8C88-AF4C3D209BD6}"/>
    <cellStyle name="AggGreen12 5 2" xfId="919" xr:uid="{075139A1-3F34-4374-9AA4-D4228ED03F23}"/>
    <cellStyle name="AggGreen12 5 3" xfId="1902" xr:uid="{26751C3E-F356-45FF-9B97-2F53C36B96D6}"/>
    <cellStyle name="AggGreen12 5 4" xfId="2946" xr:uid="{4FE2E92C-063C-45F1-A850-AB49757AF9A8}"/>
    <cellStyle name="AggGreen12 5 5" xfId="3633" xr:uid="{F5966919-840F-4E37-9322-8DB172A2D860}"/>
    <cellStyle name="AggGreen12 5 6" xfId="6815" xr:uid="{4468345F-FD9B-4A56-9223-175622A20335}"/>
    <cellStyle name="AggGreen12 5 7" xfId="7049" xr:uid="{CE14B07E-20AE-41A1-808B-8353301D9A91}"/>
    <cellStyle name="AggGreen12 5 8" xfId="9029" xr:uid="{15B2C32C-CC09-4D86-BE18-D8FD489D6D3F}"/>
    <cellStyle name="AggGreen12 5 9" xfId="11434" xr:uid="{6F3D4986-49B3-48B8-A1AB-803FB6C43A66}"/>
    <cellStyle name="AggOrange" xfId="17" xr:uid="{3232D474-4705-47B0-9794-A3098DBF1BCA}"/>
    <cellStyle name="AggOrange 2" xfId="116" xr:uid="{16A310DD-3F70-401E-B959-30B843761578}"/>
    <cellStyle name="AggOrange 2 2" xfId="407" xr:uid="{5CF16D3A-1BBB-4788-A8ED-5F923037CFDC}"/>
    <cellStyle name="AggOrange 2 2 2" xfId="527" xr:uid="{B7084574-6BE8-430E-8876-572B628B7B11}"/>
    <cellStyle name="AggOrange 2 2 2 10" xfId="4883" xr:uid="{53E220CF-45D6-4CCC-B6CA-4DCA430324FE}"/>
    <cellStyle name="AggOrange 2 2 2 11" xfId="5175" xr:uid="{3BD506DA-67B8-4D7E-B2B9-C810ED8C2AE0}"/>
    <cellStyle name="AggOrange 2 2 2 12" xfId="5996" xr:uid="{AF48706E-4C7A-4869-9EB3-50FD096AF508}"/>
    <cellStyle name="AggOrange 2 2 2 13" xfId="6358" xr:uid="{8C7C6DB1-2A50-4026-97BA-333D15E1180C}"/>
    <cellStyle name="AggOrange 2 2 2 14" xfId="6707" xr:uid="{4C48E2E2-1464-4812-B199-C9A645738E31}"/>
    <cellStyle name="AggOrange 2 2 2 15" xfId="7247" xr:uid="{0F20319B-C214-448F-86C6-2E1603C37B2C}"/>
    <cellStyle name="AggOrange 2 2 2 16" xfId="8048" xr:uid="{148AE3BE-E78B-42A0-94E1-BCD29FDCF780}"/>
    <cellStyle name="AggOrange 2 2 2 17" xfId="7832" xr:uid="{FD183FEB-E028-4524-88DA-2BAF791E3DA8}"/>
    <cellStyle name="AggOrange 2 2 2 18" xfId="8919" xr:uid="{0B73FE8F-FA34-425D-BEFF-49DAC29B03C7}"/>
    <cellStyle name="AggOrange 2 2 2 19" xfId="9461" xr:uid="{7D4EAE52-D200-4377-ABA3-850639E3CC70}"/>
    <cellStyle name="AggOrange 2 2 2 2" xfId="742" xr:uid="{8D31AB84-8351-40A9-B09D-03647BCA057E}"/>
    <cellStyle name="AggOrange 2 2 2 2 10" xfId="5390" xr:uid="{58EFF87C-33FE-4763-80B1-64BF73769181}"/>
    <cellStyle name="AggOrange 2 2 2 2 11" xfId="5539" xr:uid="{785810D8-A0BC-41C9-896A-7C16E6CF2487}"/>
    <cellStyle name="AggOrange 2 2 2 2 12" xfId="5848" xr:uid="{850C4DB8-A59C-46BB-B0B9-6E0E2A7CC914}"/>
    <cellStyle name="AggOrange 2 2 2 2 13" xfId="6563" xr:uid="{498EEA4C-4166-4C0E-A35D-C4632E2F15E3}"/>
    <cellStyle name="AggOrange 2 2 2 2 14" xfId="7462" xr:uid="{C36C57B1-7C63-4961-8008-7CCB4112EEC0}"/>
    <cellStyle name="AggOrange 2 2 2 2 15" xfId="6902" xr:uid="{408AD7D5-D202-471F-93B0-0C4DDEEE858D}"/>
    <cellStyle name="AggOrange 2 2 2 2 16" xfId="8236" xr:uid="{01C03723-FB39-42FF-BEFB-21CB86885881}"/>
    <cellStyle name="AggOrange 2 2 2 2 17" xfId="6871" xr:uid="{CCD08038-FF39-4C80-920F-4D2FC7BB7F52}"/>
    <cellStyle name="AggOrange 2 2 2 2 18" xfId="9676" xr:uid="{7B91F552-F196-48E3-BCD9-694731699B8A}"/>
    <cellStyle name="AggOrange 2 2 2 2 19" xfId="9115" xr:uid="{62F44DD4-F338-4FF3-BEB8-61B51A968720}"/>
    <cellStyle name="AggOrange 2 2 2 2 2" xfId="1216" xr:uid="{3FDA8806-19E4-41CC-A740-CB23898E8DB9}"/>
    <cellStyle name="AggOrange 2 2 2 2 20" xfId="9899" xr:uid="{E7A3DDBA-910D-415C-AA8F-49F04248E592}"/>
    <cellStyle name="AggOrange 2 2 2 2 21" xfId="9442" xr:uid="{EF766E68-42C6-4212-995C-48887D628DE4}"/>
    <cellStyle name="AggOrange 2 2 2 2 22" xfId="11097" xr:uid="{1D533C96-5DBE-47C7-8A4E-5ECDB492D578}"/>
    <cellStyle name="AggOrange 2 2 2 2 23" xfId="12095" xr:uid="{01D986B2-9864-4EC9-A4CD-2A9A492E744C}"/>
    <cellStyle name="AggOrange 2 2 2 2 24" xfId="12568" xr:uid="{A4540890-0F1E-4BD1-AAA3-F4516CBA8731}"/>
    <cellStyle name="AggOrange 2 2 2 2 25" xfId="13002" xr:uid="{35B25D51-C01B-4946-9844-B926CE998C12}"/>
    <cellStyle name="AggOrange 2 2 2 2 26" xfId="13439" xr:uid="{E19F5F6F-4AC8-4A02-B459-C5EC5837D883}"/>
    <cellStyle name="AggOrange 2 2 2 2 27" xfId="13639" xr:uid="{90BBB863-79B3-4557-93C8-3EF821D7C5EA}"/>
    <cellStyle name="AggOrange 2 2 2 2 28" xfId="11574" xr:uid="{FD08FFD5-1A21-4E5E-8BE5-097B95B528BC}"/>
    <cellStyle name="AggOrange 2 2 2 2 29" xfId="14097" xr:uid="{80F854FA-BD44-4023-9733-AAAA20A942A3}"/>
    <cellStyle name="AggOrange 2 2 2 2 3" xfId="1486" xr:uid="{EF421C09-E5CE-4A7D-985C-3D97017B9AE0}"/>
    <cellStyle name="AggOrange 2 2 2 2 30" xfId="13684" xr:uid="{89E8B21A-69CC-4031-A854-DDC8BA091AF7}"/>
    <cellStyle name="AggOrange 2 2 2 2 31" xfId="15045" xr:uid="{926F1938-6E9B-4149-B947-ACE7DD7C5492}"/>
    <cellStyle name="AggOrange 2 2 2 2 32" xfId="14280" xr:uid="{3B8C14A9-63B2-4F89-B37E-A401C67236BB}"/>
    <cellStyle name="AggOrange 2 2 2 2 33" xfId="16787" xr:uid="{88EA4858-53D4-46AA-9F4C-1F3730144123}"/>
    <cellStyle name="AggOrange 2 2 2 2 34" xfId="16219" xr:uid="{20692C0C-040D-4590-A637-E9F04FAE55D3}"/>
    <cellStyle name="AggOrange 2 2 2 2 35" xfId="17013" xr:uid="{55EF8D04-BEB8-46EF-895F-D614915C96C0}"/>
    <cellStyle name="AggOrange 2 2 2 2 36" xfId="18047" xr:uid="{2B1209C6-5465-45C0-AC18-5D80A8783DCC}"/>
    <cellStyle name="AggOrange 2 2 2 2 37" xfId="18605" xr:uid="{609BE649-45B0-4A1B-8834-A273D64741CD}"/>
    <cellStyle name="AggOrange 2 2 2 2 38" xfId="18190" xr:uid="{9255A960-7D83-4028-B40B-57C0B2A72219}"/>
    <cellStyle name="AggOrange 2 2 2 2 39" xfId="19180" xr:uid="{AC23CA0F-2408-44BE-BCCF-94B336C6FC27}"/>
    <cellStyle name="AggOrange 2 2 2 2 4" xfId="2564" xr:uid="{B7936E35-9035-47E5-B49A-89F292F27035}"/>
    <cellStyle name="AggOrange 2 2 2 2 40" xfId="20124" xr:uid="{FA82CF70-BEBD-452C-9AA9-518A30D799AA}"/>
    <cellStyle name="AggOrange 2 2 2 2 41" xfId="19552" xr:uid="{04F7368A-62DC-44ED-B782-C4B75F9E934C}"/>
    <cellStyle name="AggOrange 2 2 2 2 42" xfId="20547" xr:uid="{F9F01A07-5253-4BC7-B9B9-A0FE9780E576}"/>
    <cellStyle name="AggOrange 2 2 2 2 43" xfId="21410" xr:uid="{694A3D1D-6796-4608-BED3-51C15C751DFA}"/>
    <cellStyle name="AggOrange 2 2 2 2 44" xfId="20781" xr:uid="{288B1590-C496-4945-BDEE-302C3EB44C2A}"/>
    <cellStyle name="AggOrange 2 2 2 2 45" xfId="21749" xr:uid="{DAB972FB-AE84-4F34-BCCB-3E4F2DD59467}"/>
    <cellStyle name="AggOrange 2 2 2 2 46" xfId="22645" xr:uid="{98A1C6B3-73B6-4036-B1E9-310156FEB6AF}"/>
    <cellStyle name="AggOrange 2 2 2 2 47" xfId="22175" xr:uid="{1F4C327A-9174-4E15-9EFE-261B0107B035}"/>
    <cellStyle name="AggOrange 2 2 2 2 48" xfId="21405" xr:uid="{837F5AB8-7924-41BE-A1BD-2FAC6E801801}"/>
    <cellStyle name="AggOrange 2 2 2 2 49" xfId="23924" xr:uid="{1BC30546-5A05-4508-A9F7-6550209B5DC7}"/>
    <cellStyle name="AggOrange 2 2 2 2 5" xfId="2806" xr:uid="{59F4CCCC-506E-48AD-95E6-D50BF3FBD123}"/>
    <cellStyle name="AggOrange 2 2 2 2 50" xfId="24832" xr:uid="{CB33C38E-AE02-4AA6-A2B2-4FC1EA6C39DB}"/>
    <cellStyle name="AggOrange 2 2 2 2 51" xfId="24273" xr:uid="{4037DA8F-751E-44E8-8CBC-8237F4B48BFA}"/>
    <cellStyle name="AggOrange 2 2 2 2 52" xfId="25748" xr:uid="{B618B1D6-4E00-4B5F-B9A9-2FE89A8AEC2F}"/>
    <cellStyle name="AggOrange 2 2 2 2 53" xfId="25948" xr:uid="{0FA8B7E5-648F-441E-9F32-6637BE3DC700}"/>
    <cellStyle name="AggOrange 2 2 2 2 54" xfId="26581" xr:uid="{9788F025-EB5D-4E6F-A6FD-4E9C96A50604}"/>
    <cellStyle name="AggOrange 2 2 2 2 55" xfId="27036" xr:uid="{A1BDF20E-961C-437B-8502-9ACE2A069CBC}"/>
    <cellStyle name="AggOrange 2 2 2 2 56" xfId="27455" xr:uid="{E9986F30-6BA2-4296-8EBF-0380C788B3CF}"/>
    <cellStyle name="AggOrange 2 2 2 2 57" xfId="26415" xr:uid="{3252B57D-024D-4088-95AB-9C53FABAD285}"/>
    <cellStyle name="AggOrange 2 2 2 2 58" xfId="28582" xr:uid="{BAD2A675-2DAB-4FF0-8AF8-7D796F8FE800}"/>
    <cellStyle name="AggOrange 2 2 2 2 59" xfId="29049" xr:uid="{2644B57A-A1B2-4FA0-8877-9CE2D823C688}"/>
    <cellStyle name="AggOrange 2 2 2 2 6" xfId="2191" xr:uid="{8CD3DFCB-0372-4D21-BC64-D9738EBB91D3}"/>
    <cellStyle name="AggOrange 2 2 2 2 60" xfId="28221" xr:uid="{C78E075B-96A4-4E78-8EE4-91B7E44F8206}"/>
    <cellStyle name="AggOrange 2 2 2 2 61" xfId="29838" xr:uid="{B224BEBB-E940-4FFB-8541-BD04E28E09D0}"/>
    <cellStyle name="AggOrange 2 2 2 2 62" xfId="30244" xr:uid="{2EAF4845-391D-4D9F-8DF7-987C68BDB08D}"/>
    <cellStyle name="AggOrange 2 2 2 2 63" xfId="30661" xr:uid="{E7ACBC68-4935-4609-97ED-4B6511109918}"/>
    <cellStyle name="AggOrange 2 2 2 2 64" xfId="27986" xr:uid="{4DD6B4D5-3735-4CF6-97B3-FA21EC2EBF01}"/>
    <cellStyle name="AggOrange 2 2 2 2 65" xfId="31277" xr:uid="{EF4A6DDB-12A5-4DBA-A095-6993FC8A9E8F}"/>
    <cellStyle name="AggOrange 2 2 2 2 66" xfId="31968" xr:uid="{A87CE2BC-B3B0-4BAE-AF36-7DBE5A4C96A9}"/>
    <cellStyle name="AggOrange 2 2 2 2 67" xfId="31509" xr:uid="{CCBAD87B-D62B-4D67-B79D-7B30C71B4307}"/>
    <cellStyle name="AggOrange 2 2 2 2 7" xfId="4060" xr:uid="{9B448DD8-7D0A-4AF0-B883-C8FB480116EF}"/>
    <cellStyle name="AggOrange 2 2 2 2 8" xfId="4497" xr:uid="{0E86BA32-B663-4D05-BB7C-949D8629D7C5}"/>
    <cellStyle name="AggOrange 2 2 2 2 9" xfId="2790" xr:uid="{7D46DF1B-908A-46CF-9489-4762CAD09E02}"/>
    <cellStyle name="AggOrange 2 2 2 20" xfId="10267" xr:uid="{C5B5F29F-7C0C-4060-B477-BC113BC7E087}"/>
    <cellStyle name="AggOrange 2 2 2 21" xfId="10661" xr:uid="{6508060A-7ADC-4347-AF2C-09A8E81E9AF8}"/>
    <cellStyle name="AggOrange 2 2 2 22" xfId="11012" xr:uid="{EFCDD0C9-9C78-4129-B57C-A283BD04EC6F}"/>
    <cellStyle name="AggOrange 2 2 2 23" xfId="11324" xr:uid="{180BA470-44DE-4B8B-BB40-E215CF03E61E}"/>
    <cellStyle name="AggOrange 2 2 2 24" xfId="11880" xr:uid="{3F1988F0-D7ED-4B3D-83BC-5D9D0203DF79}"/>
    <cellStyle name="AggOrange 2 2 2 25" xfId="12353" xr:uid="{540E9124-ABBE-4E0B-ABA2-9179C5EA1FD7}"/>
    <cellStyle name="AggOrange 2 2 2 26" xfId="12787" xr:uid="{8E387408-84BB-40C4-8CD2-40631AD29DAC}"/>
    <cellStyle name="AggOrange 2 2 2 27" xfId="13224" xr:uid="{660ACC2B-30D5-4FF5-A823-66BE8EB2AA6D}"/>
    <cellStyle name="AggOrange 2 2 2 28" xfId="14033" xr:uid="{F80FF2C5-4545-4CD9-B945-BD741EEB5713}"/>
    <cellStyle name="AggOrange 2 2 2 29" xfId="14366" xr:uid="{20ADC513-3263-45E8-8CD1-084B5BC2348D}"/>
    <cellStyle name="AggOrange 2 2 2 3" xfId="1010" xr:uid="{65262B1E-5209-4243-B6BC-EA21A6F5BEAC}"/>
    <cellStyle name="AggOrange 2 2 2 30" xfId="14903" xr:uid="{D5C9BD61-1DD7-4011-88CC-6142FECF19D3}"/>
    <cellStyle name="AggOrange 2 2 2 31" xfId="15374" xr:uid="{6594F31F-B158-4032-BF85-3D9A3EAEEFCC}"/>
    <cellStyle name="AggOrange 2 2 2 32" xfId="15775" xr:uid="{A436C54F-071B-47FC-837E-7A5879F1D999}"/>
    <cellStyle name="AggOrange 2 2 2 33" xfId="16000" xr:uid="{8403E01D-0ACF-465C-A082-945E071368F0}"/>
    <cellStyle name="AggOrange 2 2 2 34" xfId="16572" xr:uid="{258B568B-6827-46D6-A617-C49754ADDBDB}"/>
    <cellStyle name="AggOrange 2 2 2 35" xfId="17390" xr:uid="{8F7D5654-00C7-469E-9A15-A5BA3A818032}"/>
    <cellStyle name="AggOrange 2 2 2 36" xfId="17831" xr:uid="{ADD15C07-E325-4395-82E8-68C74E7B34E5}"/>
    <cellStyle name="AggOrange 2 2 2 37" xfId="18307" xr:uid="{66C134DF-AE3C-4AAB-B408-CF41EC744E36}"/>
    <cellStyle name="AggOrange 2 2 2 38" xfId="18390" xr:uid="{04E92B9D-04D2-41E8-B8CF-0449328307E9}"/>
    <cellStyle name="AggOrange 2 2 2 39" xfId="19117" xr:uid="{223C0FCB-D4D9-48A0-9DA0-FD61260FD06B}"/>
    <cellStyle name="AggOrange 2 2 2 4" xfId="1462" xr:uid="{873CA7E5-C539-47E8-B457-184F864F4876}"/>
    <cellStyle name="AggOrange 2 2 2 40" xfId="19348" xr:uid="{4A30E03B-DC5F-4508-9141-7660123B2F95}"/>
    <cellStyle name="AggOrange 2 2 2 41" xfId="19909" xr:uid="{BE80492D-AEB4-4765-A137-29F2BF77D6EE}"/>
    <cellStyle name="AggOrange 2 2 2 42" xfId="20739" xr:uid="{E84082F4-B938-493C-B1BE-6EA214557458}"/>
    <cellStyle name="AggOrange 2 2 2 43" xfId="21198" xr:uid="{4BA0334F-2B74-4D5F-AA2D-4DC78DBDDBD1}"/>
    <cellStyle name="AggOrange 2 2 2 44" xfId="21690" xr:uid="{0284E295-387D-405D-A8C6-713D025713C5}"/>
    <cellStyle name="AggOrange 2 2 2 45" xfId="22129" xr:uid="{7BD90B45-68E8-4379-A247-C6464C8DADCB}"/>
    <cellStyle name="AggOrange 2 2 2 46" xfId="22556" xr:uid="{B6CAFF90-B5E7-4D81-AE4D-EDDBD13C4952}"/>
    <cellStyle name="AggOrange 2 2 2 47" xfId="23002" xr:uid="{B80F9DB9-9FF3-4617-AE36-AF803C7CDB46}"/>
    <cellStyle name="AggOrange 2 2 2 48" xfId="23405" xr:uid="{34BE02F7-3F7D-4432-8851-20E6CBEF6E0D}"/>
    <cellStyle name="AggOrange 2 2 2 49" xfId="23669" xr:uid="{D8EA0BDF-3E71-4BF9-AE36-F070067F41E4}"/>
    <cellStyle name="AggOrange 2 2 2 5" xfId="2349" xr:uid="{1677EDD5-EB7F-4197-8D0E-6B27F3846966}"/>
    <cellStyle name="AggOrange 2 2 2 50" xfId="23718" xr:uid="{81B97F93-3C72-48DC-974D-AC9F82D29FC6}"/>
    <cellStyle name="AggOrange 2 2 2 51" xfId="24617" xr:uid="{35A765F9-103D-4DA7-9407-22A93ECA7686}"/>
    <cellStyle name="AggOrange 2 2 2 52" xfId="25443" xr:uid="{6F515D9F-05E0-462D-AB10-440ED551BDFA}"/>
    <cellStyle name="AggOrange 2 2 2 53" xfId="25535" xr:uid="{689CE56E-58C1-4EB4-8A2C-14A405EA9C89}"/>
    <cellStyle name="AggOrange 2 2 2 54" xfId="26309" xr:uid="{9704A193-CA24-46EE-9872-7FF8367EBF34}"/>
    <cellStyle name="AggOrange 2 2 2 55" xfId="26446" xr:uid="{080F8DC7-90E8-4644-B1D8-ACA908C3253B}"/>
    <cellStyle name="AggOrange 2 2 2 56" xfId="26825" xr:uid="{6098F11B-E38E-43EE-932A-59EE32F96943}"/>
    <cellStyle name="AggOrange 2 2 2 57" xfId="27244" xr:uid="{8B01040B-236D-4094-BBAF-CAD0752DC532}"/>
    <cellStyle name="AggOrange 2 2 2 58" xfId="27626" xr:uid="{15BC04C2-300E-42A5-B7A4-96E2FDE399AA}"/>
    <cellStyle name="AggOrange 2 2 2 59" xfId="28367" xr:uid="{BF9B93B8-40A7-4B99-B4C5-CDF8C6FCF72C}"/>
    <cellStyle name="AggOrange 2 2 2 6" xfId="3206" xr:uid="{54EEF439-D67E-4CE0-950F-E01E477F6FAB}"/>
    <cellStyle name="AggOrange 2 2 2 60" xfId="28835" xr:uid="{65A6480E-2D2E-4649-A694-908DF41ECB79}"/>
    <cellStyle name="AggOrange 2 2 2 61" xfId="29553" xr:uid="{0021F5D8-10B5-4BE8-A986-6A1B08D57C9F}"/>
    <cellStyle name="AggOrange 2 2 2 62" xfId="29625" xr:uid="{C7033A64-4CED-4266-A53C-22DD41283B8F}"/>
    <cellStyle name="AggOrange 2 2 2 63" xfId="30033" xr:uid="{73D07D31-C4EB-4C3F-A8DD-4CDBCC4D1CF0}"/>
    <cellStyle name="AggOrange 2 2 2 64" xfId="30447" xr:uid="{8C053DFF-6968-4323-A0F8-B2176C0A6D64}"/>
    <cellStyle name="AggOrange 2 2 2 65" xfId="30847" xr:uid="{F54394FD-51A4-4676-BAD5-B5EFFC073659}"/>
    <cellStyle name="AggOrange 2 2 2 66" xfId="31071" xr:uid="{92052192-E2EA-4C4A-8E21-32A7FFA76D82}"/>
    <cellStyle name="AggOrange 2 2 2 67" xfId="31757" xr:uid="{4C75E91B-F899-45F8-BB55-A0EF5B94F836}"/>
    <cellStyle name="AggOrange 2 2 2 68" xfId="32381" xr:uid="{59D58F87-B966-4DA5-85AE-E11691ACAED5}"/>
    <cellStyle name="AggOrange 2 2 2 7" xfId="3373" xr:uid="{3378C7E0-09DC-46F8-89AA-FD0B5A34A8A4}"/>
    <cellStyle name="AggOrange 2 2 2 8" xfId="3845" xr:uid="{A0161456-83E7-49B4-B5A8-557F0152BFB4}"/>
    <cellStyle name="AggOrange 2 2 2 9" xfId="4283" xr:uid="{6551B0EE-837E-4E6E-A882-3DC6660D80B4}"/>
    <cellStyle name="AggOrange 2 2 3" xfId="714" xr:uid="{AA90DC32-7577-45DF-A7B9-F412ACD85143}"/>
    <cellStyle name="AggOrange 2 2 3 10" xfId="5362" xr:uid="{8C7574A8-8716-44D7-A521-599B1DF2D8D8}"/>
    <cellStyle name="AggOrange 2 2 3 11" xfId="5843" xr:uid="{D8AF64BE-B2A5-4AA3-88DC-343515DB50D8}"/>
    <cellStyle name="AggOrange 2 2 3 12" xfId="2017" xr:uid="{10107216-29E7-4AD2-BE4F-4C056D42B928}"/>
    <cellStyle name="AggOrange 2 2 3 13" xfId="6058" xr:uid="{2DDBCE90-D3F1-42DE-95CD-68E0ECF8825C}"/>
    <cellStyle name="AggOrange 2 2 3 14" xfId="7434" xr:uid="{6B7627C0-C468-4D36-8844-D1A8F027CC7E}"/>
    <cellStyle name="AggOrange 2 2 3 15" xfId="7779" xr:uid="{02BEBD2D-B25F-4628-9CA0-B34E1627E4A0}"/>
    <cellStyle name="AggOrange 2 2 3 16" xfId="8219" xr:uid="{5DC9F5AC-4D5D-49E1-AA8B-A146BA7D4145}"/>
    <cellStyle name="AggOrange 2 2 3 17" xfId="8853" xr:uid="{4FD2E1D8-EE69-4B5B-95A7-47CB1B32C061}"/>
    <cellStyle name="AggOrange 2 2 3 18" xfId="9648" xr:uid="{E61DDC40-DF4B-4395-9194-9C6361F2C27C}"/>
    <cellStyle name="AggOrange 2 2 3 19" xfId="9992" xr:uid="{D3ECE3BB-A25F-4678-8D72-0913D7B773BC}"/>
    <cellStyle name="AggOrange 2 2 3 2" xfId="1188" xr:uid="{E96D53A7-73C7-40D1-9789-847EDA103CB3}"/>
    <cellStyle name="AggOrange 2 2 3 20" xfId="10417" xr:uid="{D3025126-393F-4CD8-B37B-CC654137CC50}"/>
    <cellStyle name="AggOrange 2 2 3 21" xfId="10857" xr:uid="{3C5928A0-178C-4D8F-86FC-73D42EE4EDBC}"/>
    <cellStyle name="AggOrange 2 2 3 22" xfId="11062" xr:uid="{4011EEFC-A498-4B64-BBDB-3F46050953E7}"/>
    <cellStyle name="AggOrange 2 2 3 23" xfId="12067" xr:uid="{8D0EEAB1-3D70-48F9-B170-23FA21056101}"/>
    <cellStyle name="AggOrange 2 2 3 24" xfId="12540" xr:uid="{157E6D69-8C09-4370-BAED-EBB7338D76D7}"/>
    <cellStyle name="AggOrange 2 2 3 25" xfId="12974" xr:uid="{C5DC4D07-1EC2-420B-840D-66F9BBB73774}"/>
    <cellStyle name="AggOrange 2 2 3 26" xfId="13411" xr:uid="{A3BE6E13-FF4A-49E5-9C65-20398647E320}"/>
    <cellStyle name="AggOrange 2 2 3 27" xfId="11857" xr:uid="{5C179DED-FE28-4259-9887-28560B44BFE2}"/>
    <cellStyle name="AggOrange 2 2 3 28" xfId="14178" xr:uid="{770C65F8-D9B9-4262-B84C-355243E37ED5}"/>
    <cellStyle name="AggOrange 2 2 3 29" xfId="14646" xr:uid="{68DECABA-0AFE-47FB-B596-2D4CD9C17A6D}"/>
    <cellStyle name="AggOrange 2 2 3 3" xfId="1447" xr:uid="{C39459A1-1868-465E-B135-D485C77A2D5A}"/>
    <cellStyle name="AggOrange 2 2 3 30" xfId="14107" xr:uid="{C7C10817-B6F6-4385-A6E1-3E9D63A17732}"/>
    <cellStyle name="AggOrange 2 2 3 31" xfId="15541" xr:uid="{233C678D-0DAE-4553-8B71-C41677911C41}"/>
    <cellStyle name="AggOrange 2 2 3 32" xfId="15848" xr:uid="{A2392F24-EBC2-4C53-9471-8FD2DE10B9DF}"/>
    <cellStyle name="AggOrange 2 2 3 33" xfId="16759" xr:uid="{1DE0084C-882D-4CF9-A28D-CD9A0289D318}"/>
    <cellStyle name="AggOrange 2 2 3 34" xfId="17108" xr:uid="{4BD147CD-94AD-431E-B4F1-740A4F38B1C1}"/>
    <cellStyle name="AggOrange 2 2 3 35" xfId="17555" xr:uid="{23801E8D-287B-4B5D-9244-28A77D1B61E6}"/>
    <cellStyle name="AggOrange 2 2 3 36" xfId="16978" xr:uid="{C70C3522-067B-4EA4-BFCA-8E534D49D405}"/>
    <cellStyle name="AggOrange 2 2 3 37" xfId="18577" xr:uid="{E84AE93C-8EEE-49EB-A9BA-76A85AF429DF}"/>
    <cellStyle name="AggOrange 2 2 3 38" xfId="19002" xr:uid="{B07F48FA-73A6-46C6-A1B3-4D635653C44F}"/>
    <cellStyle name="AggOrange 2 2 3 39" xfId="19256" xr:uid="{56314B69-5D9D-44A3-990C-7E4A0165172E}"/>
    <cellStyle name="AggOrange 2 2 3 4" xfId="2536" xr:uid="{B7D8219A-22F7-4163-9021-1E887D674017}"/>
    <cellStyle name="AggOrange 2 2 3 40" xfId="20096" xr:uid="{0BC3A7F6-FA52-4E55-9137-B1E6A123BC59}"/>
    <cellStyle name="AggOrange 2 2 3 41" xfId="20461" xr:uid="{89660B3E-226A-4923-8000-CD552239E859}"/>
    <cellStyle name="AggOrange 2 2 3 42" xfId="20914" xr:uid="{F4606CB5-50A6-44F8-BD5F-6B1196A1B253}"/>
    <cellStyle name="AggOrange 2 2 3 43" xfId="21404" xr:uid="{BC47C451-998F-41C9-B52A-F050FB22E103}"/>
    <cellStyle name="AggOrange 2 2 3 44" xfId="21843" xr:uid="{DABDA93F-7F8E-4158-BCB4-8F10302211F4}"/>
    <cellStyle name="AggOrange 2 2 3 45" xfId="22280" xr:uid="{4834F6AC-0702-4949-9578-868B8BBB9B61}"/>
    <cellStyle name="AggOrange 2 2 3 46" xfId="21343" xr:uid="{6131256E-271F-4D4C-A27F-411B0378F4C9}"/>
    <cellStyle name="AggOrange 2 2 3 47" xfId="23284" xr:uid="{75DC5C09-B00C-4805-BE04-101E3F5C834A}"/>
    <cellStyle name="AggOrange 2 2 3 48" xfId="23607" xr:uid="{C00799D8-83B8-437A-A96D-4340A9923F21}"/>
    <cellStyle name="AggOrange 2 2 3 49" xfId="23896" xr:uid="{FC7DAFAA-CE74-44A8-98AD-45D59B48E53B}"/>
    <cellStyle name="AggOrange 2 2 3 5" xfId="2716" xr:uid="{60759F8B-9789-4F32-8816-FAA10D016D8B}"/>
    <cellStyle name="AggOrange 2 2 3 50" xfId="24804" xr:uid="{27E30771-C4FB-4AB3-AC13-BFF4EE5FD50D}"/>
    <cellStyle name="AggOrange 2 2 3 51" xfId="25169" xr:uid="{6823ABE6-ADF0-4505-9387-911B6069ECBC}"/>
    <cellStyle name="AggOrange 2 2 3 52" xfId="25720" xr:uid="{600EE758-755A-4659-84F3-40C4D49BB318}"/>
    <cellStyle name="AggOrange 2 2 3 53" xfId="24209" xr:uid="{0E37E378-6B52-42F1-875A-31AC0744E211}"/>
    <cellStyle name="AggOrange 2 2 3 54" xfId="26167" xr:uid="{C965D6F0-AB1D-43AB-AEC3-8243514791B8}"/>
    <cellStyle name="AggOrange 2 2 3 55" xfId="27008" xr:uid="{2EA61047-09D6-48AA-A26D-F0059885C422}"/>
    <cellStyle name="AggOrange 2 2 3 56" xfId="27427" xr:uid="{0B7B21F5-5966-4F23-8F2E-43183DC27DA5}"/>
    <cellStyle name="AggOrange 2 2 3 57" xfId="26579" xr:uid="{25EB77EB-2823-44BB-B693-2634F32C6A87}"/>
    <cellStyle name="AggOrange 2 2 3 58" xfId="28554" xr:uid="{04ACF6D6-0105-4EE1-B24F-DB668364084A}"/>
    <cellStyle name="AggOrange 2 2 3 59" xfId="29021" xr:uid="{A8880ECC-AF33-4F7E-B0EB-A51DDD60F8CC}"/>
    <cellStyle name="AggOrange 2 2 3 6" xfId="1942" xr:uid="{56343D6C-E655-43BD-87EB-86D0E7120217}"/>
    <cellStyle name="AggOrange 2 2 3 60" xfId="29316" xr:uid="{6DF9C1CD-7D66-481D-B575-4181BC3006CB}"/>
    <cellStyle name="AggOrange 2 2 3 61" xfId="29810" xr:uid="{F9D36314-3088-4C48-9656-A4B2B5C72F9A}"/>
    <cellStyle name="AggOrange 2 2 3 62" xfId="30216" xr:uid="{2E9F911C-9844-4D0B-8BF5-65049B449E80}"/>
    <cellStyle name="AggOrange 2 2 3 63" xfId="30633" xr:uid="{D91CF1DB-1AC2-4767-B862-BA39734C7942}"/>
    <cellStyle name="AggOrange 2 2 3 64" xfId="31022" xr:uid="{E25740DE-58B7-4507-8658-86EDAEA35B4F}"/>
    <cellStyle name="AggOrange 2 2 3 65" xfId="31249" xr:uid="{342FEE45-12AD-4D44-9227-DCF2242B97B6}"/>
    <cellStyle name="AggOrange 2 2 3 66" xfId="31940" xr:uid="{A1712DA0-C089-4193-A300-E53DE706BC91}"/>
    <cellStyle name="AggOrange 2 2 3 67" xfId="31502" xr:uid="{2CD75A7E-2A21-4432-A8C8-DA3259CD5E2D}"/>
    <cellStyle name="AggOrange 2 2 3 7" xfId="4032" xr:uid="{8CC08F9D-09E5-4804-97AC-2ED925795C7F}"/>
    <cellStyle name="AggOrange 2 2 3 8" xfId="4469" xr:uid="{97DCA62A-3FB1-44F2-8DDE-D53D004AC6BA}"/>
    <cellStyle name="AggOrange 2 2 3 9" xfId="4963" xr:uid="{F06EF8FD-F44B-4EA8-8C2E-A39D08CA1017}"/>
    <cellStyle name="AggOrange 2 3" xfId="265" xr:uid="{C7CD7D98-A246-4C6C-AA3C-CE573F310133}"/>
    <cellStyle name="AggOrange 2 3 10" xfId="3518" xr:uid="{8AD452B8-18DE-46AD-ACEB-F0A4B6FF9630}"/>
    <cellStyle name="AggOrange 2 3 11" xfId="3826" xr:uid="{741B2060-5721-4845-A45A-5CF473FDAC94}"/>
    <cellStyle name="AggOrange 2 3 12" xfId="3311" xr:uid="{EDD977FC-37D0-4B56-9250-B6291D33D5B0}"/>
    <cellStyle name="AggOrange 2 3 13" xfId="4662" xr:uid="{B6DC6F2D-CD6C-43C5-8B48-E8C99500507F}"/>
    <cellStyle name="AggOrange 2 3 14" xfId="4793" xr:uid="{48DB6B01-BE77-4E12-B9FC-58F8FDE02E4A}"/>
    <cellStyle name="AggOrange 2 3 15" xfId="5882" xr:uid="{C8D7B38A-4827-49F1-8570-464B4D8FFAAE}"/>
    <cellStyle name="AggOrange 2 3 16" xfId="6238" xr:uid="{C3AE35A9-67EE-4102-BC24-B5F305427D93}"/>
    <cellStyle name="AggOrange 2 3 17" xfId="6995" xr:uid="{B109FCDB-B901-4140-B8E2-DE8288D9AF2E}"/>
    <cellStyle name="AggOrange 2 3 18" xfId="7642" xr:uid="{AE2E09C2-6EB5-46CA-AE55-712436792DA2}"/>
    <cellStyle name="AggOrange 2 3 19" xfId="8109" xr:uid="{8709908C-AD90-4C08-B5B1-F68585BF5C42}"/>
    <cellStyle name="AggOrange 2 3 2" xfId="604" xr:uid="{7972CDDA-14A1-45E8-BB2A-C632F5037DB5}"/>
    <cellStyle name="AggOrange 2 3 2 10" xfId="4789" xr:uid="{4F436C51-6ED8-41AF-9A21-F1A300DF203B}"/>
    <cellStyle name="AggOrange 2 3 2 11" xfId="5252" xr:uid="{51589E4F-FBDD-4D03-BBCE-622C2B8B45B3}"/>
    <cellStyle name="AggOrange 2 3 2 12" xfId="5668" xr:uid="{E8E61180-4D18-4E7F-8F15-009C79473A68}"/>
    <cellStyle name="AggOrange 2 3 2 13" xfId="5868" xr:uid="{5BED3109-2A11-44F8-991C-0431D90CE5E0}"/>
    <cellStyle name="AggOrange 2 3 2 14" xfId="5873" xr:uid="{EBFC9B79-1143-4A2A-A188-581EB22D96FC}"/>
    <cellStyle name="AggOrange 2 3 2 15" xfId="7324" xr:uid="{C55C8796-6D6D-45D6-82B4-7F6640D374AA}"/>
    <cellStyle name="AggOrange 2 3 2 16" xfId="7956" xr:uid="{55DD16FA-FEDA-4108-A079-D54F67061D92}"/>
    <cellStyle name="AggOrange 2 3 2 17" xfId="8597" xr:uid="{FD4C23C0-570C-47A4-A15D-2623E324B810}"/>
    <cellStyle name="AggOrange 2 3 2 18" xfId="8633" xr:uid="{72577593-404E-46EC-9EB2-736420047D11}"/>
    <cellStyle name="AggOrange 2 3 2 19" xfId="9538" xr:uid="{CBBC8C68-94DF-45CE-AFF9-A8586893EE22}"/>
    <cellStyle name="AggOrange 2 3 2 2" xfId="819" xr:uid="{17E4C3B2-3378-4A1D-BBCD-1C883858FB52}"/>
    <cellStyle name="AggOrange 2 3 2 2 10" xfId="5467" xr:uid="{E5429B1B-5D73-404D-B4FC-EC9017B5B042}"/>
    <cellStyle name="AggOrange 2 3 2 2 11" xfId="4904" xr:uid="{D83A927E-4474-4B3C-B323-FA95FDCF6DB7}"/>
    <cellStyle name="AggOrange 2 3 2 2 12" xfId="4742" xr:uid="{384D6426-6C74-4D5C-852C-81F284EA7584}"/>
    <cellStyle name="AggOrange 2 3 2 2 13" xfId="6090" xr:uid="{4AE6175E-8A99-4BB5-AA63-853AD4DAE657}"/>
    <cellStyle name="AggOrange 2 3 2 2 14" xfId="7539" xr:uid="{F1D76C53-A910-4E9A-9CF5-31CA39ED4737}"/>
    <cellStyle name="AggOrange 2 3 2 2 15" xfId="6867" xr:uid="{7A36C423-E8FA-4FAE-9567-3F1A5C5A56D1}"/>
    <cellStyle name="AggOrange 2 3 2 2 16" xfId="8510" xr:uid="{B916EC74-205B-4D1F-9CD9-1993C903DE16}"/>
    <cellStyle name="AggOrange 2 3 2 2 17" xfId="8845" xr:uid="{6B93FED6-A954-4918-A6BB-6758B8285A9A}"/>
    <cellStyle name="AggOrange 2 3 2 2 18" xfId="9753" xr:uid="{75E6175B-1327-48F1-A668-5D3502C2E10B}"/>
    <cellStyle name="AggOrange 2 3 2 2 19" xfId="9354" xr:uid="{6A12A707-EDEC-4D2D-BB04-848CBEA08AEE}"/>
    <cellStyle name="AggOrange 2 3 2 2 2" xfId="1293" xr:uid="{3DE7FC7C-3CE4-4CEE-A01A-C4BB27F07BEB}"/>
    <cellStyle name="AggOrange 2 3 2 2 20" xfId="10158" xr:uid="{EE79C11F-84CF-4665-8C39-40D0BBD15D89}"/>
    <cellStyle name="AggOrange 2 3 2 2 21" xfId="10633" xr:uid="{99436407-0EA1-4785-8E84-5016DE64575D}"/>
    <cellStyle name="AggOrange 2 3 2 2 22" xfId="8947" xr:uid="{71E7B11C-0BA9-4D42-B54D-124855E23E70}"/>
    <cellStyle name="AggOrange 2 3 2 2 23" xfId="12172" xr:uid="{2B0E9E9F-607F-4E4D-A5ED-68E7F1D1F32E}"/>
    <cellStyle name="AggOrange 2 3 2 2 24" xfId="12645" xr:uid="{A623DC28-5116-45D6-9405-67DDAC6C7F20}"/>
    <cellStyle name="AggOrange 2 3 2 2 25" xfId="13079" xr:uid="{C6CBBFBF-F0AF-4DA1-8907-428D2A1D7899}"/>
    <cellStyle name="AggOrange 2 3 2 2 26" xfId="13516" xr:uid="{2BFAF3B6-D441-4117-9860-16E8DF2BEE68}"/>
    <cellStyle name="AggOrange 2 3 2 2 27" xfId="13593" xr:uid="{8FB97B97-A68E-41BF-A995-24A92554FA3F}"/>
    <cellStyle name="AggOrange 2 3 2 2 28" xfId="14230" xr:uid="{FB043DDF-AF85-4575-B654-43DB4F475804}"/>
    <cellStyle name="AggOrange 2 3 2 2 29" xfId="14121" xr:uid="{9FDFF5CF-B4B9-42FE-9944-2657806EB0E4}"/>
    <cellStyle name="AggOrange 2 3 2 2 3" xfId="1474" xr:uid="{705E9301-2A9D-4C42-A33F-6E1913FC01B9}"/>
    <cellStyle name="AggOrange 2 3 2 2 30" xfId="13954" xr:uid="{FE1CE9AB-BE7A-49C0-9AFC-847053EB1FFA}"/>
    <cellStyle name="AggOrange 2 3 2 2 31" xfId="15059" xr:uid="{A1CC9CAF-903D-48A2-BC87-CB634061F892}"/>
    <cellStyle name="AggOrange 2 3 2 2 32" xfId="15429" xr:uid="{7AF7E7FD-9F94-4C5C-83A8-298C117587AB}"/>
    <cellStyle name="AggOrange 2 3 2 2 33" xfId="16864" xr:uid="{EDBCB9B7-0F76-47E6-8FBC-87A334AA5383}"/>
    <cellStyle name="AggOrange 2 3 2 2 34" xfId="16183" xr:uid="{F98FD1C7-6C24-4E0C-8ADC-9483E9FF0703}"/>
    <cellStyle name="AggOrange 2 3 2 2 35" xfId="17277" xr:uid="{9D6436C6-0F12-4F8C-9318-F0C75BD20067}"/>
    <cellStyle name="AggOrange 2 3 2 2 36" xfId="18036" xr:uid="{1B6FD894-E720-45D5-9387-F7459D8AD6D5}"/>
    <cellStyle name="AggOrange 2 3 2 2 37" xfId="18682" xr:uid="{F37D5BC6-698D-4154-9C0B-5379ABBF8ABD}"/>
    <cellStyle name="AggOrange 2 3 2 2 38" xfId="16715" xr:uid="{01C8FCB6-4365-4D3F-999A-B0490505170F}"/>
    <cellStyle name="AggOrange 2 3 2 2 39" xfId="19157" xr:uid="{5151150A-35C1-42FB-B200-E2F91EE7FE64}"/>
    <cellStyle name="AggOrange 2 3 2 2 4" xfId="2641" xr:uid="{FD46E8CB-29CC-44C6-978C-2AE5D8076FF2}"/>
    <cellStyle name="AggOrange 2 3 2 2 40" xfId="20201" xr:uid="{D5DB2AFE-6724-4C6A-BF0E-43D249457A80}"/>
    <cellStyle name="AggOrange 2 3 2 2 41" xfId="19609" xr:uid="{CD69BA06-5EE1-4150-814F-E8BDD079EEA6}"/>
    <cellStyle name="AggOrange 2 3 2 2 42" xfId="20519" xr:uid="{BA39DF21-F086-439A-A891-558DA069BC69}"/>
    <cellStyle name="AggOrange 2 3 2 2 43" xfId="21395" xr:uid="{71F7BF97-3845-48EE-BDCB-267878F06AC3}"/>
    <cellStyle name="AggOrange 2 3 2 2 44" xfId="21481" xr:uid="{AD22240C-F8BE-4D75-A75A-F1158B087BA3}"/>
    <cellStyle name="AggOrange 2 3 2 2 45" xfId="21964" xr:uid="{C671ED14-DCCE-4E4D-BBC1-E1C211E2B931}"/>
    <cellStyle name="AggOrange 2 3 2 2 46" xfId="22602" xr:uid="{856B33D7-FC57-43BB-BAD2-49CC5408430D}"/>
    <cellStyle name="AggOrange 2 3 2 2 47" xfId="22922" xr:uid="{3D99E493-FEFF-4BE6-AA87-FB11E1CF705C}"/>
    <cellStyle name="AggOrange 2 3 2 2 48" xfId="22983" xr:uid="{52E6CAA6-209A-494C-B887-8C25A7D87516}"/>
    <cellStyle name="AggOrange 2 3 2 2 49" xfId="24001" xr:uid="{4D4D0AD2-618E-4644-9A51-85F8E59887BF}"/>
    <cellStyle name="AggOrange 2 3 2 2 5" xfId="2759" xr:uid="{AF52C35D-C326-4113-B8D7-1E6C6A1587EE}"/>
    <cellStyle name="AggOrange 2 3 2 2 50" xfId="24909" xr:uid="{23EA0726-8E9A-4AB8-994E-54733485CB01}"/>
    <cellStyle name="AggOrange 2 3 2 2 51" xfId="24228" xr:uid="{9FCA9938-7EB5-4B8D-B792-2F9880D43004}"/>
    <cellStyle name="AggOrange 2 3 2 2 52" xfId="25825" xr:uid="{DAA7DB8C-FD5C-4A19-8E94-A890EBDED967}"/>
    <cellStyle name="AggOrange 2 3 2 2 53" xfId="25906" xr:uid="{458272FE-A78B-404C-8261-87A3EEE64FF8}"/>
    <cellStyle name="AggOrange 2 3 2 2 54" xfId="26357" xr:uid="{3216492B-8F2E-4453-AE06-3FB37BE48B10}"/>
    <cellStyle name="AggOrange 2 3 2 2 55" xfId="27113" xr:uid="{4A051C4C-3340-4F31-95A4-C65449164419}"/>
    <cellStyle name="AggOrange 2 3 2 2 56" xfId="27532" xr:uid="{71E687C9-CC67-4703-B184-ABD4C3EE71BA}"/>
    <cellStyle name="AggOrange 2 3 2 2 57" xfId="26776" xr:uid="{A895D05F-6966-4453-B1ED-3123E802AB6F}"/>
    <cellStyle name="AggOrange 2 3 2 2 58" xfId="28659" xr:uid="{CAD70152-0AEA-45D0-97A6-A07C536E0E7A}"/>
    <cellStyle name="AggOrange 2 3 2 2 59" xfId="29126" xr:uid="{AF190DC1-E708-41D3-ABF1-9908791188EB}"/>
    <cellStyle name="AggOrange 2 3 2 2 6" xfId="2013" xr:uid="{9D20E17A-891A-4760-B488-E77CBC2E6C1A}"/>
    <cellStyle name="AggOrange 2 3 2 2 60" xfId="27937" xr:uid="{52F391CF-F073-47D0-B5B2-E692F6D90D0C}"/>
    <cellStyle name="AggOrange 2 3 2 2 61" xfId="29915" xr:uid="{4D60BE3A-3292-403D-B753-7C9AB0206037}"/>
    <cellStyle name="AggOrange 2 3 2 2 62" xfId="30321" xr:uid="{EB4CC190-3B7F-4938-BA9E-DF619BCA54E9}"/>
    <cellStyle name="AggOrange 2 3 2 2 63" xfId="30738" xr:uid="{2835407B-3506-4805-AF9E-209346512E57}"/>
    <cellStyle name="AggOrange 2 3 2 2 64" xfId="29588" xr:uid="{02556482-A36E-4D91-A993-89E4F59D2131}"/>
    <cellStyle name="AggOrange 2 3 2 2 65" xfId="31354" xr:uid="{03AF4EE6-9019-4C14-A736-367C59544650}"/>
    <cellStyle name="AggOrange 2 3 2 2 66" xfId="32045" xr:uid="{95047C17-F753-42F4-85F4-80728D124221}"/>
    <cellStyle name="AggOrange 2 3 2 2 67" xfId="31681" xr:uid="{A9DCC454-76E5-4D2C-AB41-374EB373177E}"/>
    <cellStyle name="AggOrange 2 3 2 2 7" xfId="4137" xr:uid="{0D82C115-C066-4488-A22F-E2A455945C6B}"/>
    <cellStyle name="AggOrange 2 3 2 2 8" xfId="4574" xr:uid="{D910431F-D633-4A66-8C3D-53EB4BE031A0}"/>
    <cellStyle name="AggOrange 2 3 2 2 9" xfId="5015" xr:uid="{DACF2762-BE61-4290-A960-1035F7914FDE}"/>
    <cellStyle name="AggOrange 2 3 2 20" xfId="10171" xr:uid="{FEC581E1-645B-42A8-9444-B2140CB0B150}"/>
    <cellStyle name="AggOrange 2 3 2 21" xfId="10578" xr:uid="{0D9AECE8-DFD4-41EB-97B3-743473D9230F}"/>
    <cellStyle name="AggOrange 2 3 2 22" xfId="10031" xr:uid="{5E96B87F-CD05-44FA-B295-E362F3DB7ED8}"/>
    <cellStyle name="AggOrange 2 3 2 23" xfId="11152" xr:uid="{4B59F2A5-3705-4DE2-B84A-B22F00EED5E4}"/>
    <cellStyle name="AggOrange 2 3 2 24" xfId="11957" xr:uid="{F8BA07C2-8F82-45CA-8BE5-7BC392FA2219}"/>
    <cellStyle name="AggOrange 2 3 2 25" xfId="12430" xr:uid="{ECAE8C20-6BF0-4BE2-B4E0-7E7E62F34C3A}"/>
    <cellStyle name="AggOrange 2 3 2 26" xfId="12864" xr:uid="{5A10D3A4-C924-4690-8A0C-EDE37066F69C}"/>
    <cellStyle name="AggOrange 2 3 2 27" xfId="13301" xr:uid="{FAD07CD5-8878-4F78-9A32-E1A2A09D6905}"/>
    <cellStyle name="AggOrange 2 3 2 28" xfId="13397" xr:uid="{135D9AD3-BB35-4299-88B8-DC4EE22CB21B}"/>
    <cellStyle name="AggOrange 2 3 2 29" xfId="13908" xr:uid="{AD1B5B87-5B55-40A7-9107-3572D86DA1E2}"/>
    <cellStyle name="AggOrange 2 3 2 3" xfId="1087" xr:uid="{BF67A7F1-99CC-4AB2-A38B-932A20C08527}"/>
    <cellStyle name="AggOrange 2 3 2 30" xfId="14800" xr:uid="{BDD6CD94-4CFC-4ECC-9DF0-B4BC3302B251}"/>
    <cellStyle name="AggOrange 2 3 2 31" xfId="14525" xr:uid="{1D73E09D-EA4D-49A6-BD7D-1C6DCACCE8B9}"/>
    <cellStyle name="AggOrange 2 3 2 32" xfId="14073" xr:uid="{DCEE3CB9-8B20-405C-BE21-DC6A5D7ECB8F}"/>
    <cellStyle name="AggOrange 2 3 2 33" xfId="15946" xr:uid="{47FFCA9E-47B8-4EA9-96D6-36B7E068AE8F}"/>
    <cellStyle name="AggOrange 2 3 2 34" xfId="16649" xr:uid="{F4DBB5B9-6F60-4E87-9982-2E70C99F3581}"/>
    <cellStyle name="AggOrange 2 3 2 35" xfId="17291" xr:uid="{7D6DC053-CD4A-4786-B1EC-64B1E93F8C95}"/>
    <cellStyle name="AggOrange 2 3 2 36" xfId="17734" xr:uid="{37615EBD-B1FB-47BE-9C89-4E860DFA50AF}"/>
    <cellStyle name="AggOrange 2 3 2 37" xfId="17551" xr:uid="{57124847-77BD-4EE8-BE14-E094FC59F140}"/>
    <cellStyle name="AggOrange 2 3 2 38" xfId="18467" xr:uid="{D9D3B807-E1AB-477D-91C3-ACCCF4E5E755}"/>
    <cellStyle name="AggOrange 2 3 2 39" xfId="17933" xr:uid="{4F94117F-E934-4690-A8B8-6FF0D25A9C88}"/>
    <cellStyle name="AggOrange 2 3 2 4" xfId="1613" xr:uid="{59E75589-25BA-47ED-89B7-D366BABA5A86}"/>
    <cellStyle name="AggOrange 2 3 2 40" xfId="19262" xr:uid="{1CF5E24B-99A1-4377-94AC-19E952CD50E2}"/>
    <cellStyle name="AggOrange 2 3 2 41" xfId="19986" xr:uid="{89B53133-0BBE-4AE1-ADC6-57008CB52C1B}"/>
    <cellStyle name="AggOrange 2 3 2 42" xfId="20641" xr:uid="{2C00CD45-B109-4FE7-A4AE-2C286A707ECF}"/>
    <cellStyle name="AggOrange 2 3 2 43" xfId="21097" xr:uid="{5FAF2B8E-8EBA-4A64-914A-B8C895BED9E6}"/>
    <cellStyle name="AggOrange 2 3 2 44" xfId="19686" xr:uid="{8AAAC1B0-921C-4DF9-827B-F432EE42E445}"/>
    <cellStyle name="AggOrange 2 3 2 45" xfId="22028" xr:uid="{1C41B4D8-EFB7-4C7B-9BF6-2BFFBDBC0200}"/>
    <cellStyle name="AggOrange 2 3 2 46" xfId="22458" xr:uid="{AD9D1575-8C20-4378-A88D-2B123F5EDAAA}"/>
    <cellStyle name="AggOrange 2 3 2 47" xfId="22262" xr:uid="{40D017C3-AEFA-40B1-9884-86302669B2B8}"/>
    <cellStyle name="AggOrange 2 3 2 48" xfId="21790" xr:uid="{D126AB40-1D76-4FE8-833B-3BD48C8AEF57}"/>
    <cellStyle name="AggOrange 2 3 2 49" xfId="23227" xr:uid="{8F67E7A0-1167-416E-91FA-A5CC4B8938AB}"/>
    <cellStyle name="AggOrange 2 3 2 5" xfId="2426" xr:uid="{95B9D4E9-9807-4B8A-8758-02541A88FFE6}"/>
    <cellStyle name="AggOrange 2 3 2 50" xfId="23795" xr:uid="{C78BD2DD-4632-4AFC-A301-C6558413F372}"/>
    <cellStyle name="AggOrange 2 3 2 51" xfId="24694" xr:uid="{6CF8E6CC-7255-4853-AD67-126A20D9BAFC}"/>
    <cellStyle name="AggOrange 2 3 2 52" xfId="25345" xr:uid="{301233DC-DB77-46E3-B313-BC557B59CEC4}"/>
    <cellStyle name="AggOrange 2 3 2 53" xfId="25612" xr:uid="{2995ECC8-E769-4F35-871B-4117C2331D74}"/>
    <cellStyle name="AggOrange 2 3 2 54" xfId="24355" xr:uid="{2333700E-D059-4307-A7C2-2C6D82346BA8}"/>
    <cellStyle name="AggOrange 2 3 2 55" xfId="26051" xr:uid="{1E5D8AF2-4753-4B43-8AED-29CFD13BA724}"/>
    <cellStyle name="AggOrange 2 3 2 56" xfId="26902" xr:uid="{990CDDAA-37B0-432E-A0C8-2D7C180152D8}"/>
    <cellStyle name="AggOrange 2 3 2 57" xfId="27321" xr:uid="{D12990F2-A84B-4303-A9AC-F65C8D1C8220}"/>
    <cellStyle name="AggOrange 2 3 2 58" xfId="27226" xr:uid="{42D85D73-95A2-4FFA-9CCF-54C66DA650FB}"/>
    <cellStyle name="AggOrange 2 3 2 59" xfId="28444" xr:uid="{313B83E6-102D-42BB-9420-47D8FFAE38AB}"/>
    <cellStyle name="AggOrange 2 3 2 6" xfId="1949" xr:uid="{858C3BC2-10BA-468E-88B8-CE8F4DF8A3CA}"/>
    <cellStyle name="AggOrange 2 3 2 60" xfId="28912" xr:uid="{B62B44E1-4597-4F91-958C-94306DC56D97}"/>
    <cellStyle name="AggOrange 2 3 2 61" xfId="29469" xr:uid="{265A88C0-EA2E-40A1-8D8E-C8DD109D9450}"/>
    <cellStyle name="AggOrange 2 3 2 62" xfId="29702" xr:uid="{0F735D5E-E93C-4339-AC27-23068073BBB7}"/>
    <cellStyle name="AggOrange 2 3 2 63" xfId="30110" xr:uid="{D902FC36-25AC-4E72-9B2C-25A7B10CC0C3}"/>
    <cellStyle name="AggOrange 2 3 2 64" xfId="30524" xr:uid="{BB8963A6-8B05-49BE-8BE4-A40598B9F5C8}"/>
    <cellStyle name="AggOrange 2 3 2 65" xfId="30916" xr:uid="{713EF13D-C868-4168-8853-6CE63CF118DA}"/>
    <cellStyle name="AggOrange 2 3 2 66" xfId="31148" xr:uid="{B85FC9B1-A796-4656-8DAB-022A5907C04E}"/>
    <cellStyle name="AggOrange 2 3 2 67" xfId="31834" xr:uid="{9C3578CB-B74C-49AC-9630-7829FC9FD416}"/>
    <cellStyle name="AggOrange 2 3 2 68" xfId="31701" xr:uid="{70A53281-A2C4-43EB-9DA2-8CB84BA9E25A}"/>
    <cellStyle name="AggOrange 2 3 2 7" xfId="3112" xr:uid="{D4034443-497C-4C9E-ACFA-3F244CCA218E}"/>
    <cellStyle name="AggOrange 2 3 2 8" xfId="3922" xr:uid="{F7E1B4B0-46C4-48D1-B73C-DD9766FA029B}"/>
    <cellStyle name="AggOrange 2 3 2 9" xfId="4360" xr:uid="{9A78CD41-E8A5-4B51-90FD-D292B57AAFF0}"/>
    <cellStyle name="AggOrange 2 3 20" xfId="7177" xr:uid="{3756303C-1164-4CEC-B587-6604CC42894A}"/>
    <cellStyle name="AggOrange 2 3 21" xfId="9209" xr:uid="{2B383199-1C5E-4FDB-999B-49B2C9443D32}"/>
    <cellStyle name="AggOrange 2 3 22" xfId="9852" xr:uid="{4E9BC5E8-02AD-46CE-B0A6-3085B7C5CF7C}"/>
    <cellStyle name="AggOrange 2 3 23" xfId="10295" xr:uid="{5E9CE4A5-3621-4A1A-B0F8-2CDECA4DEA3A}"/>
    <cellStyle name="AggOrange 2 3 24" xfId="9134" xr:uid="{16DBB58B-B2EF-4A0A-AB66-2563B22F3F5F}"/>
    <cellStyle name="AggOrange 2 3 25" xfId="10802" xr:uid="{1963B7AC-BA22-4865-9F1A-1A39E98DE6E3}"/>
    <cellStyle name="AggOrange 2 3 26" xfId="11621" xr:uid="{48FD6A73-B96D-49FD-ABED-6108B7717FBE}"/>
    <cellStyle name="AggOrange 2 3 27" xfId="11481" xr:uid="{A5E9A192-4D4A-44C6-A3C6-4F360AA0E25A}"/>
    <cellStyle name="AggOrange 2 3 28" xfId="11547" xr:uid="{B4BAC3C2-E6EB-42FE-B319-813759AA7F64}"/>
    <cellStyle name="AggOrange 2 3 29" xfId="12768" xr:uid="{BFEB62C2-7F38-4190-8A7A-7C23E85C6B6E}"/>
    <cellStyle name="AggOrange 2 3 3" xfId="511" xr:uid="{5F713610-C8F4-4A8F-90FE-FCC2B9760FB5}"/>
    <cellStyle name="AggOrange 2 3 3 10" xfId="4223" xr:uid="{812BB584-CBD1-4907-8918-5BEA30BEB2CF}"/>
    <cellStyle name="AggOrange 2 3 3 11" xfId="5159" xr:uid="{AA9847A4-4D67-44DA-988F-AAE5EE914448}"/>
    <cellStyle name="AggOrange 2 3 3 12" xfId="5647" xr:uid="{E9F4E0A6-9AD9-4D7F-B272-705DFEFAA5B4}"/>
    <cellStyle name="AggOrange 2 3 3 13" xfId="5931" xr:uid="{78FEAC46-9261-4037-BFB8-14CC30F6B463}"/>
    <cellStyle name="AggOrange 2 3 3 14" xfId="6634" xr:uid="{3D4709ED-0812-44DB-8174-83E9862728B7}"/>
    <cellStyle name="AggOrange 2 3 3 15" xfId="7231" xr:uid="{D89A6363-EE0C-4068-A410-218B1824A9D4}"/>
    <cellStyle name="AggOrange 2 3 3 16" xfId="7833" xr:uid="{EAC5B9A3-35E7-45C9-9960-998F4BD4D0C7}"/>
    <cellStyle name="AggOrange 2 3 3 17" xfId="8574" xr:uid="{898EAE2A-F9C6-48A0-ABF4-1ACF2FEEA0BE}"/>
    <cellStyle name="AggOrange 2 3 3 18" xfId="8842" xr:uid="{A2D708FB-9544-4EA5-8AFA-2F7978359FC5}"/>
    <cellStyle name="AggOrange 2 3 3 19" xfId="9445" xr:uid="{243828E0-6ADF-4B3C-AE40-BEC5498897D9}"/>
    <cellStyle name="AggOrange 2 3 3 2" xfId="726" xr:uid="{0B9581BB-3F65-452E-89EA-0CE31E117263}"/>
    <cellStyle name="AggOrange 2 3 3 2 10" xfId="5374" xr:uid="{09595BCB-3FAE-4A54-AE29-830518AC25B4}"/>
    <cellStyle name="AggOrange 2 3 3 2 11" xfId="5036" xr:uid="{4D48AB5D-9932-4FE3-93A5-30343C0F5A84}"/>
    <cellStyle name="AggOrange 2 3 3 2 12" xfId="5035" xr:uid="{DF48354C-A505-49DF-89ED-389D7F8AF7D2}"/>
    <cellStyle name="AggOrange 2 3 3 2 13" xfId="5933" xr:uid="{EBFDEDFB-1FE9-42F4-AB05-64F1647BA281}"/>
    <cellStyle name="AggOrange 2 3 3 2 14" xfId="7446" xr:uid="{AC600250-43E8-4D51-AB9A-E81FF8EC0C14}"/>
    <cellStyle name="AggOrange 2 3 3 2 15" xfId="6860" xr:uid="{278D26D8-5692-4700-933C-D99348F014B4}"/>
    <cellStyle name="AggOrange 2 3 3 2 16" xfId="8356" xr:uid="{B952E7CE-5FDB-469F-ACC5-3E0DCAB904C0}"/>
    <cellStyle name="AggOrange 2 3 3 2 17" xfId="8424" xr:uid="{332D3EFA-371E-408C-B7F9-13B939276538}"/>
    <cellStyle name="AggOrange 2 3 3 2 18" xfId="9660" xr:uid="{FAD1BDCC-1921-4B11-AD3B-E1D1FA1801C3}"/>
    <cellStyle name="AggOrange 2 3 3 2 19" xfId="9075" xr:uid="{9BA31912-C0E8-49D1-A1DB-27C420CE0EBD}"/>
    <cellStyle name="AggOrange 2 3 3 2 2" xfId="1200" xr:uid="{45A022A3-91DB-4818-9020-5AA07167187A}"/>
    <cellStyle name="AggOrange 2 3 3 2 20" xfId="10077" xr:uid="{5C479F50-AFDA-49B9-AC64-A52F13C638C6}"/>
    <cellStyle name="AggOrange 2 3 3 2 21" xfId="10572" xr:uid="{E9ED2D29-D806-4F73-AD4B-DF6AF5A8602B}"/>
    <cellStyle name="AggOrange 2 3 3 2 22" xfId="11281" xr:uid="{ABA59B1E-86FD-4597-914E-E4514F9FFA86}"/>
    <cellStyle name="AggOrange 2 3 3 2 23" xfId="12079" xr:uid="{477DC345-6412-47A9-8BDF-50D5FC307DD5}"/>
    <cellStyle name="AggOrange 2 3 3 2 24" xfId="12552" xr:uid="{FBE6EC59-AC6B-4720-A7F0-11C27C194368}"/>
    <cellStyle name="AggOrange 2 3 3 2 25" xfId="12986" xr:uid="{AAC92C49-3900-43E0-9A14-99EC01247946}"/>
    <cellStyle name="AggOrange 2 3 3 2 26" xfId="13423" xr:uid="{6D8C8FB2-A196-4937-9848-DF32BE47E7AE}"/>
    <cellStyle name="AggOrange 2 3 3 2 27" xfId="13590" xr:uid="{8B2C57BA-509F-478B-9B82-7BA67F27B84A}"/>
    <cellStyle name="AggOrange 2 3 3 2 28" xfId="13747" xr:uid="{AAB45DFE-C1A0-4712-B3B3-C619135C4711}"/>
    <cellStyle name="AggOrange 2 3 3 2 29" xfId="14148" xr:uid="{E6CF0AC4-7CB8-4178-8767-0438804A13E9}"/>
    <cellStyle name="AggOrange 2 3 3 2 3" xfId="1493" xr:uid="{8717DE0A-9A64-4DA0-AF53-3F9E49B5FB6F}"/>
    <cellStyle name="AggOrange 2 3 3 2 30" xfId="14567" xr:uid="{416A4327-D205-4F38-8E88-829CE9051034}"/>
    <cellStyle name="AggOrange 2 3 3 2 31" xfId="14879" xr:uid="{3C640F0C-E3A0-4C3A-8B47-9B7FE1FE2D6E}"/>
    <cellStyle name="AggOrange 2 3 3 2 32" xfId="14322" xr:uid="{3608326D-620A-4076-80B1-0BEC6C2C3DD3}"/>
    <cellStyle name="AggOrange 2 3 3 2 33" xfId="16771" xr:uid="{5920DE64-B5E4-417A-84EA-1801BB17E883}"/>
    <cellStyle name="AggOrange 2 3 3 2 34" xfId="16176" xr:uid="{677B4DB5-7504-4576-A0F1-42F5613E9314}"/>
    <cellStyle name="AggOrange 2 3 3 2 35" xfId="17090" xr:uid="{DF180578-6724-422D-9063-50EB9BE2950D}"/>
    <cellStyle name="AggOrange 2 3 3 2 36" xfId="17751" xr:uid="{49B3752E-ED26-48ED-93A3-AFAA50B0FE45}"/>
    <cellStyle name="AggOrange 2 3 3 2 37" xfId="18589" xr:uid="{23D166E7-822C-4181-A624-6A8CB1638F60}"/>
    <cellStyle name="AggOrange 2 3 3 2 38" xfId="17981" xr:uid="{2BDAA01C-DF4A-423D-A816-94985ED07FF4}"/>
    <cellStyle name="AggOrange 2 3 3 2 39" xfId="19154" xr:uid="{608BA36B-E7BD-47BB-94F0-FBB2BC5595D0}"/>
    <cellStyle name="AggOrange 2 3 3 2 4" xfId="2548" xr:uid="{D0E67549-807C-4893-A58B-E339CA7F6FFC}"/>
    <cellStyle name="AggOrange 2 3 3 2 40" xfId="20108" xr:uid="{9C233FF0-77E6-495A-A084-6CDAFFB9581E}"/>
    <cellStyle name="AggOrange 2 3 3 2 41" xfId="19506" xr:uid="{BB8E9705-F488-44B0-9B97-D0DCC9A7D64F}"/>
    <cellStyle name="AggOrange 2 3 3 2 42" xfId="20499" xr:uid="{6EB9B143-EAA1-4F78-A184-FBBED3DFEBA2}"/>
    <cellStyle name="AggOrange 2 3 3 2 43" xfId="21530" xr:uid="{7287B0C0-26B4-474B-9517-571717036643}"/>
    <cellStyle name="AggOrange 2 3 3 2 44" xfId="19772" xr:uid="{7D281A3D-5E4A-4BE3-BF87-EEE797581901}"/>
    <cellStyle name="AggOrange 2 3 3 2 45" xfId="21893" xr:uid="{F447662B-D61B-4B09-B598-D6A6028969ED}"/>
    <cellStyle name="AggOrange 2 3 3 2 46" xfId="22599" xr:uid="{FA2E3D64-F619-46BA-9149-1F1F6FAA47AE}"/>
    <cellStyle name="AggOrange 2 3 3 2 47" xfId="22949" xr:uid="{48D2EA29-11D0-4969-8E63-0C789032CD36}"/>
    <cellStyle name="AggOrange 2 3 3 2 48" xfId="23311" xr:uid="{5B3BBF7A-F3AC-4B97-BDCE-24CACAC3D575}"/>
    <cellStyle name="AggOrange 2 3 3 2 49" xfId="23908" xr:uid="{26833B50-F24B-4C7A-8B26-93210990219B}"/>
    <cellStyle name="AggOrange 2 3 3 2 5" xfId="2756" xr:uid="{357FF13E-CD25-4971-B004-CD98FADF9D29}"/>
    <cellStyle name="AggOrange 2 3 3 2 50" xfId="24816" xr:uid="{25BBC60E-0CE0-48A4-A723-14B32CAA2189}"/>
    <cellStyle name="AggOrange 2 3 3 2 51" xfId="24183" xr:uid="{F3B87871-0C2B-48F0-83CB-280D90A0528A}"/>
    <cellStyle name="AggOrange 2 3 3 2 52" xfId="25732" xr:uid="{FDD7A280-9A56-4204-9376-F1A855288389}"/>
    <cellStyle name="AggOrange 2 3 3 2 53" xfId="25903" xr:uid="{FA633A0F-51DA-4D67-8707-CB8A6918057B}"/>
    <cellStyle name="AggOrange 2 3 3 2 54" xfId="26372" xr:uid="{225BF405-B3B8-430A-86D8-72FC806540DD}"/>
    <cellStyle name="AggOrange 2 3 3 2 55" xfId="27020" xr:uid="{08F45999-0128-4834-BAB6-EF4EA7150062}"/>
    <cellStyle name="AggOrange 2 3 3 2 56" xfId="27439" xr:uid="{04C52BEC-3D5F-4311-8D67-6ED048411D04}"/>
    <cellStyle name="AggOrange 2 3 3 2 57" xfId="27622" xr:uid="{33415EAD-87C7-42E5-9E9B-366FF8D5420D}"/>
    <cellStyle name="AggOrange 2 3 3 2 58" xfId="28566" xr:uid="{D644BF79-7FD2-4403-AC73-68ACFED42E8D}"/>
    <cellStyle name="AggOrange 2 3 3 2 59" xfId="29033" xr:uid="{915BD002-D28E-421C-9399-7F39906F79D0}"/>
    <cellStyle name="AggOrange 2 3 3 2 6" xfId="3572" xr:uid="{D6A76BDD-0E74-414A-B161-830692A69BED}"/>
    <cellStyle name="AggOrange 2 3 3 2 60" xfId="29006" xr:uid="{E301AB10-CF8A-45E6-8B87-960679E134C3}"/>
    <cellStyle name="AggOrange 2 3 3 2 61" xfId="29822" xr:uid="{D9287899-E26A-4B0C-A3D2-0FDC17A57F53}"/>
    <cellStyle name="AggOrange 2 3 3 2 62" xfId="30228" xr:uid="{CADA1B40-74A1-49A9-BB03-C8D237E2AD09}"/>
    <cellStyle name="AggOrange 2 3 3 2 63" xfId="30645" xr:uid="{12638547-9FD4-42CF-9844-421AB3892946}"/>
    <cellStyle name="AggOrange 2 3 3 2 64" xfId="29997" xr:uid="{A0672C51-C881-4FD7-A20C-C119FECE28D7}"/>
    <cellStyle name="AggOrange 2 3 3 2 65" xfId="31261" xr:uid="{FAA3B1DA-D344-4740-90CB-B4E699F1BB7B}"/>
    <cellStyle name="AggOrange 2 3 3 2 66" xfId="31952" xr:uid="{CAD41135-01A7-418D-A2AE-4DC61EEAF727}"/>
    <cellStyle name="AggOrange 2 3 3 2 67" xfId="32265" xr:uid="{A718EDC1-15FA-450A-8852-E278730B746F}"/>
    <cellStyle name="AggOrange 2 3 3 2 7" xfId="4044" xr:uid="{9C4BC4A9-A58B-4C96-B77D-4BC5802F910C}"/>
    <cellStyle name="AggOrange 2 3 3 2 8" xfId="4481" xr:uid="{BEC09C28-6404-49E8-9C3D-D56D0CC9060F}"/>
    <cellStyle name="AggOrange 2 3 3 2 9" xfId="3746" xr:uid="{25BBB94F-251C-470D-8453-CF824EBB0CD6}"/>
    <cellStyle name="AggOrange 2 3 3 20" xfId="10045" xr:uid="{F9D3F841-897C-49AE-AB88-8638E12DF500}"/>
    <cellStyle name="AggOrange 2 3 3 21" xfId="10465" xr:uid="{2F8695FD-2669-41AC-BC2B-36631B47DF5A}"/>
    <cellStyle name="AggOrange 2 3 3 22" xfId="10939" xr:uid="{9A07C3CA-2E8A-46D2-B78D-7546DBE2EBE2}"/>
    <cellStyle name="AggOrange 2 3 3 23" xfId="10567" xr:uid="{365B048D-A2C4-46FC-AAC5-12C61E919237}"/>
    <cellStyle name="AggOrange 2 3 3 24" xfId="11864" xr:uid="{A4C37694-E0B5-4769-AAC6-D890C3ECE4FF}"/>
    <cellStyle name="AggOrange 2 3 3 25" xfId="12337" xr:uid="{2F89D451-D97B-42DF-A459-B5B369AFBBCB}"/>
    <cellStyle name="AggOrange 2 3 3 26" xfId="12771" xr:uid="{EEBA5103-EAE1-4C54-8D92-44A3670149CE}"/>
    <cellStyle name="AggOrange 2 3 3 27" xfId="13208" xr:uid="{CBC6ABBB-8C15-4570-A2A5-B03397EA5C65}"/>
    <cellStyle name="AggOrange 2 3 3 28" xfId="11381" xr:uid="{E57ED475-DC2D-4841-B633-3716DDFE5D16}"/>
    <cellStyle name="AggOrange 2 3 3 29" xfId="14270" xr:uid="{E6049BC1-BEC4-4085-9043-781D269F1C0B}"/>
    <cellStyle name="AggOrange 2 3 3 3" xfId="994" xr:uid="{DF18B942-100E-4AAE-BD50-9CBEB11E2F28}"/>
    <cellStyle name="AggOrange 2 3 3 30" xfId="14618" xr:uid="{48C3482D-A85D-477F-848B-BC10FA0EE1AE}"/>
    <cellStyle name="AggOrange 2 3 3 31" xfId="14541" xr:uid="{24B6E404-569A-41AF-88E6-8C0F54AAC0CC}"/>
    <cellStyle name="AggOrange 2 3 3 32" xfId="15029" xr:uid="{EA3F2734-D9B1-409E-B470-79E783AC4AC6}"/>
    <cellStyle name="AggOrange 2 3 3 33" xfId="15877" xr:uid="{79604871-F0DA-43C9-9303-DE5ACDA3DBA2}"/>
    <cellStyle name="AggOrange 2 3 3 34" xfId="16556" xr:uid="{EC61F8EA-86C2-47BE-B2FF-B79020EBE69A}"/>
    <cellStyle name="AggOrange 2 3 3 35" xfId="17163" xr:uid="{AF003C55-5CBB-4D8B-8A5A-D1D70C5B2F60}"/>
    <cellStyle name="AggOrange 2 3 3 36" xfId="17608" xr:uid="{E97298A6-93BE-4B8D-BA6D-CA147E0B0B06}"/>
    <cellStyle name="AggOrange 2 3 3 37" xfId="17645" xr:uid="{6CEE090D-C3C6-47A5-91B8-479245E010A0}"/>
    <cellStyle name="AggOrange 2 3 3 38" xfId="18374" xr:uid="{1097608F-0530-4CF1-9BAA-806D3BFE174D}"/>
    <cellStyle name="AggOrange 2 3 3 39" xfId="18989" xr:uid="{8044DB74-6F9B-47CE-97FD-7B6F497DCC4D}"/>
    <cellStyle name="AggOrange 2 3 3 4" xfId="1615" xr:uid="{B984E0DE-20C4-4E40-823D-B5232F67CBEB}"/>
    <cellStyle name="AggOrange 2 3 3 40" xfId="19217" xr:uid="{06C65B37-2DD6-4256-8BE0-3E184E3E1841}"/>
    <cellStyle name="AggOrange 2 3 3 41" xfId="19893" xr:uid="{74E7B2B6-4F31-4678-9680-CC464B6FB481}"/>
    <cellStyle name="AggOrange 2 3 3 42" xfId="20515" xr:uid="{C549C167-777D-4CC1-B4FF-2DA946178452}"/>
    <cellStyle name="AggOrange 2 3 3 43" xfId="20968" xr:uid="{FE6610E1-3FB9-4C23-8643-8459F05391E5}"/>
    <cellStyle name="AggOrange 2 3 3 44" xfId="21442" xr:uid="{F3F367F7-9BD4-4C95-AAFD-C920B685943F}"/>
    <cellStyle name="AggOrange 2 3 3 45" xfId="21899" xr:uid="{35EDADB9-92EC-4BFF-8A86-7BAA6185D668}"/>
    <cellStyle name="AggOrange 2 3 3 46" xfId="22335" xr:uid="{E28CEA4A-BF18-4D61-A9BC-F949C41BAEEB}"/>
    <cellStyle name="AggOrange 2 3 3 47" xfId="21912" xr:uid="{A1C1E2A3-DA46-49B2-BF45-54E61FCA9129}"/>
    <cellStyle name="AggOrange 2 3 3 48" xfId="23273" xr:uid="{9C7D291F-1592-4FBB-8887-FC0B777085C5}"/>
    <cellStyle name="AggOrange 2 3 3 49" xfId="23500" xr:uid="{4B6C07CA-9743-4C94-BAD5-4B97506257C0}"/>
    <cellStyle name="AggOrange 2 3 3 5" xfId="2333" xr:uid="{73015943-07F1-483D-91F8-EF19910B6AFD}"/>
    <cellStyle name="AggOrange 2 3 3 50" xfId="23702" xr:uid="{C4680F8C-4797-43EA-906B-2661D0E98C62}"/>
    <cellStyle name="AggOrange 2 3 3 51" xfId="24601" xr:uid="{FF196956-4D7E-4972-9909-CCFE0A8FA3EA}"/>
    <cellStyle name="AggOrange 2 3 3 52" xfId="25224" xr:uid="{FC750729-B223-4396-8177-181CE87BAE09}"/>
    <cellStyle name="AggOrange 2 3 3 53" xfId="25519" xr:uid="{CE5FDBEB-C14B-404F-8443-01BB6484D898}"/>
    <cellStyle name="AggOrange 2 3 3 54" xfId="25516" xr:uid="{F62AAEB2-835D-450B-A57F-2137DE86AB27}"/>
    <cellStyle name="AggOrange 2 3 3 55" xfId="24439" xr:uid="{0A08B6C2-4DEB-4FC7-9437-ECED8928B5A4}"/>
    <cellStyle name="AggOrange 2 3 3 56" xfId="26809" xr:uid="{1986B94C-B6BA-4047-B5F3-071E13E01200}"/>
    <cellStyle name="AggOrange 2 3 3 57" xfId="27228" xr:uid="{38B2FA91-B84E-4232-A4AB-E3DE5F0CF31B}"/>
    <cellStyle name="AggOrange 2 3 3 58" xfId="25039" xr:uid="{AAE0B5DD-A760-4729-A85D-A62F3A656862}"/>
    <cellStyle name="AggOrange 2 3 3 59" xfId="28351" xr:uid="{9EF54451-57E8-49BF-9585-5ED92B6CA731}"/>
    <cellStyle name="AggOrange 2 3 3 6" xfId="1855" xr:uid="{3B79999C-A0BF-4595-A2AF-32A6069B1815}"/>
    <cellStyle name="AggOrange 2 3 3 60" xfId="28819" xr:uid="{6563A0C6-0039-47C8-834C-F5FD294A7E05}"/>
    <cellStyle name="AggOrange 2 3 3 61" xfId="29364" xr:uid="{16FD6A67-1C7C-4A49-9425-D96DA605B83C}"/>
    <cellStyle name="AggOrange 2 3 3 62" xfId="29609" xr:uid="{EBAD683B-1BBF-431D-A65F-DA3FD6F1DFB8}"/>
    <cellStyle name="AggOrange 2 3 3 63" xfId="30017" xr:uid="{7EDE3F03-BD83-462D-95F2-981893E5FF0D}"/>
    <cellStyle name="AggOrange 2 3 3 64" xfId="30431" xr:uid="{658FB867-E517-44AE-A553-778A77CFB690}"/>
    <cellStyle name="AggOrange 2 3 3 65" xfId="30835" xr:uid="{04C839DE-1C56-4863-B880-6636789126DD}"/>
    <cellStyle name="AggOrange 2 3 3 66" xfId="31055" xr:uid="{72A74970-1B28-4C79-A996-8922757482D0}"/>
    <cellStyle name="AggOrange 2 3 3 67" xfId="31741" xr:uid="{A7BCE2D6-D45B-4403-A6D5-43DC0913CD3C}"/>
    <cellStyle name="AggOrange 2 3 3 68" xfId="31563" xr:uid="{108A5189-D09B-46D5-A224-C05ACC2046AD}"/>
    <cellStyle name="AggOrange 2 3 3 7" xfId="2964" xr:uid="{04B9FF80-8CD0-46FF-9E5E-9CCCBC0FBF8B}"/>
    <cellStyle name="AggOrange 2 3 3 8" xfId="3829" xr:uid="{A14D398F-6A79-44CE-BA71-AE27B89C14EE}"/>
    <cellStyle name="AggOrange 2 3 3 9" xfId="4267" xr:uid="{ED26C394-BD50-4571-8203-CA9E7689FD7F}"/>
    <cellStyle name="AggOrange 2 3 30" xfId="13927" xr:uid="{66075BDE-7EDD-4593-9905-A5176268278B}"/>
    <cellStyle name="AggOrange 2 3 31" xfId="11603" xr:uid="{9FAA2426-8C24-420C-8199-78E30280408E}"/>
    <cellStyle name="AggOrange 2 3 32" xfId="13787" xr:uid="{46A8E922-3976-4324-BE49-41D83E5CC3B2}"/>
    <cellStyle name="AggOrange 2 3 33" xfId="15025" xr:uid="{222FACA2-498C-4B27-986D-F8944B6F27C4}"/>
    <cellStyle name="AggOrange 2 3 34" xfId="15678" xr:uid="{BFE4D740-1A2B-49D0-A5D9-8CD59DD009D8}"/>
    <cellStyle name="AggOrange 2 3 35" xfId="15220" xr:uid="{C4913739-D3F4-41BB-9A17-7D4393B2AF9A}"/>
    <cellStyle name="AggOrange 2 3 36" xfId="16316" xr:uid="{81892DC1-119D-4C85-99DC-7E5D2A8DD651}"/>
    <cellStyle name="AggOrange 2 3 37" xfId="16968" xr:uid="{1521FA4B-DE6D-4875-96EC-D290118060B3}"/>
    <cellStyle name="AggOrange 2 3 38" xfId="17419" xr:uid="{B28557BD-18D8-44EE-A2E6-3290C48A52A1}"/>
    <cellStyle name="AggOrange 2 3 39" xfId="17978" xr:uid="{C0350170-4AFD-403E-89B1-B8E96A0F9FEF}"/>
    <cellStyle name="AggOrange 2 3 4" xfId="526" xr:uid="{9F847DFA-34DC-49EA-B221-03452BFD4A71}"/>
    <cellStyle name="AggOrange 2 3 4 10" xfId="3610" xr:uid="{B2243993-C93A-4538-A339-DBF857A9A4D0}"/>
    <cellStyle name="AggOrange 2 3 4 11" xfId="5174" xr:uid="{D43A15AF-9A1B-4F0D-A710-96FF29E2FD00}"/>
    <cellStyle name="AggOrange 2 3 4 12" xfId="4939" xr:uid="{087991E3-9875-48B7-893A-758DC2FB7814}"/>
    <cellStyle name="AggOrange 2 3 4 13" xfId="6142" xr:uid="{ABE5BE11-49A4-4D65-8DA8-EAA928340751}"/>
    <cellStyle name="AggOrange 2 3 4 14" xfId="3669" xr:uid="{220C440A-6AEF-4613-98CD-E813CBD11081}"/>
    <cellStyle name="AggOrange 2 3 4 15" xfId="7246" xr:uid="{03A8802F-2E64-4E59-B9C3-EC2C87FBB4DD}"/>
    <cellStyle name="AggOrange 2 3 4 16" xfId="7856" xr:uid="{2614F22F-9C54-4D9B-BAD9-A10FED756E82}"/>
    <cellStyle name="AggOrange 2 3 4 17" xfId="8657" xr:uid="{B735E3D0-601B-427F-B84A-8D7EFE34A5B7}"/>
    <cellStyle name="AggOrange 2 3 4 18" xfId="8878" xr:uid="{468A795F-B2D3-4F88-ACFA-15907D5F9C2C}"/>
    <cellStyle name="AggOrange 2 3 4 19" xfId="9460" xr:uid="{656D08B2-74CC-4D33-BEE1-81F4B9B258E4}"/>
    <cellStyle name="AggOrange 2 3 4 2" xfId="741" xr:uid="{76361F92-1AF8-4631-B267-9F490A778225}"/>
    <cellStyle name="AggOrange 2 3 4 2 10" xfId="5389" xr:uid="{FD88105E-D04E-4662-98DF-46BEAF535F03}"/>
    <cellStyle name="AggOrange 2 3 4 2 11" xfId="5318" xr:uid="{CDAA46E1-6AC7-4503-ADF1-CF58BC8D0FED}"/>
    <cellStyle name="AggOrange 2 3 4 2 12" xfId="5892" xr:uid="{DE2C37D3-E0EA-4BB4-9455-E104CA5DC71E}"/>
    <cellStyle name="AggOrange 2 3 4 2 13" xfId="6408" xr:uid="{EF330D60-A3CD-4344-AC26-38E2720C58B0}"/>
    <cellStyle name="AggOrange 2 3 4 2 14" xfId="7461" xr:uid="{3E048694-B6EE-43FD-B4B9-5C5BC2108248}"/>
    <cellStyle name="AggOrange 2 3 4 2 15" xfId="6784" xr:uid="{E27C77D0-A3F6-4F22-8BFA-B8076CF75672}"/>
    <cellStyle name="AggOrange 2 3 4 2 16" xfId="7044" xr:uid="{3B2FE5A8-DCEA-47C2-8DDD-FA530E14922C}"/>
    <cellStyle name="AggOrange 2 3 4 2 17" xfId="8774" xr:uid="{77CA8A23-514C-496E-8517-4B0FB0F40B74}"/>
    <cellStyle name="AggOrange 2 3 4 2 18" xfId="9675" xr:uid="{FB1A7F64-9EDB-4A6A-A1F3-F1B0BB4F5D90}"/>
    <cellStyle name="AggOrange 2 3 4 2 19" xfId="8996" xr:uid="{16EBA94C-9E4C-471F-9B5D-52E938FC5127}"/>
    <cellStyle name="AggOrange 2 3 4 2 2" xfId="1215" xr:uid="{EB483BC0-DC26-48BC-8365-AA75C2BD2477}"/>
    <cellStyle name="AggOrange 2 3 4 2 20" xfId="10024" xr:uid="{229A01DE-BB1C-4F45-AF95-236D7865E446}"/>
    <cellStyle name="AggOrange 2 3 4 2 21" xfId="10010" xr:uid="{1F4B6EE8-19BF-451C-8085-61060E9B6DFF}"/>
    <cellStyle name="AggOrange 2 3 4 2 22" xfId="11093" xr:uid="{006B18F0-8FC5-4D37-9261-8D4973D4ACCF}"/>
    <cellStyle name="AggOrange 2 3 4 2 23" xfId="12094" xr:uid="{C53E47D5-AD60-462A-A83D-C8CFA4D03CC2}"/>
    <cellStyle name="AggOrange 2 3 4 2 24" xfId="12567" xr:uid="{F5DBA6E5-C30A-4A8B-8939-9FA67BCD1B20}"/>
    <cellStyle name="AggOrange 2 3 4 2 25" xfId="13001" xr:uid="{0C504F68-BD7E-4773-824C-78E332C439D1}"/>
    <cellStyle name="AggOrange 2 3 4 2 26" xfId="13438" xr:uid="{00772809-2C69-4CA6-953B-A4859EE43297}"/>
    <cellStyle name="AggOrange 2 3 4 2 27" xfId="12318" xr:uid="{A1289B46-FC61-4509-BC53-CB1B46C2E308}"/>
    <cellStyle name="AggOrange 2 3 4 2 28" xfId="13620" xr:uid="{671A0A27-61F6-4DF3-8B7C-4A20B4CA2A93}"/>
    <cellStyle name="AggOrange 2 3 4 2 29" xfId="14217" xr:uid="{87B753D1-7E03-4368-9791-AE92114863F2}"/>
    <cellStyle name="AggOrange 2 3 4 2 3" xfId="1436" xr:uid="{8D0A622B-4D55-4EFF-BA0A-086075F28934}"/>
    <cellStyle name="AggOrange 2 3 4 2 30" xfId="15067" xr:uid="{DD37CB72-E571-47CD-AD56-A12928B2BF15}"/>
    <cellStyle name="AggOrange 2 3 4 2 31" xfId="15295" xr:uid="{33E35B2B-2640-4B2D-B6AC-8042B75FD6DE}"/>
    <cellStyle name="AggOrange 2 3 4 2 32" xfId="15358" xr:uid="{B97854FB-779F-4054-A933-4746F83EDD9F}"/>
    <cellStyle name="AggOrange 2 3 4 2 33" xfId="16786" xr:uid="{B610C43D-594F-460D-AEB4-D473E65680FD}"/>
    <cellStyle name="AggOrange 2 3 4 2 34" xfId="16093" xr:uid="{85401021-2162-484C-8CE5-F70B76902CD0}"/>
    <cellStyle name="AggOrange 2 3 4 2 35" xfId="17141" xr:uid="{FA82E73A-4969-453B-B223-C198457B995A}"/>
    <cellStyle name="AggOrange 2 3 4 2 36" xfId="17998" xr:uid="{2ED5CEE1-BF06-4F60-900B-918A86CE50E0}"/>
    <cellStyle name="AggOrange 2 3 4 2 37" xfId="18604" xr:uid="{A976C8D3-BBC0-4340-95D4-F9A06F13D91D}"/>
    <cellStyle name="AggOrange 2 3 4 2 38" xfId="18890" xr:uid="{FE7112EB-3DF5-4E3E-AD47-0F453E5E6AC6}"/>
    <cellStyle name="AggOrange 2 3 4 2 39" xfId="18260" xr:uid="{F23C397B-1509-4277-94EE-5603EF42A118}"/>
    <cellStyle name="AggOrange 2 3 4 2 4" xfId="2563" xr:uid="{F10742DC-5DFE-4FDC-94DB-6B961E3E025A}"/>
    <cellStyle name="AggOrange 2 3 4 2 40" xfId="20123" xr:uid="{C8B690F4-8544-4EDD-A42B-F462F0D50A27}"/>
    <cellStyle name="AggOrange 2 3 4 2 41" xfId="19426" xr:uid="{197988A0-2136-4D88-85F0-C5F74CC7489A}"/>
    <cellStyle name="AggOrange 2 3 4 2 42" xfId="19867" xr:uid="{A6F25718-7494-4110-A18E-2D597407DC6C}"/>
    <cellStyle name="AggOrange 2 3 4 2 43" xfId="21396" xr:uid="{43FA302A-0FCA-4CC9-A287-FBD3EDA7B8A0}"/>
    <cellStyle name="AggOrange 2 3 4 2 44" xfId="21108" xr:uid="{76BDDD85-266B-4CD7-97FF-A878F0869C35}"/>
    <cellStyle name="AggOrange 2 3 4 2 45" xfId="21877" xr:uid="{E4012871-0D44-40DF-84D7-0806AE4CE192}"/>
    <cellStyle name="AggOrange 2 3 4 2 46" xfId="22192" xr:uid="{86FC8DCC-687D-44D0-B83B-8839CC297C62}"/>
    <cellStyle name="AggOrange 2 3 4 2 47" xfId="23164" xr:uid="{D8BD34FC-54F6-4711-894D-F1AA96A8560C}"/>
    <cellStyle name="AggOrange 2 3 4 2 48" xfId="22542" xr:uid="{50103056-D67D-45DA-B308-8BC523FBA4B0}"/>
    <cellStyle name="AggOrange 2 3 4 2 49" xfId="23923" xr:uid="{C312EA77-9CCE-4C8A-8B8A-2B70D0056405}"/>
    <cellStyle name="AggOrange 2 3 4 2 5" xfId="2312" xr:uid="{37D3B46C-4515-4054-97C7-45B635AF7A7D}"/>
    <cellStyle name="AggOrange 2 3 4 2 50" xfId="24831" xr:uid="{3B61D8F4-3277-4497-A9A8-B692D390EEA9}"/>
    <cellStyle name="AggOrange 2 3 4 2 51" xfId="24149" xr:uid="{0D8389A9-120B-446F-9EFE-5B2D9C68A044}"/>
    <cellStyle name="AggOrange 2 3 4 2 52" xfId="25747" xr:uid="{852C4AB1-0284-4DD1-B017-15DCB17685FF}"/>
    <cellStyle name="AggOrange 2 3 4 2 53" xfId="25292" xr:uid="{EFF2CDFB-8EF3-48A1-9DF0-0E2A60C4C31E}"/>
    <cellStyle name="AggOrange 2 3 4 2 54" xfId="26098" xr:uid="{E4AB3798-E78C-4B8C-96B5-5E82C5B6A152}"/>
    <cellStyle name="AggOrange 2 3 4 2 55" xfId="27035" xr:uid="{E28073AD-18EF-46F0-B393-1DB7EFC86533}"/>
    <cellStyle name="AggOrange 2 3 4 2 56" xfId="27454" xr:uid="{5966D8EB-2A73-4EC6-8618-CC48FD466525}"/>
    <cellStyle name="AggOrange 2 3 4 2 57" xfId="26640" xr:uid="{1D8F9B54-AC2F-4475-85AE-357D2F293A89}"/>
    <cellStyle name="AggOrange 2 3 4 2 58" xfId="28581" xr:uid="{5D9A35ED-8D43-42C3-9E5E-1E8CA23218B7}"/>
    <cellStyle name="AggOrange 2 3 4 2 59" xfId="29048" xr:uid="{421B514C-EED4-45B4-B71A-7990F35655E2}"/>
    <cellStyle name="AggOrange 2 3 4 2 6" xfId="3109" xr:uid="{49CE2AEC-256A-404D-9C48-FF2AEF968ADC}"/>
    <cellStyle name="AggOrange 2 3 4 2 60" xfId="28333" xr:uid="{95E5BB4C-9700-4201-A9FD-0DC32FBAD46A}"/>
    <cellStyle name="AggOrange 2 3 4 2 61" xfId="29837" xr:uid="{956717EC-F5C8-4EAE-A03C-9FE8650DD4A5}"/>
    <cellStyle name="AggOrange 2 3 4 2 62" xfId="30243" xr:uid="{29140EAC-D71F-404C-A0E7-60589BC60953}"/>
    <cellStyle name="AggOrange 2 3 4 2 63" xfId="30660" xr:uid="{B7648489-7933-47E9-AAA9-9DB68644C7C2}"/>
    <cellStyle name="AggOrange 2 3 4 2 64" xfId="28176" xr:uid="{01140C53-C117-4494-BF84-B4E04CB297EF}"/>
    <cellStyle name="AggOrange 2 3 4 2 65" xfId="31276" xr:uid="{3D76781B-76C6-4A7D-8D88-869E2A053E03}"/>
    <cellStyle name="AggOrange 2 3 4 2 66" xfId="31967" xr:uid="{6E03B4EF-BCFE-4668-8F31-541AE86548E2}"/>
    <cellStyle name="AggOrange 2 3 4 2 67" xfId="31706" xr:uid="{971D7005-0997-434F-BFBA-495FB69E6F68}"/>
    <cellStyle name="AggOrange 2 3 4 2 7" xfId="4059" xr:uid="{3E70C622-BFE1-4C8B-8FBE-05D03B7921AF}"/>
    <cellStyle name="AggOrange 2 3 4 2 8" xfId="4496" xr:uid="{9A3A72C9-E36D-4E15-AEC2-F8AB06B9DE8B}"/>
    <cellStyle name="AggOrange 2 3 4 2 9" xfId="2181" xr:uid="{EE29D27B-0F49-4890-93E8-B90093801689}"/>
    <cellStyle name="AggOrange 2 3 4 20" xfId="10069" xr:uid="{BA33B116-CC15-4027-8124-2FE613A5C8E3}"/>
    <cellStyle name="AggOrange 2 3 4 21" xfId="10486" xr:uid="{2DE9271B-FF34-446A-B599-2CB13DD58143}"/>
    <cellStyle name="AggOrange 2 3 4 22" xfId="10834" xr:uid="{D718AAEC-B9FB-475D-B8C4-2E044FF06368}"/>
    <cellStyle name="AggOrange 2 3 4 23" xfId="11139" xr:uid="{28EA8F9E-9FA6-4B5A-B04B-648E3F88C3A5}"/>
    <cellStyle name="AggOrange 2 3 4 24" xfId="11879" xr:uid="{573E52E7-124F-4965-B4EE-A22DA7769A2B}"/>
    <cellStyle name="AggOrange 2 3 4 25" xfId="12352" xr:uid="{F50C6174-7DED-4FAE-9AE9-D3A79B000CA6}"/>
    <cellStyle name="AggOrange 2 3 4 26" xfId="12786" xr:uid="{D10552FF-155B-4843-81A7-30B1C6EF61F2}"/>
    <cellStyle name="AggOrange 2 3 4 27" xfId="13223" xr:uid="{3DA8C17C-DC56-4849-B9B5-5C2961A525DC}"/>
    <cellStyle name="AggOrange 2 3 4 28" xfId="11460" xr:uid="{5B130D3F-64F7-4C42-A239-AD6B972CC084}"/>
    <cellStyle name="AggOrange 2 3 4 29" xfId="14295" xr:uid="{A8864AD5-B1B2-4B13-8BA9-5B42D2F7BA39}"/>
    <cellStyle name="AggOrange 2 3 4 3" xfId="1009" xr:uid="{F9165D8E-58EA-4CA4-9232-E5F0437227C0}"/>
    <cellStyle name="AggOrange 2 3 4 30" xfId="14717" xr:uid="{CED233DB-C451-4422-86D5-41422A09CC12}"/>
    <cellStyle name="AggOrange 2 3 4 31" xfId="14565" xr:uid="{56FACCDF-055E-4DCA-8424-38516679F932}"/>
    <cellStyle name="AggOrange 2 3 4 32" xfId="13682" xr:uid="{5EDE9F8E-6980-42F7-864A-E70F89418354}"/>
    <cellStyle name="AggOrange 2 3 4 33" xfId="15891" xr:uid="{9FF6AA4A-6829-4B33-B2A3-C8945EB68705}"/>
    <cellStyle name="AggOrange 2 3 4 34" xfId="16571" xr:uid="{6F582586-EF6E-4361-A8FE-1B9456230050}"/>
    <cellStyle name="AggOrange 2 3 4 35" xfId="17186" xr:uid="{522EB91D-F88D-4D72-9B77-B2DFDDF71C80}"/>
    <cellStyle name="AggOrange 2 3 4 36" xfId="17632" xr:uid="{E7EFCD4C-A6F4-4694-9C87-4554834FC96D}"/>
    <cellStyle name="AggOrange 2 3 4 37" xfId="16165" xr:uid="{C7A63787-F362-4EB7-A01B-7007B2610D27}"/>
    <cellStyle name="AggOrange 2 3 4 38" xfId="18389" xr:uid="{1EFDF15D-B839-4C45-8BA2-338C3D1380D1}"/>
    <cellStyle name="AggOrange 2 3 4 39" xfId="19051" xr:uid="{35F2F3E4-DFE0-4BAD-BF9A-6B26F213D6C6}"/>
    <cellStyle name="AggOrange 2 3 4 4" xfId="1497" xr:uid="{F5B115CA-7690-4D23-AFFC-83490263540A}"/>
    <cellStyle name="AggOrange 2 3 4 40" xfId="19326" xr:uid="{6437F59B-B47B-4F4C-902A-E320D3E4E68A}"/>
    <cellStyle name="AggOrange 2 3 4 41" xfId="19908" xr:uid="{27A57218-8FF3-4D00-84B0-97CBCAE26027}"/>
    <cellStyle name="AggOrange 2 3 4 42" xfId="20539" xr:uid="{691A4F8F-20D0-4092-8844-B3A45760D070}"/>
    <cellStyle name="AggOrange 2 3 4 43" xfId="20992" xr:uid="{E824CDF7-781F-4F1D-995E-00889D644EEC}"/>
    <cellStyle name="AggOrange 2 3 4 44" xfId="21373" xr:uid="{FA753592-F5E9-45C5-8870-795369DF4E54}"/>
    <cellStyle name="AggOrange 2 3 4 45" xfId="21923" xr:uid="{CE40A85F-504D-440E-B72E-C5D83D32D950}"/>
    <cellStyle name="AggOrange 2 3 4 46" xfId="22357" xr:uid="{3E1AB4F8-DDFE-4029-B5A8-46D56166E497}"/>
    <cellStyle name="AggOrange 2 3 4 47" xfId="21968" xr:uid="{AEBD3928-D038-4B82-B02B-E527003713F6}"/>
    <cellStyle name="AggOrange 2 3 4 48" xfId="23329" xr:uid="{9637F7DD-B2ED-4C0F-A833-9AFCD4959CD4}"/>
    <cellStyle name="AggOrange 2 3 4 49" xfId="23648" xr:uid="{763EFC26-C9A5-42AF-9056-5070656861BC}"/>
    <cellStyle name="AggOrange 2 3 4 5" xfId="2348" xr:uid="{9139FCFA-AEF3-468B-8680-D64B915A0086}"/>
    <cellStyle name="AggOrange 2 3 4 50" xfId="23717" xr:uid="{EA366F9D-BA7F-44B7-8707-46EA739638F4}"/>
    <cellStyle name="AggOrange 2 3 4 51" xfId="24616" xr:uid="{EAA73588-CE25-42BD-8EC7-7F292F2A2348}"/>
    <cellStyle name="AggOrange 2 3 4 52" xfId="25247" xr:uid="{F74D2A07-1CA9-4C83-9FAA-011A04BD7264}"/>
    <cellStyle name="AggOrange 2 3 4 53" xfId="25534" xr:uid="{A15E425F-79BA-4747-8E75-552D891A7B2F}"/>
    <cellStyle name="AggOrange 2 3 4 54" xfId="25485" xr:uid="{CF4DD114-2D5D-424E-AB66-32CCE9A402E6}"/>
    <cellStyle name="AggOrange 2 3 4 55" xfId="25950" xr:uid="{18B17CBE-D337-4203-8470-63070E2F9FC2}"/>
    <cellStyle name="AggOrange 2 3 4 56" xfId="26824" xr:uid="{7AC296E1-A787-4D7D-B606-5C2AC2C6F930}"/>
    <cellStyle name="AggOrange 2 3 4 57" xfId="27243" xr:uid="{A4AFB321-2117-459B-A827-D004744471BB}"/>
    <cellStyle name="AggOrange 2 3 4 58" xfId="27749" xr:uid="{0FF47EC2-7688-41A1-8DE3-911AD1DF3866}"/>
    <cellStyle name="AggOrange 2 3 4 59" xfId="28366" xr:uid="{CD22F8F8-5D80-475F-AEA6-522030862EB9}"/>
    <cellStyle name="AggOrange 2 3 4 6" xfId="2287" xr:uid="{ED5EF810-CB6D-4125-AB63-C5AF75691209}"/>
    <cellStyle name="AggOrange 2 3 4 60" xfId="28834" xr:uid="{C2241161-EE03-4FCF-822E-794FAFDD577A}"/>
    <cellStyle name="AggOrange 2 3 4 61" xfId="29384" xr:uid="{52EAB764-EF67-45EE-BC83-2A0746B9C454}"/>
    <cellStyle name="AggOrange 2 3 4 62" xfId="29624" xr:uid="{BA7AAA8C-95E5-4C44-824C-E6B510AF9BA5}"/>
    <cellStyle name="AggOrange 2 3 4 63" xfId="30032" xr:uid="{EF410F84-3E54-4932-95A8-C100C1AEAEB0}"/>
    <cellStyle name="AggOrange 2 3 4 64" xfId="30446" xr:uid="{1CD448B9-9EA5-4B99-9FAD-BA1C43F96BE3}"/>
    <cellStyle name="AggOrange 2 3 4 65" xfId="30962" xr:uid="{6E34EA08-91D6-4EDC-9E96-B649712A17D0}"/>
    <cellStyle name="AggOrange 2 3 4 66" xfId="31070" xr:uid="{48F36A8F-6ECC-4512-86A2-EF78890BDBBA}"/>
    <cellStyle name="AggOrange 2 3 4 67" xfId="31756" xr:uid="{B140AD2D-BB7D-4E20-91CE-8449A02EF5CA}"/>
    <cellStyle name="AggOrange 2 3 4 68" xfId="31714" xr:uid="{66D468A2-EBA0-45EB-AAD3-ADFED0271BC6}"/>
    <cellStyle name="AggOrange 2 3 4 7" xfId="3760" xr:uid="{7A9EA631-3CFF-4A6B-B447-E84D0EC4BF53}"/>
    <cellStyle name="AggOrange 2 3 4 8" xfId="3844" xr:uid="{890E7FD9-4098-4E9A-B804-F5CB0A8FE402}"/>
    <cellStyle name="AggOrange 2 3 4 9" xfId="4282" xr:uid="{BD436131-4252-4B3F-BE27-98B997B5DA2C}"/>
    <cellStyle name="AggOrange 2 3 40" xfId="17139" xr:uid="{EFC8ED97-FE42-498D-957C-35972CC87134}"/>
    <cellStyle name="AggOrange 2 3 41" xfId="17959" xr:uid="{F362E5C2-1552-4E97-9F40-6A1115B7D36E}"/>
    <cellStyle name="AggOrange 2 3 42" xfId="19227" xr:uid="{CCC52650-9FA1-47A5-84AC-AD28E89FD65C}"/>
    <cellStyle name="AggOrange 2 3 43" xfId="19649" xr:uid="{A0722FB9-25F9-4354-8704-55FB5793BB29}"/>
    <cellStyle name="AggOrange 2 3 44" xfId="20315" xr:uid="{BDE7A8E5-8267-4419-816A-43B4315190A2}"/>
    <cellStyle name="AggOrange 2 3 45" xfId="20771" xr:uid="{1063FBA9-8024-46EF-BB71-2A1427A68A18}"/>
    <cellStyle name="AggOrange 2 3 46" xfId="19660" xr:uid="{2A58A0F7-9492-4B0F-A070-48357A424BFF}"/>
    <cellStyle name="AggOrange 2 3 47" xfId="21099" xr:uid="{97D5D367-2A22-400B-8277-D90BDEF22B60}"/>
    <cellStyle name="AggOrange 2 3 48" xfId="22020" xr:uid="{E5615208-79D0-4AA6-ACBA-DE7DD3888A9C}"/>
    <cellStyle name="AggOrange 2 3 49" xfId="22903" xr:uid="{412E2C06-5882-4DF1-869E-8082C7161450}"/>
    <cellStyle name="AggOrange 2 3 5" xfId="942" xr:uid="{3B9A43DC-8E62-493E-8750-A6C44F5E2F25}"/>
    <cellStyle name="AggOrange 2 3 50" xfId="22641" xr:uid="{79045A57-49B0-49C2-A45D-7378613CAA1B}"/>
    <cellStyle name="AggOrange 2 3 51" xfId="22748" xr:uid="{F2599728-9727-4B26-9BB7-F22A115C2006}"/>
    <cellStyle name="AggOrange 2 3 52" xfId="23581" xr:uid="{10D4CFE7-D23F-4A08-A48C-C0287A4D5946}"/>
    <cellStyle name="AggOrange 2 3 53" xfId="24369" xr:uid="{A5D15F71-A51D-4069-9D3D-CB3BA887A7B4}"/>
    <cellStyle name="AggOrange 2 3 54" xfId="25033" xr:uid="{80DDA845-BF53-42A4-B559-8F02AA997A26}"/>
    <cellStyle name="AggOrange 2 3 55" xfId="24141" xr:uid="{9DB1E429-6E2A-4551-A51F-8F44BFE1CADD}"/>
    <cellStyle name="AggOrange 2 3 56" xfId="26046" xr:uid="{DB1A6006-7775-47DE-8C84-2296FE132336}"/>
    <cellStyle name="AggOrange 2 3 57" xfId="26311" xr:uid="{5AB66C6A-8A5F-42DF-83A9-4285340CAF9B}"/>
    <cellStyle name="AggOrange 2 3 58" xfId="26455" xr:uid="{5D44891A-FD95-43CD-8075-6AAAD558709B}"/>
    <cellStyle name="AggOrange 2 3 59" xfId="26807" xr:uid="{9C062947-86A4-4F2D-A6E4-1662CF656762}"/>
    <cellStyle name="AggOrange 2 3 6" xfId="1587" xr:uid="{4046E46A-798D-4ABC-9B26-8C1332983D64}"/>
    <cellStyle name="AggOrange 2 3 60" xfId="26447" xr:uid="{7493569F-DAE1-4414-BB98-0F1883958701}"/>
    <cellStyle name="AggOrange 2 3 61" xfId="28140" xr:uid="{4C1A51E0-1077-49F5-8673-8D680F1F367F}"/>
    <cellStyle name="AggOrange 2 3 62" xfId="28016" xr:uid="{9C5E64AA-0A9E-43FA-8C64-F65DAFFA5842}"/>
    <cellStyle name="AggOrange 2 3 63" xfId="28127" xr:uid="{4A6C6F27-9CEF-4C3E-B6A7-F17170CE0E23}"/>
    <cellStyle name="AggOrange 2 3 64" xfId="29408" xr:uid="{2BE6472B-A247-4678-8CC5-8137928E90C7}"/>
    <cellStyle name="AggOrange 2 3 65" xfId="28004" xr:uid="{1854D2DA-64BE-4957-90F9-AEB958C522A9}"/>
    <cellStyle name="AggOrange 2 3 66" xfId="30203" xr:uid="{2DE9BA89-4D22-4DB6-9E18-F6B1D637E840}"/>
    <cellStyle name="AggOrange 2 3 67" xfId="28739" xr:uid="{CD96C664-EE8D-446B-9615-5855DE1D3361}"/>
    <cellStyle name="AggOrange 2 3 68" xfId="30016" xr:uid="{D7FBBFF6-98DC-484C-AE4B-0A4FA3F8C7B2}"/>
    <cellStyle name="AggOrange 2 3 69" xfId="31592" xr:uid="{BE22C489-9513-4E31-9C5E-BE38DBF0FF21}"/>
    <cellStyle name="AggOrange 2 3 7" xfId="2089" xr:uid="{75C8F485-FFBA-4632-9346-A80D84BF8242}"/>
    <cellStyle name="AggOrange 2 3 70" xfId="32118" xr:uid="{C2FEA4CD-E41B-44D2-9A70-94A9E02AF68F}"/>
    <cellStyle name="AggOrange 2 3 8" xfId="3095" xr:uid="{23332FA1-53DD-4805-9F7C-C006C6EEE789}"/>
    <cellStyle name="AggOrange 2 3 9" xfId="2949" xr:uid="{BF601DC0-B09E-4458-BCD3-F7AC60A22893}"/>
    <cellStyle name="AggOrange 3" xfId="406" xr:uid="{79E06FD6-AC3F-4AAD-9C6E-8EE2F52B136D}"/>
    <cellStyle name="AggOrange 3 2" xfId="646" xr:uid="{FF29BFCB-280E-4B96-B520-07915E432E6F}"/>
    <cellStyle name="AggOrange 3 2 10" xfId="4773" xr:uid="{6623524C-922D-44D6-A9F8-487B6AA7AB67}"/>
    <cellStyle name="AggOrange 3 2 11" xfId="5294" xr:uid="{86903E1A-7E96-4F2B-B5C8-B7F7E4DBD348}"/>
    <cellStyle name="AggOrange 3 2 12" xfId="5546" xr:uid="{C79825E1-D5B4-4A76-9937-5990F20A56FE}"/>
    <cellStyle name="AggOrange 3 2 13" xfId="3718" xr:uid="{322D3F95-5430-40E8-84A5-8F045EC39084}"/>
    <cellStyle name="AggOrange 3 2 14" xfId="5750" xr:uid="{8697505B-377D-452E-BC5F-31E5587B8226}"/>
    <cellStyle name="AggOrange 3 2 15" xfId="7366" xr:uid="{42D85E0C-B622-4705-9D00-3AFBBF29E91C}"/>
    <cellStyle name="AggOrange 3 2 16" xfId="7103" xr:uid="{A4595C98-4B9F-443A-88DD-EDE45ACF21B4}"/>
    <cellStyle name="AggOrange 3 2 17" xfId="8033" xr:uid="{C934CCE8-22CF-4AEC-8159-CDEEBD08DE73}"/>
    <cellStyle name="AggOrange 3 2 18" xfId="8148" xr:uid="{D9F29479-90E6-4283-B692-41621BF7A96A}"/>
    <cellStyle name="AggOrange 3 2 19" xfId="9580" xr:uid="{A4C1AE14-EF08-4F31-9D0B-36CC58CEDF3A}"/>
    <cellStyle name="AggOrange 3 2 2" xfId="861" xr:uid="{E07AEBAC-D16E-4D7B-9999-06D435183EEA}"/>
    <cellStyle name="AggOrange 3 2 2 10" xfId="5509" xr:uid="{7D7E074F-7400-4168-ABB0-EE435C539949}"/>
    <cellStyle name="AggOrange 3 2 2 11" xfId="5839" xr:uid="{EA21ECD8-12C6-477E-8FEF-9A52D42FB1A7}"/>
    <cellStyle name="AggOrange 3 2 2 12" xfId="5717" xr:uid="{4CD84289-1FBC-469E-AF79-D2CBF508938E}"/>
    <cellStyle name="AggOrange 3 2 2 13" xfId="6602" xr:uid="{D6355893-F18D-4543-BBA5-8C30AE27664A}"/>
    <cellStyle name="AggOrange 3 2 2 14" xfId="7581" xr:uid="{0B7AFE90-B570-4495-BE07-E50D140E2DEE}"/>
    <cellStyle name="AggOrange 3 2 2 15" xfId="7111" xr:uid="{9DE4C45D-25BC-4072-869B-9954D9807CAA}"/>
    <cellStyle name="AggOrange 3 2 2 16" xfId="8208" xr:uid="{FD990F86-CFE3-46D7-B84E-EEF918CA5032}"/>
    <cellStyle name="AggOrange 3 2 2 17" xfId="8463" xr:uid="{B7B25B48-7CDA-4122-9A84-82177C80B41D}"/>
    <cellStyle name="AggOrange 3 2 2 18" xfId="9795" xr:uid="{8C6261DF-4F1E-45CF-A64B-46E5F6C178E7}"/>
    <cellStyle name="AggOrange 3 2 2 19" xfId="9197" xr:uid="{9344440B-EC13-455F-A5A5-8895C5246194}"/>
    <cellStyle name="AggOrange 3 2 2 2" xfId="1335" xr:uid="{A4F5C276-7BCD-454D-83E9-3BED1750D86C}"/>
    <cellStyle name="AggOrange 3 2 2 20" xfId="9106" xr:uid="{AABDCF36-63BB-48B3-98CA-B371249D3827}"/>
    <cellStyle name="AggOrange 3 2 2 21" xfId="10315" xr:uid="{867786FA-B41C-45BE-A6E5-D1D7DB1ABC33}"/>
    <cellStyle name="AggOrange 3 2 2 22" xfId="11233" xr:uid="{CAA1AB5C-1F84-4297-B28B-B091829CBDDA}"/>
    <cellStyle name="AggOrange 3 2 2 23" xfId="12214" xr:uid="{357087E8-CA14-41A6-808F-A4549C572FF4}"/>
    <cellStyle name="AggOrange 3 2 2 24" xfId="12687" xr:uid="{9FE59B04-1FB3-4018-BE23-5CD6F8AC7D6D}"/>
    <cellStyle name="AggOrange 3 2 2 25" xfId="13121" xr:uid="{D7389817-87D7-467C-BA0A-0AA9111EB1F9}"/>
    <cellStyle name="AggOrange 3 2 2 26" xfId="13558" xr:uid="{2C57538C-4CC2-45A5-B62A-768C09D2D2FF}"/>
    <cellStyle name="AggOrange 3 2 2 27" xfId="12270" xr:uid="{AFF97759-BDB3-47E5-9345-FA5C9F891F56}"/>
    <cellStyle name="AggOrange 3 2 2 28" xfId="14477" xr:uid="{79AA5FB8-706F-47FD-9D8D-6A91A3F50861}"/>
    <cellStyle name="AggOrange 3 2 2 29" xfId="11511" xr:uid="{BED88CFF-BE8A-4834-A117-37B1098BBEFA}"/>
    <cellStyle name="AggOrange 3 2 2 3" xfId="1784" xr:uid="{39B04DD5-2E64-4B46-9354-47864E3B4F5B}"/>
    <cellStyle name="AggOrange 3 2 2 30" xfId="15194" xr:uid="{5A28BFA2-98C3-45E5-9A8E-518D6C35BC25}"/>
    <cellStyle name="AggOrange 3 2 2 31" xfId="15416" xr:uid="{A85A6965-A126-4FC7-A04D-2A0CB02763C2}"/>
    <cellStyle name="AggOrange 3 2 2 32" xfId="14776" xr:uid="{FF8EBCE8-CBCB-426B-9784-722B33EA954E}"/>
    <cellStyle name="AggOrange 3 2 2 33" xfId="16906" xr:uid="{196909F0-140D-464E-A6BC-49AEC9DD6492}"/>
    <cellStyle name="AggOrange 3 2 2 34" xfId="16433" xr:uid="{7DD752F9-DA5E-4C78-A368-E0108A066C23}"/>
    <cellStyle name="AggOrange 3 2 2 35" xfId="16996" xr:uid="{45208D39-58C5-4DED-BB0A-D4D6A17CBD00}"/>
    <cellStyle name="AggOrange 3 2 2 36" xfId="18157" xr:uid="{B09AC980-02E8-47CA-B4CB-97AC24F9F2ED}"/>
    <cellStyle name="AggOrange 3 2 2 37" xfId="18724" xr:uid="{069654BD-6FFE-4D64-BCD9-F194948DA01B}"/>
    <cellStyle name="AggOrange 3 2 2 38" xfId="18306" xr:uid="{E856C53B-E193-4DA7-A5B4-159A487D191B}"/>
    <cellStyle name="AggOrange 3 2 2 39" xfId="18763" xr:uid="{FB86DF96-E055-4A67-B4D6-061BA3B52344}"/>
    <cellStyle name="AggOrange 3 2 2 4" xfId="2683" xr:uid="{C436EF2E-B0E6-4758-96C0-0226F5C7C598}"/>
    <cellStyle name="AggOrange 3 2 2 40" xfId="20243" xr:uid="{F224CAC7-FA2F-418E-8EB1-D56068F8CFAD}"/>
    <cellStyle name="AggOrange 3 2 2 41" xfId="19765" xr:uid="{8B3DC140-AAA7-4C4B-B1D3-54D4F368BEE7}"/>
    <cellStyle name="AggOrange 3 2 2 42" xfId="19383" xr:uid="{F8916B99-FA00-432C-8FA0-43BECC2DB6E9}"/>
    <cellStyle name="AggOrange 3 2 2 43" xfId="20687" xr:uid="{6D333B98-8284-4596-95E7-01CD3BEBC4D9}"/>
    <cellStyle name="AggOrange 3 2 2 44" xfId="19879" xr:uid="{6273C048-C2E5-47FD-9A94-A6FEAF4EC732}"/>
    <cellStyle name="AggOrange 3 2 2 45" xfId="21371" xr:uid="{91098610-4A8E-41FB-96E0-BBEE95975E1E}"/>
    <cellStyle name="AggOrange 3 2 2 46" xfId="22464" xr:uid="{12C01534-7A3C-4986-8186-A6D2BBE5443D}"/>
    <cellStyle name="AggOrange 3 2 2 47" xfId="22834" xr:uid="{60330605-4661-4AB6-91E9-F670E975502A}"/>
    <cellStyle name="AggOrange 3 2 2 48" xfId="22410" xr:uid="{DCCDED74-0A85-4023-8D87-CAA431EB4B37}"/>
    <cellStyle name="AggOrange 3 2 2 49" xfId="24043" xr:uid="{010BBEDE-659F-4AA3-9188-2E6B5075AC62}"/>
    <cellStyle name="AggOrange 3 2 2 5" xfId="1885" xr:uid="{F35F6A06-90F7-4969-981E-D540FD67E80C}"/>
    <cellStyle name="AggOrange 3 2 2 50" xfId="24951" xr:uid="{7B5FEA18-A770-4BD9-BF7D-D2A16476D5F9}"/>
    <cellStyle name="AggOrange 3 2 2 51" xfId="24191" xr:uid="{AA8EDD8A-7D06-4FD9-A1AD-ED7448856442}"/>
    <cellStyle name="AggOrange 3 2 2 52" xfId="25867" xr:uid="{5C41C6D3-2A22-477E-A63D-8F338D5A4133}"/>
    <cellStyle name="AggOrange 3 2 2 53" xfId="25361" xr:uid="{01CA4AB5-1937-4816-9BEB-434CCB7B4B48}"/>
    <cellStyle name="AggOrange 3 2 2 54" xfId="26734" xr:uid="{49D99872-B6C1-4806-8E5B-6BDCB40437B7}"/>
    <cellStyle name="AggOrange 3 2 2 55" xfId="27155" xr:uid="{7C42D917-4083-4AEC-81E8-16E1EDAF6432}"/>
    <cellStyle name="AggOrange 3 2 2 56" xfId="27574" xr:uid="{941BC9C3-6AF3-4C42-8AD8-65C97804FC01}"/>
    <cellStyle name="AggOrange 3 2 2 57" xfId="27216" xr:uid="{41966137-463E-4ABE-B600-CE799473735C}"/>
    <cellStyle name="AggOrange 3 2 2 58" xfId="28701" xr:uid="{4414EDED-C95E-4B97-AEDA-6F460F9A0D89}"/>
    <cellStyle name="AggOrange 3 2 2 59" xfId="29168" xr:uid="{50BCAE46-46A9-44E7-A43C-FAE234F81783}"/>
    <cellStyle name="AggOrange 3 2 2 6" xfId="3352" xr:uid="{C47E5A52-F1FD-4D30-885F-DA5F10AD7C29}"/>
    <cellStyle name="AggOrange 3 2 2 60" xfId="28179" xr:uid="{6D9DF3B6-C3C2-4A88-BA25-5393E7214383}"/>
    <cellStyle name="AggOrange 3 2 2 61" xfId="29957" xr:uid="{CF4D76DA-2F28-487B-A874-4A15958638E5}"/>
    <cellStyle name="AggOrange 3 2 2 62" xfId="30363" xr:uid="{68437B69-FA43-49A8-A41B-5321BC833616}"/>
    <cellStyle name="AggOrange 3 2 2 63" xfId="30780" xr:uid="{9C5B2023-6974-4622-A2BD-79E15F40F374}"/>
    <cellStyle name="AggOrange 3 2 2 64" xfId="31025" xr:uid="{7C733A00-7063-49BA-8A90-40CAB90EE529}"/>
    <cellStyle name="AggOrange 3 2 2 65" xfId="31396" xr:uid="{481AFC3B-3C2F-4561-857F-D7CB808043CB}"/>
    <cellStyle name="AggOrange 3 2 2 66" xfId="32087" xr:uid="{FA5099A7-8B17-45FB-8BF3-72AA42C19D07}"/>
    <cellStyle name="AggOrange 3 2 2 67" xfId="32165" xr:uid="{8F2C09ED-7660-493C-AD82-E80FF0BE72EF}"/>
    <cellStyle name="AggOrange 3 2 2 7" xfId="4179" xr:uid="{C8E54054-4A37-4FAA-8AFB-068F4CC2485A}"/>
    <cellStyle name="AggOrange 3 2 2 8" xfId="4616" xr:uid="{13807F89-A709-40B2-B317-C792ADA2FBFC}"/>
    <cellStyle name="AggOrange 3 2 2 9" xfId="5062" xr:uid="{C885E498-1B73-4BBC-BC62-5850F590C342}"/>
    <cellStyle name="AggOrange 3 2 20" xfId="9189" xr:uid="{5AB27F11-E64A-4B59-8F86-7F95B54B650F}"/>
    <cellStyle name="AggOrange 3 2 21" xfId="10187" xr:uid="{BDA496AD-3B26-4A61-8672-53959560A986}"/>
    <cellStyle name="AggOrange 3 2 22" xfId="10920" xr:uid="{85E83205-6D8C-46BA-B9EE-895FBA4DB389}"/>
    <cellStyle name="AggOrange 3 2 23" xfId="11086" xr:uid="{B29D5296-A51B-49FF-BB65-5C7B51067488}"/>
    <cellStyle name="AggOrange 3 2 24" xfId="11999" xr:uid="{F2D77612-3155-4044-8BF6-B1D2C974875B}"/>
    <cellStyle name="AggOrange 3 2 25" xfId="12472" xr:uid="{F1ABD43F-3FFE-4A20-BC9D-702FE0E7FF1A}"/>
    <cellStyle name="AggOrange 3 2 26" xfId="12906" xr:uid="{09C71809-81B0-4520-9E49-958FDC580002}"/>
    <cellStyle name="AggOrange 3 2 27" xfId="13343" xr:uid="{7CDB0879-29DA-45D3-A707-AEF117131889}"/>
    <cellStyle name="AggOrange 3 2 28" xfId="13965" xr:uid="{6168E04D-ED6B-439D-A7AE-DC0EC750D513}"/>
    <cellStyle name="AggOrange 3 2 29" xfId="14399" xr:uid="{F69FA8DE-B33D-4D58-8C1D-63693E8F73AF}"/>
    <cellStyle name="AggOrange 3 2 3" xfId="1129" xr:uid="{A283DA37-6801-4EE7-9B1B-7B1EDE653352}"/>
    <cellStyle name="AggOrange 3 2 30" xfId="13186" xr:uid="{EEB455A2-8E67-4D5B-8921-54D8AC512DE7}"/>
    <cellStyle name="AggOrange 3 2 31" xfId="15290" xr:uid="{632A9955-5D4A-4BF5-9ED6-733E71798102}"/>
    <cellStyle name="AggOrange 3 2 32" xfId="14822" xr:uid="{836E2D55-5F0F-4380-AB1F-1A5EABD6F218}"/>
    <cellStyle name="AggOrange 3 2 33" xfId="14814" xr:uid="{609DCD1F-D4E8-46BB-815F-6846CCEE71BC}"/>
    <cellStyle name="AggOrange 3 2 34" xfId="16691" xr:uid="{86FDA6F9-C11E-464E-9688-D37C99604380}"/>
    <cellStyle name="AggOrange 3 2 35" xfId="16425" xr:uid="{4A654530-36C3-4CAA-9611-2D2F11D9D811}"/>
    <cellStyle name="AggOrange 3 2 36" xfId="16976" xr:uid="{E57094DE-77C9-456B-8883-6E36C165D8AB}"/>
    <cellStyle name="AggOrange 3 2 37" xfId="18038" xr:uid="{D6B868C3-57FD-463C-B075-38B6E7E19774}"/>
    <cellStyle name="AggOrange 3 2 38" xfId="18509" xr:uid="{CF7991F9-B5F4-4BE8-8A4C-2036F4191986}"/>
    <cellStyle name="AggOrange 3 2 39" xfId="18814" xr:uid="{42FE926B-F497-4648-99B8-001EF57E152C}"/>
    <cellStyle name="AggOrange 3 2 4" xfId="1694" xr:uid="{1AF103CB-D549-435B-BA6C-BC74C7DC5F08}"/>
    <cellStyle name="AggOrange 3 2 40" xfId="19264" xr:uid="{27FC2D51-EBDE-4F03-AE51-CFDA2897727F}"/>
    <cellStyle name="AggOrange 3 2 41" xfId="20028" xr:uid="{933387BC-D8F4-4616-8E12-828B5A9DEF71}"/>
    <cellStyle name="AggOrange 3 2 42" xfId="19757" xr:uid="{E9ACFD83-9CEB-4EC9-A46A-0B8E6C22850F}"/>
    <cellStyle name="AggOrange 3 2 43" xfId="19590" xr:uid="{06C31C4D-36CE-4630-8506-A1DFE30746F6}"/>
    <cellStyle name="AggOrange 3 2 44" xfId="20892" xr:uid="{C168BFD3-9C23-4DEF-86D1-43EA3020FBC3}"/>
    <cellStyle name="AggOrange 3 2 45" xfId="20436" xr:uid="{1BAB96A1-309E-4CC5-9344-0795EB67F631}"/>
    <cellStyle name="AggOrange 3 2 46" xfId="21871" xr:uid="{43F2C3D3-8362-4993-9D61-141CAF0B651D}"/>
    <cellStyle name="AggOrange 3 2 47" xfId="22938" xr:uid="{A90655E4-C414-45D0-BB9B-CCA7552F0E15}"/>
    <cellStyle name="AggOrange 3 2 48" xfId="23088" xr:uid="{5341ABCF-F519-416C-97C7-B68E12FE461B}"/>
    <cellStyle name="AggOrange 3 2 49" xfId="23488" xr:uid="{78AC9906-F327-4C2E-AA39-B84997A50592}"/>
    <cellStyle name="AggOrange 3 2 5" xfId="2468" xr:uid="{9433DDDA-3AA3-4668-8DFA-04F90D71A37B}"/>
    <cellStyle name="AggOrange 3 2 50" xfId="23837" xr:uid="{B2C472C2-3503-49CC-8936-5611D47C0A8E}"/>
    <cellStyle name="AggOrange 3 2 51" xfId="24736" xr:uid="{DDB41FA9-B2D1-42A8-990D-1883A57F6D58}"/>
    <cellStyle name="AggOrange 3 2 52" xfId="24988" xr:uid="{221FF42F-499F-41DD-8C13-2B0657D718B4}"/>
    <cellStyle name="AggOrange 3 2 53" xfId="25654" xr:uid="{103578D7-B820-4C7D-B0A5-A87A205110B3}"/>
    <cellStyle name="AggOrange 3 2 54" xfId="26244" xr:uid="{8C03CEC7-47B1-4D36-B83D-D63B35A57D92}"/>
    <cellStyle name="AggOrange 3 2 55" xfId="26188" xr:uid="{CECC7604-51AD-4BED-899D-68F874DB7424}"/>
    <cellStyle name="AggOrange 3 2 56" xfId="26944" xr:uid="{BD509D15-4FEA-4670-AA6A-255781289341}"/>
    <cellStyle name="AggOrange 3 2 57" xfId="27363" xr:uid="{C5669F5B-FA80-4570-B809-D00770FD8636}"/>
    <cellStyle name="AggOrange 3 2 58" xfId="27811" xr:uid="{C44F348E-4170-43F5-B362-487996736088}"/>
    <cellStyle name="AggOrange 3 2 59" xfId="28486" xr:uid="{DE9976FA-7894-4A4C-9DD7-88C7D637E0BD}"/>
    <cellStyle name="AggOrange 3 2 6" xfId="3134" xr:uid="{AA8D5584-C944-46F5-A1E2-179FFE0140AF}"/>
    <cellStyle name="AggOrange 3 2 60" xfId="28954" xr:uid="{737B94FA-EF42-44A3-A4DD-A6732A0A397E}"/>
    <cellStyle name="AggOrange 3 2 61" xfId="28324" xr:uid="{C1B9EADF-40D5-4C2C-B5B3-E7206CD9BD39}"/>
    <cellStyle name="AggOrange 3 2 62" xfId="29744" xr:uid="{CD6C2686-FEF2-4269-A8EF-62D19B1BC229}"/>
    <cellStyle name="AggOrange 3 2 63" xfId="30152" xr:uid="{9149709A-7B5E-4741-AE91-79C0251F9FFD}"/>
    <cellStyle name="AggOrange 3 2 64" xfId="30566" xr:uid="{B5DC8BE0-A712-4C4D-9B83-5DD5E01F7BAF}"/>
    <cellStyle name="AggOrange 3 2 65" xfId="28199" xr:uid="{58D7725E-945D-423E-BE2E-FDF94FEC8C4B}"/>
    <cellStyle name="AggOrange 3 2 66" xfId="31190" xr:uid="{6D1259F2-05AA-4DE8-AF6C-01DB44BD5914}"/>
    <cellStyle name="AggOrange 3 2 67" xfId="31876" xr:uid="{BC24475B-4D12-4C9B-810E-E155654A614B}"/>
    <cellStyle name="AggOrange 3 2 68" xfId="31521" xr:uid="{2CD845BA-BB05-40E5-94D5-127C2B3CD08E}"/>
    <cellStyle name="AggOrange 3 2 7" xfId="3620" xr:uid="{8BEA0587-E4EB-483B-B1DF-701A9EE6C5E7}"/>
    <cellStyle name="AggOrange 3 2 8" xfId="3964" xr:uid="{F401B031-D318-4030-9E69-3B5292CE97FC}"/>
    <cellStyle name="AggOrange 3 2 9" xfId="4402" xr:uid="{26B7FC0B-6692-4324-974D-E4104E393FC3}"/>
    <cellStyle name="AggOrange 3 3" xfId="713" xr:uid="{F70ADE9A-E893-484A-8A09-24B7C364F118}"/>
    <cellStyle name="AggOrange 3 3 10" xfId="5361" xr:uid="{A0018F2F-A959-4618-85C3-AF992DAB0C7C}"/>
    <cellStyle name="AggOrange 3 3 11" xfId="5689" xr:uid="{F2E35ECF-9E9C-484A-92D6-E38668F7297F}"/>
    <cellStyle name="AggOrange 3 3 12" xfId="4224" xr:uid="{C4E98D19-031C-447B-9947-880B0DE8C896}"/>
    <cellStyle name="AggOrange 3 3 13" xfId="6393" xr:uid="{77C39B64-F16F-4211-8CB5-6892229EB3EC}"/>
    <cellStyle name="AggOrange 3 3 14" xfId="7433" xr:uid="{6AF4FB4C-C7CC-45A6-8CA1-C85F29115AB8}"/>
    <cellStyle name="AggOrange 3 3 15" xfId="7981" xr:uid="{848A1CB7-1F4A-464C-8752-9FE581DC0F0A}"/>
    <cellStyle name="AggOrange 3 3 16" xfId="7072" xr:uid="{460611BB-4B37-4437-8D2B-190E7545E987}"/>
    <cellStyle name="AggOrange 3 3 17" xfId="8754" xr:uid="{8B7D4C53-7263-48E5-931B-8344B9DFFE0D}"/>
    <cellStyle name="AggOrange 3 3 18" xfId="9647" xr:uid="{4E720EAD-ED79-4926-B845-223EBFDC7BE5}"/>
    <cellStyle name="AggOrange 3 3 19" xfId="10197" xr:uid="{7DFBD2A7-1FE1-45ED-B128-8BE75584F7F5}"/>
    <cellStyle name="AggOrange 3 3 2" xfId="1187" xr:uid="{7F98C0C5-CA1A-4724-9724-8DF24B038D29}"/>
    <cellStyle name="AggOrange 3 3 20" xfId="10601" xr:uid="{0546945F-30D3-4551-B3BD-1C24DE747FBC}"/>
    <cellStyle name="AggOrange 3 3 21" xfId="9061" xr:uid="{EC09F2C4-376E-497A-8F9A-305F4021A6D7}"/>
    <cellStyle name="AggOrange 3 3 22" xfId="10433" xr:uid="{4F4B7BE4-758F-46C7-B558-90264DAB874B}"/>
    <cellStyle name="AggOrange 3 3 23" xfId="12066" xr:uid="{EEF870F7-D71C-4674-9C58-29302F2D12DE}"/>
    <cellStyle name="AggOrange 3 3 24" xfId="12539" xr:uid="{7B95A332-69B6-4E1B-A006-1683635146D6}"/>
    <cellStyle name="AggOrange 3 3 25" xfId="12973" xr:uid="{228E1803-A8EF-47C5-A622-476E549AB015}"/>
    <cellStyle name="AggOrange 3 3 26" xfId="13410" xr:uid="{855135FF-75A5-434E-8D79-268CA0F4BD79}"/>
    <cellStyle name="AggOrange 3 3 27" xfId="13185" xr:uid="{14195C60-E763-4979-858F-6E05FEA73680}"/>
    <cellStyle name="AggOrange 3 3 28" xfId="14377" xr:uid="{8385F8AF-5D28-442F-B45B-BA238746D55A}"/>
    <cellStyle name="AggOrange 3 3 29" xfId="14847" xr:uid="{0DC494C5-854E-4C11-9541-7E5475996D29}"/>
    <cellStyle name="AggOrange 3 3 3" xfId="1381" xr:uid="{CD4C8D51-3370-4CEB-844F-1DAB8B39D9AA}"/>
    <cellStyle name="AggOrange 3 3 30" xfId="15233" xr:uid="{D82842F8-2740-41C9-B1DC-0C9CEFF092E5}"/>
    <cellStyle name="AggOrange 3 3 31" xfId="15444" xr:uid="{D5F74942-CE13-4714-AA85-F94B3401B63E}"/>
    <cellStyle name="AggOrange 3 3 32" xfId="15960" xr:uid="{21B3D918-0596-4851-8C0F-1A480DE9D743}"/>
    <cellStyle name="AggOrange 3 3 33" xfId="16758" xr:uid="{DAE1559C-6ECA-4C33-9C87-369DD391397A}"/>
    <cellStyle name="AggOrange 3 3 34" xfId="17318" xr:uid="{6E876B27-A0FD-480E-B1CA-CFFF97BE702A}"/>
    <cellStyle name="AggOrange 3 3 35" xfId="17761" xr:uid="{9FBB9EA0-02F4-40A0-B5E8-188257A02AF2}"/>
    <cellStyle name="AggOrange 3 3 36" xfId="18069" xr:uid="{B2019CA8-3426-4B90-AAC8-CDA4CA4063AA}"/>
    <cellStyle name="AggOrange 3 3 37" xfId="18576" xr:uid="{CF17404D-4259-43B8-B83B-A8A1BF9A6698}"/>
    <cellStyle name="AggOrange 3 3 38" xfId="18857" xr:uid="{57C4BABF-CF90-48F0-8163-D50FF6BBF652}"/>
    <cellStyle name="AggOrange 3 3 39" xfId="18980" xr:uid="{8D1B5272-666F-416D-A739-54790F3EC78A}"/>
    <cellStyle name="AggOrange 3 3 4" xfId="2535" xr:uid="{8108FD98-589E-425F-BCC3-E34AE3B3E90F}"/>
    <cellStyle name="AggOrange 3 3 40" xfId="20095" xr:uid="{0D541C9E-E75C-417D-AEAD-E6FC6182FDD5}"/>
    <cellStyle name="AggOrange 3 3 41" xfId="20669" xr:uid="{4F0F112B-5AF6-4477-81CB-18A704C642A2}"/>
    <cellStyle name="AggOrange 3 3 42" xfId="21125" xr:uid="{E0B13E4F-0E49-4111-9592-2433EEDEB652}"/>
    <cellStyle name="AggOrange 3 3 43" xfId="21595" xr:uid="{CA01F764-4156-4D16-8BB3-244F2086E914}"/>
    <cellStyle name="AggOrange 3 3 44" xfId="22057" xr:uid="{9DFA652E-AF29-4B5E-A400-48B5F23C2023}"/>
    <cellStyle name="AggOrange 3 3 45" xfId="22485" xr:uid="{379336E3-5FC5-45E6-AF47-73CB3AD66F70}"/>
    <cellStyle name="AggOrange 3 3 46" xfId="22230" xr:uid="{A582AB2F-DF19-4FA6-B02E-B9340094B661}"/>
    <cellStyle name="AggOrange 3 3 47" xfId="23134" xr:uid="{D4E9056F-4B5C-4ACB-AE74-E38321DC4025}"/>
    <cellStyle name="AggOrange 3 3 48" xfId="23344" xr:uid="{2B127E6E-BF03-4703-8D0B-00EE292033B3}"/>
    <cellStyle name="AggOrange 3 3 49" xfId="23895" xr:uid="{9A232B4A-1B4A-4D84-8132-282E7B08B2AB}"/>
    <cellStyle name="AggOrange 3 3 5" xfId="2118" xr:uid="{1B57194C-06DA-4F9C-A7A5-3348596A4E52}"/>
    <cellStyle name="AggOrange 3 3 50" xfId="24803" xr:uid="{FD10446C-522A-46C7-9B79-9C33DC06E7D3}"/>
    <cellStyle name="AggOrange 3 3 51" xfId="25372" xr:uid="{D4940FB2-FFC8-4636-B006-759CE8201A71}"/>
    <cellStyle name="AggOrange 3 3 52" xfId="25719" xr:uid="{9347622D-A50E-4642-97CD-7BED9AD14EFB}"/>
    <cellStyle name="AggOrange 3 3 53" xfId="25497" xr:uid="{208BDBC0-0401-461D-BA2B-0D65E452CDB8}"/>
    <cellStyle name="AggOrange 3 3 54" xfId="26682" xr:uid="{B2D96797-96B7-4918-BD2F-5C7BA65594C0}"/>
    <cellStyle name="AggOrange 3 3 55" xfId="27007" xr:uid="{2BCD300E-ABEB-4587-AD57-A20B1BD3CA88}"/>
    <cellStyle name="AggOrange 3 3 56" xfId="27426" xr:uid="{56843B52-C47D-4F88-9C92-94F0D7F81190}"/>
    <cellStyle name="AggOrange 3 3 57" xfId="26709" xr:uid="{4C32EEFC-A11B-4AA2-920F-D539E5AB793C}"/>
    <cellStyle name="AggOrange 3 3 58" xfId="28553" xr:uid="{DFC6F000-DE3E-499A-B784-00CCE20DE575}"/>
    <cellStyle name="AggOrange 3 3 59" xfId="29020" xr:uid="{F5E8B8F7-322C-4474-A882-1C894946DCDF}"/>
    <cellStyle name="AggOrange 3 3 6" xfId="3550" xr:uid="{2C68C6A1-EE2B-4962-B38A-58618CC59D0E}"/>
    <cellStyle name="AggOrange 3 3 60" xfId="29494" xr:uid="{5F1B05A8-0F34-487B-9753-00BDCF31442E}"/>
    <cellStyle name="AggOrange 3 3 61" xfId="29809" xr:uid="{959BD4BF-E874-4042-8E13-1698DDB2BFCB}"/>
    <cellStyle name="AggOrange 3 3 62" xfId="30215" xr:uid="{1F40F856-3680-4C01-A9BF-8BE9F3C8CB5D}"/>
    <cellStyle name="AggOrange 3 3 63" xfId="30632" xr:uid="{21D1B7BC-84FD-4DC0-A994-BE64EC9A6499}"/>
    <cellStyle name="AggOrange 3 3 64" xfId="30903" xr:uid="{49251A55-E15E-40EE-BE46-CA3F5CE16890}"/>
    <cellStyle name="AggOrange 3 3 65" xfId="31248" xr:uid="{AA6478BF-5705-4BBA-9390-8A3BEE7DDF74}"/>
    <cellStyle name="AggOrange 3 3 66" xfId="31939" xr:uid="{D19EA25C-A2ED-46FC-BA4B-FC49FE747134}"/>
    <cellStyle name="AggOrange 3 3 67" xfId="32330" xr:uid="{07AA0C73-45A2-4C5F-86F6-CD4A9B0DC7E9}"/>
    <cellStyle name="AggOrange 3 3 7" xfId="4031" xr:uid="{0397B171-F75C-44B3-8BE1-C727663E4E80}"/>
    <cellStyle name="AggOrange 3 3 8" xfId="4468" xr:uid="{294E5765-01C7-4521-9E95-1DC096340529}"/>
    <cellStyle name="AggOrange 3 3 9" xfId="4887" xr:uid="{520F0133-019B-405A-93F6-35CC4DC18F02}"/>
    <cellStyle name="AggOrange 4" xfId="264" xr:uid="{C35662C9-7D9C-415E-B5B0-1177B0AE3F09}"/>
    <cellStyle name="AggOrange 4 10" xfId="2247" xr:uid="{463D80FF-2357-4B1B-BCFD-382CBB3E47EC}"/>
    <cellStyle name="AggOrange 4 11" xfId="4016" xr:uid="{0835EB5C-F4CA-4F8C-827D-16902E2F5AE1}"/>
    <cellStyle name="AggOrange 4 12" xfId="3670" xr:uid="{F2612331-EDE6-4D7D-BDC0-17602B5F3AB4}"/>
    <cellStyle name="AggOrange 4 13" xfId="3314" xr:uid="{EBD692BF-7813-468F-8801-AD0E3409474E}"/>
    <cellStyle name="AggOrange 4 14" xfId="1845" xr:uid="{FF4009CC-902E-4118-9F01-CF1C7F66B19D}"/>
    <cellStyle name="AggOrange 4 15" xfId="3570" xr:uid="{12A42E3E-7745-403D-8757-67C460E37E1B}"/>
    <cellStyle name="AggOrange 4 16" xfId="5613" xr:uid="{1E242D26-6514-4444-B271-34C264423E57}"/>
    <cellStyle name="AggOrange 4 17" xfId="6994" xr:uid="{0359A9AF-2C58-4A01-A6D4-ECDFDDEB0D50}"/>
    <cellStyle name="AggOrange 4 18" xfId="6752" xr:uid="{3BF367CC-A675-49BC-9C1C-46E79D4AEDED}"/>
    <cellStyle name="AggOrange 4 19" xfId="8007" xr:uid="{E59A6ED8-9A62-4410-9434-893D46D8AB8B}"/>
    <cellStyle name="AggOrange 4 2" xfId="603" xr:uid="{552C36A4-78F1-4D7D-A829-9509A5DC5AB4}"/>
    <cellStyle name="AggOrange 4 2 10" xfId="4991" xr:uid="{E363D0A4-F8C8-4F96-AB0D-78C4E662F987}"/>
    <cellStyle name="AggOrange 4 2 11" xfId="5251" xr:uid="{79BDC232-F898-47C7-813E-4062195197BE}"/>
    <cellStyle name="AggOrange 4 2 12" xfId="5010" xr:uid="{368E3DFE-9ABC-444F-83DD-7DEFFD053186}"/>
    <cellStyle name="AggOrange 4 2 13" xfId="5096" xr:uid="{43E15D2E-37DB-43CC-A1DB-FB708927F1FC}"/>
    <cellStyle name="AggOrange 4 2 14" xfId="6007" xr:uid="{0AC114AA-1877-41B6-AA2B-76B92643C4D8}"/>
    <cellStyle name="AggOrange 4 2 15" xfId="7323" xr:uid="{3D0C3434-6288-45CB-A830-0EFE3E9BFC60}"/>
    <cellStyle name="AggOrange 4 2 16" xfId="7868" xr:uid="{27D80BD4-7A95-4B2C-89E2-1A82D915893E}"/>
    <cellStyle name="AggOrange 4 2 17" xfId="8154" xr:uid="{FA87BD31-F1B0-4277-AA99-12307EE9C590}"/>
    <cellStyle name="AggOrange 4 2 18" xfId="8492" xr:uid="{D9EBB6C3-1AD9-4AB7-AFF0-780BE920F38B}"/>
    <cellStyle name="AggOrange 4 2 19" xfId="9537" xr:uid="{27C8865C-04A6-4735-A13F-BE9F240ACAD4}"/>
    <cellStyle name="AggOrange 4 2 2" xfId="818" xr:uid="{32214CB4-A887-4B15-B9D7-68FE17335C28}"/>
    <cellStyle name="AggOrange 4 2 2 10" xfId="5466" xr:uid="{25B97231-83EC-4061-B102-E78EE862CA30}"/>
    <cellStyle name="AggOrange 4 2 2 11" xfId="5587" xr:uid="{20E78C92-EE05-4259-ADCF-DB7F493DD139}"/>
    <cellStyle name="AggOrange 4 2 2 12" xfId="2865" xr:uid="{0510998F-D817-4549-88A6-07B70D86A950}"/>
    <cellStyle name="AggOrange 4 2 2 13" xfId="6639" xr:uid="{1CD06A9A-D733-4091-86CA-3EB7A0E3F9E9}"/>
    <cellStyle name="AggOrange 4 2 2 14" xfId="7538" xr:uid="{CC4CE403-6CC9-419C-9589-3DE8CF4B65E1}"/>
    <cellStyle name="AggOrange 4 2 2 15" xfId="7107" xr:uid="{99BEA9FD-A44B-4D93-B58D-DEDD22381FA0}"/>
    <cellStyle name="AggOrange 4 2 2 16" xfId="7805" xr:uid="{21F9E287-44B2-44CB-AB7A-0D3D5B438F1A}"/>
    <cellStyle name="AggOrange 4 2 2 17" xfId="8696" xr:uid="{9DBB6A77-4943-4B14-BC72-A66AAC2024E2}"/>
    <cellStyle name="AggOrange 4 2 2 18" xfId="9752" xr:uid="{CCD585DC-1504-4FAB-BF37-AF972A97E25A}"/>
    <cellStyle name="AggOrange 4 2 2 19" xfId="9193" xr:uid="{0801E1EC-6B68-4C7B-AB24-D3F1D253D6CE}"/>
    <cellStyle name="AggOrange 4 2 2 2" xfId="1292" xr:uid="{B6F0E329-494D-4890-9BC4-73264778C04A}"/>
    <cellStyle name="AggOrange 4 2 2 20" xfId="9394" xr:uid="{040E14F3-AEED-43B0-9BB7-1CCD8D3D1520}"/>
    <cellStyle name="AggOrange 4 2 2 21" xfId="10634" xr:uid="{A127A185-95BC-458C-A253-73B091A73E63}"/>
    <cellStyle name="AggOrange 4 2 2 22" xfId="10850" xr:uid="{E09191B6-583C-423E-B815-4FE4A20F2FBD}"/>
    <cellStyle name="AggOrange 4 2 2 23" xfId="12171" xr:uid="{E8257AFB-2B96-49A3-AA0C-AAC4B44D82AE}"/>
    <cellStyle name="AggOrange 4 2 2 24" xfId="12644" xr:uid="{5438C012-3BD3-4E8C-AD3E-CF5B857CE7F0}"/>
    <cellStyle name="AggOrange 4 2 2 25" xfId="13078" xr:uid="{421E44E6-92EA-4F9E-9732-D4A5329410B1}"/>
    <cellStyle name="AggOrange 4 2 2 26" xfId="13515" xr:uid="{133B3781-B176-4D70-AFB5-23098D0693EB}"/>
    <cellStyle name="AggOrange 4 2 2 27" xfId="11845" xr:uid="{684B0131-EEED-4E12-B9EC-C2CD2D59D426}"/>
    <cellStyle name="AggOrange 4 2 2 28" xfId="14430" xr:uid="{5A5D7396-3EDA-4303-AF2C-AF236EFE4B6D}"/>
    <cellStyle name="AggOrange 4 2 2 29" xfId="14292" xr:uid="{8E5C1246-D853-435B-8713-28F0B374C9FB}"/>
    <cellStyle name="AggOrange 4 2 2 3" xfId="1418" xr:uid="{29A47493-C98B-4E2E-B8E6-FC95AD233EBE}"/>
    <cellStyle name="AggOrange 4 2 2 30" xfId="15124" xr:uid="{461EE759-B97B-43CD-A3F5-F774A39F3D4F}"/>
    <cellStyle name="AggOrange 4 2 2 31" xfId="15745" xr:uid="{1131FBB8-3242-422F-8894-ADA5DF41719B}"/>
    <cellStyle name="AggOrange 4 2 2 32" xfId="15291" xr:uid="{F0D5CA4B-088C-469E-9BB7-EE289B39E7C4}"/>
    <cellStyle name="AggOrange 4 2 2 33" xfId="16863" xr:uid="{D317A600-3D52-418A-832C-591CD0DC23A7}"/>
    <cellStyle name="AggOrange 4 2 2 34" xfId="16429" xr:uid="{C4054DFE-A3A3-4B9D-83B9-3B9212E632DE}"/>
    <cellStyle name="AggOrange 4 2 2 35" xfId="16170" xr:uid="{BCDD098E-D1B7-415A-A4E8-D247DE2C8935}"/>
    <cellStyle name="AggOrange 4 2 2 36" xfId="18035" xr:uid="{44CB9FA2-0E48-4890-9AA9-E6811D9A8FA8}"/>
    <cellStyle name="AggOrange 4 2 2 37" xfId="18681" xr:uid="{0B71345F-54D0-4430-859A-C5590C3340D0}"/>
    <cellStyle name="AggOrange 4 2 2 38" xfId="18771" xr:uid="{56D8256C-0512-4E10-85DB-194352BFB0BC}"/>
    <cellStyle name="AggOrange 4 2 2 39" xfId="18266" xr:uid="{78E6746E-1C41-48C4-9325-81C4F13F0C4E}"/>
    <cellStyle name="AggOrange 4 2 2 4" xfId="2640" xr:uid="{7DA5B0F0-1938-471A-A408-003DA526A631}"/>
    <cellStyle name="AggOrange 4 2 2 40" xfId="20200" xr:uid="{647D294D-EB52-4306-8688-8DF7D375E6F6}"/>
    <cellStyle name="AggOrange 4 2 2 41" xfId="19470" xr:uid="{2CB07963-20BD-43C5-897F-18C2CBB75643}"/>
    <cellStyle name="AggOrange 4 2 2 42" xfId="19475" xr:uid="{A85F8211-183A-4BB5-B124-7DCDC327D416}"/>
    <cellStyle name="AggOrange 4 2 2 43" xfId="20784" xr:uid="{537F9490-8F31-419D-9650-E468E390747A}"/>
    <cellStyle name="AggOrange 4 2 2 44" xfId="21181" xr:uid="{76DF2801-5A9F-4B74-A56B-CF5B40670E99}"/>
    <cellStyle name="AggOrange 4 2 2 45" xfId="19488" xr:uid="{92771261-045B-4BEC-87F9-465097BD1C4A}"/>
    <cellStyle name="AggOrange 4 2 2 46" xfId="22269" xr:uid="{27ABE4C4-AF2F-4941-A87D-2F679E98F8BB}"/>
    <cellStyle name="AggOrange 4 2 2 47" xfId="23040" xr:uid="{A64C9930-08BC-4182-9C08-46F8F18BF4C3}"/>
    <cellStyle name="AggOrange 4 2 2 48" xfId="23206" xr:uid="{68D88A24-84FD-41C2-B8F4-59936806FD19}"/>
    <cellStyle name="AggOrange 4 2 2 49" xfId="24000" xr:uid="{67242302-559B-4593-AB22-3A55B8B2060A}"/>
    <cellStyle name="AggOrange 4 2 2 5" xfId="1816" xr:uid="{B5DCF268-5567-4820-BF9F-7B4A8D7281C5}"/>
    <cellStyle name="AggOrange 4 2 2 50" xfId="24908" xr:uid="{9A9F2832-D247-49AC-8D7C-4CB3DA9B9979}"/>
    <cellStyle name="AggOrange 4 2 2 51" xfId="24306" xr:uid="{245EC437-CCE6-486F-A7E6-B7F65D3EF8F0}"/>
    <cellStyle name="AggOrange 4 2 2 52" xfId="25824" xr:uid="{66731A61-28A2-4416-A35E-152DC7B33EF1}"/>
    <cellStyle name="AggOrange 4 2 2 53" xfId="25011" xr:uid="{2D9425C5-CA50-4517-9063-3C3FFCA6F0CD}"/>
    <cellStyle name="AggOrange 4 2 2 54" xfId="26557" xr:uid="{5CA01D33-4DBC-4CC2-AFD1-9BEC8A7C2162}"/>
    <cellStyle name="AggOrange 4 2 2 55" xfId="27112" xr:uid="{AB63B5F3-ADDD-4F17-94DD-CE668FC07D34}"/>
    <cellStyle name="AggOrange 4 2 2 56" xfId="27531" xr:uid="{A13B0718-5090-4440-B9FC-726A45D80D93}"/>
    <cellStyle name="AggOrange 4 2 2 57" xfId="27209" xr:uid="{E8DD0AF2-BC09-46F5-8458-3FC5AEF60E8E}"/>
    <cellStyle name="AggOrange 4 2 2 58" xfId="28658" xr:uid="{A2297490-7B63-423D-B46E-93600C4F4A51}"/>
    <cellStyle name="AggOrange 4 2 2 59" xfId="29125" xr:uid="{C3926A25-453B-4139-ADB6-9B31A87B2C85}"/>
    <cellStyle name="AggOrange 4 2 2 6" xfId="3483" xr:uid="{A2834BB2-6F4B-42E7-8001-FDA0D8747732}"/>
    <cellStyle name="AggOrange 4 2 2 60" xfId="27982" xr:uid="{7A63C874-28ED-41CF-A576-F0FF144AB87C}"/>
    <cellStyle name="AggOrange 4 2 2 61" xfId="29914" xr:uid="{0CDC28B2-9F5A-45B2-BC17-126B76A362D1}"/>
    <cellStyle name="AggOrange 4 2 2 62" xfId="30320" xr:uid="{A919D53A-D544-410C-94F2-C87A76879374}"/>
    <cellStyle name="AggOrange 4 2 2 63" xfId="30737" xr:uid="{9A71C818-422B-4D57-83E7-A493F20F7322}"/>
    <cellStyle name="AggOrange 4 2 2 64" xfId="29462" xr:uid="{DB9AD84C-EF01-4027-992B-1D99647CAA95}"/>
    <cellStyle name="AggOrange 4 2 2 65" xfId="31353" xr:uid="{B2193928-1E0A-4661-9862-05F987883CC1}"/>
    <cellStyle name="AggOrange 4 2 2 66" xfId="32044" xr:uid="{28B89A07-96AA-4495-AA05-03F540415434}"/>
    <cellStyle name="AggOrange 4 2 2 67" xfId="32287" xr:uid="{079977F2-EA87-4490-9143-F6039459891E}"/>
    <cellStyle name="AggOrange 4 2 2 7" xfId="4136" xr:uid="{216F44F0-BE4D-449A-B4B7-5D2C5723BF23}"/>
    <cellStyle name="AggOrange 4 2 2 8" xfId="4573" xr:uid="{98ADBA0E-064B-4461-A077-54E4265335FC}"/>
    <cellStyle name="AggOrange 4 2 2 9" xfId="4815" xr:uid="{D56A8068-AA17-46EC-9766-BFC5360CB4AE}"/>
    <cellStyle name="AggOrange 4 2 20" xfId="10082" xr:uid="{83765B15-6502-487F-BC68-6C5B28A3D12A}"/>
    <cellStyle name="AggOrange 4 2 21" xfId="10497" xr:uid="{F6C11DCC-FFF1-4BAB-9AF1-B38C13279A44}"/>
    <cellStyle name="AggOrange 4 2 22" xfId="10946" xr:uid="{4CCDA439-0A34-4652-92F5-C43FBD164714}"/>
    <cellStyle name="AggOrange 4 2 23" xfId="11272" xr:uid="{4B22F601-D5A4-441B-A05F-96B45BD6506D}"/>
    <cellStyle name="AggOrange 4 2 24" xfId="11956" xr:uid="{C8CCC27C-750F-4415-BDC7-61841898A6B0}"/>
    <cellStyle name="AggOrange 4 2 25" xfId="12429" xr:uid="{4B0ACA6F-DAD9-4B6C-B6D7-DA1C94454C01}"/>
    <cellStyle name="AggOrange 4 2 26" xfId="12863" xr:uid="{2CF10AC9-F453-4AC1-A188-3225C6470D87}"/>
    <cellStyle name="AggOrange 4 2 27" xfId="13300" xr:uid="{FC3E86E5-7BF8-485A-910B-E8B6CD732085}"/>
    <cellStyle name="AggOrange 4 2 28" xfId="13972" xr:uid="{59E6028E-EC56-42B5-A2F2-1CB590B5B2C5}"/>
    <cellStyle name="AggOrange 4 2 29" xfId="14206" xr:uid="{A64111E8-7B32-4051-9F34-25C48518D041}"/>
    <cellStyle name="AggOrange 4 2 3" xfId="1086" xr:uid="{8EEB25B7-CC7A-404A-8E04-B15F8C7CD934}"/>
    <cellStyle name="AggOrange 4 2 30" xfId="14617" xr:uid="{997BE95B-E142-46BE-B1CF-3AF2CE64174C}"/>
    <cellStyle name="AggOrange 4 2 31" xfId="14756" xr:uid="{CA915D77-596D-43C5-86AF-45062DB1C6B2}"/>
    <cellStyle name="AggOrange 4 2 32" xfId="15692" xr:uid="{D32EF636-5407-427D-98AA-70BA2A13A62E}"/>
    <cellStyle name="AggOrange 4 2 33" xfId="15897" xr:uid="{87C0FE9C-D43C-41EB-B1EA-2E428789BC1D}"/>
    <cellStyle name="AggOrange 4 2 34" xfId="16648" xr:uid="{F1C245DD-7AED-4CA5-AF9B-A45B17F2015C}"/>
    <cellStyle name="AggOrange 4 2 35" xfId="17200" xr:uid="{44D87D88-733B-488E-9FD6-5BC946E748C5}"/>
    <cellStyle name="AggOrange 4 2 36" xfId="17646" xr:uid="{CFE18B16-A062-4CA1-8299-C72B3C81CAE6}"/>
    <cellStyle name="AggOrange 4 2 37" xfId="17524" xr:uid="{135BB728-D694-4107-9587-4421919D3A5D}"/>
    <cellStyle name="AggOrange 4 2 38" xfId="18466" xr:uid="{2AE9DAE5-C79B-4A91-ADE0-0B5169971D8B}"/>
    <cellStyle name="AggOrange 4 2 39" xfId="18206" xr:uid="{0BAACC8F-6900-4380-92FD-39AC0C9FC4A3}"/>
    <cellStyle name="AggOrange 4 2 4" xfId="1705" xr:uid="{B3A68983-F736-4234-95C0-E7CE2B75B530}"/>
    <cellStyle name="AggOrange 4 2 40" xfId="19223" xr:uid="{87CB2FD6-9BF7-4366-AE77-2EE09D274739}"/>
    <cellStyle name="AggOrange 4 2 41" xfId="19985" xr:uid="{F2CA1F82-AE6D-4185-9D6D-0A7A820EBE30}"/>
    <cellStyle name="AggOrange 4 2 42" xfId="20553" xr:uid="{79D04B59-53E8-4652-B09D-69AE86255F86}"/>
    <cellStyle name="AggOrange 4 2 43" xfId="21006" xr:uid="{CBAE337C-9F69-4FAA-B0C7-A37035DA50B1}"/>
    <cellStyle name="AggOrange 4 2 44" xfId="20970" xr:uid="{E2B36C2A-EE41-4123-9DA7-7DEC87EA1B30}"/>
    <cellStyle name="AggOrange 4 2 45" xfId="21937" xr:uid="{A4DF280A-C573-45CA-8912-0D6CF16627EC}"/>
    <cellStyle name="AggOrange 4 2 46" xfId="22369" xr:uid="{5F157EDF-2BDB-4FED-BEB8-089A5B2AA3BF}"/>
    <cellStyle name="AggOrange 4 2 47" xfId="22945" xr:uid="{75AACC68-8605-429C-A107-6561BD762A13}"/>
    <cellStyle name="AggOrange 4 2 48" xfId="22882" xr:uid="{74B3E413-CF8A-4892-89BF-92364E5001BF}"/>
    <cellStyle name="AggOrange 4 2 49" xfId="23506" xr:uid="{7E486DD5-24A6-457F-B67C-EE6700CC3910}"/>
    <cellStyle name="AggOrange 4 2 5" xfId="2425" xr:uid="{6BF94DBB-F135-401D-85EE-4EF99A08D981}"/>
    <cellStyle name="AggOrange 4 2 50" xfId="23794" xr:uid="{F2AE5252-95B6-4A25-82F8-F18C48A79CE4}"/>
    <cellStyle name="AggOrange 4 2 51" xfId="24693" xr:uid="{749ABE4A-F2F9-4DBD-B325-FC6472F90F50}"/>
    <cellStyle name="AggOrange 4 2 52" xfId="25261" xr:uid="{7234AF1C-CEAC-4041-A95F-4586081C2177}"/>
    <cellStyle name="AggOrange 4 2 53" xfId="25611" xr:uid="{AAC92326-8E10-4B60-A384-A618BE9F9F1B}"/>
    <cellStyle name="AggOrange 4 2 54" xfId="26252" xr:uid="{A16664DB-073B-43A8-9968-7C46F406809A}"/>
    <cellStyle name="AggOrange 4 2 55" xfId="25907" xr:uid="{199E8D11-5B20-42FC-9C7E-739C577FCEEC}"/>
    <cellStyle name="AggOrange 4 2 56" xfId="26901" xr:uid="{5DD4525C-2E17-4A2C-AA88-B1B6DBF7BE1C}"/>
    <cellStyle name="AggOrange 4 2 57" xfId="27320" xr:uid="{E31B426F-32B4-4314-A9C4-A9736EDDE368}"/>
    <cellStyle name="AggOrange 4 2 58" xfId="27667" xr:uid="{0DD7F2C0-5CCA-4F04-86E7-05FA240FF6D0}"/>
    <cellStyle name="AggOrange 4 2 59" xfId="28443" xr:uid="{F6D45C25-13A6-4411-9D09-2A7A8685902D}"/>
    <cellStyle name="AggOrange 4 2 6" xfId="3142" xr:uid="{D83F6B4C-4331-484F-B94E-3243BE7B9CCE}"/>
    <cellStyle name="AggOrange 4 2 60" xfId="28911" xr:uid="{EDE30878-03FC-4F9F-AB05-9E372DD3B6D5}"/>
    <cellStyle name="AggOrange 4 2 61" xfId="29392" xr:uid="{38611ED5-1508-41B1-B167-4C8834D4769D}"/>
    <cellStyle name="AggOrange 4 2 62" xfId="29701" xr:uid="{2BCA0A01-4C09-4435-AAA7-6ED8DDAFC984}"/>
    <cellStyle name="AggOrange 4 2 63" xfId="30109" xr:uid="{D384A2E9-7D6A-41ED-8399-7CC8BECEB8CC}"/>
    <cellStyle name="AggOrange 4 2 64" xfId="30523" xr:uid="{C373E91A-A23D-40B1-AAE5-05D20241FCAE}"/>
    <cellStyle name="AggOrange 4 2 65" xfId="29213" xr:uid="{A1356A5C-D7D7-40E1-A9ED-378B7B90303F}"/>
    <cellStyle name="AggOrange 4 2 66" xfId="31147" xr:uid="{DD9FEC03-C679-4FA5-B938-3666AF49A3B9}"/>
    <cellStyle name="AggOrange 4 2 67" xfId="31833" xr:uid="{080884DE-2B35-4B28-A92D-05E3CF56E2A4}"/>
    <cellStyle name="AggOrange 4 2 68" xfId="31529" xr:uid="{D9E2420F-E16F-4D3C-8E8F-ED4A4F08D9AB}"/>
    <cellStyle name="AggOrange 4 2 7" xfId="3160" xr:uid="{62BEB5B6-340D-4D45-B8B8-1F4C75EC8629}"/>
    <cellStyle name="AggOrange 4 2 8" xfId="3921" xr:uid="{B22676D3-0A1D-4C2A-9A57-EA508C1BB501}"/>
    <cellStyle name="AggOrange 4 2 9" xfId="4359" xr:uid="{DB8E8B13-7231-455F-A2E8-7D27E1289324}"/>
    <cellStyle name="AggOrange 4 20" xfId="8718" xr:uid="{58799CBE-F3C6-4208-AAC5-F0305AECD54E}"/>
    <cellStyle name="AggOrange 4 21" xfId="9208" xr:uid="{52637F09-8D09-4C31-8EC6-508ED8EC4193}"/>
    <cellStyle name="AggOrange 4 22" xfId="9065" xr:uid="{9577D1CE-4C86-48F3-A009-6BDBCDD91E26}"/>
    <cellStyle name="AggOrange 4 23" xfId="9067" xr:uid="{2552A478-FA4E-4603-A4D8-10C19BE00A04}"/>
    <cellStyle name="AggOrange 4 24" xfId="9873" xr:uid="{8928A2D7-05D1-410A-B451-DC99234F3878}"/>
    <cellStyle name="AggOrange 4 25" xfId="11194" xr:uid="{39E13C95-D5DE-4FF4-950D-7C640AD14473}"/>
    <cellStyle name="AggOrange 4 26" xfId="11620" xr:uid="{8917FE85-A8BF-4904-BA5B-4E3A829726DB}"/>
    <cellStyle name="AggOrange 4 27" xfId="11482" xr:uid="{487D4E5A-E1FF-4563-B0BA-9A1E021C5CFA}"/>
    <cellStyle name="AggOrange 4 28" xfId="11727" xr:uid="{C5B9E92C-A128-44EA-BE30-089150E8040E}"/>
    <cellStyle name="AggOrange 4 29" xfId="12958" xr:uid="{5A596513-93FA-46E9-A124-EC75D3213686}"/>
    <cellStyle name="AggOrange 4 3" xfId="592" xr:uid="{661EA08E-3D4B-425C-BA91-88FA6E8059EE}"/>
    <cellStyle name="AggOrange 4 3 10" xfId="4936" xr:uid="{5803F325-F629-4549-AE4D-891619419444}"/>
    <cellStyle name="AggOrange 4 3 11" xfId="5240" xr:uid="{CBDC1470-44DF-4217-8B97-7D80BC4411F9}"/>
    <cellStyle name="AggOrange 4 3 12" xfId="5718" xr:uid="{079A512A-E08C-435E-A385-BC57B1640417}"/>
    <cellStyle name="AggOrange 4 3 13" xfId="5730" xr:uid="{21CCEDF9-37F7-4B5D-8805-73146057C5FD}"/>
    <cellStyle name="AggOrange 4 3 14" xfId="6348" xr:uid="{202297A9-4A37-4ADC-BB9C-2AB72B43A1AC}"/>
    <cellStyle name="AggOrange 4 3 15" xfId="7312" xr:uid="{97E735F1-5B68-4609-90AF-77416BE9CDE4}"/>
    <cellStyle name="AggOrange 4 3 16" xfId="7969" xr:uid="{1A17FD28-791D-4E67-9B47-C31A8BB97A05}"/>
    <cellStyle name="AggOrange 4 3 17" xfId="8502" xr:uid="{95283CB3-90E5-4B35-B687-9AFDCB98A952}"/>
    <cellStyle name="AggOrange 4 3 18" xfId="8846" xr:uid="{DDED579B-A1F0-40EA-83EF-7684B8E90457}"/>
    <cellStyle name="AggOrange 4 3 19" xfId="9526" xr:uid="{B5883FBB-9280-4803-AF80-CA6FD992E6AB}"/>
    <cellStyle name="AggOrange 4 3 2" xfId="807" xr:uid="{51D19740-FD12-490D-93B5-2F414F397F06}"/>
    <cellStyle name="AggOrange 4 3 2 10" xfId="5455" xr:uid="{41F75AF7-8ED1-4EE8-A7DD-DBDFCF537274}"/>
    <cellStyle name="AggOrange 4 3 2 11" xfId="5900" xr:uid="{9D5BA08A-8501-4398-B2F5-6A60085BD264}"/>
    <cellStyle name="AggOrange 4 3 2 12" xfId="6045" xr:uid="{965064C3-E009-419A-9618-E46959864F8B}"/>
    <cellStyle name="AggOrange 4 3 2 13" xfId="6462" xr:uid="{D6B7125E-05D1-4F4A-BF92-9851F2C6BF4E}"/>
    <cellStyle name="AggOrange 4 3 2 14" xfId="7527" xr:uid="{F62B7608-1701-4721-B4C1-83A23B137162}"/>
    <cellStyle name="AggOrange 4 3 2 15" xfId="6739" xr:uid="{A78B4745-7566-49B2-A39D-109081251494}"/>
    <cellStyle name="AggOrange 4 3 2 16" xfId="8517" xr:uid="{F74574EE-A629-4C3F-93F0-81A3A93D3AA0}"/>
    <cellStyle name="AggOrange 4 3 2 17" xfId="8546" xr:uid="{93BF6948-2757-4A82-983E-7CC591A08766}"/>
    <cellStyle name="AggOrange 4 3 2 18" xfId="9741" xr:uid="{C234000D-83B5-46C5-9ACD-07E0BD0A5D5C}"/>
    <cellStyle name="AggOrange 4 3 2 19" xfId="8952" xr:uid="{EEF79AC4-6BD7-4FAA-8436-68E11B9B273E}"/>
    <cellStyle name="AggOrange 4 3 2 2" xfId="1281" xr:uid="{E397BAD7-4760-4E70-B647-567E501DED2E}"/>
    <cellStyle name="AggOrange 4 3 2 20" xfId="8957" xr:uid="{2D192B4C-A249-4AB4-8086-4D7AEB63B8AF}"/>
    <cellStyle name="AggOrange 4 3 2 21" xfId="10698" xr:uid="{AE188768-8AF4-429D-9AAF-F3802B91F8BB}"/>
    <cellStyle name="AggOrange 4 3 2 22" xfId="10994" xr:uid="{909FD03D-57D8-4515-AB17-298BAFF1FC10}"/>
    <cellStyle name="AggOrange 4 3 2 23" xfId="12160" xr:uid="{47B1DF8D-4074-4F75-A93A-612529404D57}"/>
    <cellStyle name="AggOrange 4 3 2 24" xfId="12633" xr:uid="{4C0204E1-46A1-4134-B91B-58C4B3A95181}"/>
    <cellStyle name="AggOrange 4 3 2 25" xfId="13067" xr:uid="{B7854B82-EECA-4857-9BE4-F9B43482571D}"/>
    <cellStyle name="AggOrange 4 3 2 26" xfId="13504" xr:uid="{E7BDC5DD-C677-4E21-946D-441CA792E530}"/>
    <cellStyle name="AggOrange 4 3 2 27" xfId="11750" xr:uid="{3557FF26-6F86-4F6D-8380-B3A595828134}"/>
    <cellStyle name="AggOrange 4 3 2 28" xfId="13656" xr:uid="{20B312BE-D324-4DF9-A268-6FF2645A2F74}"/>
    <cellStyle name="AggOrange 4 3 2 29" xfId="13819" xr:uid="{351C98D9-60E6-4A37-B881-F2BE26641548}"/>
    <cellStyle name="AggOrange 4 3 2 3" xfId="1424" xr:uid="{A3ADD858-0F4A-475F-B756-DBA7923EE7EA}"/>
    <cellStyle name="AggOrange 4 3 2 30" xfId="14792" xr:uid="{23516144-ABEE-4641-BD05-A7446076C1D9}"/>
    <cellStyle name="AggOrange 4 3 2 31" xfId="14878" xr:uid="{57536B4F-1C45-47A2-BCDE-AF2788656BE1}"/>
    <cellStyle name="AggOrange 4 3 2 32" xfId="15216" xr:uid="{B5A5827C-5BB3-46BF-98FA-80676CB1D2FE}"/>
    <cellStyle name="AggOrange 4 3 2 33" xfId="16852" xr:uid="{DE7C374F-2D6B-41ED-9DEB-908F1A207CB9}"/>
    <cellStyle name="AggOrange 4 3 2 34" xfId="16048" xr:uid="{D3D9943E-6F22-40F0-B5DE-44A04A8DC12F}"/>
    <cellStyle name="AggOrange 4 3 2 35" xfId="16453" xr:uid="{D6DDE4DD-F63A-4886-A73D-7887086B3077}"/>
    <cellStyle name="AggOrange 4 3 2 36" xfId="17576" xr:uid="{56652D6D-F23C-4962-868C-4D6804124987}"/>
    <cellStyle name="AggOrange 4 3 2 37" xfId="18670" xr:uid="{237CE782-F756-4971-8080-AD5EDDF17E53}"/>
    <cellStyle name="AggOrange 4 3 2 38" xfId="16072" xr:uid="{48A9EFB2-20F5-4387-8D32-A78CCCFC4E80}"/>
    <cellStyle name="AggOrange 4 3 2 39" xfId="18768" xr:uid="{37BA63BA-099E-4308-9861-9C1A54A7E833}"/>
    <cellStyle name="AggOrange 4 3 2 4" xfId="2629" xr:uid="{0DFAFD7B-DDC4-483D-81E8-C91BAC4F73FE}"/>
    <cellStyle name="AggOrange 4 3 2 40" xfId="20189" xr:uid="{7B8252F0-2992-4063-B60C-67F0A11ADE0A}"/>
    <cellStyle name="AggOrange 4 3 2 41" xfId="19381" xr:uid="{A2110E7F-C636-46A2-8EA9-ECD9861946A7}"/>
    <cellStyle name="AggOrange 4 3 2 42" xfId="19535" xr:uid="{D16185A9-1EFC-4298-A367-DB7317518A5F}"/>
    <cellStyle name="AggOrange 4 3 2 43" xfId="21425" xr:uid="{A61D67A6-968B-4C8C-8509-1EC4CC757FA0}"/>
    <cellStyle name="AggOrange 4 3 2 44" xfId="20983" xr:uid="{4D1156DE-E3E3-4E9E-BAAE-982F808FAC7D}"/>
    <cellStyle name="AggOrange 4 3 2 45" xfId="20341" xr:uid="{FD81EE57-F516-4052-B0A1-914817543672}"/>
    <cellStyle name="AggOrange 4 3 2 46" xfId="21296" xr:uid="{8B513395-CEA5-460A-B7F6-348608CD75E0}"/>
    <cellStyle name="AggOrange 4 3 2 47" xfId="21751" xr:uid="{7512697B-2B36-40C1-AFFC-FF3B2D2466BB}"/>
    <cellStyle name="AggOrange 4 3 2 48" xfId="23440" xr:uid="{5A84EE11-1A65-4589-9ACD-7DE6CDFFC3C4}"/>
    <cellStyle name="AggOrange 4 3 2 49" xfId="23989" xr:uid="{3A498AA6-CB84-4FE0-9625-B616561CDE70}"/>
    <cellStyle name="AggOrange 4 3 2 5" xfId="1847" xr:uid="{7FC3DF4F-25AA-4441-A7E8-3BFA043A31EF}"/>
    <cellStyle name="AggOrange 4 3 2 50" xfId="24897" xr:uid="{CE4D511B-57AB-4134-A118-EB58C9C4302C}"/>
    <cellStyle name="AggOrange 4 3 2 51" xfId="24335" xr:uid="{9C27AA81-29F9-46C1-85FA-9F8EF86246AA}"/>
    <cellStyle name="AggOrange 4 3 2 52" xfId="25813" xr:uid="{A7B52B20-E177-4EB5-9F1C-0C8E13EC840C}"/>
    <cellStyle name="AggOrange 4 3 2 53" xfId="25923" xr:uid="{C15739E9-D62F-4947-A301-B4303FB0FF98}"/>
    <cellStyle name="AggOrange 4 3 2 54" xfId="25131" xr:uid="{405508C7-57AA-43FC-A2DF-7FEEBD963286}"/>
    <cellStyle name="AggOrange 4 3 2 55" xfId="27101" xr:uid="{04BE4DEA-F575-49E0-A775-687832D15FF0}"/>
    <cellStyle name="AggOrange 4 3 2 56" xfId="27520" xr:uid="{DEDE41DE-E29A-4E16-9F33-BBAD3D746602}"/>
    <cellStyle name="AggOrange 4 3 2 57" xfId="26354" xr:uid="{FE4F8208-1DF5-4995-A417-63D7DEC104B5}"/>
    <cellStyle name="AggOrange 4 3 2 58" xfId="28647" xr:uid="{AB5C4F6B-78D1-41C4-8C2A-EDF970FCE51B}"/>
    <cellStyle name="AggOrange 4 3 2 59" xfId="29114" xr:uid="{A2E6E253-A476-410F-9A70-06BCDAE5147F}"/>
    <cellStyle name="AggOrange 4 3 2 6" xfId="3287" xr:uid="{F4D77FF8-F694-45A8-A443-B8B0A5679127}"/>
    <cellStyle name="AggOrange 4 3 2 60" xfId="28166" xr:uid="{8293BE51-7A32-485D-8B37-7765894F3EA8}"/>
    <cellStyle name="AggOrange 4 3 2 61" xfId="29903" xr:uid="{C4979EEC-67E0-46C9-9F5B-1BCDB7DB0443}"/>
    <cellStyle name="AggOrange 4 3 2 62" xfId="30309" xr:uid="{294CCFCA-786E-4B62-A397-7C8B1810A379}"/>
    <cellStyle name="AggOrange 4 3 2 63" xfId="30726" xr:uid="{EAAFD2B8-FB2F-4538-AAF2-93F147ADCDE0}"/>
    <cellStyle name="AggOrange 4 3 2 64" xfId="28040" xr:uid="{C2D0962F-4CDA-4BC3-858C-2F1EAFAEB61C}"/>
    <cellStyle name="AggOrange 4 3 2 65" xfId="31342" xr:uid="{EA84ACFE-109B-4E5A-AB7B-8BED48B11882}"/>
    <cellStyle name="AggOrange 4 3 2 66" xfId="32033" xr:uid="{9FC6FCF9-3BFF-4126-92DC-29E0624942F7}"/>
    <cellStyle name="AggOrange 4 3 2 67" xfId="32216" xr:uid="{E5E50CFD-7B61-4F88-9F52-BE38A3B1D886}"/>
    <cellStyle name="AggOrange 4 3 2 7" xfId="4125" xr:uid="{D68FBE29-D67C-43C4-95B5-425F95CF4BA5}"/>
    <cellStyle name="AggOrange 4 3 2 8" xfId="4562" xr:uid="{31021FE5-398C-41C1-A165-7DD691D1DA78}"/>
    <cellStyle name="AggOrange 4 3 2 9" xfId="3600" xr:uid="{448869FE-DFE4-49C6-A0D7-39BFC58B2A86}"/>
    <cellStyle name="AggOrange 4 3 20" xfId="10185" xr:uid="{72338E78-0C28-4A8D-A05C-27FBC830A68C}"/>
    <cellStyle name="AggOrange 4 3 21" xfId="10591" xr:uid="{F221A9B9-70A5-4542-8F46-37447DFC606B}"/>
    <cellStyle name="AggOrange 4 3 22" xfId="10302" xr:uid="{34856153-8E97-4608-A6C1-06A314BFDF24}"/>
    <cellStyle name="AggOrange 4 3 23" xfId="10972" xr:uid="{F6A5543A-B5D3-4995-AF9F-630F1CDC7216}"/>
    <cellStyle name="AggOrange 4 3 24" xfId="11945" xr:uid="{38EF7FDC-97C7-49C3-BD0B-390B4AB5E8A0}"/>
    <cellStyle name="AggOrange 4 3 25" xfId="12418" xr:uid="{97A23926-82A2-4176-8F5C-4B440455BDFF}"/>
    <cellStyle name="AggOrange 4 3 26" xfId="12852" xr:uid="{15B12051-DBD2-43C1-A3B0-F4CCF3E736D7}"/>
    <cellStyle name="AggOrange 4 3 27" xfId="13289" xr:uid="{BCF7732E-25B6-4DFD-BB29-F1A59D066769}"/>
    <cellStyle name="AggOrange 4 3 28" xfId="13182" xr:uid="{DB41462E-377D-4665-9882-75CAE4FD46C9}"/>
    <cellStyle name="AggOrange 4 3 29" xfId="14151" xr:uid="{CA5ACB48-02A2-4B09-A489-07F1C00E17CD}"/>
    <cellStyle name="AggOrange 4 3 3" xfId="1075" xr:uid="{BB8AA687-5C86-4742-B5D8-95388164C39F}"/>
    <cellStyle name="AggOrange 4 3 30" xfId="14858" xr:uid="{99908861-F99D-4A5C-925F-E5A20BD38543}"/>
    <cellStyle name="AggOrange 4 3 31" xfId="14102" xr:uid="{C6AD7AD5-16E0-4F17-80AF-21F1D5931769}"/>
    <cellStyle name="AggOrange 4 3 32" xfId="15709" xr:uid="{B3307998-C2BB-42BD-A881-74F86D9CF601}"/>
    <cellStyle name="AggOrange 4 3 33" xfId="15953" xr:uid="{E49E9F62-2B50-4920-B5BA-D492B155DAE8}"/>
    <cellStyle name="AggOrange 4 3 34" xfId="16637" xr:uid="{F4BD6F66-C9A2-4FDE-9401-24D7E7267AD1}"/>
    <cellStyle name="AggOrange 4 3 35" xfId="17305" xr:uid="{2119148F-F9AA-4CA2-A3C1-24E9F5416078}"/>
    <cellStyle name="AggOrange 4 3 36" xfId="17748" xr:uid="{5727324C-E044-42D9-9D2C-73A7A0909C97}"/>
    <cellStyle name="AggOrange 4 3 37" xfId="17515" xr:uid="{D96CCCE0-76A9-48EA-8DEB-6A9563132671}"/>
    <cellStyle name="AggOrange 4 3 38" xfId="18455" xr:uid="{74A37521-66A1-49AC-B802-A9751FF77C5D}"/>
    <cellStyle name="AggOrange 4 3 39" xfId="18996" xr:uid="{4995A77D-60F7-447F-8C61-858BEF98775D}"/>
    <cellStyle name="AggOrange 4 3 4" xfId="1611" xr:uid="{57AFFFE5-0E8C-4062-AC7A-700E256A94C0}"/>
    <cellStyle name="AggOrange 4 3 40" xfId="18219" xr:uid="{3E5F4621-FFF0-4923-A31F-751E292F5399}"/>
    <cellStyle name="AggOrange 4 3 41" xfId="19974" xr:uid="{0946C0AF-6576-409A-AD02-D31D91681C68}"/>
    <cellStyle name="AggOrange 4 3 42" xfId="20656" xr:uid="{91CC664B-FFC6-430B-9682-F9522524AAF0}"/>
    <cellStyle name="AggOrange 4 3 43" xfId="21113" xr:uid="{6A0C28F2-765B-4D5F-9FBB-3F6BEF508150}"/>
    <cellStyle name="AggOrange 4 3 44" xfId="20814" xr:uid="{24C90366-5212-4159-AC08-5CA14D3BCD9E}"/>
    <cellStyle name="AggOrange 4 3 45" xfId="22044" xr:uid="{FD1CD2C4-7626-4247-9294-373A29388525}"/>
    <cellStyle name="AggOrange 4 3 46" xfId="22473" xr:uid="{3EBDF0CC-9E6C-4CF1-9FC8-3AC3B9DDF1C1}"/>
    <cellStyle name="AggOrange 4 3 47" xfId="22446" xr:uid="{8F3942F4-1089-41D6-A2F5-2E79B8338225}"/>
    <cellStyle name="AggOrange 4 3 48" xfId="23279" xr:uid="{63E94720-2CFF-4292-B181-D48CB09DE92F}"/>
    <cellStyle name="AggOrange 4 3 49" xfId="23245" xr:uid="{99005418-3BE0-4877-BA37-694225E095BA}"/>
    <cellStyle name="AggOrange 4 3 5" xfId="2414" xr:uid="{4EA0F682-75AF-40E1-AB11-AB7D421C718F}"/>
    <cellStyle name="AggOrange 4 3 50" xfId="23783" xr:uid="{119A4109-F270-4646-A875-FE0771A98A88}"/>
    <cellStyle name="AggOrange 4 3 51" xfId="24682" xr:uid="{FC239891-E46D-469B-A636-10FEBD80844E}"/>
    <cellStyle name="AggOrange 4 3 52" xfId="25360" xr:uid="{D4D89813-5526-4AEE-B9A5-D2787B9AEBA5}"/>
    <cellStyle name="AggOrange 4 3 53" xfId="25600" xr:uid="{E57C3514-ADB6-4622-98DD-705592085FF2}"/>
    <cellStyle name="AggOrange 4 3 54" xfId="24119" xr:uid="{3F417B34-69D0-451E-B7B2-B87240DB857E}"/>
    <cellStyle name="AggOrange 4 3 55" xfId="25410" xr:uid="{89F8E6DB-504C-42DE-8700-24C7ECCECE7F}"/>
    <cellStyle name="AggOrange 4 3 56" xfId="26890" xr:uid="{674C8A3E-C69C-446C-A3FA-2FDA996A1F8F}"/>
    <cellStyle name="AggOrange 4 3 57" xfId="27309" xr:uid="{B03B878C-7AD0-4940-9A81-1284D121059D}"/>
    <cellStyle name="AggOrange 4 3 58" xfId="27604" xr:uid="{6EC78C6A-EA45-4E12-88A9-3B9B8347A538}"/>
    <cellStyle name="AggOrange 4 3 59" xfId="28432" xr:uid="{8A9729D0-C8EB-450F-93E7-4C6120799B53}"/>
    <cellStyle name="AggOrange 4 3 6" xfId="2131" xr:uid="{F9825FF3-9DF6-45BF-81D9-63E2C09972B8}"/>
    <cellStyle name="AggOrange 4 3 60" xfId="28900" xr:uid="{B6054B98-79D8-4E18-9323-9DA3C8D06966}"/>
    <cellStyle name="AggOrange 4 3 61" xfId="29483" xr:uid="{1B530E68-82EE-4621-8399-70C1E140A312}"/>
    <cellStyle name="AggOrange 4 3 62" xfId="29690" xr:uid="{3B552556-6D34-41C9-A60B-7B9B30FD571C}"/>
    <cellStyle name="AggOrange 4 3 63" xfId="30098" xr:uid="{34F91F5B-9CA9-4612-AACC-5BF2464472E7}"/>
    <cellStyle name="AggOrange 4 3 64" xfId="30512" xr:uid="{1E0AF52F-0C3B-4451-847F-695C39353BAF}"/>
    <cellStyle name="AggOrange 4 3 65" xfId="30199" xr:uid="{F964CDBD-7992-4315-977E-68C7CEFA3601}"/>
    <cellStyle name="AggOrange 4 3 66" xfId="31136" xr:uid="{121AB937-E96C-46BC-8B58-906A0F3750A9}"/>
    <cellStyle name="AggOrange 4 3 67" xfId="31822" xr:uid="{5C8A1ED5-7B11-4448-8BFA-F9675326A9FC}"/>
    <cellStyle name="AggOrange 4 3 68" xfId="31438" xr:uid="{0B209556-CF34-412C-8151-D213EA7A7FB3}"/>
    <cellStyle name="AggOrange 4 3 7" xfId="3688" xr:uid="{63E2B126-BB76-4EC9-ACC2-B61D2D4F1FBE}"/>
    <cellStyle name="AggOrange 4 3 8" xfId="3910" xr:uid="{B095D032-BCE0-4DED-A646-794D2E55E965}"/>
    <cellStyle name="AggOrange 4 3 9" xfId="4348" xr:uid="{6BD4998A-AF24-4A1A-81F2-9A7F865E285F}"/>
    <cellStyle name="AggOrange 4 30" xfId="11775" xr:uid="{43DCACB8-DCB5-4E56-B645-7EA15478369A}"/>
    <cellStyle name="AggOrange 4 31" xfId="11832" xr:uid="{594692DF-C7F7-47E0-A7B2-F65B971C4FD6}"/>
    <cellStyle name="AggOrange 4 32" xfId="14508" xr:uid="{DEFAD73D-CBFA-49E7-A01F-D18B74A3B049}"/>
    <cellStyle name="AggOrange 4 33" xfId="13204" xr:uid="{54A46839-E410-42B2-AC9A-DF499E1D78AA}"/>
    <cellStyle name="AggOrange 4 34" xfId="15183" xr:uid="{16080E24-586A-4059-9F36-C924FBD34BD0}"/>
    <cellStyle name="AggOrange 4 35" xfId="15196" xr:uid="{0B8FBAEF-961A-4A49-BF12-636D59E1AD00}"/>
    <cellStyle name="AggOrange 4 36" xfId="16315" xr:uid="{5BDB3832-F084-47C8-A916-51A0BFD5F0F9}"/>
    <cellStyle name="AggOrange 4 37" xfId="16061" xr:uid="{04C77A3E-F4CC-4B1D-B44A-D1025666DF78}"/>
    <cellStyle name="AggOrange 4 38" xfId="17261" xr:uid="{59969920-AE05-4591-84BD-BC7AFC756555}"/>
    <cellStyle name="AggOrange 4 39" xfId="18152" xr:uid="{977E0CD9-ADDC-4CEF-B45D-7E6F6BB285B2}"/>
    <cellStyle name="AggOrange 4 4" xfId="566" xr:uid="{139FEBED-75BF-47F3-A954-8F22DE319B18}"/>
    <cellStyle name="AggOrange 4 4 10" xfId="5022" xr:uid="{039F901E-13AD-435B-B937-21F26230D59C}"/>
    <cellStyle name="AggOrange 4 4 11" xfId="5214" xr:uid="{3B393B5A-95B8-4C0A-BCBD-0994943C79F1}"/>
    <cellStyle name="AggOrange 4 4 12" xfId="5561" xr:uid="{776487BC-2F59-4EA3-969A-FE5A2D9B937B}"/>
    <cellStyle name="AggOrange 4 4 13" xfId="2285" xr:uid="{5ED7153D-D9D6-4091-AF02-E3E8F37766B1}"/>
    <cellStyle name="AggOrange 4 4 14" xfId="6640" xr:uid="{63ADDED7-378A-4C99-AE21-1ECE2C47D3BE}"/>
    <cellStyle name="AggOrange 4 4 15" xfId="7286" xr:uid="{2C466B86-6E86-4AE9-8487-5C2D6E8E6C48}"/>
    <cellStyle name="AggOrange 4 4 16" xfId="8025" xr:uid="{A4AFC46F-0149-49ED-87D2-3E861C85C28F}"/>
    <cellStyle name="AggOrange 4 4 17" xfId="7740" xr:uid="{774A7A32-C651-43A8-B553-B26B519C35CD}"/>
    <cellStyle name="AggOrange 4 4 18" xfId="8691" xr:uid="{C30C44B9-F007-486D-9309-C5160067AADE}"/>
    <cellStyle name="AggOrange 4 4 19" xfId="9500" xr:uid="{2106E94E-65C2-4B49-B8A9-FACB8BB26F44}"/>
    <cellStyle name="AggOrange 4 4 2" xfId="781" xr:uid="{A956E134-A7A6-4740-9098-385507848108}"/>
    <cellStyle name="AggOrange 4 4 2 10" xfId="5429" xr:uid="{0BF8AA1D-4990-403D-9233-D16F0C1EC41D}"/>
    <cellStyle name="AggOrange 4 4 2 11" xfId="5863" xr:uid="{B57B60C2-7CA5-4C54-A201-645F574D381E}"/>
    <cellStyle name="AggOrange 4 4 2 12" xfId="3793" xr:uid="{1C157414-63D7-4844-B5E0-D236E4067D78}"/>
    <cellStyle name="AggOrange 4 4 2 13" xfId="6059" xr:uid="{5A7B9C25-F086-484C-8B18-0FB828FE1363}"/>
    <cellStyle name="AggOrange 4 4 2 14" xfId="7501" xr:uid="{183E48D9-79FA-4EB8-BBE5-04AC8111C2CE}"/>
    <cellStyle name="AggOrange 4 4 2 15" xfId="6955" xr:uid="{899B6E9F-DFD5-4C6F-8499-BE5D022D5C21}"/>
    <cellStyle name="AggOrange 4 4 2 16" xfId="8297" xr:uid="{4F67C9C5-699E-4A55-954D-7AF63422990B}"/>
    <cellStyle name="AggOrange 4 4 2 17" xfId="8829" xr:uid="{229E7CB2-A752-4883-A845-8E5EE8FB3045}"/>
    <cellStyle name="AggOrange 4 4 2 18" xfId="9715" xr:uid="{912EBDDD-44F6-4793-A0F6-CEB12D154D7B}"/>
    <cellStyle name="AggOrange 4 4 2 19" xfId="9303" xr:uid="{5B58C3C3-E72E-405A-9F42-2EE9445FFEA2}"/>
    <cellStyle name="AggOrange 4 4 2 2" xfId="1255" xr:uid="{0646D487-8EAE-407D-93BC-31BACFE5CC51}"/>
    <cellStyle name="AggOrange 4 4 2 20" xfId="10049" xr:uid="{CB575F45-C656-4026-9376-8A7AB12F3AC1}"/>
    <cellStyle name="AggOrange 4 4 2 21" xfId="10304" xr:uid="{948BA556-F19B-4DA9-A73A-C4AD7C2C273B}"/>
    <cellStyle name="AggOrange 4 4 2 22" xfId="11157" xr:uid="{0E5B1C59-A012-4A62-9B54-462FD90DD450}"/>
    <cellStyle name="AggOrange 4 4 2 23" xfId="12134" xr:uid="{8CBBF7C3-FCA4-4F05-BB21-F6E591D0BE70}"/>
    <cellStyle name="AggOrange 4 4 2 24" xfId="12607" xr:uid="{B017FF09-46D0-4A02-85CC-D4AC25E15C53}"/>
    <cellStyle name="AggOrange 4 4 2 25" xfId="13041" xr:uid="{48DF3AE0-47F0-4319-A461-ACBEA3BB5217}"/>
    <cellStyle name="AggOrange 4 4 2 26" xfId="13478" xr:uid="{A5F79DA3-F842-459A-8A21-4F05F5866F02}"/>
    <cellStyle name="AggOrange 4 4 2 27" xfId="11807" xr:uid="{2F62F1DC-A62A-49E4-82ED-5B6DDC7BFC52}"/>
    <cellStyle name="AggOrange 4 4 2 28" xfId="14181" xr:uid="{9466DBE1-6C28-4B56-B886-CEAE1383E489}"/>
    <cellStyle name="AggOrange 4 4 2 29" xfId="14319" xr:uid="{8EA3B4A6-F8CA-4DD4-BD61-61A75CE367ED}"/>
    <cellStyle name="AggOrange 4 4 2 3" xfId="1426" xr:uid="{6DCB5EA2-26EA-4E33-BE0C-F7F93F0DFE60}"/>
    <cellStyle name="AggOrange 4 4 2 30" xfId="14725" xr:uid="{716B50E3-492D-4F0F-BD05-48BFF25EAAE4}"/>
    <cellStyle name="AggOrange 4 4 2 31" xfId="14605" xr:uid="{CB2E6682-87EE-4C28-9D0D-A03ED10F73A2}"/>
    <cellStyle name="AggOrange 4 4 2 32" xfId="15350" xr:uid="{21361996-4DFE-46B8-8C8F-0BC40A520482}"/>
    <cellStyle name="AggOrange 4 4 2 33" xfId="16826" xr:uid="{D760442F-C040-44FE-BFC2-BD75F1E2BE2F}"/>
    <cellStyle name="AggOrange 4 4 2 34" xfId="16274" xr:uid="{8A98A69D-DB88-400C-B1BE-FAD7E4B81059}"/>
    <cellStyle name="AggOrange 4 4 2 35" xfId="17167" xr:uid="{A5D4D5E6-2EA7-4496-B28A-0CB7838B21E4}"/>
    <cellStyle name="AggOrange 4 4 2 36" xfId="17928" xr:uid="{15635010-849B-47E1-8568-9B94F545C496}"/>
    <cellStyle name="AggOrange 4 4 2 37" xfId="18644" xr:uid="{C1E2ADC8-78CC-4382-B172-F3198AD1F7BE}"/>
    <cellStyle name="AggOrange 4 4 2 38" xfId="17800" xr:uid="{2BFCDC53-552B-43A3-BDEA-9EEED6C98E5B}"/>
    <cellStyle name="AggOrange 4 4 2 39" xfId="17621" xr:uid="{6285814F-CCC7-4A9B-B4B2-C03BDF3C1D50}"/>
    <cellStyle name="AggOrange 4 4 2 4" xfId="2603" xr:uid="{8656EBC0-A044-4293-8E0C-14CDA309BFEF}"/>
    <cellStyle name="AggOrange 4 4 2 40" xfId="20163" xr:uid="{95454B10-0501-4293-9DBF-E7C5EA4F8890}"/>
    <cellStyle name="AggOrange 4 4 2 41" xfId="19509" xr:uid="{C58BCAA0-55C8-434E-84BD-0DFEA0CEB833}"/>
    <cellStyle name="AggOrange 4 4 2 42" xfId="20464" xr:uid="{98002AE5-1331-4B40-8819-32B435DC7F63}"/>
    <cellStyle name="AggOrange 4 4 2 43" xfId="21344" xr:uid="{ABD39C41-C24F-4FDB-8776-C870A32C10D0}"/>
    <cellStyle name="AggOrange 4 4 2 44" xfId="21397" xr:uid="{E8258E8B-C5FF-479F-9153-600443AF5B05}"/>
    <cellStyle name="AggOrange 4 4 2 45" xfId="21419" xr:uid="{C877909B-DC1F-4BEA-9F5D-8CD89891FFA1}"/>
    <cellStyle name="AggOrange 4 4 2 46" xfId="22169" xr:uid="{0C32B91F-8BAE-483F-9351-324232C7B3F0}"/>
    <cellStyle name="AggOrange 4 4 2 47" xfId="22968" xr:uid="{34589341-5094-4819-9204-49C90EF488A1}"/>
    <cellStyle name="AggOrange 4 4 2 48" xfId="23178" xr:uid="{DD740296-53CF-47C4-9FDE-661F7F2E41EC}"/>
    <cellStyle name="AggOrange 4 4 2 49" xfId="23963" xr:uid="{3F11C1D9-C9CB-44DC-BF65-E74CC0585BC2}"/>
    <cellStyle name="AggOrange 4 4 2 5" xfId="2035" xr:uid="{21BF7CB8-41A3-46F7-96E6-F34394BB4663}"/>
    <cellStyle name="AggOrange 4 4 2 50" xfId="24871" xr:uid="{EC88FA7E-8C8D-4AE1-9828-990101F0BBCD}"/>
    <cellStyle name="AggOrange 4 4 2 51" xfId="24506" xr:uid="{ED4CE7A5-B666-4C30-9EBD-22131626B816}"/>
    <cellStyle name="AggOrange 4 4 2 52" xfId="25787" xr:uid="{68C959C8-EE0D-4848-8F92-BDD3724B4DEE}"/>
    <cellStyle name="AggOrange 4 4 2 53" xfId="25904" xr:uid="{F1508B2E-7EF4-4F19-99C2-DE47D88B1B53}"/>
    <cellStyle name="AggOrange 4 4 2 54" xfId="26632" xr:uid="{E0538E25-3BAA-454F-9DF6-29EBF7372F4B}"/>
    <cellStyle name="AggOrange 4 4 2 55" xfId="27075" xr:uid="{185638A9-2A1B-48B2-BB9D-58D9E60AFA48}"/>
    <cellStyle name="AggOrange 4 4 2 56" xfId="27494" xr:uid="{436EDF98-14B1-4690-873A-5F19528E7B1D}"/>
    <cellStyle name="AggOrange 4 4 2 57" xfId="26154" xr:uid="{9E898CDF-0A75-47F0-99DA-C9414CC41C46}"/>
    <cellStyle name="AggOrange 4 4 2 58" xfId="28621" xr:uid="{5C0D1670-D168-4ABE-A595-4B780E9B3261}"/>
    <cellStyle name="AggOrange 4 4 2 59" xfId="29088" xr:uid="{A1BA2F06-93C6-4676-BF18-DA2980971507}"/>
    <cellStyle name="AggOrange 4 4 2 6" xfId="3592" xr:uid="{AE172C00-259E-4A70-B17E-118AD7184B9B}"/>
    <cellStyle name="AggOrange 4 4 2 60" xfId="28735" xr:uid="{E7D406F6-7D64-46EC-912F-FF0B3B194462}"/>
    <cellStyle name="AggOrange 4 4 2 61" xfId="29877" xr:uid="{FEE3E5FF-3061-455F-80BD-272E8D07F0EE}"/>
    <cellStyle name="AggOrange 4 4 2 62" xfId="30283" xr:uid="{15A0789A-D63A-45D7-9F2D-9BAD8CF45603}"/>
    <cellStyle name="AggOrange 4 4 2 63" xfId="30700" xr:uid="{02DEC92A-3930-4180-B351-79CE54682C3F}"/>
    <cellStyle name="AggOrange 4 4 2 64" xfId="28345" xr:uid="{9106AE9F-250F-4639-AB44-0ED7A89959C1}"/>
    <cellStyle name="AggOrange 4 4 2 65" xfId="31316" xr:uid="{C3CFEDA2-6F56-4F91-9E9A-AD04ADAFB684}"/>
    <cellStyle name="AggOrange 4 4 2 66" xfId="32007" xr:uid="{5528B653-F229-4C04-AC37-4DFDDDDD031C}"/>
    <cellStyle name="AggOrange 4 4 2 67" xfId="31436" xr:uid="{811C8DCF-CA9D-4709-BBB8-73192477D078}"/>
    <cellStyle name="AggOrange 4 4 2 7" xfId="4099" xr:uid="{524CB6EC-3B8D-4E18-87E2-053F4BDD9164}"/>
    <cellStyle name="AggOrange 4 4 2 8" xfId="4536" xr:uid="{62141263-6CDD-494E-BAA9-CBE397553678}"/>
    <cellStyle name="AggOrange 4 4 2 9" xfId="4966" xr:uid="{34F406FD-56E8-4234-A4E6-0655F5B9A2D2}"/>
    <cellStyle name="AggOrange 4 4 20" xfId="10244" xr:uid="{A2A4CED1-5CA6-4411-BFAE-5F72035CCD9F}"/>
    <cellStyle name="AggOrange 4 4 21" xfId="10639" xr:uid="{3C438837-5012-414F-8E54-0D47A34178A5}"/>
    <cellStyle name="AggOrange 4 4 22" xfId="10313" xr:uid="{A56964F3-E480-4B73-BDBF-86A8125776D6}"/>
    <cellStyle name="AggOrange 4 4 23" xfId="11089" xr:uid="{C30CCDA3-9E37-4E62-9A4D-6DE093C9F671}"/>
    <cellStyle name="AggOrange 4 4 24" xfId="11919" xr:uid="{34936B28-B237-43C3-8C92-6E192A248E68}"/>
    <cellStyle name="AggOrange 4 4 25" xfId="12392" xr:uid="{73813D12-C5EE-4C4E-9BAF-B1DE43B9DBDA}"/>
    <cellStyle name="AggOrange 4 4 26" xfId="12826" xr:uid="{61C7F7BC-6ECB-4807-B5F6-B861A9C97F00}"/>
    <cellStyle name="AggOrange 4 4 27" xfId="13263" xr:uid="{6D75F43A-B7A6-479F-8BB8-67FA9B6ADD18}"/>
    <cellStyle name="AggOrange 4 4 28" xfId="12260" xr:uid="{73163083-00CC-48D8-B539-1375A9A846BF}"/>
    <cellStyle name="AggOrange 4 4 29" xfId="14236" xr:uid="{C06FE1AA-0EE7-4216-BF2F-E893D8D43EDE}"/>
    <cellStyle name="AggOrange 4 4 3" xfId="1049" xr:uid="{5803FB24-C8FA-4101-A4CE-070598261B56}"/>
    <cellStyle name="AggOrange 4 4 30" xfId="14063" xr:uid="{E1CCFB94-C427-4D0C-B17B-E76A813AA868}"/>
    <cellStyle name="AggOrange 4 4 31" xfId="14141" xr:uid="{AEAD2A56-E50E-46AB-B20A-11A196153080}"/>
    <cellStyle name="AggOrange 4 4 32" xfId="15643" xr:uid="{F597C891-E861-44ED-A54C-121D010E693F}"/>
    <cellStyle name="AggOrange 4 4 33" xfId="15985" xr:uid="{CB6CDACB-08F2-4BE7-9D73-6A11968AD647}"/>
    <cellStyle name="AggOrange 4 4 34" xfId="16611" xr:uid="{7FEFD154-1312-41A1-B082-0116268DA7EE}"/>
    <cellStyle name="AggOrange 4 4 35" xfId="17365" xr:uid="{A8D9B53A-38A5-410C-96B1-CC9F4F93515F}"/>
    <cellStyle name="AggOrange 4 4 36" xfId="17807" xr:uid="{AAE1445E-61D4-4711-A452-A32054C724A8}"/>
    <cellStyle name="AggOrange 4 4 37" xfId="18192" xr:uid="{6A6572F9-8008-4A19-A097-EEE2D8FF77FC}"/>
    <cellStyle name="AggOrange 4 4 38" xfId="18429" xr:uid="{03F65423-E9EF-46DB-9831-5C83F0AACEAB}"/>
    <cellStyle name="AggOrange 4 4 39" xfId="18765" xr:uid="{D5F68E30-E47A-4D4E-9923-2EC3561FA00D}"/>
    <cellStyle name="AggOrange 4 4 4" xfId="1709" xr:uid="{B5CC380E-82C3-4FAA-8FCC-783B24C78CBA}"/>
    <cellStyle name="AggOrange 4 4 40" xfId="19335" xr:uid="{C1AAEC36-CFC7-4896-AB4D-CBDFCE37C543}"/>
    <cellStyle name="AggOrange 4 4 41" xfId="19948" xr:uid="{0DAABC66-B32D-423D-9A64-4A8E6B875AE1}"/>
    <cellStyle name="AggOrange 4 4 42" xfId="20715" xr:uid="{7EC09D28-C4ED-40D1-8517-D95B5617DCD1}"/>
    <cellStyle name="AggOrange 4 4 43" xfId="21173" xr:uid="{7BF7273C-4711-41C9-BEA1-6FE8CF90BA1E}"/>
    <cellStyle name="AggOrange 4 4 44" xfId="20936" xr:uid="{CB1C5333-CFFB-4789-BE70-F8172EC60B4E}"/>
    <cellStyle name="AggOrange 4 4 45" xfId="22104" xr:uid="{43AF5AAE-8D50-4134-BAB6-3CDED071FC68}"/>
    <cellStyle name="AggOrange 4 4 46" xfId="22532" xr:uid="{76C0E808-13C2-45ED-9D74-012B5BD71E08}"/>
    <cellStyle name="AggOrange 4 4 47" xfId="21429" xr:uid="{6C3A5044-9D9A-47BF-9DDF-2118D55CD2F9}"/>
    <cellStyle name="AggOrange 4 4 48" xfId="23033" xr:uid="{4673CA3C-BDC8-408E-A81D-7FBEB9E68644}"/>
    <cellStyle name="AggOrange 4 4 49" xfId="23073" xr:uid="{807335C1-DA6C-44E3-8ECA-83608FED4CFD}"/>
    <cellStyle name="AggOrange 4 4 5" xfId="2388" xr:uid="{3EEECEF5-26DF-48E3-9334-497AE0CF536A}"/>
    <cellStyle name="AggOrange 4 4 50" xfId="23757" xr:uid="{EF05BE0C-A421-4BDF-A716-873E321327F9}"/>
    <cellStyle name="AggOrange 4 4 51" xfId="24656" xr:uid="{FB5F41E6-2B15-405F-8A4D-BEC7E7ACFE14}"/>
    <cellStyle name="AggOrange 4 4 52" xfId="25419" xr:uid="{D28D32FD-0FCE-46FA-ADBA-B2BEAD5971EE}"/>
    <cellStyle name="AggOrange 4 4 53" xfId="25574" xr:uid="{72CC8BA9-0D88-42E1-A9D9-625E2D8F226B}"/>
    <cellStyle name="AggOrange 4 4 54" xfId="25209" xr:uid="{F28869C6-DB88-451C-824E-51ED1E41799F}"/>
    <cellStyle name="AggOrange 4 4 55" xfId="24250" xr:uid="{CA6C4DB5-93B6-4325-8380-56141FCC8417}"/>
    <cellStyle name="AggOrange 4 4 56" xfId="26864" xr:uid="{4713BDEE-C0EA-403C-829B-4867B2109A91}"/>
    <cellStyle name="AggOrange 4 4 57" xfId="27283" xr:uid="{CBAC006F-EB61-49CC-BA41-304618C5BFE6}"/>
    <cellStyle name="AggOrange 4 4 58" xfId="27750" xr:uid="{016E448B-166D-4940-9751-65CD0F26EEE7}"/>
    <cellStyle name="AggOrange 4 4 59" xfId="28406" xr:uid="{F83A8F93-7981-48EA-B041-F4FAFF604FE0}"/>
    <cellStyle name="AggOrange 4 4 6" xfId="2066" xr:uid="{6F432F94-C10E-47D0-97E0-4EDB74567398}"/>
    <cellStyle name="AggOrange 4 4 60" xfId="28874" xr:uid="{5317BCE8-0FEA-499B-93D7-434B653F0965}"/>
    <cellStyle name="AggOrange 4 4 61" xfId="29533" xr:uid="{F7D46977-FC55-4959-90CF-1CAC11874EBA}"/>
    <cellStyle name="AggOrange 4 4 62" xfId="29664" xr:uid="{0F90613D-FC25-4FE7-B6E3-C521B1C61CC0}"/>
    <cellStyle name="AggOrange 4 4 63" xfId="30072" xr:uid="{27254DD5-380B-4414-B037-37880BF0273D}"/>
    <cellStyle name="AggOrange 4 4 64" xfId="30486" xr:uid="{29B48F83-4327-47CB-847D-010737454BAC}"/>
    <cellStyle name="AggOrange 4 4 65" xfId="29307" xr:uid="{133A3AA9-B31C-40E4-8F9B-81AB6BF5B611}"/>
    <cellStyle name="AggOrange 4 4 66" xfId="31110" xr:uid="{59811413-5082-4522-93F0-B247C17866BA}"/>
    <cellStyle name="AggOrange 4 4 67" xfId="31796" xr:uid="{77AC8A47-3AC4-44C8-A081-401FAB7D7D43}"/>
    <cellStyle name="AggOrange 4 4 68" xfId="32285" xr:uid="{C1E4BE3C-8265-4ABB-BDCD-F26296DC3895}"/>
    <cellStyle name="AggOrange 4 4 7" xfId="3516" xr:uid="{447EB014-0D40-414E-BDCF-D26DE91AF844}"/>
    <cellStyle name="AggOrange 4 4 8" xfId="3884" xr:uid="{B4EFBCC3-BDBB-4547-B091-6360D902E835}"/>
    <cellStyle name="AggOrange 4 4 9" xfId="4322" xr:uid="{D57A40A4-FC77-4093-B6C1-FC938170AA48}"/>
    <cellStyle name="AggOrange 4 40" xfId="17639" xr:uid="{58ED769E-9F54-4F94-BC33-3BBDA7500480}"/>
    <cellStyle name="AggOrange 4 41" xfId="18801" xr:uid="{EF35615D-2D3B-4699-8094-A50627AA8C70}"/>
    <cellStyle name="AggOrange 4 42" xfId="19074" xr:uid="{52DE73F7-7F81-41B8-B0C2-D91CD18B9B63}"/>
    <cellStyle name="AggOrange 4 43" xfId="19648" xr:uid="{5CDFC3B9-4E68-47EE-980A-56759B5255BC}"/>
    <cellStyle name="AggOrange 4 44" xfId="19728" xr:uid="{73E4A08F-E06F-4AD3-A24E-CCCDB0391A62}"/>
    <cellStyle name="AggOrange 4 45" xfId="20546" xr:uid="{C6C10F01-2029-4EF0-B66E-1482AC5C299A}"/>
    <cellStyle name="AggOrange 4 46" xfId="21000" xr:uid="{D6B978DD-1180-4C95-B2A8-5B45BA3D1574}"/>
    <cellStyle name="AggOrange 4 47" xfId="19485" xr:uid="{3263E78A-F89B-48BB-B22E-2B435C3743FE}"/>
    <cellStyle name="AggOrange 4 48" xfId="19544" xr:uid="{DF44230C-C7D0-4181-8464-DBE190D687FA}"/>
    <cellStyle name="AggOrange 4 49" xfId="21788" xr:uid="{42FFB401-0D20-4B95-95CB-75CBDC0F1BA3}"/>
    <cellStyle name="AggOrange 4 5" xfId="941" xr:uid="{31D7A7D6-BDBD-4EDB-9F59-7D646C19AACA}"/>
    <cellStyle name="AggOrange 4 50" xfId="23074" xr:uid="{654D0AA6-49E4-4C39-ACA6-9AA0CE56A9E1}"/>
    <cellStyle name="AggOrange 4 51" xfId="23367" xr:uid="{67EB3ED1-98DB-463F-BA56-E9F08601267F}"/>
    <cellStyle name="AggOrange 4 52" xfId="22513" xr:uid="{0C3622C4-C4D0-49BD-8495-D20041B9BE41}"/>
    <cellStyle name="AggOrange 4 53" xfId="24368" xr:uid="{3128CC3B-CCD8-4BAD-8C5D-8AA1C5C5389A}"/>
    <cellStyle name="AggOrange 4 54" xfId="25030" xr:uid="{666F0D0F-9EEC-4F15-88E3-610E639FD1BF}"/>
    <cellStyle name="AggOrange 4 55" xfId="25151" xr:uid="{585A4B25-BBAE-4583-BA6C-BBEF7D6537F4}"/>
    <cellStyle name="AggOrange 4 56" xfId="26208" xr:uid="{5EB648B6-45AB-4575-A7F1-C9210D923369}"/>
    <cellStyle name="AggOrange 4 57" xfId="26284" xr:uid="{75C5589D-E534-453E-B191-9D0BBE5E792F}"/>
    <cellStyle name="AggOrange 4 58" xfId="26562" xr:uid="{188AB5E7-7227-48FC-A841-430658AC97EC}"/>
    <cellStyle name="AggOrange 4 59" xfId="27185" xr:uid="{DEBB5D3F-862E-4218-975E-A04A2A976354}"/>
    <cellStyle name="AggOrange 4 6" xfId="1532" xr:uid="{DBF41AD4-077E-45C8-8597-EEFA9D8B6A02}"/>
    <cellStyle name="AggOrange 4 60" xfId="26286" xr:uid="{FE589056-A11A-42F8-849E-FD79C85F38E6}"/>
    <cellStyle name="AggOrange 4 61" xfId="28139" xr:uid="{8DE39456-E5C6-4CF4-9058-5B70CB62ABE9}"/>
    <cellStyle name="AggOrange 4 62" xfId="28017" xr:uid="{B1A14B65-71F9-45C6-8B21-62B260733BC6}"/>
    <cellStyle name="AggOrange 4 63" xfId="28252" xr:uid="{29EF672F-F0CD-4F77-80FC-0DCBF2CA0C4E}"/>
    <cellStyle name="AggOrange 4 64" xfId="28078" xr:uid="{C9262605-049D-44B6-B43D-1A9363797432}"/>
    <cellStyle name="AggOrange 4 65" xfId="28119" xr:uid="{537EEEDE-4A08-40F6-822F-462265F08DA7}"/>
    <cellStyle name="AggOrange 4 66" xfId="29513" xr:uid="{82DA4AD1-722B-42AE-830F-1C4CAA3976C6}"/>
    <cellStyle name="AggOrange 4 67" xfId="27934" xr:uid="{F84329C4-6529-47DD-A6E4-DD48BDB46729}"/>
    <cellStyle name="AggOrange 4 68" xfId="29594" xr:uid="{AF1DBB30-09EC-4CB4-A1AB-E0E81230AC61}"/>
    <cellStyle name="AggOrange 4 69" xfId="31591" xr:uid="{35DF35A0-6816-4C2D-9F80-83782537ED97}"/>
    <cellStyle name="AggOrange 4 7" xfId="2088" xr:uid="{32E2FDE8-BD5D-41EA-9D0A-1C4BB0870E88}"/>
    <cellStyle name="AggOrange 4 70" xfId="32271" xr:uid="{99A3166A-9B3A-48FB-8E6F-E70F5190DCA1}"/>
    <cellStyle name="AggOrange 4 8" xfId="1990" xr:uid="{6B413A44-1598-44B2-8C96-26140538E83C}"/>
    <cellStyle name="AggOrange 4 9" xfId="3655" xr:uid="{CDACF562-F3A2-47D5-8A25-4B133FE5B69A}"/>
    <cellStyle name="AggOrange 5" xfId="70" xr:uid="{8DE2FC1B-6B2D-4B96-BA00-B0B913C0C5E7}"/>
    <cellStyle name="AggOrange 5 10" xfId="16122" xr:uid="{5D2DB520-0CDC-4EFB-96F7-F999F4C15090}"/>
    <cellStyle name="AggOrange 5 11" xfId="19107" xr:uid="{1DF8C9B5-1CAC-481D-B56D-7CB8ACC91784}"/>
    <cellStyle name="AggOrange 5 12" xfId="19455" xr:uid="{C6CEAAAC-CBD8-4888-8E6C-66A0A0EC6C87}"/>
    <cellStyle name="AggOrange 5 13" xfId="22543" xr:uid="{451F099C-3C52-4809-B5FE-3131825350BB}"/>
    <cellStyle name="AggOrange 5 14" xfId="24176" xr:uid="{CA5BBB5A-11FF-4704-A719-B1E32DD0A05C}"/>
    <cellStyle name="AggOrange 5 15" xfId="25316" xr:uid="{0335EF96-1BEC-4261-9CAB-753747C02770}"/>
    <cellStyle name="AggOrange 5 16" xfId="27969" xr:uid="{0E650B9A-58C0-4A5E-A126-F85D421CB38B}"/>
    <cellStyle name="AggOrange 5 17" xfId="31484" xr:uid="{F8B4F754-EEED-45AE-B768-224BB5B6E4E0}"/>
    <cellStyle name="AggOrange 5 2" xfId="917" xr:uid="{82B5B20F-A80B-4BB5-85F6-EF6E2F69216D}"/>
    <cellStyle name="AggOrange 5 3" xfId="1899" xr:uid="{6525689E-D94E-47C6-8E12-20AE73C186BD}"/>
    <cellStyle name="AggOrange 5 4" xfId="3646" xr:uid="{9A762F69-85F0-4C90-8EAD-B706EF67177F}"/>
    <cellStyle name="AggOrange 5 5" xfId="4210" xr:uid="{60FE453F-898D-48C6-B1DD-5E4D7C4962B4}"/>
    <cellStyle name="AggOrange 5 6" xfId="6811" xr:uid="{C31FC11E-0091-494A-B48D-4C3B2E1FD13C}"/>
    <cellStyle name="AggOrange 5 7" xfId="8158" xr:uid="{7E959F69-73A4-4CCE-8D29-F421F3CC70DC}"/>
    <cellStyle name="AggOrange 5 8" xfId="9025" xr:uid="{E41BF454-AA3D-4203-946C-C0C884CFE8A4}"/>
    <cellStyle name="AggOrange 5 9" xfId="11430" xr:uid="{7264D2BD-26F1-4F47-8632-3070AAA3028D}"/>
    <cellStyle name="AggOrange_B_border" xfId="29" xr:uid="{568A61E4-EC45-45B2-B1AE-1A43505FD0A8}"/>
    <cellStyle name="AggOrange9" xfId="16" xr:uid="{AD8D5365-E0F4-4C37-B16F-5616EC762AE9}"/>
    <cellStyle name="AggOrange9 2" xfId="117" xr:uid="{FF77071B-5D78-4758-85D0-B6672E427B4B}"/>
    <cellStyle name="AggOrange9 2 2" xfId="409" xr:uid="{19F17E67-9182-4A19-9D92-C462313A470A}"/>
    <cellStyle name="AggOrange9 2 2 2" xfId="645" xr:uid="{E4398B53-F138-4FB9-AD49-470D130915CD}"/>
    <cellStyle name="AggOrange9 2 2 2 10" xfId="4975" xr:uid="{671A28B9-B7AF-4FF0-8074-CC1E78A982D3}"/>
    <cellStyle name="AggOrange9 2 2 2 11" xfId="5293" xr:uid="{BD0FE9F1-E9EE-4140-91D7-9660780B3DA0}"/>
    <cellStyle name="AggOrange9 2 2 2 12" xfId="4803" xr:uid="{0AC03D5D-DBED-476D-A077-5B5D0D4806A1}"/>
    <cellStyle name="AggOrange9 2 2 2 13" xfId="3794" xr:uid="{9F2474BF-4E83-46C4-A36D-2FC1E7BB812A}"/>
    <cellStyle name="AggOrange9 2 2 2 14" xfId="6497" xr:uid="{1743FB9B-BCBD-4449-9010-899882D2B651}"/>
    <cellStyle name="AggOrange9 2 2 2 15" xfId="7365" xr:uid="{1465935B-C3E0-4ACE-9960-C4A016A4055E}"/>
    <cellStyle name="AggOrange9 2 2 2 16" xfId="7823" xr:uid="{E1C9D724-0F07-4DBD-B1AC-DA006C78CDD7}"/>
    <cellStyle name="AggOrange9 2 2 2 17" xfId="6888" xr:uid="{89638C7B-545A-498A-85C6-EBDD5C864D5B}"/>
    <cellStyle name="AggOrange9 2 2 2 18" xfId="8537" xr:uid="{FAD7B754-A7C6-4229-AC52-7147F9C6E62E}"/>
    <cellStyle name="AggOrange9 2 2 2 19" xfId="9579" xr:uid="{41CD50F4-BEF8-4F36-ACF1-89DAE73D587B}"/>
    <cellStyle name="AggOrange9 2 2 2 2" xfId="860" xr:uid="{4D81B17F-F3C9-4570-93D1-C254D40B65B8}"/>
    <cellStyle name="AggOrange9 2 2 2 2 10" xfId="5508" xr:uid="{26358B16-B9CB-40C0-B60D-A2A0BD8C9158}"/>
    <cellStyle name="AggOrange9 2 2 2 2 11" xfId="4772" xr:uid="{778E9658-D134-4A88-B56C-78067AC0926B}"/>
    <cellStyle name="AggOrange9 2 2 2 2 12" xfId="5897" xr:uid="{D5994E17-3EB1-438C-986D-770238201D23}"/>
    <cellStyle name="AggOrange9 2 2 2 2 13" xfId="2154" xr:uid="{879ED12E-4E0D-4BC6-A93A-D739DDC296E8}"/>
    <cellStyle name="AggOrange9 2 2 2 2 14" xfId="7580" xr:uid="{925B11AE-E63B-4201-A63C-9337EB867D53}"/>
    <cellStyle name="AggOrange9 2 2 2 2 15" xfId="7418" xr:uid="{EBDA10BC-C768-4FE5-9C9E-427D1573AFE7}"/>
    <cellStyle name="AggOrange9 2 2 2 2 16" xfId="8467" xr:uid="{3DED9321-F736-48C7-826E-7B435C658BF8}"/>
    <cellStyle name="AggOrange9 2 2 2 2 17" xfId="8432" xr:uid="{73D9EBF6-0054-462A-BF1E-E24CD53B7653}"/>
    <cellStyle name="AggOrange9 2 2 2 2 18" xfId="9794" xr:uid="{01E1B6B2-DD1D-4373-8261-4E6095869F32}"/>
    <cellStyle name="AggOrange9 2 2 2 2 19" xfId="8958" xr:uid="{509A9CB7-966A-48AE-88C4-1E0B4E1F8426}"/>
    <cellStyle name="AggOrange9 2 2 2 2 2" xfId="1334" xr:uid="{F7BC1BA6-0355-40F0-8E8C-192248B9EA9B}"/>
    <cellStyle name="AggOrange9 2 2 2 2 20" xfId="9874" xr:uid="{48B9AB64-C14D-46DC-A2E2-0A9CE9052AFF}"/>
    <cellStyle name="AggOrange9 2 2 2 2 21" xfId="10436" xr:uid="{08A1EC49-0B0B-4D33-A87B-BF3FDD24CBC3}"/>
    <cellStyle name="AggOrange9 2 2 2 2 22" xfId="11182" xr:uid="{597695AD-24F7-4455-97E8-146022A8CE23}"/>
    <cellStyle name="AggOrange9 2 2 2 2 23" xfId="12213" xr:uid="{3F5EB813-1001-43EE-A697-442F01C7F894}"/>
    <cellStyle name="AggOrange9 2 2 2 2 24" xfId="12686" xr:uid="{781D2F74-28D2-4F8A-8F25-832533F15C9F}"/>
    <cellStyle name="AggOrange9 2 2 2 2 25" xfId="13120" xr:uid="{53054BB0-BF51-4FD0-A3BE-D4F95A6FA52B}"/>
    <cellStyle name="AggOrange9 2 2 2 2 26" xfId="13557" xr:uid="{BFA21C5E-1A0D-4C27-8B8A-04D9CF54C743}"/>
    <cellStyle name="AggOrange9 2 2 2 2 27" xfId="11615" xr:uid="{5B436546-3399-4614-A39A-43DCF9436B3C}"/>
    <cellStyle name="AggOrange9 2 2 2 2 28" xfId="14476" xr:uid="{FA443107-0399-4A18-A7E7-FB476A14E929}"/>
    <cellStyle name="AggOrange9 2 2 2 2 29" xfId="13863" xr:uid="{949065AE-A74B-4693-836B-4D2A4A2F8CE0}"/>
    <cellStyle name="AggOrange9 2 2 2 2 3" xfId="1783" xr:uid="{F2A96E75-ED40-4B1B-BE0A-79B5020EE1DD}"/>
    <cellStyle name="AggOrange9 2 2 2 2 30" xfId="14538" xr:uid="{8B998AD2-6FC6-4129-9151-4B380E68177E}"/>
    <cellStyle name="AggOrange9 2 2 2 2 31" xfId="14281" xr:uid="{749E1E61-B3E0-4250-9098-1BE6E735047E}"/>
    <cellStyle name="AggOrange9 2 2 2 2 32" xfId="15718" xr:uid="{8AC58D98-E299-4984-81BA-DA15F7A8BCA2}"/>
    <cellStyle name="AggOrange9 2 2 2 2 33" xfId="16905" xr:uid="{A28BCD5B-D8AA-4952-81DD-972B99D7A1CE}"/>
    <cellStyle name="AggOrange9 2 2 2 2 34" xfId="16743" xr:uid="{0A40F8F8-5D40-460C-994F-0A763F52A6B5}"/>
    <cellStyle name="AggOrange9 2 2 2 2 35" xfId="16989" xr:uid="{63F2AB15-0035-40C4-8D16-DAE06307E0DA}"/>
    <cellStyle name="AggOrange9 2 2 2 2 36" xfId="16496" xr:uid="{B6F0BAD8-C697-4521-B0DE-4A0134BBC3B8}"/>
    <cellStyle name="AggOrange9 2 2 2 2 37" xfId="18723" xr:uid="{1AAFF0A0-9FB2-4420-9997-73867CF0864F}"/>
    <cellStyle name="AggOrange9 2 2 2 2 38" xfId="16161" xr:uid="{6F1A5554-7547-4141-9E23-AA9E38A63137}"/>
    <cellStyle name="AggOrange9 2 2 2 2 39" xfId="18340" xr:uid="{094FB789-236D-4F92-805D-481D6228F321}"/>
    <cellStyle name="AggOrange9 2 2 2 2 4" xfId="2682" xr:uid="{67327473-D227-4DC9-A075-2D23C875811D}"/>
    <cellStyle name="AggOrange9 2 2 2 2 40" xfId="20242" xr:uid="{1CA2E08A-EE0F-42BA-9BA8-A1DD4FB6A338}"/>
    <cellStyle name="AggOrange9 2 2 2 2 41" xfId="19798" xr:uid="{7AB0DED0-9192-475C-B413-B8F1CFB7D2E2}"/>
    <cellStyle name="AggOrange9 2 2 2 2 42" xfId="19822" xr:uid="{9695B0DE-C847-45BC-870D-999CA714788F}"/>
    <cellStyle name="AggOrange9 2 2 2 2 43" xfId="21485" xr:uid="{3E44C359-2622-4E49-8243-C286BD94D29D}"/>
    <cellStyle name="AggOrange9 2 2 2 2 44" xfId="21654" xr:uid="{DBD62840-A235-483B-B541-4695285BFABB}"/>
    <cellStyle name="AggOrange9 2 2 2 2 45" xfId="21722" xr:uid="{E0772B6F-7055-46B4-9ABD-E4627F7C84BA}"/>
    <cellStyle name="AggOrange9 2 2 2 2 46" xfId="22111" xr:uid="{01335795-A6DC-4F15-9B70-D709EA064363}"/>
    <cellStyle name="AggOrange9 2 2 2 2 47" xfId="21579" xr:uid="{418E04DB-4BEB-46CB-A8D9-F960D09E4880}"/>
    <cellStyle name="AggOrange9 2 2 2 2 48" xfId="23380" xr:uid="{A246BCE1-8D14-464D-80A9-977738BD4C70}"/>
    <cellStyle name="AggOrange9 2 2 2 2 49" xfId="24042" xr:uid="{03768D00-CA5D-45C9-B392-919AF7821834}"/>
    <cellStyle name="AggOrange9 2 2 2 2 5" xfId="1930" xr:uid="{CDB60B72-6318-423A-88A1-68AE3DD4074A}"/>
    <cellStyle name="AggOrange9 2 2 2 2 50" xfId="24950" xr:uid="{E0CB7398-6ED6-4353-BCCC-BCDF2B8F7959}"/>
    <cellStyle name="AggOrange9 2 2 2 2 51" xfId="24234" xr:uid="{87F3C29A-4623-4949-B238-D29EB6C89882}"/>
    <cellStyle name="AggOrange9 2 2 2 2 52" xfId="25866" xr:uid="{F4510094-E637-4A8A-9990-6C1B8AA9B55F}"/>
    <cellStyle name="AggOrange9 2 2 2 2 53" xfId="25909" xr:uid="{460DD1E4-9101-48F5-88E9-42BECBA46E35}"/>
    <cellStyle name="AggOrange9 2 2 2 2 54" xfId="26733" xr:uid="{12012061-0A2F-465B-8486-619B24FFCF16}"/>
    <cellStyle name="AggOrange9 2 2 2 2 55" xfId="27154" xr:uid="{E911CEE1-9F5B-4F34-9D57-562580231E6C}"/>
    <cellStyle name="AggOrange9 2 2 2 2 56" xfId="27573" xr:uid="{B1AEFBE8-2B6F-4A74-886D-FA8E8C4B3300}"/>
    <cellStyle name="AggOrange9 2 2 2 2 57" xfId="27387" xr:uid="{40B7BB47-810E-4E83-99E8-BC8B7C3049AB}"/>
    <cellStyle name="AggOrange9 2 2 2 2 58" xfId="28700" xr:uid="{5A496DC9-A831-4A06-87C0-6C9A62ABCEE7}"/>
    <cellStyle name="AggOrange9 2 2 2 2 59" xfId="29167" xr:uid="{062B9979-4A61-4715-B797-3D6797639AF5}"/>
    <cellStyle name="AggOrange9 2 2 2 2 6" xfId="3448" xr:uid="{9F6761BC-398C-4797-8CD3-B6EED1E18E38}"/>
    <cellStyle name="AggOrange9 2 2 2 2 60" xfId="28108" xr:uid="{C6CAC2F3-9703-48F6-B0FB-1705B68C6592}"/>
    <cellStyle name="AggOrange9 2 2 2 2 61" xfId="29956" xr:uid="{7E3153B9-4341-4D0F-BD12-1BCE7B76BE50}"/>
    <cellStyle name="AggOrange9 2 2 2 2 62" xfId="30362" xr:uid="{1BD86C77-DE40-4048-8ED2-1DB843A6C531}"/>
    <cellStyle name="AggOrange9 2 2 2 2 63" xfId="30779" xr:uid="{6B3A373B-EAD4-49EC-9D6F-BFE18AB593A7}"/>
    <cellStyle name="AggOrange9 2 2 2 2 64" xfId="30013" xr:uid="{B926F065-9A45-41EE-9C75-933BF7E4BC00}"/>
    <cellStyle name="AggOrange9 2 2 2 2 65" xfId="31395" xr:uid="{88D8471C-6436-4205-978C-FBEA819806EA}"/>
    <cellStyle name="AggOrange9 2 2 2 2 66" xfId="32086" xr:uid="{652D073C-1328-4544-82A1-697D7A1AF5A5}"/>
    <cellStyle name="AggOrange9 2 2 2 2 67" xfId="31494" xr:uid="{A4A20FEF-84B9-478C-A149-89BE450C7D8B}"/>
    <cellStyle name="AggOrange9 2 2 2 2 7" xfId="4178" xr:uid="{F8EE8540-CAC1-4E08-BEBC-26AFAA9A7CAF}"/>
    <cellStyle name="AggOrange9 2 2 2 2 8" xfId="4615" xr:uid="{4ACBF3E9-70AA-432C-A3EA-572A4F274785}"/>
    <cellStyle name="AggOrange9 2 2 2 2 9" xfId="5061" xr:uid="{F940FF6D-E96E-4196-BA40-C165C20F278B}"/>
    <cellStyle name="AggOrange9 2 2 2 20" xfId="10035" xr:uid="{FF76F0E9-8D44-43B5-8FB0-FF88771C1D73}"/>
    <cellStyle name="AggOrange9 2 2 2 21" xfId="10456" xr:uid="{5EE87492-EDEE-463F-98D8-AA22EF3B182A}"/>
    <cellStyle name="AggOrange9 2 2 2 22" xfId="10620" xr:uid="{56572213-EC84-49E4-B465-0521920654AE}"/>
    <cellStyle name="AggOrange9 2 2 2 23" xfId="11063" xr:uid="{49454041-CC6F-4F78-84E9-BB8502250479}"/>
    <cellStyle name="AggOrange9 2 2 2 24" xfId="11998" xr:uid="{ED3611BC-764A-4603-9594-2B297ADE6F59}"/>
    <cellStyle name="AggOrange9 2 2 2 25" xfId="12471" xr:uid="{CB91FE3D-7172-406A-B79A-AE71B48BC839}"/>
    <cellStyle name="AggOrange9 2 2 2 26" xfId="12905" xr:uid="{9E779DE8-B795-421B-99A6-E86938E4BE69}"/>
    <cellStyle name="AggOrange9 2 2 2 27" xfId="13342" xr:uid="{1CD3340F-74D2-4FFD-A621-382B88277CB7}"/>
    <cellStyle name="AggOrange9 2 2 2 28" xfId="13775" xr:uid="{6D5D4D45-6B67-4578-B4C1-721182DB9E61}"/>
    <cellStyle name="AggOrange9 2 2 2 29" xfId="14190" xr:uid="{A5E3FFE3-E508-4E92-A4EF-FDD2B5E8B26A}"/>
    <cellStyle name="AggOrange9 2 2 2 3" xfId="1128" xr:uid="{4A8387A8-4C83-491E-9BF7-681320C211A2}"/>
    <cellStyle name="AggOrange9 2 2 2 30" xfId="14355" xr:uid="{E5067326-45A2-4BB7-99DC-54F295034C2E}"/>
    <cellStyle name="AggOrange9 2 2 2 31" xfId="12723" xr:uid="{48CD498C-D261-499D-915D-F6BFFD198B20}"/>
    <cellStyle name="AggOrange9 2 2 2 32" xfId="15100" xr:uid="{79F5DC21-F61B-4C9B-B3E0-A960C252F5B8}"/>
    <cellStyle name="AggOrange9 2 2 2 33" xfId="15870" xr:uid="{43DA1C53-D24E-4434-96E6-5C642CFCCEC3}"/>
    <cellStyle name="AggOrange9 2 2 2 34" xfId="16690" xr:uid="{EAA5EEAB-D9DB-4109-8B1E-503EFAF9960E}"/>
    <cellStyle name="AggOrange9 2 2 2 35" xfId="17153" xr:uid="{3D20EE1E-31FC-464F-8994-22388AF3E101}"/>
    <cellStyle name="AggOrange9 2 2 2 36" xfId="17598" xr:uid="{BD2E5DB8-286B-481E-B674-B879C6176385}"/>
    <cellStyle name="AggOrange9 2 2 2 37" xfId="18023" xr:uid="{98703697-5A08-4FE3-8E58-AFC19AF69CC1}"/>
    <cellStyle name="AggOrange9 2 2 2 38" xfId="18508" xr:uid="{4E480EA2-5CAA-4B41-A6DC-57068A85291E}"/>
    <cellStyle name="AggOrange9 2 2 2 39" xfId="18900" xr:uid="{8CDAD394-625C-4DCF-863C-E41B4965CBEC}"/>
    <cellStyle name="AggOrange9 2 2 2 4" xfId="1685" xr:uid="{8A996EB8-B12D-45AC-8CC2-80414FE191D7}"/>
    <cellStyle name="AggOrange9 2 2 2 40" xfId="18818" xr:uid="{DA2C4131-0305-45DE-AEA2-9871FA978053}"/>
    <cellStyle name="AggOrange9 2 2 2 41" xfId="20027" xr:uid="{A79D8ABE-7DB5-4B6E-AB8E-C140D56DACF4}"/>
    <cellStyle name="AggOrange9 2 2 2 42" xfId="20505" xr:uid="{E09C2AD0-3792-4F60-87D7-9D516E148D1D}"/>
    <cellStyle name="AggOrange9 2 2 2 43" xfId="20959" xr:uid="{78D88B63-039E-4552-9B98-C6FA996854C0}"/>
    <cellStyle name="AggOrange9 2 2 2 44" xfId="20995" xr:uid="{62070AD8-B764-4039-90E1-19E388DA9EE9}"/>
    <cellStyle name="AggOrange9 2 2 2 45" xfId="21889" xr:uid="{7838DD8B-B4FF-47DB-8A51-C15F965247D3}"/>
    <cellStyle name="AggOrange9 2 2 2 46" xfId="22325" xr:uid="{7714893A-3329-4385-9AC5-ED13EA906500}"/>
    <cellStyle name="AggOrange9 2 2 2 47" xfId="22768" xr:uid="{D3CA43C9-64A0-4C84-B339-243C89697206}"/>
    <cellStyle name="AggOrange9 2 2 2 48" xfId="23175" xr:uid="{58D8C32F-824A-48B8-9DFF-CA69520B9AF1}"/>
    <cellStyle name="AggOrange9 2 2 2 49" xfId="23381" xr:uid="{CDC4D48B-D805-45A0-ADEF-62E90D6801A0}"/>
    <cellStyle name="AggOrange9 2 2 2 5" xfId="2467" xr:uid="{3C643815-68BE-4D5C-A242-CE0F770CA31F}"/>
    <cellStyle name="AggOrange9 2 2 2 50" xfId="23836" xr:uid="{41A26F88-C42C-4C4D-9A8F-1B6B89D6AD17}"/>
    <cellStyle name="AggOrange9 2 2 2 51" xfId="24735" xr:uid="{3A358A42-F953-4465-8B32-33EBB01E961F}"/>
    <cellStyle name="AggOrange9 2 2 2 52" xfId="25214" xr:uid="{D740CC40-2E02-410F-8B90-3D60A520D68A}"/>
    <cellStyle name="AggOrange9 2 2 2 53" xfId="25653" xr:uid="{D6CCA487-7289-435D-9958-FB00CEDCED43}"/>
    <cellStyle name="AggOrange9 2 2 2 54" xfId="26073" xr:uid="{8C20B550-9B99-4A61-8235-D0DAE245BE99}"/>
    <cellStyle name="AggOrange9 2 2 2 55" xfId="26355" xr:uid="{34D664A4-2236-4320-9F22-C03058543720}"/>
    <cellStyle name="AggOrange9 2 2 2 56" xfId="26943" xr:uid="{11CABABE-2238-4EF2-A8FF-C73401B7EB01}"/>
    <cellStyle name="AggOrange9 2 2 2 57" xfId="27362" xr:uid="{6BB3330A-DA10-4958-9C52-13BDB01B8654}"/>
    <cellStyle name="AggOrange9 2 2 2 58" xfId="27697" xr:uid="{D1B988DD-CBD0-4615-8B3D-5CFA9AD54782}"/>
    <cellStyle name="AggOrange9 2 2 2 59" xfId="28485" xr:uid="{C39234BA-A896-4706-91A5-BDC9343316E6}"/>
    <cellStyle name="AggOrange9 2 2 2 6" xfId="2942" xr:uid="{99529E6B-53BA-410D-8D90-71DD516695EE}"/>
    <cellStyle name="AggOrange9 2 2 2 60" xfId="28953" xr:uid="{2E9CBACE-903C-4CBB-A467-9FAEB5F5616A}"/>
    <cellStyle name="AggOrange9 2 2 2 61" xfId="29355" xr:uid="{F64EF7F4-75AC-49D3-A4E0-A03DC8FB6412}"/>
    <cellStyle name="AggOrange9 2 2 2 62" xfId="29743" xr:uid="{7A585716-0610-4CC4-ACE1-5235B9CF5975}"/>
    <cellStyle name="AggOrange9 2 2 2 63" xfId="30151" xr:uid="{60DEF68F-26BD-41CC-A5BA-863A189969D5}"/>
    <cellStyle name="AggOrange9 2 2 2 64" xfId="30565" xr:uid="{6BAF9947-3F58-4B7D-B73A-189B4F8877E0}"/>
    <cellStyle name="AggOrange9 2 2 2 65" xfId="29284" xr:uid="{FB4AB67F-AB11-4368-9CC2-B4F221419B19}"/>
    <cellStyle name="AggOrange9 2 2 2 66" xfId="31189" xr:uid="{F3A7DC74-8FFC-43AC-A223-A021F05B52C5}"/>
    <cellStyle name="AggOrange9 2 2 2 67" xfId="31875" xr:uid="{AB4CAF5C-F713-405B-8EC3-1165168A9CC0}"/>
    <cellStyle name="AggOrange9 2 2 2 68" xfId="32136" xr:uid="{584C31FF-6D5D-4F16-8A0E-9E7BA43203FE}"/>
    <cellStyle name="AggOrange9 2 2 2 7" xfId="3427" xr:uid="{CDB0867A-CDD2-449A-8345-4D288E1CAEED}"/>
    <cellStyle name="AggOrange9 2 2 2 8" xfId="3963" xr:uid="{DD021F4A-5F5C-4BBA-A14E-7E9DA11A41A1}"/>
    <cellStyle name="AggOrange9 2 2 2 9" xfId="4401" xr:uid="{4F760127-C2A3-4C68-994D-0518E6DF3AC2}"/>
    <cellStyle name="AggOrange9 2 2 3" xfId="716" xr:uid="{151840DC-704F-4CA1-BA7E-9B69E96E082B}"/>
    <cellStyle name="AggOrange9 2 2 3 10" xfId="5364" xr:uid="{09A33A82-9F86-4F1E-B92F-5FFA24679FC3}"/>
    <cellStyle name="AggOrange9 2 2 3 11" xfId="5714" xr:uid="{626E5922-0169-4566-B387-A01BC066128A}"/>
    <cellStyle name="AggOrange9 2 2 3 12" xfId="6321" xr:uid="{E22F3772-EE37-4F1A-9BDB-8166F8B13816}"/>
    <cellStyle name="AggOrange9 2 2 3 13" xfId="6529" xr:uid="{0C14EA5F-2E82-44AE-A28E-67295FE814FE}"/>
    <cellStyle name="AggOrange9 2 2 3 14" xfId="7436" xr:uid="{CCC03413-AAE6-4523-94D4-F0A094340DF3}"/>
    <cellStyle name="AggOrange9 2 2 3 15" xfId="7884" xr:uid="{C0EF194A-C0FB-4FE8-BB1E-B4E3DDF4B1D6}"/>
    <cellStyle name="AggOrange9 2 2 3 16" xfId="8167" xr:uid="{53F67DBA-EFBA-4D0F-A801-3CA0D165B986}"/>
    <cellStyle name="AggOrange9 2 2 3 17" xfId="8561" xr:uid="{DCF6420F-2ED1-4ED3-9C1B-3B96EDE19DE6}"/>
    <cellStyle name="AggOrange9 2 2 3 18" xfId="9650" xr:uid="{F1FAB533-F12F-4AEA-B9BF-14D644D19BC7}"/>
    <cellStyle name="AggOrange9 2 2 3 19" xfId="10097" xr:uid="{AFB5FEC0-03AB-49E9-ACC6-6C46BAE1C472}"/>
    <cellStyle name="AggOrange9 2 2 3 2" xfId="1190" xr:uid="{1EE8447A-DBEA-43AE-A53E-EE180D18A217}"/>
    <cellStyle name="AggOrange9 2 2 3 20" xfId="10513" xr:uid="{241ACCE0-5073-4997-AD36-6AB6AFFE2924}"/>
    <cellStyle name="AggOrange9 2 2 3 21" xfId="10944" xr:uid="{B3707345-CFA8-4BBA-97CF-89D4FCF0E071}"/>
    <cellStyle name="AggOrange9 2 2 3 22" xfId="11203" xr:uid="{D052FA29-DAA1-49FC-A6A3-2AA7446CF738}"/>
    <cellStyle name="AggOrange9 2 2 3 23" xfId="12069" xr:uid="{54F4114B-C7BC-48F9-AE85-6DA20CCA53B8}"/>
    <cellStyle name="AggOrange9 2 2 3 24" xfId="12542" xr:uid="{3667B487-8406-4A63-BC13-B7C230EE417A}"/>
    <cellStyle name="AggOrange9 2 2 3 25" xfId="12976" xr:uid="{65FFF867-793F-4043-81EE-C9D564D96992}"/>
    <cellStyle name="AggOrange9 2 2 3 26" xfId="13413" xr:uid="{E20F49AA-3A2E-47B3-8B5B-6102409A1662}"/>
    <cellStyle name="AggOrange9 2 2 3 27" xfId="13973" xr:uid="{3CBB9FEA-754D-450B-9DC8-5FD08F079216}"/>
    <cellStyle name="AggOrange9 2 2 3 28" xfId="14035" xr:uid="{A4517F4E-0812-434E-B9A1-3561E087B991}"/>
    <cellStyle name="AggOrange9 2 2 3 29" xfId="14747" xr:uid="{18237372-71CD-4C55-8B04-145D4EA68E67}"/>
    <cellStyle name="AggOrange9 2 2 3 3" xfId="1547" xr:uid="{AB319B4D-D185-436D-99E8-543C8816559B}"/>
    <cellStyle name="AggOrange9 2 2 3 30" xfId="14965" xr:uid="{A6812364-E805-4EDD-812D-46264EEA0E68}"/>
    <cellStyle name="AggOrange9 2 2 3 31" xfId="15027" xr:uid="{051F3910-4826-42A1-A291-A1310E300E40}"/>
    <cellStyle name="AggOrange9 2 2 3 32" xfId="15908" xr:uid="{C95E0332-2BD7-4EA2-A885-A3D9C9E71839}"/>
    <cellStyle name="AggOrange9 2 2 3 33" xfId="16761" xr:uid="{AA33BD6A-2738-476C-AA3A-0C6FD90661F2}"/>
    <cellStyle name="AggOrange9 2 2 3 34" xfId="17216" xr:uid="{B6716C47-872B-4E90-A7FA-CF37CC39E274}"/>
    <cellStyle name="AggOrange9 2 2 3 35" xfId="17662" xr:uid="{59E768E7-716D-4D32-87A5-55B7C622F142}"/>
    <cellStyle name="AggOrange9 2 2 3 36" xfId="18064" xr:uid="{F11DAACF-0CBC-4C14-814F-8C839E3088F0}"/>
    <cellStyle name="AggOrange9 2 2 3 37" xfId="18579" xr:uid="{74561B45-922C-45E3-BF5E-9A00D23C7615}"/>
    <cellStyle name="AggOrange9 2 2 3 38" xfId="18005" xr:uid="{D55B584B-D05B-4CF4-BA4F-6E7232714C8B}"/>
    <cellStyle name="AggOrange9 2 2 3 39" xfId="19026" xr:uid="{DF91D5DB-4BC3-4100-A27B-0D60A3018503}"/>
    <cellStyle name="AggOrange9 2 2 3 4" xfId="2538" xr:uid="{8D7C68F0-4BE9-42B8-A2EF-3C803E281012}"/>
    <cellStyle name="AggOrange9 2 2 3 40" xfId="20098" xr:uid="{EDD1CB97-3327-4D1B-99E4-29848DCFD5B5}"/>
    <cellStyle name="AggOrange9 2 2 3 41" xfId="20569" xr:uid="{167BB27D-8875-4683-A383-CD1F0837E53C}"/>
    <cellStyle name="AggOrange9 2 2 3 42" xfId="21022" xr:uid="{5FDCF91E-87B9-42F0-9966-764948FE9767}"/>
    <cellStyle name="AggOrange9 2 2 3 43" xfId="20381" xr:uid="{F8631CA8-779D-407E-BB76-253CB54D8097}"/>
    <cellStyle name="AggOrange9 2 2 3 44" xfId="21953" xr:uid="{7D45A78C-0CAB-42FA-81C6-17E2065209E9}"/>
    <cellStyle name="AggOrange9 2 2 3 45" xfId="22384" xr:uid="{1514E201-BAE4-44E9-B5F0-A51EE14A4934}"/>
    <cellStyle name="AggOrange9 2 2 3 46" xfId="22946" xr:uid="{A509A3E3-416C-4989-A67E-8FF53637A477}"/>
    <cellStyle name="AggOrange9 2 2 3 47" xfId="22466" xr:uid="{F423E944-8E40-4CF5-BE8B-8F44237082AC}"/>
    <cellStyle name="AggOrange9 2 2 3 48" xfId="23505" xr:uid="{E008D42D-97E2-412D-A2E2-95B30AE5080A}"/>
    <cellStyle name="AggOrange9 2 2 3 49" xfId="23898" xr:uid="{BEC3F3BD-9B21-4625-901B-B90ABF713F8B}"/>
    <cellStyle name="AggOrange9 2 2 3 5" xfId="3143" xr:uid="{1C23FFD0-4C85-4CEF-8337-5BDF803CCCC8}"/>
    <cellStyle name="AggOrange9 2 2 3 50" xfId="24806" xr:uid="{4EC49DE5-79ED-4500-9C67-53A9010D7E6E}"/>
    <cellStyle name="AggOrange9 2 2 3 51" xfId="25277" xr:uid="{A83688C3-9921-45FF-8868-E455BCF2CB29}"/>
    <cellStyle name="AggOrange9 2 2 3 52" xfId="25722" xr:uid="{F4F73F5C-9397-4957-AE56-64EEF1ED1705}"/>
    <cellStyle name="AggOrange9 2 2 3 53" xfId="26253" xr:uid="{974988C5-2D04-4A90-AA44-0951C309E296}"/>
    <cellStyle name="AggOrange9 2 2 3 54" xfId="26540" xr:uid="{3C557304-0DCB-457B-A7AD-39CE8BDE834C}"/>
    <cellStyle name="AggOrange9 2 2 3 55" xfId="27010" xr:uid="{FED747C1-7EEB-41AD-AC91-6C697B69F1B7}"/>
    <cellStyle name="AggOrange9 2 2 3 56" xfId="27429" xr:uid="{C6691C2C-4803-4F7C-8696-801F3073C6CA}"/>
    <cellStyle name="AggOrange9 2 2 3 57" xfId="27217" xr:uid="{DE9ACC91-1CBA-4703-B1B1-54963804E3D5}"/>
    <cellStyle name="AggOrange9 2 2 3 58" xfId="28556" xr:uid="{C526578A-C30A-4197-B413-3B69281763F1}"/>
    <cellStyle name="AggOrange9 2 2 3 59" xfId="29023" xr:uid="{3A195D51-41F2-48A8-90D8-BFB5B9B2F42B}"/>
    <cellStyle name="AggOrange9 2 2 3 6" xfId="3607" xr:uid="{57AAACFB-3375-4CED-8BD7-28499506C847}"/>
    <cellStyle name="AggOrange9 2 2 3 60" xfId="29405" xr:uid="{86F2BF65-B0C8-455D-8064-10DEDCE36192}"/>
    <cellStyle name="AggOrange9 2 2 3 61" xfId="29812" xr:uid="{954D1C85-A67E-42BB-B4FD-0055729BF75D}"/>
    <cellStyle name="AggOrange9 2 2 3 62" xfId="30218" xr:uid="{EC2B23B0-50C2-44B4-A6A8-4997E2D6EFC7}"/>
    <cellStyle name="AggOrange9 2 2 3 63" xfId="30635" xr:uid="{B568CC59-0C43-44EF-A0CB-BF143FC75230}"/>
    <cellStyle name="AggOrange9 2 2 3 64" xfId="30978" xr:uid="{3DA84A02-52E0-4D38-B622-D68DA34AF468}"/>
    <cellStyle name="AggOrange9 2 2 3 65" xfId="31251" xr:uid="{DD7634E2-7DB9-4F9B-B9DB-032FFC62167C}"/>
    <cellStyle name="AggOrange9 2 2 3 66" xfId="31942" xr:uid="{B0E607D9-4E88-4ADB-A3A9-ED375306D33E}"/>
    <cellStyle name="AggOrange9 2 2 3 67" xfId="32324" xr:uid="{F6C375AA-432C-4C17-9FC7-0F4D3030F8F7}"/>
    <cellStyle name="AggOrange9 2 2 3 7" xfId="4034" xr:uid="{EE0A7228-8FA4-4AD8-B6DF-02653440C8BC}"/>
    <cellStyle name="AggOrange9 2 2 3 8" xfId="4471" xr:uid="{66C25793-AD38-4CB7-8FCC-B2818103149B}"/>
    <cellStyle name="AggOrange9 2 2 3 9" xfId="3671" xr:uid="{01068EAB-C451-4CFE-A1C5-4CD4EE06BE5A}"/>
    <cellStyle name="AggOrange9 2 3" xfId="267" xr:uid="{EF9AA66D-A870-4D68-B5C5-147D3E98FC7E}"/>
    <cellStyle name="AggOrange9 2 3 10" xfId="3689" xr:uid="{AF934CA1-CC6A-4B63-A546-7E11FF413F4F}"/>
    <cellStyle name="AggOrange9 2 3 11" xfId="2971" xr:uid="{C249BD4E-92A7-4B5B-9733-B685C6AD372E}"/>
    <cellStyle name="AggOrange9 2 3 12" xfId="3631" xr:uid="{0EA99837-6F19-47EF-9369-521A5F10E999}"/>
    <cellStyle name="AggOrange9 2 3 13" xfId="1858" xr:uid="{8D32363F-2E91-4E6F-A75D-9A144E44762B}"/>
    <cellStyle name="AggOrange9 2 3 14" xfId="5787" xr:uid="{2424B2C7-6464-4846-8EEE-3B1CE1DC30FD}"/>
    <cellStyle name="AggOrange9 2 3 15" xfId="5598" xr:uid="{527F9D65-A8A8-4BDA-B3CB-B0A61CAC18A3}"/>
    <cellStyle name="AggOrange9 2 3 16" xfId="6482" xr:uid="{0E7A8D07-C300-4B7A-B307-3617365118C5}"/>
    <cellStyle name="AggOrange9 2 3 17" xfId="6997" xr:uid="{DF09498A-B5FA-40C4-AA02-B15E5D369117}"/>
    <cellStyle name="AggOrange9 2 3 18" xfId="6844" xr:uid="{6989B894-A5EB-4197-A9D4-28B4E2513C2A}"/>
    <cellStyle name="AggOrange9 2 3 19" xfId="8564" xr:uid="{C4FFFE17-C33B-4C2E-BDAE-B163DC3EB4C3}"/>
    <cellStyle name="AggOrange9 2 3 2" xfId="606" xr:uid="{F32A2411-29C7-4A6D-BDE1-741B7AED8853}"/>
    <cellStyle name="AggOrange9 2 3 2 10" xfId="3351" xr:uid="{87C4311F-FBB1-470F-ACED-0F5A8338DAC9}"/>
    <cellStyle name="AggOrange9 2 3 2 11" xfId="5254" xr:uid="{D29F205A-9213-40B1-A6D8-BAAB4A8D2CD9}"/>
    <cellStyle name="AggOrange9 2 3 2 12" xfId="5581" xr:uid="{8282F9D4-A91D-44E2-8271-49634A6D9111}"/>
    <cellStyle name="AggOrange9 2 3 2 13" xfId="5853" xr:uid="{884204A8-A91F-4910-81B8-7BBA6648E37F}"/>
    <cellStyle name="AggOrange9 2 3 2 14" xfId="5981" xr:uid="{E193E20C-1924-453F-96B9-97606A8A5070}"/>
    <cellStyle name="AggOrange9 2 3 2 15" xfId="7326" xr:uid="{F241C9F1-5602-47F5-B616-3182E841C076}"/>
    <cellStyle name="AggOrange9 2 3 2 16" xfId="7938" xr:uid="{57A82C72-576B-4458-8EEE-04FAC193EF48}"/>
    <cellStyle name="AggOrange9 2 3 2 17" xfId="8353" xr:uid="{C55481B1-1932-4F63-A54C-620E211FE1F9}"/>
    <cellStyle name="AggOrange9 2 3 2 18" xfId="8372" xr:uid="{F8356A74-83BE-4E0F-9DDA-8FD2F4319F1D}"/>
    <cellStyle name="AggOrange9 2 3 2 19" xfId="9540" xr:uid="{4EC12024-105B-4D62-A7EE-6771901E1A09}"/>
    <cellStyle name="AggOrange9 2 3 2 2" xfId="821" xr:uid="{63C42435-29EC-4149-B5E9-5DBD13136C4E}"/>
    <cellStyle name="AggOrange9 2 3 2 2 10" xfId="5469" xr:uid="{20B8CC9B-4EC6-41E4-9A0A-D88FE8BB9234}"/>
    <cellStyle name="AggOrange9 2 3 2 2 11" xfId="5033" xr:uid="{0410A995-2CF4-43BA-BD1E-893F24B1AECE}"/>
    <cellStyle name="AggOrange9 2 3 2 2 12" xfId="4724" xr:uid="{7792043C-4D76-4139-94EB-98C98ADD237A}"/>
    <cellStyle name="AggOrange9 2 3 2 2 13" xfId="6496" xr:uid="{7DD7FD7C-DEC3-4C6E-81D6-A15620866BE5}"/>
    <cellStyle name="AggOrange9 2 3 2 2 14" xfId="7541" xr:uid="{662368BF-A464-42A5-B867-E05D957E302B}"/>
    <cellStyle name="AggOrange9 2 3 2 2 15" xfId="7139" xr:uid="{6C890B4D-BACC-43FE-A1C7-26660D8F61A9}"/>
    <cellStyle name="AggOrange9 2 3 2 2 16" xfId="8586" xr:uid="{720A8829-1024-4410-A4AF-99E7F83E5904}"/>
    <cellStyle name="AggOrange9 2 3 2 2 17" xfId="8412" xr:uid="{964736DE-8A0E-4022-A1ED-43B5B885B812}"/>
    <cellStyle name="AggOrange9 2 3 2 2 18" xfId="9755" xr:uid="{1A0227BE-7BE6-4DAD-A017-34B4F7BFAE95}"/>
    <cellStyle name="AggOrange9 2 3 2 2 19" xfId="8946" xr:uid="{CACEC412-AF6B-4BD1-9D00-CCD712CBA5B4}"/>
    <cellStyle name="AggOrange9 2 3 2 2 2" xfId="1295" xr:uid="{1D96CBA1-CBCC-44C0-87D9-FDC0888A58CD}"/>
    <cellStyle name="AggOrange9 2 3 2 2 20" xfId="9380" xr:uid="{5F664613-DDDD-475F-A723-628D5B04D14E}"/>
    <cellStyle name="AggOrange9 2 3 2 2 21" xfId="9045" xr:uid="{6A88A90C-CB0B-4B82-B1D8-AAA85A72478B}"/>
    <cellStyle name="AggOrange9 2 3 2 2 22" xfId="11220" xr:uid="{2562A168-21EE-4134-835B-B83402309DA8}"/>
    <cellStyle name="AggOrange9 2 3 2 2 23" xfId="12174" xr:uid="{585ACC47-D452-4C5C-991B-548CE0A4FE7C}"/>
    <cellStyle name="AggOrange9 2 3 2 2 24" xfId="12647" xr:uid="{66026777-2C03-4FDD-8728-858547F04C2E}"/>
    <cellStyle name="AggOrange9 2 3 2 2 25" xfId="13081" xr:uid="{6D979699-2C43-4E2E-9FD4-0C1AF76F475D}"/>
    <cellStyle name="AggOrange9 2 3 2 2 26" xfId="13518" xr:uid="{CB0D7037-44BA-4371-A022-FE0F44B021F3}"/>
    <cellStyle name="AggOrange9 2 3 2 2 27" xfId="11431" xr:uid="{19EFDEDC-ABF9-4D67-B63F-ED3E71CB2BD0}"/>
    <cellStyle name="AggOrange9 2 3 2 2 28" xfId="14297" xr:uid="{4E2447FC-0B9A-4DC9-9ACB-1E704CE7D066}"/>
    <cellStyle name="AggOrange9 2 3 2 2 29" xfId="14060" xr:uid="{183BE68D-631A-4276-80E0-A9D1060DB665}"/>
    <cellStyle name="AggOrange9 2 3 2 2 3" xfId="1473" xr:uid="{C853293E-FF27-4185-B4F5-CD0BD1B4DA8E}"/>
    <cellStyle name="AggOrange9 2 3 2 2 30" xfId="13842" xr:uid="{6BCEB022-1374-4439-94B3-64FD8CC1027C}"/>
    <cellStyle name="AggOrange9 2 3 2 2 31" xfId="15370" xr:uid="{F90412F4-8600-4799-BD2E-BE4CB14FC6D0}"/>
    <cellStyle name="AggOrange9 2 3 2 2 32" xfId="14675" xr:uid="{A3CDE7C5-02B0-43A4-A5AB-F17039FD4069}"/>
    <cellStyle name="AggOrange9 2 3 2 2 33" xfId="16866" xr:uid="{0359DB08-F59F-4DAC-A211-9B0E5C8BFD9D}"/>
    <cellStyle name="AggOrange9 2 3 2 2 34" xfId="16462" xr:uid="{0D0F2ABF-5D89-4760-9249-00EEF2281E8F}"/>
    <cellStyle name="AggOrange9 2 3 2 2 35" xfId="16486" xr:uid="{600687D2-08FD-4138-B56C-ACA7DD74E988}"/>
    <cellStyle name="AggOrange9 2 3 2 2 36" xfId="17535" xr:uid="{5467A784-886F-4B40-BE0E-0792329D338F}"/>
    <cellStyle name="AggOrange9 2 3 2 2 37" xfId="18684" xr:uid="{ED01D9A5-861F-49D3-A3E6-45BF7B197B55}"/>
    <cellStyle name="AggOrange9 2 3 2 2 38" xfId="18558" xr:uid="{D6DC42CC-879D-4561-AD79-4E4D35C05D0B}"/>
    <cellStyle name="AggOrange9 2 3 2 2 39" xfId="17029" xr:uid="{0BC61393-E620-42DE-ADD4-81B4125D557A}"/>
    <cellStyle name="AggOrange9 2 3 2 2 4" xfId="2643" xr:uid="{3D3C5A51-E487-4892-B2E6-104ED2023513}"/>
    <cellStyle name="AggOrange9 2 3 2 2 40" xfId="20203" xr:uid="{A7477C39-D24E-46C5-A4C2-FD784410629D}"/>
    <cellStyle name="AggOrange9 2 3 2 2 41" xfId="19753" xr:uid="{4F77B1D6-40E9-4E0E-B1EC-A11AD71CA18C}"/>
    <cellStyle name="AggOrange9 2 3 2 2 42" xfId="19592" xr:uid="{A950A454-40CF-41ED-A021-6746B9BE2211}"/>
    <cellStyle name="AggOrange9 2 3 2 2 43" xfId="21111" xr:uid="{15156AA0-1B13-4B80-A630-83F372D6D7B9}"/>
    <cellStyle name="AggOrange9 2 3 2 2 44" xfId="21670" xr:uid="{A1269885-D4FB-4B16-9C7D-1F19C8A21DB1}"/>
    <cellStyle name="AggOrange9 2 3 2 2 45" xfId="21724" xr:uid="{4F16E983-2141-4C75-9B69-335F62AC0B3A}"/>
    <cellStyle name="AggOrange9 2 3 2 2 46" xfId="22274" xr:uid="{48EFABCD-DFB0-47FB-ACBA-3CBBDCCC9059}"/>
    <cellStyle name="AggOrange9 2 3 2 2 47" xfId="22735" xr:uid="{8778EB2D-DAD6-4A4C-8EB7-98CC55ECB641}"/>
    <cellStyle name="AggOrange9 2 3 2 2 48" xfId="20878" xr:uid="{BBCC1E1A-E94E-441F-AA44-4781291CF1BD}"/>
    <cellStyle name="AggOrange9 2 3 2 2 49" xfId="24003" xr:uid="{876CCB2B-181F-424E-B0DE-F5B400007593}"/>
    <cellStyle name="AggOrange9 2 3 2 2 5" xfId="2224" xr:uid="{D16C06E3-BC08-47AA-ABD0-1C015995AA5C}"/>
    <cellStyle name="AggOrange9 2 3 2 2 50" xfId="24911" xr:uid="{185BA99F-661F-41A7-A040-BAA7600E469F}"/>
    <cellStyle name="AggOrange9 2 3 2 2 51" xfId="24229" xr:uid="{942740F5-DD07-40ED-A8EA-DC8C7E5172CC}"/>
    <cellStyle name="AggOrange9 2 3 2 2 52" xfId="25827" xr:uid="{A1B56052-AAE2-42DA-9A0A-8BF9DE8CF08B}"/>
    <cellStyle name="AggOrange9 2 3 2 2 53" xfId="25905" xr:uid="{A37D2896-2CBC-43FA-972B-4C1FA51DFEFF}"/>
    <cellStyle name="AggOrange9 2 3 2 2 54" xfId="26282" xr:uid="{60B04549-7B4D-43FC-AF31-4B7593CB172F}"/>
    <cellStyle name="AggOrange9 2 3 2 2 55" xfId="27115" xr:uid="{FF668FB7-4CFA-4A72-ACC8-6CB9FBA97792}"/>
    <cellStyle name="AggOrange9 2 3 2 2 56" xfId="27534" xr:uid="{FF865528-1DC7-459E-B397-5511F4D96CF8}"/>
    <cellStyle name="AggOrange9 2 3 2 2 57" xfId="26712" xr:uid="{D6C2F0D6-3FD4-4F89-A117-1CCC70B7993A}"/>
    <cellStyle name="AggOrange9 2 3 2 2 58" xfId="28661" xr:uid="{901209CB-ED96-429C-BD99-93785D620617}"/>
    <cellStyle name="AggOrange9 2 3 2 2 59" xfId="29128" xr:uid="{CB89FE74-A635-4C66-87B4-BCB62C7F4555}"/>
    <cellStyle name="AggOrange9 2 3 2 2 6" xfId="2202" xr:uid="{176678B8-00EE-454B-898E-9C0B48F4F7FA}"/>
    <cellStyle name="AggOrange9 2 3 2 2 60" xfId="27931" xr:uid="{2F26A24E-516C-4272-8C53-8C507E3D004D}"/>
    <cellStyle name="AggOrange9 2 3 2 2 61" xfId="29917" xr:uid="{A8FC779F-4CD8-4ADB-AFDE-EA81D96B9F7B}"/>
    <cellStyle name="AggOrange9 2 3 2 2 62" xfId="30323" xr:uid="{312C0F30-2754-45D2-AFA3-FD4A034C461D}"/>
    <cellStyle name="AggOrange9 2 3 2 2 63" xfId="30740" xr:uid="{384FACEF-488D-46A5-97F9-641100863313}"/>
    <cellStyle name="AggOrange9 2 3 2 2 64" xfId="30950" xr:uid="{7CC0C58F-48A5-44EE-B128-7FE5E230882A}"/>
    <cellStyle name="AggOrange9 2 3 2 2 65" xfId="31356" xr:uid="{0395F3E6-C7A2-46BB-B02C-E5725892C382}"/>
    <cellStyle name="AggOrange9 2 3 2 2 66" xfId="32047" xr:uid="{4368EE9E-F60A-4D07-98CA-F1C242BAD2D9}"/>
    <cellStyle name="AggOrange9 2 3 2 2 67" xfId="31654" xr:uid="{B5DB0E7A-3D0A-4908-A944-D43699FC80DF}"/>
    <cellStyle name="AggOrange9 2 3 2 2 7" xfId="4139" xr:uid="{83DE9EA6-7414-43D1-A38A-5C9C5AD1ED32}"/>
    <cellStyle name="AggOrange9 2 3 2 2 8" xfId="4576" xr:uid="{07B99607-ED8A-4E21-9365-38BB2EA68D61}"/>
    <cellStyle name="AggOrange9 2 3 2 2 9" xfId="3795" xr:uid="{89647835-E576-4E39-9DA1-788D32DD475D}"/>
    <cellStyle name="AggOrange9 2 3 2 20" xfId="10151" xr:uid="{B4C3D216-954A-455F-BC5B-67AD79675DB4}"/>
    <cellStyle name="AggOrange9 2 3 2 21" xfId="10561" xr:uid="{90B685F3-7557-49E4-A026-316E6FF61798}"/>
    <cellStyle name="AggOrange9 2 3 2 22" xfId="8965" xr:uid="{43C1F611-AF83-408D-8002-79C3022746EF}"/>
    <cellStyle name="AggOrange9 2 3 2 23" xfId="10720" xr:uid="{95DE7E4E-8DC3-4F36-AD03-DBE4F02BDFF6}"/>
    <cellStyle name="AggOrange9 2 3 2 24" xfId="11959" xr:uid="{C99ADD85-0510-45FA-A341-F1FE14EF484F}"/>
    <cellStyle name="AggOrange9 2 3 2 25" xfId="12432" xr:uid="{808E381C-2754-4917-A290-BCF3E0A489AA}"/>
    <cellStyle name="AggOrange9 2 3 2 26" xfId="12866" xr:uid="{4AD970AA-8AB2-4648-A8B4-5F7EDD4D1E11}"/>
    <cellStyle name="AggOrange9 2 3 2 27" xfId="13303" xr:uid="{0B1CD281-2064-4B4B-8B48-9B55D9C068B4}"/>
    <cellStyle name="AggOrange9 2 3 2 28" xfId="12737" xr:uid="{2D76AAE9-C38B-4727-8329-2FF93183EE27}"/>
    <cellStyle name="AggOrange9 2 3 2 29" xfId="11805" xr:uid="{8C027123-27C3-452F-BD09-A85566C7960A}"/>
    <cellStyle name="AggOrange9 2 3 2 3" xfId="1089" xr:uid="{3DECD1A5-265F-4569-9563-4353B3730333}"/>
    <cellStyle name="AggOrange9 2 3 2 30" xfId="14855" xr:uid="{41D77A7E-C3CB-485A-92B8-716323D27310}"/>
    <cellStyle name="AggOrange9 2 3 2 31" xfId="15128" xr:uid="{FCB83721-4F07-4EDB-B6F0-770A2BD6AB0C}"/>
    <cellStyle name="AggOrange9 2 3 2 32" xfId="14523" xr:uid="{DF5B95A9-BCED-42F5-888F-2B167080A72B}"/>
    <cellStyle name="AggOrange9 2 3 2 33" xfId="15940" xr:uid="{F5255864-464B-42E2-964E-8528317DE35A}"/>
    <cellStyle name="AggOrange9 2 3 2 34" xfId="16651" xr:uid="{C90BED52-A21A-428D-AB5A-DD93E4F4F4A3}"/>
    <cellStyle name="AggOrange9 2 3 2 35" xfId="17271" xr:uid="{C2178690-569A-4EA8-893D-6A1EC13FBA3C}"/>
    <cellStyle name="AggOrange9 2 3 2 36" xfId="17715" xr:uid="{8D66565D-6CA1-44CE-94D4-7B3900AE6428}"/>
    <cellStyle name="AggOrange9 2 3 2 37" xfId="17133" xr:uid="{9BD5215D-DB54-421E-A02C-9C82C54F8C7D}"/>
    <cellStyle name="AggOrange9 2 3 2 38" xfId="18469" xr:uid="{BDBFEC0C-B06B-45FF-8999-DE5302F5FEBD}"/>
    <cellStyle name="AggOrange9 2 3 2 39" xfId="17151" xr:uid="{5511E0F6-F37A-4616-8B97-880D9D04069D}"/>
    <cellStyle name="AggOrange9 2 3 2 4" xfId="1635" xr:uid="{E16F8CC6-09C3-4FAC-B524-6B7017651FF2}"/>
    <cellStyle name="AggOrange9 2 3 2 40" xfId="17744" xr:uid="{61240608-D240-44D5-B6CC-AB398902F5E1}"/>
    <cellStyle name="AggOrange9 2 3 2 41" xfId="19988" xr:uid="{2F79CD66-C3AC-477B-AF27-35517B8601FD}"/>
    <cellStyle name="AggOrange9 2 3 2 42" xfId="20621" xr:uid="{9B355F95-3534-4F1B-8E21-F7B313C0F0C5}"/>
    <cellStyle name="AggOrange9 2 3 2 43" xfId="21076" xr:uid="{495BE131-E069-43D7-8585-25E92A42E1BC}"/>
    <cellStyle name="AggOrange9 2 3 2 44" xfId="19596" xr:uid="{32ED4C86-6ED5-4D19-A752-3BD0A5E91913}"/>
    <cellStyle name="AggOrange9 2 3 2 45" xfId="22007" xr:uid="{087A27F8-9009-49BF-A5B0-7C3803947E6A}"/>
    <cellStyle name="AggOrange9 2 3 2 46" xfId="22438" xr:uid="{1CEFCDA0-EA70-488C-B4F7-188B5748A2B8}"/>
    <cellStyle name="AggOrange9 2 3 2 47" xfId="21562" xr:uid="{B4342D89-4E5C-44FA-BAA8-4DD6D7821B7A}"/>
    <cellStyle name="AggOrange9 2 3 2 48" xfId="21658" xr:uid="{3FE079A4-40AA-4523-AF4F-E47FF4E808EB}"/>
    <cellStyle name="AggOrange9 2 3 2 49" xfId="23225" xr:uid="{5311ED63-4103-48B1-9DAB-E1C555F254A2}"/>
    <cellStyle name="AggOrange9 2 3 2 5" xfId="2428" xr:uid="{6D1F72C2-9533-4298-B2E8-1D6418F631F2}"/>
    <cellStyle name="AggOrange9 2 3 2 50" xfId="23797" xr:uid="{98DE82D5-E8BD-4C82-BD8A-12EB54D74E1D}"/>
    <cellStyle name="AggOrange9 2 3 2 51" xfId="24696" xr:uid="{5737876B-4840-4953-98E9-D7A03BC822F5}"/>
    <cellStyle name="AggOrange9 2 3 2 52" xfId="25327" xr:uid="{B73903EA-B223-4226-89BC-4F000610AC6E}"/>
    <cellStyle name="AggOrange9 2 3 2 53" xfId="25614" xr:uid="{F8AB7402-5277-412E-940E-CF89329FA3E3}"/>
    <cellStyle name="AggOrange9 2 3 2 54" xfId="24445" xr:uid="{82A8A9AB-205A-4E9F-9C02-3C9B9951C4EB}"/>
    <cellStyle name="AggOrange9 2 3 2 55" xfId="26163" xr:uid="{AAB22B0B-9F1D-4921-AD01-15379B127B56}"/>
    <cellStyle name="AggOrange9 2 3 2 56" xfId="26904" xr:uid="{E34A2DD8-0837-4D68-9785-B56D6A88C794}"/>
    <cellStyle name="AggOrange9 2 3 2 57" xfId="27323" xr:uid="{45FBE074-452B-4625-BEBA-31547AA10041}"/>
    <cellStyle name="AggOrange9 2 3 2 58" xfId="27619" xr:uid="{E612EF1E-24B2-4002-BE8D-A405A59B7A4A}"/>
    <cellStyle name="AggOrange9 2 3 2 59" xfId="28446" xr:uid="{3A409DCF-21BA-4126-8631-FAEA48103B70}"/>
    <cellStyle name="AggOrange9 2 3 2 6" xfId="2526" xr:uid="{58D88469-D8B1-422C-8E8B-9CFE5B6B3B60}"/>
    <cellStyle name="AggOrange9 2 3 2 60" xfId="28914" xr:uid="{21B6F152-961A-498E-AB55-D1BD6EEBD916}"/>
    <cellStyle name="AggOrange9 2 3 2 61" xfId="29450" xr:uid="{F3C613FC-DB6F-439C-86C5-975D48048EAE}"/>
    <cellStyle name="AggOrange9 2 3 2 62" xfId="29704" xr:uid="{56D78CCA-DB8D-454E-8ED4-B20F8FB7D4D0}"/>
    <cellStyle name="AggOrange9 2 3 2 63" xfId="30112" xr:uid="{1AE7E013-E878-4289-A944-01787F1B89E7}"/>
    <cellStyle name="AggOrange9 2 3 2 64" xfId="30526" xr:uid="{A77A9781-3235-435C-B9BD-FC4B14873957}"/>
    <cellStyle name="AggOrange9 2 3 2 65" xfId="30854" xr:uid="{E6ABEF62-0EB5-41DC-B2A2-DDD321A3F669}"/>
    <cellStyle name="AggOrange9 2 3 2 66" xfId="31150" xr:uid="{884691FD-8143-4CEB-AF9A-0403DBC1DC9C}"/>
    <cellStyle name="AggOrange9 2 3 2 67" xfId="31836" xr:uid="{D3C6C155-1A6C-4113-9CB4-12F76631A4CE}"/>
    <cellStyle name="AggOrange9 2 3 2 68" xfId="31583" xr:uid="{69090A0B-5C22-4040-9E3F-CB4BCEBFE933}"/>
    <cellStyle name="AggOrange9 2 3 2 7" xfId="2737" xr:uid="{1235C03E-EF86-43F7-841C-D5982EB56A25}"/>
    <cellStyle name="AggOrange9 2 3 2 8" xfId="3924" xr:uid="{8D70CA50-25AE-4F7C-894A-DDC7C60C5D6E}"/>
    <cellStyle name="AggOrange9 2 3 2 9" xfId="4362" xr:uid="{7DEA3F5F-0199-47DA-A534-6A90620D9BA9}"/>
    <cellStyle name="AggOrange9 2 3 20" xfId="8777" xr:uid="{8A66841E-1D0E-46D7-BA3A-6828B9AACC30}"/>
    <cellStyle name="AggOrange9 2 3 21" xfId="9211" xr:uid="{468287B9-3CC5-4E97-9F0E-8F66446DD359}"/>
    <cellStyle name="AggOrange9 2 3 22" xfId="9166" xr:uid="{16C96EBF-34DA-41F8-829B-C6B525508500}"/>
    <cellStyle name="AggOrange9 2 3 23" xfId="10223" xr:uid="{F6850239-7B6E-4B41-AEF2-FC19EA4E000E}"/>
    <cellStyle name="AggOrange9 2 3 24" xfId="10307" xr:uid="{158581F2-F365-4C4A-BF8D-78AE5D54B45A}"/>
    <cellStyle name="AggOrange9 2 3 25" xfId="11174" xr:uid="{169AC5F2-BBB1-47E8-87FC-9E67E3012181}"/>
    <cellStyle name="AggOrange9 2 3 26" xfId="11623" xr:uid="{48C30C7D-564F-46C9-BF2A-4565CD9956C0}"/>
    <cellStyle name="AggOrange9 2 3 27" xfId="11376" xr:uid="{A8B0DDB5-1B0F-4490-9FCB-392EE6E9148C}"/>
    <cellStyle name="AggOrange9 2 3 28" xfId="12334" xr:uid="{A00E9B3C-D7A8-41F0-B362-7BDE17512A48}"/>
    <cellStyle name="AggOrange9 2 3 29" xfId="12288" xr:uid="{69D73BEE-B9DD-4B88-AF5E-05CE089DE9BC}"/>
    <cellStyle name="AggOrange9 2 3 3" xfId="652" xr:uid="{BCDC864F-D74F-45EB-BD4E-7CB6AC10E4EE}"/>
    <cellStyle name="AggOrange9 2 3 3 10" xfId="4824" xr:uid="{C481DCFD-606D-4B47-A67C-506860C6F9C0}"/>
    <cellStyle name="AggOrange9 2 3 3 11" xfId="5300" xr:uid="{CD36DF14-8D9B-4CAD-B3CE-38380B09143A}"/>
    <cellStyle name="AggOrange9 2 3 3 12" xfId="5742" xr:uid="{3BE0A9E8-C638-4879-95DA-E16185A3B33A}"/>
    <cellStyle name="AggOrange9 2 3 3 13" xfId="5988" xr:uid="{DED5B6D4-0586-4C50-8649-6D3F577C898D}"/>
    <cellStyle name="AggOrange9 2 3 3 14" xfId="6490" xr:uid="{3CF361C8-CDF4-43D7-ABBD-3BC443CDE01F}"/>
    <cellStyle name="AggOrange9 2 3 3 15" xfId="7372" xr:uid="{EDAD63B9-CC9F-49DF-BC9B-2277D70332D5}"/>
    <cellStyle name="AggOrange9 2 3 3 16" xfId="6917" xr:uid="{98838CD1-686D-42DB-8E18-88480C77CCFE}"/>
    <cellStyle name="AggOrange9 2 3 3 17" xfId="6823" xr:uid="{3F81D376-411A-4896-895C-63531982663A}"/>
    <cellStyle name="AggOrange9 2 3 3 18" xfId="8883" xr:uid="{843A3C92-6F68-4C39-A275-66C761E296CD}"/>
    <cellStyle name="AggOrange9 2 3 3 19" xfId="9586" xr:uid="{DBEF45F9-1153-4E47-9262-6D04D1F0E29F}"/>
    <cellStyle name="AggOrange9 2 3 3 2" xfId="867" xr:uid="{736D2853-87BF-40F6-9EE5-6D0EDC427750}"/>
    <cellStyle name="AggOrange9 2 3 3 2 10" xfId="5515" xr:uid="{159024DA-9DD4-4498-A6C0-6DD07D979603}"/>
    <cellStyle name="AggOrange9 2 3 3 2 11" xfId="5732" xr:uid="{7027E478-4432-4262-8A7D-5EB17E00DA7C}"/>
    <cellStyle name="AggOrange9 2 3 3 2 12" xfId="2140" xr:uid="{4DD5FEE3-AEFC-4CC3-8C1F-190BF5EFBE98}"/>
    <cellStyle name="AggOrange9 2 3 3 2 13" xfId="6552" xr:uid="{23F5043A-D777-4525-A8E4-FFA0544AB46F}"/>
    <cellStyle name="AggOrange9 2 3 3 2 14" xfId="7587" xr:uid="{54B23A04-B7B4-44E0-92FA-934E88233F5F}"/>
    <cellStyle name="AggOrange9 2 3 3 2 15" xfId="6938" xr:uid="{5F945B59-C1DB-4543-B49B-4D98C31C2898}"/>
    <cellStyle name="AggOrange9 2 3 3 2 16" xfId="6925" xr:uid="{FF505593-D876-4854-8503-1EB3ED22AFE8}"/>
    <cellStyle name="AggOrange9 2 3 3 2 17" xfId="8833" xr:uid="{7F05D29D-7A2B-4317-A1D5-F620A69D903F}"/>
    <cellStyle name="AggOrange9 2 3 3 2 18" xfId="9801" xr:uid="{8E0589F6-5AD5-4FF5-BA57-BEBA173F5788}"/>
    <cellStyle name="AggOrange9 2 3 3 2 19" xfId="9044" xr:uid="{6CE4025D-099D-4957-AD37-301F44E2C190}"/>
    <cellStyle name="AggOrange9 2 3 3 2 2" xfId="1341" xr:uid="{16DBF6DE-76D9-4641-98A2-AD371E80D2E1}"/>
    <cellStyle name="AggOrange9 2 3 3 2 20" xfId="9879" xr:uid="{1C42AFE8-274D-4F53-97AA-F307D853856D}"/>
    <cellStyle name="AggOrange9 2 3 3 2 21" xfId="9312" xr:uid="{EF352760-1D60-4CB9-8DCA-EB606B61829C}"/>
    <cellStyle name="AggOrange9 2 3 3 2 22" xfId="10741" xr:uid="{B0A0469B-AB1A-47FF-A528-75216896515F}"/>
    <cellStyle name="AggOrange9 2 3 3 2 23" xfId="12220" xr:uid="{9A28C092-BCEF-48D1-A4D4-3E296B87EDF9}"/>
    <cellStyle name="AggOrange9 2 3 3 2 24" xfId="12693" xr:uid="{39C60A33-F625-4FBE-A07D-387EC73AA0D8}"/>
    <cellStyle name="AggOrange9 2 3 3 2 25" xfId="13127" xr:uid="{75FB2B54-80B5-4118-BE25-B108F8EBDB76}"/>
    <cellStyle name="AggOrange9 2 3 3 2 26" xfId="13564" xr:uid="{CAB55E2E-B220-4B68-9C7E-6ECFD0275AF6}"/>
    <cellStyle name="AggOrange9 2 3 3 2 27" xfId="13688" xr:uid="{7A2B55C2-1FBF-4180-B88C-31F8AF9DB1AB}"/>
    <cellStyle name="AggOrange9 2 3 3 2 28" xfId="14483" xr:uid="{0D4F78D5-9CFA-42F1-BD0B-945623B94933}"/>
    <cellStyle name="AggOrange9 2 3 3 2 29" xfId="14080" xr:uid="{6BB42C8A-7276-4AA8-BD46-5BB1FCED75FE}"/>
    <cellStyle name="AggOrange9 2 3 3 2 3" xfId="1790" xr:uid="{47FF96A8-4308-49C8-9308-6668E1CAF065}"/>
    <cellStyle name="AggOrange9 2 3 3 2 30" xfId="13704" xr:uid="{A2500D10-4FF6-49AD-90FD-1649118E39D3}"/>
    <cellStyle name="AggOrange9 2 3 3 2 31" xfId="15494" xr:uid="{06AC6B77-7DDC-4433-B7CB-780EC0EF44DA}"/>
    <cellStyle name="AggOrange9 2 3 3 2 32" xfId="15603" xr:uid="{7BAE94E8-C978-498F-9F4B-4DEA43B1178E}"/>
    <cellStyle name="AggOrange9 2 3 3 2 33" xfId="16912" xr:uid="{8C5BE9E4-38CB-4C00-ABA6-644E606AA19C}"/>
    <cellStyle name="AggOrange9 2 3 3 2 34" xfId="16256" xr:uid="{9F214AFA-63F0-4C7B-86BA-506CB498FDA2}"/>
    <cellStyle name="AggOrange9 2 3 3 2 35" xfId="16076" xr:uid="{077D2682-FB7F-4674-AB80-A3F05D29A485}"/>
    <cellStyle name="AggOrange9 2 3 3 2 36" xfId="17956" xr:uid="{DA0B6055-8C9D-4358-8871-ECF3C72D64AB}"/>
    <cellStyle name="AggOrange9 2 3 3 2 37" xfId="18730" xr:uid="{0D55B442-4D04-408C-9CD1-1B08B9387402}"/>
    <cellStyle name="AggOrange9 2 3 3 2 38" xfId="18825" xr:uid="{C51FF166-614F-4ADC-A5DF-98CE9EC212A4}"/>
    <cellStyle name="AggOrange9 2 3 3 2 39" xfId="18984" xr:uid="{EBA89612-A7C5-44FA-BDC2-89CB7FFA2BA0}"/>
    <cellStyle name="AggOrange9 2 3 3 2 4" xfId="2689" xr:uid="{18B5E05C-81F5-4ADB-93FD-43AE0F11B9BF}"/>
    <cellStyle name="AggOrange9 2 3 3 2 40" xfId="20249" xr:uid="{8655A513-794D-45D5-9795-88930B5E73B9}"/>
    <cellStyle name="AggOrange9 2 3 3 2 41" xfId="19635" xr:uid="{2EDB4BA1-F77E-44C5-97CE-BE3C6F0423D6}"/>
    <cellStyle name="AggOrange9 2 3 3 2 42" xfId="20344" xr:uid="{6771DB29-31D4-47FB-B0D1-C16EB9DAC44E}"/>
    <cellStyle name="AggOrange9 2 3 3 2 43" xfId="21374" xr:uid="{A026FE0D-C9F8-4806-8A3B-92076AE4C1EC}"/>
    <cellStyle name="AggOrange9 2 3 3 2 44" xfId="21167" xr:uid="{73802A1D-0C0E-40A5-B98C-02A217AAA7D0}"/>
    <cellStyle name="AggOrange9 2 3 3 2 45" xfId="21154" xr:uid="{759C4FE3-3836-416D-B17C-39A96DEEAB85}"/>
    <cellStyle name="AggOrange9 2 3 3 2 46" xfId="22687" xr:uid="{EF576EEF-7E40-4E8B-8F74-CBCF901267C1}"/>
    <cellStyle name="AggOrange9 2 3 3 2 47" xfId="23097" xr:uid="{86837EEF-A2E3-4F92-A4E3-DBB17686F292}"/>
    <cellStyle name="AggOrange9 2 3 3 2 48" xfId="22738" xr:uid="{39846C95-C989-4AA3-B59A-5E2E9D04B824}"/>
    <cellStyle name="AggOrange9 2 3 3 2 49" xfId="24049" xr:uid="{098383CA-D0A9-4424-890D-CEFF2DB66C1D}"/>
    <cellStyle name="AggOrange9 2 3 3 2 5" xfId="2853" xr:uid="{12CAF5EE-2648-4C53-BED3-F95CB5C1AD3C}"/>
    <cellStyle name="AggOrange9 2 3 3 2 50" xfId="24957" xr:uid="{2FB74145-77BB-4DF3-BCBF-0A05B22F87EE}"/>
    <cellStyle name="AggOrange9 2 3 3 2 51" xfId="24494" xr:uid="{0151ADBC-E524-459C-B66E-9FD6C5B17640}"/>
    <cellStyle name="AggOrange9 2 3 3 2 52" xfId="25873" xr:uid="{A5A6FDBB-5CB1-4ACA-9313-CFB7DCC5C428}"/>
    <cellStyle name="AggOrange9 2 3 3 2 53" xfId="25991" xr:uid="{48B26F1C-A44F-4B55-AE9A-57901A525F4A}"/>
    <cellStyle name="AggOrange9 2 3 3 2 54" xfId="26740" xr:uid="{AB21737E-F003-4575-AD6E-D10719A71F4D}"/>
    <cellStyle name="AggOrange9 2 3 3 2 55" xfId="27161" xr:uid="{F683AA1B-F32B-4327-955C-FA942F58F6DA}"/>
    <cellStyle name="AggOrange9 2 3 3 2 56" xfId="27580" xr:uid="{32116A70-3308-4900-8965-DA76D66AF1CB}"/>
    <cellStyle name="AggOrange9 2 3 3 2 57" xfId="26463" xr:uid="{ED2A4285-409D-45F8-BECE-DAEEC7D6812D}"/>
    <cellStyle name="AggOrange9 2 3 3 2 58" xfId="28707" xr:uid="{21DA9C9A-5BF3-4D01-AC26-610FB5C4116D}"/>
    <cellStyle name="AggOrange9 2 3 3 2 59" xfId="29174" xr:uid="{6CA6EC39-E2F7-4D3E-A0E4-D384A0AA5693}"/>
    <cellStyle name="AggOrange9 2 3 3 2 6" xfId="2988" xr:uid="{F77F5889-811D-4410-B64F-78E0FE027266}"/>
    <cellStyle name="AggOrange9 2 3 3 2 60" xfId="28036" xr:uid="{A0E537BC-104F-4548-9D73-EB234189144B}"/>
    <cellStyle name="AggOrange9 2 3 3 2 61" xfId="29963" xr:uid="{CC375D21-5E45-41D3-805B-36C2BF5CFF40}"/>
    <cellStyle name="AggOrange9 2 3 3 2 62" xfId="30369" xr:uid="{82CAC01F-9A1C-4290-B8D2-7F5D480D925A}"/>
    <cellStyle name="AggOrange9 2 3 3 2 63" xfId="30786" xr:uid="{E69E237A-6092-4B05-AC3C-A815B2BAACF4}"/>
    <cellStyle name="AggOrange9 2 3 3 2 64" xfId="31031" xr:uid="{8D414624-6CB8-469D-94A6-78A5BBEFC708}"/>
    <cellStyle name="AggOrange9 2 3 3 2 65" xfId="31402" xr:uid="{7B29985E-AAE9-4FCD-9C8C-D6B4F943464B}"/>
    <cellStyle name="AggOrange9 2 3 3 2 66" xfId="32093" xr:uid="{2F50C944-A289-4944-8C88-4177E2302580}"/>
    <cellStyle name="AggOrange9 2 3 3 2 67" xfId="31715" xr:uid="{69CB5C82-ADA8-40B3-A5ED-9FFC2F415C2F}"/>
    <cellStyle name="AggOrange9 2 3 3 2 7" xfId="4185" xr:uid="{2325AE18-1302-4957-82C9-6361122952D8}"/>
    <cellStyle name="AggOrange9 2 3 3 2 8" xfId="4622" xr:uid="{884FB31C-CF8C-4B40-A889-650432ADC64C}"/>
    <cellStyle name="AggOrange9 2 3 3 2 9" xfId="5068" xr:uid="{DDC7C9DE-9E5B-4BDA-8DBB-FD8ADB6907D2}"/>
    <cellStyle name="AggOrange9 2 3 3 20" xfId="9130" xr:uid="{CE68C25D-8F17-495B-93C1-CCA274935BF5}"/>
    <cellStyle name="AggOrange9 2 3 3 21" xfId="9039" xr:uid="{A1969374-390B-44BD-B41C-19632FF00E86}"/>
    <cellStyle name="AggOrange9 2 3 3 22" xfId="9906" xr:uid="{97FA7BEA-3C46-4DA9-B15C-8B1BA75C3CE3}"/>
    <cellStyle name="AggOrange9 2 3 3 23" xfId="11276" xr:uid="{DA9A091E-6E45-4577-8977-D04FE6DFA74E}"/>
    <cellStyle name="AggOrange9 2 3 3 24" xfId="12005" xr:uid="{E2E55383-7A4A-471D-AE05-C0EEF9ED86C5}"/>
    <cellStyle name="AggOrange9 2 3 3 25" xfId="12478" xr:uid="{A32B95EA-AFB5-491E-9EED-CBC9D7A2FB91}"/>
    <cellStyle name="AggOrange9 2 3 3 26" xfId="12912" xr:uid="{A8918893-303F-4C19-97A1-3BE8CA1849CA}"/>
    <cellStyle name="AggOrange9 2 3 3 27" xfId="13349" xr:uid="{8E990827-CE10-4963-B1CF-D426F25B4CB6}"/>
    <cellStyle name="AggOrange9 2 3 3 28" xfId="12311" xr:uid="{035C0629-367B-4350-923E-BB7E7B039744}"/>
    <cellStyle name="AggOrange9 2 3 3 29" xfId="13690" xr:uid="{7771CCAF-B1C2-46E1-A688-37396C5321CC}"/>
    <cellStyle name="AggOrange9 2 3 3 3" xfId="1135" xr:uid="{4F14DA53-9E6B-4C1C-AC66-49B4681AD47D}"/>
    <cellStyle name="AggOrange9 2 3 3 30" xfId="13939" xr:uid="{FE30FB7D-6BDB-4BA8-8098-6F04CA3D73B0}"/>
    <cellStyle name="AggOrange9 2 3 3 31" xfId="15325" xr:uid="{FA77DD6D-C0C3-413A-84A8-9E3D4CA38310}"/>
    <cellStyle name="AggOrange9 2 3 3 32" xfId="15203" xr:uid="{DCE22E64-8BAA-433C-B876-C3362F9AD42B}"/>
    <cellStyle name="AggOrange9 2 3 3 33" xfId="15602" xr:uid="{94E11794-6C46-4631-8CDD-1B6859197F39}"/>
    <cellStyle name="AggOrange9 2 3 3 34" xfId="16697" xr:uid="{57A51E04-2C48-41ED-9C27-4F27FBCCA46F}"/>
    <cellStyle name="AggOrange9 2 3 3 35" xfId="16234" xr:uid="{478B1F7D-34E5-4D96-ABEE-6A1F690CF4B4}"/>
    <cellStyle name="AggOrange9 2 3 3 36" xfId="16254" xr:uid="{3CBABCDD-F22D-4751-A8A9-EE7732481144}"/>
    <cellStyle name="AggOrange9 2 3 3 37" xfId="17517" xr:uid="{72A3B4B8-D269-4B0C-BCE4-E85354F844D2}"/>
    <cellStyle name="AggOrange9 2 3 3 38" xfId="18515" xr:uid="{07A16111-258E-4D66-A539-60570D22D1F0}"/>
    <cellStyle name="AggOrange9 2 3 3 39" xfId="17867" xr:uid="{62A23764-EAF4-4E06-865E-53FCA7A73502}"/>
    <cellStyle name="AggOrange9 2 3 3 4" xfId="1753" xr:uid="{7A9E4D85-EC92-4F48-9F7E-F4B065DD7C92}"/>
    <cellStyle name="AggOrange9 2 3 3 40" xfId="18557" xr:uid="{031394A3-BCFD-43B1-90DD-7B90BF661599}"/>
    <cellStyle name="AggOrange9 2 3 3 41" xfId="20034" xr:uid="{0E77E2B4-38C9-45C8-BBD1-FD9FBFBC6193}"/>
    <cellStyle name="AggOrange9 2 3 3 42" xfId="19567" xr:uid="{ECC0F6FA-771B-4549-82EE-352644809098}"/>
    <cellStyle name="AggOrange9 2 3 3 43" xfId="20352" xr:uid="{81D41BC6-7766-44E8-91CB-8DDFD332D314}"/>
    <cellStyle name="AggOrange9 2 3 3 44" xfId="21382" xr:uid="{0903DBFC-7B71-402D-84AF-8521E026979F}"/>
    <cellStyle name="AggOrange9 2 3 3 45" xfId="19746" xr:uid="{05260EC0-9568-49E4-ABEF-613BC3AE1588}"/>
    <cellStyle name="AggOrange9 2 3 3 46" xfId="19441" xr:uid="{DC4A42A0-CE5B-4A0F-B8D3-F924525EE952}"/>
    <cellStyle name="AggOrange9 2 3 3 47" xfId="22475" xr:uid="{02EE79FC-0E75-4170-9403-8A990D7C0233}"/>
    <cellStyle name="AggOrange9 2 3 3 48" xfId="22376" xr:uid="{27BA6692-6459-420E-84B4-CF8DDED14D8A}"/>
    <cellStyle name="AggOrange9 2 3 3 49" xfId="22979" xr:uid="{780A27D3-AE56-403C-A781-60C55A1A24E2}"/>
    <cellStyle name="AggOrange9 2 3 3 5" xfId="2474" xr:uid="{C9A9161D-8188-4624-8AEA-5090CF29F278}"/>
    <cellStyle name="AggOrange9 2 3 3 50" xfId="23843" xr:uid="{8DAF5FA5-3271-4CE7-85A2-A0248B21CAD3}"/>
    <cellStyle name="AggOrange9 2 3 3 51" xfId="24742" xr:uid="{0024EE79-3954-431C-A0C3-53FD7FE28BD1}"/>
    <cellStyle name="AggOrange9 2 3 3 52" xfId="24288" xr:uid="{90D2DD5D-0682-406B-9F90-100E3D2E105C}"/>
    <cellStyle name="AggOrange9 2 3 3 53" xfId="25660" xr:uid="{DC7382D3-C9F3-4160-87E2-BD2DD86F0C07}"/>
    <cellStyle name="AggOrange9 2 3 3 54" xfId="24524" xr:uid="{90FE24EF-1321-40DE-9ECD-9ECD3519FB9D}"/>
    <cellStyle name="AggOrange9 2 3 3 55" xfId="26604" xr:uid="{92BF3A1F-6F62-4A82-BF5F-9DDC1DA51525}"/>
    <cellStyle name="AggOrange9 2 3 3 56" xfId="26950" xr:uid="{7376462C-B826-4B77-AD29-C2D8D07B999A}"/>
    <cellStyle name="AggOrange9 2 3 3 57" xfId="27369" xr:uid="{6DB56C23-2033-442F-B5A8-4A9D9810CF88}"/>
    <cellStyle name="AggOrange9 2 3 3 58" xfId="27806" xr:uid="{DB677E3A-D8D7-4772-AD1F-72FA9FE97DC1}"/>
    <cellStyle name="AggOrange9 2 3 3 59" xfId="28492" xr:uid="{1BF31F24-1FDF-4F2F-83C3-4E8537265C06}"/>
    <cellStyle name="AggOrange9 2 3 3 6" xfId="1907" xr:uid="{F57D9E71-7B04-4EBB-921A-F5590BC436D4}"/>
    <cellStyle name="AggOrange9 2 3 3 60" xfId="28960" xr:uid="{832D839F-9F89-4B01-A4D7-B5B69FD4E011}"/>
    <cellStyle name="AggOrange9 2 3 3 61" xfId="27979" xr:uid="{75AD191B-9B94-4867-BB53-66D8BB9FB492}"/>
    <cellStyle name="AggOrange9 2 3 3 62" xfId="29750" xr:uid="{BD6FA673-63EC-405D-8D76-8ED606F95C93}"/>
    <cellStyle name="AggOrange9 2 3 3 63" xfId="30158" xr:uid="{80951482-E1F2-4087-8AF0-5589926EF6C9}"/>
    <cellStyle name="AggOrange9 2 3 3 64" xfId="30572" xr:uid="{A1158E2C-9204-4BCC-86A4-FCFD82627659}"/>
    <cellStyle name="AggOrange9 2 3 3 65" xfId="30860" xr:uid="{58C5657A-1E61-45EA-AAAD-EF9A388094F8}"/>
    <cellStyle name="AggOrange9 2 3 3 66" xfId="31196" xr:uid="{2CE0CCA7-9E5D-4AE2-941A-B1BB6C5BEBD6}"/>
    <cellStyle name="AggOrange9 2 3 3 67" xfId="31882" xr:uid="{C47A092F-D5AF-4F45-9864-AC278E4485D9}"/>
    <cellStyle name="AggOrange9 2 3 3 68" xfId="32249" xr:uid="{A89BB431-8F0E-4730-AEA2-76DE15012A74}"/>
    <cellStyle name="AggOrange9 2 3 3 7" xfId="3375" xr:uid="{903E2A11-CDC6-41C5-AFC9-1BF5B4E40FC5}"/>
    <cellStyle name="AggOrange9 2 3 3 8" xfId="3970" xr:uid="{32B23B2D-106E-4974-8FD3-1B4162577A0B}"/>
    <cellStyle name="AggOrange9 2 3 3 9" xfId="4408" xr:uid="{92DC3D64-9667-4F9D-9A96-AAE67BD2C72F}"/>
    <cellStyle name="AggOrange9 2 3 30" xfId="13158" xr:uid="{18FFDA2C-D6DF-4B49-8283-265B00D92C89}"/>
    <cellStyle name="AggOrange9 2 3 31" xfId="13195" xr:uid="{4F12458D-9266-418C-B69E-C75578A962AE}"/>
    <cellStyle name="AggOrange9 2 3 32" xfId="14224" xr:uid="{8AC0CEED-8B94-4FCF-BA82-64C2B8183532}"/>
    <cellStyle name="AggOrange9 2 3 33" xfId="14662" xr:uid="{DBC9C7F8-3701-4111-8F4B-20305823112E}"/>
    <cellStyle name="AggOrange9 2 3 34" xfId="15446" xr:uid="{67DB41E9-69DA-4529-86F6-FFB8EE888248}"/>
    <cellStyle name="AggOrange9 2 3 35" xfId="15543" xr:uid="{03FFE227-34AF-48A1-B797-0CB4C3526418}"/>
    <cellStyle name="AggOrange9 2 3 36" xfId="16318" xr:uid="{72F7ED23-8FFD-482E-B31F-50A1B00E9373}"/>
    <cellStyle name="AggOrange9 2 3 37" xfId="16159" xr:uid="{833954CD-5023-4145-AB44-222E6390D811}"/>
    <cellStyle name="AggOrange9 2 3 38" xfId="16236" xr:uid="{B308DEAE-0914-4B37-BCF1-49BC7BF8F4FE}"/>
    <cellStyle name="AggOrange9 2 3 39" xfId="18229" xr:uid="{4F62665A-3BA5-48F3-AACE-EC90938013BC}"/>
    <cellStyle name="AggOrange9 2 3 4" xfId="666" xr:uid="{FFD02A73-E680-4E90-A3B2-D2B7580D01FC}"/>
    <cellStyle name="AggOrange9 2 3 4 10" xfId="2832" xr:uid="{7FBAE90A-B436-4091-9CD8-9EBCA90B4C38}"/>
    <cellStyle name="AggOrange9 2 3 4 11" xfId="5314" xr:uid="{3A2D60BA-CCEC-41AF-BE99-A1F656C48CE1}"/>
    <cellStyle name="AggOrange9 2 3 4 12" xfId="3733" xr:uid="{4D07124B-AF84-4390-8CE6-94A2C2EFA8F4}"/>
    <cellStyle name="AggOrange9 2 3 4 13" xfId="5886" xr:uid="{270793A1-4087-43CB-8DA2-F935D343F1FC}"/>
    <cellStyle name="AggOrange9 2 3 4 14" xfId="5984" xr:uid="{082082B1-E6DF-4450-A780-1D02D4074F74}"/>
    <cellStyle name="AggOrange9 2 3 4 15" xfId="7386" xr:uid="{B8B719C1-2622-4296-9A51-37E1DB70C06F}"/>
    <cellStyle name="AggOrange9 2 3 4 16" xfId="7824" xr:uid="{F1312C70-8869-4A06-A0DB-5A22901CDD49}"/>
    <cellStyle name="AggOrange9 2 3 4 17" xfId="7148" xr:uid="{2E4290E8-F0F0-4FC5-B201-5F4C1550AB7F}"/>
    <cellStyle name="AggOrange9 2 3 4 18" xfId="8330" xr:uid="{B543FCC1-F548-4344-A0F0-0DED0E2AA34A}"/>
    <cellStyle name="AggOrange9 2 3 4 19" xfId="9600" xr:uid="{41E552CE-67F2-470A-B33E-5A7B8EDB4047}"/>
    <cellStyle name="AggOrange9 2 3 4 2" xfId="881" xr:uid="{B79842D8-61AD-4E5C-8763-BD2E046C2AE6}"/>
    <cellStyle name="AggOrange9 2 3 4 2 10" xfId="5529" xr:uid="{6084B46F-EEB9-4EF2-B156-D67A59323940}"/>
    <cellStyle name="AggOrange9 2 3 4 2 11" xfId="6023" xr:uid="{CB443233-47DA-4D1E-A4D7-EDC020DAD52F}"/>
    <cellStyle name="AggOrange9 2 3 4 2 12" xfId="6382" xr:uid="{B52F7254-34FC-482B-9BF8-131BA065F578}"/>
    <cellStyle name="AggOrange9 2 3 4 2 13" xfId="6720" xr:uid="{55714557-E1BE-4766-AFC8-2E28E41A5BA0}"/>
    <cellStyle name="AggOrange9 2 3 4 2 14" xfId="7601" xr:uid="{ACE6AEA5-9E0C-4F66-B8A4-E652993707CD}"/>
    <cellStyle name="AggOrange9 2 3 4 2 15" xfId="8065" xr:uid="{D784CD49-4717-44D3-AF24-5D9C94F748C2}"/>
    <cellStyle name="AggOrange9 2 3 4 2 16" xfId="8674" xr:uid="{D2D42FD3-9657-43F0-BC82-6151BB0F6968}"/>
    <cellStyle name="AggOrange9 2 3 4 2 17" xfId="8933" xr:uid="{BE561D45-5E9E-4E27-8CE7-012E95D69C0F}"/>
    <cellStyle name="AggOrange9 2 3 4 2 18" xfId="9815" xr:uid="{3300BE2D-8482-46D1-BEEA-E7F791CBD5C0}"/>
    <cellStyle name="AggOrange9 2 3 4 2 19" xfId="10284" xr:uid="{6B342FC6-9F48-4D62-A55E-C7C3A239E72E}"/>
    <cellStyle name="AggOrange9 2 3 4 2 2" xfId="1355" xr:uid="{A0840C97-90CB-4ED8-8AA5-1EDF696BA2FE}"/>
    <cellStyle name="AggOrange9 2 3 4 2 20" xfId="10678" xr:uid="{D1609CEA-58B6-40B6-A7EA-A41AFDAE5447}"/>
    <cellStyle name="AggOrange9 2 3 4 2 21" xfId="11027" xr:uid="{CFBA2ACF-AAA6-4B5C-9B2B-1905ED57D360}"/>
    <cellStyle name="AggOrange9 2 3 4 2 22" xfId="11337" xr:uid="{59CE09D9-A187-49D5-A97C-39291D85CDC5}"/>
    <cellStyle name="AggOrange9 2 3 4 2 23" xfId="12234" xr:uid="{BBE49EC6-8D58-4E0F-9D4B-1D2B846ABA51}"/>
    <cellStyle name="AggOrange9 2 3 4 2 24" xfId="12707" xr:uid="{1E68A53A-BFA8-463C-8E55-CB9EBCC9E1A1}"/>
    <cellStyle name="AggOrange9 2 3 4 2 25" xfId="13141" xr:uid="{B4B541E4-3DBF-4EA5-B1BE-7F8D3F2F6142}"/>
    <cellStyle name="AggOrange9 2 3 4 2 26" xfId="13578" xr:uid="{85FBA172-20DA-44C5-AA01-D9F2D8E96B24}"/>
    <cellStyle name="AggOrange9 2 3 4 2 27" xfId="14050" xr:uid="{A6CB33D4-00B2-408E-8768-AE6E6628EF8D}"/>
    <cellStyle name="AggOrange9 2 3 4 2 28" xfId="14497" xr:uid="{1707762B-7EF7-49C1-9B06-155B0ECFB1AA}"/>
    <cellStyle name="AggOrange9 2 3 4 2 29" xfId="14931" xr:uid="{E5CEA22D-3F2D-4533-95A1-E02769843EF5}"/>
    <cellStyle name="AggOrange9 2 3 4 2 3" xfId="1804" xr:uid="{63F7F672-CB1A-4B26-86BF-8D5B2D420083}"/>
    <cellStyle name="AggOrange9 2 3 4 2 30" xfId="15401" xr:uid="{E528F931-95CE-400F-8F6D-AC686DFE38FC}"/>
    <cellStyle name="AggOrange9 2 3 4 2 31" xfId="15791" xr:uid="{9E3331CC-84B4-4965-8D33-67898AC8EF89}"/>
    <cellStyle name="AggOrange9 2 3 4 2 32" xfId="16013" xr:uid="{3C816D5B-FB77-47AF-A046-25AC0CA93391}"/>
    <cellStyle name="AggOrange9 2 3 4 2 33" xfId="16926" xr:uid="{A26B3C6E-C0A8-4454-9C0E-7A1BD0AFB82E}"/>
    <cellStyle name="AggOrange9 2 3 4 2 34" xfId="17407" xr:uid="{4ED5A7B7-FE3E-4B7B-A764-0183961DCF7F}"/>
    <cellStyle name="AggOrange9 2 3 4 2 35" xfId="17848" xr:uid="{223D351F-603A-4C03-810F-0A46A8419491}"/>
    <cellStyle name="AggOrange9 2 3 4 2 36" xfId="18323" xr:uid="{1D891189-1FF3-44F2-B18C-19FCDA88D575}"/>
    <cellStyle name="AggOrange9 2 3 4 2 37" xfId="18744" xr:uid="{7E611C44-AD32-4F1D-8B2F-DD5F4A765DC5}"/>
    <cellStyle name="AggOrange9 2 3 4 2 38" xfId="19131" xr:uid="{E58BCA89-87B7-4262-9162-C6287BBE6AE7}"/>
    <cellStyle name="AggOrange9 2 3 4 2 39" xfId="19361" xr:uid="{B6174583-DBAC-4F78-A188-990A3E7CC296}"/>
    <cellStyle name="AggOrange9 2 3 4 2 4" xfId="2703" xr:uid="{C9D120B9-03BA-468D-9E65-4ED938BF46D8}"/>
    <cellStyle name="AggOrange9 2 3 4 2 40" xfId="20263" xr:uid="{DFC28C91-F42A-4E64-831D-6268EBB15397}"/>
    <cellStyle name="AggOrange9 2 3 4 2 41" xfId="20756" xr:uid="{D41553E0-11A0-459B-921E-F0407D67CDBC}"/>
    <cellStyle name="AggOrange9 2 3 4 2 42" xfId="21215" xr:uid="{3F036578-1A59-446D-9C4A-2F2924202BF9}"/>
    <cellStyle name="AggOrange9 2 3 4 2 43" xfId="21707" xr:uid="{6377055B-6D5F-41B5-A763-33551FB939B4}"/>
    <cellStyle name="AggOrange9 2 3 4 2 44" xfId="22146" xr:uid="{8DC242A0-C694-47FE-A6BA-B29C5CAE3456}"/>
    <cellStyle name="AggOrange9 2 3 4 2 45" xfId="22573" xr:uid="{218CED1A-653A-49DB-B0E7-8B3923CC05A4}"/>
    <cellStyle name="AggOrange9 2 3 4 2 46" xfId="23018" xr:uid="{637F920C-05DB-4F88-9220-E41C102A8954}"/>
    <cellStyle name="AggOrange9 2 3 4 2 47" xfId="23420" xr:uid="{15697DDA-1830-4B74-83BE-390707C236E6}"/>
    <cellStyle name="AggOrange9 2 3 4 2 48" xfId="23683" xr:uid="{04D08723-3593-4B1F-AFC5-3C62407C59EA}"/>
    <cellStyle name="AggOrange9 2 3 4 2 49" xfId="24063" xr:uid="{89F32D8E-B93B-4E31-A019-58742BD0B4DE}"/>
    <cellStyle name="AggOrange9 2 3 4 2 5" xfId="3223" xr:uid="{F26CEA56-71AB-412E-8DD2-38EEA05C90B2}"/>
    <cellStyle name="AggOrange9 2 3 4 2 50" xfId="24971" xr:uid="{C40F45EB-55E0-41F0-969F-8E29A00EA8D9}"/>
    <cellStyle name="AggOrange9 2 3 4 2 51" xfId="25459" xr:uid="{20FC451F-A1A1-4903-AA40-D276E3B7B301}"/>
    <cellStyle name="AggOrange9 2 3 4 2 52" xfId="25887" xr:uid="{01432A02-7833-4365-8204-EF746271F56E}"/>
    <cellStyle name="AggOrange9 2 3 4 2 53" xfId="26325" xr:uid="{EED10793-780D-4297-9979-51C7FAAC6481}"/>
    <cellStyle name="AggOrange9 2 3 4 2 54" xfId="26754" xr:uid="{E56D5B00-1E7B-4FAA-97E7-F6B17C22C970}"/>
    <cellStyle name="AggOrange9 2 3 4 2 55" xfId="27175" xr:uid="{6A00ED31-C1E8-4DF0-AFF0-A68D653888BA}"/>
    <cellStyle name="AggOrange9 2 3 4 2 56" xfId="27594" xr:uid="{03D1F10D-3275-4C42-96D1-0611643C0B2F}"/>
    <cellStyle name="AggOrange9 2 3 4 2 57" xfId="27832" xr:uid="{18C33B96-B513-4301-8B42-0E8490892FEA}"/>
    <cellStyle name="AggOrange9 2 3 4 2 58" xfId="28721" xr:uid="{62978617-EC3D-4FC5-B714-34D7B5A23DB4}"/>
    <cellStyle name="AggOrange9 2 3 4 2 59" xfId="29188" xr:uid="{90722FD1-AADF-4491-86CE-C23692384F41}"/>
    <cellStyle name="AggOrange9 2 3 4 2 6" xfId="3778" xr:uid="{324BDA54-D663-4AEC-9232-CF160A4E3DA4}"/>
    <cellStyle name="AggOrange9 2 3 4 2 60" xfId="29570" xr:uid="{D3127781-DF85-4B6F-8AAC-4E57B2C3D11F}"/>
    <cellStyle name="AggOrange9 2 3 4 2 61" xfId="29977" xr:uid="{9B73A97E-8B97-4858-97DA-C9A9C419F217}"/>
    <cellStyle name="AggOrange9 2 3 4 2 62" xfId="30383" xr:uid="{B7EAD63D-516B-4071-A2FF-116587EA76A2}"/>
    <cellStyle name="AggOrange9 2 3 4 2 63" xfId="30800" xr:uid="{5553E1AA-3FB0-4F20-BD62-60E5D19ABB87}"/>
    <cellStyle name="AggOrange9 2 3 4 2 64" xfId="31045" xr:uid="{B1C502AC-22DA-4B84-9DEA-A5B0AAB507F7}"/>
    <cellStyle name="AggOrange9 2 3 4 2 65" xfId="31416" xr:uid="{709D12D3-2479-475C-8B9B-9C49399FA3C0}"/>
    <cellStyle name="AggOrange9 2 3 4 2 66" xfId="32107" xr:uid="{267B1675-61E7-459C-B426-BB0FBD570B04}"/>
    <cellStyle name="AggOrange9 2 3 4 2 67" xfId="32394" xr:uid="{641617A9-634D-4A9C-9CDD-92DA58D857B0}"/>
    <cellStyle name="AggOrange9 2 3 4 2 7" xfId="4199" xr:uid="{421B5547-B6DF-4B72-8A02-434DE59787D7}"/>
    <cellStyle name="AggOrange9 2 3 4 2 8" xfId="4636" xr:uid="{0C9C1123-B1E4-4E20-BE80-564200DFBCDF}"/>
    <cellStyle name="AggOrange9 2 3 4 2 9" xfId="5082" xr:uid="{CAD8DCD1-CA0C-46C5-AC56-D75425B2DD46}"/>
    <cellStyle name="AggOrange9 2 3 4 20" xfId="10036" xr:uid="{06702667-E4E3-4C15-989B-6F76059AA2A4}"/>
    <cellStyle name="AggOrange9 2 3 4 21" xfId="10457" xr:uid="{185B368F-D0E0-48B1-BF41-FFF60D800D00}"/>
    <cellStyle name="AggOrange9 2 3 4 22" xfId="10488" xr:uid="{52E5F5FF-4806-4203-99EE-E200619C4C6C}"/>
    <cellStyle name="AggOrange9 2 3 4 23" xfId="10709" xr:uid="{7AABC907-84D7-46EE-A4D2-C6B0066695B5}"/>
    <cellStyle name="AggOrange9 2 3 4 24" xfId="12019" xr:uid="{5EDD480B-2789-4476-8A4C-DF8A86C327A9}"/>
    <cellStyle name="AggOrange9 2 3 4 25" xfId="12492" xr:uid="{E910B036-99B5-4F9A-A1A4-E302031B3AF4}"/>
    <cellStyle name="AggOrange9 2 3 4 26" xfId="12926" xr:uid="{8D1C620E-7F4F-4108-99D5-90A36759B516}"/>
    <cellStyle name="AggOrange9 2 3 4 27" xfId="13363" xr:uid="{3B5DF75F-F747-400C-8525-2CB6CFBD4923}"/>
    <cellStyle name="AggOrange9 2 3 4 28" xfId="11565" xr:uid="{47E98F1C-67BF-47F7-8B75-97AB65E0F8F9}"/>
    <cellStyle name="AggOrange9 2 3 4 29" xfId="13166" xr:uid="{BA5C231C-21AE-48A0-B401-6320476FA28B}"/>
    <cellStyle name="AggOrange9 2 3 4 3" xfId="1149" xr:uid="{E5B1283C-CF85-429D-A4A1-9930DC2AE0AB}"/>
    <cellStyle name="AggOrange9 2 3 4 30" xfId="14691" xr:uid="{0E1D16D0-BD97-4643-8A37-8FD642877EBF}"/>
    <cellStyle name="AggOrange9 2 3 4 31" xfId="14099" xr:uid="{AAFD91B1-1723-413F-A91D-D84ED9ACC82D}"/>
    <cellStyle name="AggOrange9 2 3 4 32" xfId="15023" xr:uid="{97256D04-5FC3-4A94-9E51-FE1736054552}"/>
    <cellStyle name="AggOrange9 2 3 4 33" xfId="15871" xr:uid="{3D85ADAF-908E-4777-A486-D90618D1C411}"/>
    <cellStyle name="AggOrange9 2 3 4 34" xfId="16711" xr:uid="{D29E9EB9-22DC-4FB3-B925-E79ED491E869}"/>
    <cellStyle name="AggOrange9 2 3 4 35" xfId="17154" xr:uid="{DD236B87-0182-4D18-BC07-9B41C3304277}"/>
    <cellStyle name="AggOrange9 2 3 4 36" xfId="17599" xr:uid="{0B7FC47C-15E3-408B-9386-73100F358D38}"/>
    <cellStyle name="AggOrange9 2 3 4 37" xfId="17919" xr:uid="{F6BDB139-20C9-42AB-9BE1-E67B2004896F}"/>
    <cellStyle name="AggOrange9 2 3 4 38" xfId="18529" xr:uid="{9DA27BB3-39B1-4B85-B141-78860861898F}"/>
    <cellStyle name="AggOrange9 2 3 4 39" xfId="19049" xr:uid="{AD7A3DBF-62A6-4CF6-A81F-FE6462C2D058}"/>
    <cellStyle name="AggOrange9 2 3 4 4" xfId="1614" xr:uid="{94860351-43B4-472E-B70A-9E1EC4DD9A33}"/>
    <cellStyle name="AggOrange9 2 3 4 40" xfId="18797" xr:uid="{F3661D81-F221-4DDD-B8BF-130124A2B217}"/>
    <cellStyle name="AggOrange9 2 3 4 41" xfId="20048" xr:uid="{B19867E6-772D-46D3-8957-6F17348CC86E}"/>
    <cellStyle name="AggOrange9 2 3 4 42" xfId="20506" xr:uid="{3500902C-70E0-4437-8DCF-80DAA0C9029B}"/>
    <cellStyle name="AggOrange9 2 3 4 43" xfId="20960" xr:uid="{500DC6A4-B06A-4C83-8014-CD4478F99E46}"/>
    <cellStyle name="AggOrange9 2 3 4 44" xfId="21329" xr:uid="{46EDE529-6395-4429-8181-92D016156FB4}"/>
    <cellStyle name="AggOrange9 2 3 4 45" xfId="21890" xr:uid="{5B876940-4560-40A8-93A4-DF4B63AB2BF6}"/>
    <cellStyle name="AggOrange9 2 3 4 46" xfId="22326" xr:uid="{F5812F85-2DCC-4253-8AB3-778A7975DB12}"/>
    <cellStyle name="AggOrange9 2 3 4 47" xfId="22512" xr:uid="{0A07672D-7596-4ABC-8A2A-FF5901E76B43}"/>
    <cellStyle name="AggOrange9 2 3 4 48" xfId="23327" xr:uid="{A69471B6-B202-46BA-9CD4-BA11BF86575F}"/>
    <cellStyle name="AggOrange9 2 3 4 49" xfId="22781" xr:uid="{97E18CB9-7BFE-4790-8EE8-C7D02BD6E590}"/>
    <cellStyle name="AggOrange9 2 3 4 5" xfId="2488" xr:uid="{E0339B59-FCD4-44D5-BACB-5EDC7CC4CACA}"/>
    <cellStyle name="AggOrange9 2 3 4 50" xfId="23857" xr:uid="{B084F1A1-F51C-4F4E-9BDC-11B72866BBFE}"/>
    <cellStyle name="AggOrange9 2 3 4 51" xfId="24756" xr:uid="{00A810F3-6539-44F2-A2B8-F6C5E5C95752}"/>
    <cellStyle name="AggOrange9 2 3 4 52" xfId="25215" xr:uid="{0EE92315-206C-44FE-8E76-2362F85096E6}"/>
    <cellStyle name="AggOrange9 2 3 4 53" xfId="25674" xr:uid="{4891CD55-849F-4D20-A7BB-12D4C6343491}"/>
    <cellStyle name="AggOrange9 2 3 4 54" xfId="25406" xr:uid="{170ADF07-8DD7-435A-9AD2-2686DA06FC36}"/>
    <cellStyle name="AggOrange9 2 3 4 55" xfId="26591" xr:uid="{0E921DE1-C288-4C34-A9C0-1C273C5866D7}"/>
    <cellStyle name="AggOrange9 2 3 4 56" xfId="26964" xr:uid="{74AC8971-614C-4CC7-B906-53FF3EC25671}"/>
    <cellStyle name="AggOrange9 2 3 4 57" xfId="27383" xr:uid="{518D0CEE-91CB-4971-BE87-545A8E2C5475}"/>
    <cellStyle name="AggOrange9 2 3 4 58" xfId="27639" xr:uid="{9651BEE8-AF75-4931-8BCC-7D7404E278F6}"/>
    <cellStyle name="AggOrange9 2 3 4 59" xfId="28506" xr:uid="{6F816B29-E35C-4B6A-AF36-208EF27A0998}"/>
    <cellStyle name="AggOrange9 2 3 4 6" xfId="1850" xr:uid="{B71169C8-9C39-466C-998D-2AB1B3BE3911}"/>
    <cellStyle name="AggOrange9 2 3 4 60" xfId="28974" xr:uid="{DE5ED200-1669-4588-977A-B2840FBB2E7F}"/>
    <cellStyle name="AggOrange9 2 3 4 61" xfId="29356" xr:uid="{FA13E396-7FCC-479B-80D3-6A2329EE3DD2}"/>
    <cellStyle name="AggOrange9 2 3 4 62" xfId="29764" xr:uid="{046B0B07-8968-4106-955B-D030E23EAED8}"/>
    <cellStyle name="AggOrange9 2 3 4 63" xfId="30172" xr:uid="{6D82F514-EF56-4326-BC21-C1276A45EA52}"/>
    <cellStyle name="AggOrange9 2 3 4 64" xfId="30586" xr:uid="{42C248FB-CE9D-49C2-8127-1233F878357A}"/>
    <cellStyle name="AggOrange9 2 3 4 65" xfId="30429" xr:uid="{6E7134CB-899F-4B1D-8130-58630B991B0D}"/>
    <cellStyle name="AggOrange9 2 3 4 66" xfId="31210" xr:uid="{736363A7-975E-4AFD-9BFC-B1DE92E99C0B}"/>
    <cellStyle name="AggOrange9 2 3 4 67" xfId="31896" xr:uid="{D25A32B4-E07B-4254-9C1C-E8B5DC0145E2}"/>
    <cellStyle name="AggOrange9 2 3 4 68" xfId="31671" xr:uid="{A5061304-880E-460A-9A23-15C6D9025856}"/>
    <cellStyle name="AggOrange9 2 3 4 7" xfId="3012" xr:uid="{4D18B36F-63B8-440A-A0D3-0E38A5211940}"/>
    <cellStyle name="AggOrange9 2 3 4 8" xfId="3984" xr:uid="{5AB9315B-4D72-4080-8E64-5E7DFEBC6B63}"/>
    <cellStyle name="AggOrange9 2 3 4 9" xfId="4422" xr:uid="{3C961F14-FD22-4251-8B97-3507B4CF1293}"/>
    <cellStyle name="AggOrange9 2 3 40" xfId="17982" xr:uid="{2719DF77-7A87-4D95-A1C7-AE43AEC3EED9}"/>
    <cellStyle name="AggOrange9 2 3 41" xfId="18893" xr:uid="{5CA2B392-A657-4633-A8F5-A75FA13D2BF6}"/>
    <cellStyle name="AggOrange9 2 3 42" xfId="17910" xr:uid="{A945FB8D-BBFB-4A82-91C9-66BC97641446}"/>
    <cellStyle name="AggOrange9 2 3 43" xfId="19651" xr:uid="{9B9AC9EE-385E-446B-9FED-F8ED4EA6C7EC}"/>
    <cellStyle name="AggOrange9 2 3 44" xfId="19490" xr:uid="{C0ABB8CD-B846-4E0B-93C6-7F8E457C7656}"/>
    <cellStyle name="AggOrange9 2 3 45" xfId="20636" xr:uid="{8DB45713-8AB3-4444-9495-3492D0B7826A}"/>
    <cellStyle name="AggOrange9 2 3 46" xfId="20402" xr:uid="{2433155F-2AB5-4CC7-A1ED-767C4202A157}"/>
    <cellStyle name="AggOrange9 2 3 47" xfId="21518" xr:uid="{AE504A51-0FCD-4A34-818E-5E82899C3FAF}"/>
    <cellStyle name="AggOrange9 2 3 48" xfId="21839" xr:uid="{B5DAC0C3-DB8F-4DE9-865E-98D984A34C26}"/>
    <cellStyle name="AggOrange9 2 3 49" xfId="21894" xr:uid="{6ACE3327-DDD1-4F33-ADC8-0B6F8F715963}"/>
    <cellStyle name="AggOrange9 2 3 5" xfId="944" xr:uid="{B55CF01E-E485-435F-9356-D06276429D4A}"/>
    <cellStyle name="AggOrange9 2 3 50" xfId="23169" xr:uid="{642484E7-5DE1-4524-B94A-BC0172F923E9}"/>
    <cellStyle name="AggOrange9 2 3 51" xfId="23170" xr:uid="{22B2076F-A2E8-4EBF-AF25-DB1F200D0C10}"/>
    <cellStyle name="AggOrange9 2 3 52" xfId="21725" xr:uid="{E8A33064-4B31-4EA5-AAE8-32B7A826AD0D}"/>
    <cellStyle name="AggOrange9 2 3 53" xfId="24371" xr:uid="{253CF1D2-CE9A-47FE-9623-4123BB0BF59C}"/>
    <cellStyle name="AggOrange9 2 3 54" xfId="25031" xr:uid="{B6F08522-74D3-4D76-952D-6C918B3D46D7}"/>
    <cellStyle name="AggOrange9 2 3 55" xfId="24546" xr:uid="{D234F1E9-58D2-4E3E-9FE9-204742F01411}"/>
    <cellStyle name="AggOrange9 2 3 56" xfId="26017" xr:uid="{72B4BC39-01F8-4ADE-9632-395992D1AB3F}"/>
    <cellStyle name="AggOrange9 2 3 57" xfId="25498" xr:uid="{D9536AC4-FA36-43FD-A878-42969E080CCE}"/>
    <cellStyle name="AggOrange9 2 3 58" xfId="26673" xr:uid="{AC411A10-B5D5-4246-97A5-E7852D085088}"/>
    <cellStyle name="AggOrange9 2 3 59" xfId="26503" xr:uid="{3D8EAAF0-B69D-4CA6-8E1D-B696C135BF7F}"/>
    <cellStyle name="AggOrange9 2 3 6" xfId="1535" xr:uid="{B28D75CC-AF6F-474C-B5E6-108DA77C50C5}"/>
    <cellStyle name="AggOrange9 2 3 60" xfId="26672" xr:uid="{6E3F1A42-60F8-49A2-9D8A-1A81E916AD1B}"/>
    <cellStyle name="AggOrange9 2 3 61" xfId="28142" xr:uid="{6273417A-4198-4E94-92B0-ADDA947D35B6}"/>
    <cellStyle name="AggOrange9 2 3 62" xfId="27927" xr:uid="{B87A9173-EE83-4984-96D2-1D9EC3BD28A7}"/>
    <cellStyle name="AggOrange9 2 3 63" xfId="27926" xr:uid="{6259BDBB-26E9-418D-859E-560954023E98}"/>
    <cellStyle name="AggOrange9 2 3 64" xfId="28195" xr:uid="{24810EB6-523B-467F-A545-DB0D169F05B1}"/>
    <cellStyle name="AggOrange9 2 3 65" xfId="29607" xr:uid="{3B06F158-5817-4102-83E7-C1C31F03B2C1}"/>
    <cellStyle name="AggOrange9 2 3 66" xfId="28177" xr:uid="{1CFE0E67-3E46-49B4-B18C-8A2E7B966615}"/>
    <cellStyle name="AggOrange9 2 3 67" xfId="28311" xr:uid="{88A6CC1B-F518-4E83-BFB7-595F15E7C8DA}"/>
    <cellStyle name="AggOrange9 2 3 68" xfId="30615" xr:uid="{1D530D7A-F60C-4F29-9E4D-457A361A125E}"/>
    <cellStyle name="AggOrange9 2 3 69" xfId="31594" xr:uid="{7B52A122-3E36-4DD9-B53B-AC7BA86D64FC}"/>
    <cellStyle name="AggOrange9 2 3 7" xfId="2091" xr:uid="{02DE139B-10C0-45AA-8189-10E8354F4C95}"/>
    <cellStyle name="AggOrange9 2 3 70" xfId="32356" xr:uid="{F877DDDE-F9B1-4350-9C31-75E40561253C}"/>
    <cellStyle name="AggOrange9 2 3 8" xfId="2272" xr:uid="{37114F37-5C35-4A41-969E-CC0DE326233B}"/>
    <cellStyle name="AggOrange9 2 3 9" xfId="3297" xr:uid="{6EC3386F-BB3D-4BC3-99B4-C23C9E949B3F}"/>
    <cellStyle name="AggOrange9 3" xfId="408" xr:uid="{6F42F83B-5566-491D-BEC1-15E34F81203B}"/>
    <cellStyle name="AggOrange9 3 2" xfId="597" xr:uid="{D2BBCFEA-23E9-4463-82F2-E3AA697257B2}"/>
    <cellStyle name="AggOrange9 3 2 10" xfId="3593" xr:uid="{A9D36F16-FDA7-4810-A500-0F1D173CA105}"/>
    <cellStyle name="AggOrange9 3 2 11" xfId="5245" xr:uid="{BCD83DFB-CFA5-449F-B97C-9254D6B240AD}"/>
    <cellStyle name="AggOrange9 3 2 12" xfId="5922" xr:uid="{1DE4B44A-0CAA-4007-94D3-1C62E36D35E8}"/>
    <cellStyle name="AggOrange9 3 2 13" xfId="6279" xr:uid="{BA4AE5CC-2D03-4F65-A7FB-81C05198BEB7}"/>
    <cellStyle name="AggOrange9 3 2 14" xfId="6256" xr:uid="{EED8E698-C2FC-443E-ABAC-84F3BB856EA3}"/>
    <cellStyle name="AggOrange9 3 2 15" xfId="7317" xr:uid="{4C3964BD-72F0-489E-B2FF-8099F2D0B95D}"/>
    <cellStyle name="AggOrange9 3 2 16" xfId="7914" xr:uid="{09BC0642-6D60-4F1C-A52E-20E372369896}"/>
    <cellStyle name="AggOrange9 3 2 17" xfId="6749" xr:uid="{5197F3C3-762B-421B-8D0B-E8F5C8AC5AB3}"/>
    <cellStyle name="AggOrange9 3 2 18" xfId="8226" xr:uid="{D1D0903A-7A3A-4DD2-9F55-C6DB7E6BE96C}"/>
    <cellStyle name="AggOrange9 3 2 19" xfId="9531" xr:uid="{3650A024-4805-4F41-9AC1-96B5F52FF49C}"/>
    <cellStyle name="AggOrange9 3 2 2" xfId="812" xr:uid="{953C128A-7A1D-4485-A300-A6244DE41AAA}"/>
    <cellStyle name="AggOrange9 3 2 2 10" xfId="5460" xr:uid="{0E3E3C14-413B-487B-97C3-BA08A1AD35CD}"/>
    <cellStyle name="AggOrange9 3 2 2 11" xfId="4851" xr:uid="{65FFA5D5-9D4E-48ED-AC11-7E0E23FE4DAB}"/>
    <cellStyle name="AggOrange9 3 2 2 12" xfId="5708" xr:uid="{6930593E-738D-44FA-8D6A-A4AED0C9D900}"/>
    <cellStyle name="AggOrange9 3 2 2 13" xfId="6394" xr:uid="{AEF3EF12-2E37-4D1F-94EE-C2A90DA8ED0B}"/>
    <cellStyle name="AggOrange9 3 2 2 14" xfId="7532" xr:uid="{5BABD927-3285-4AF3-BE3D-634EFF6B8D86}"/>
    <cellStyle name="AggOrange9 3 2 2 15" xfId="7204" xr:uid="{696A4C9A-3C65-4544-B886-88CF340EBBBA}"/>
    <cellStyle name="AggOrange9 3 2 2 16" xfId="8005" xr:uid="{BDC1328D-01CE-41DB-B2E9-70985400B125}"/>
    <cellStyle name="AggOrange9 3 2 2 17" xfId="8423" xr:uid="{7AFA9530-F070-4DE2-9B28-AC1537B2939F}"/>
    <cellStyle name="AggOrange9 3 2 2 18" xfId="9746" xr:uid="{F78DDD5E-A17A-4505-B92A-C08B3B6488A1}"/>
    <cellStyle name="AggOrange9 3 2 2 19" xfId="9417" xr:uid="{FBDA29CE-A9A1-4920-8D4E-E7128E35CE5F}"/>
    <cellStyle name="AggOrange9 3 2 2 2" xfId="1286" xr:uid="{CC8B8CCE-E90C-48B5-87ED-0F6B00B35E1F}"/>
    <cellStyle name="AggOrange9 3 2 2 20" xfId="10210" xr:uid="{F89ED520-DEC3-4BB5-99B2-C7F80674C4A9}"/>
    <cellStyle name="AggOrange9 3 2 2 21" xfId="10960" xr:uid="{C885E398-233D-493D-ADFE-DF1A7C67D3AB}"/>
    <cellStyle name="AggOrange9 3 2 2 22" xfId="11172" xr:uid="{D449E8BF-049D-441B-832D-0663B28D6756}"/>
    <cellStyle name="AggOrange9 3 2 2 23" xfId="12165" xr:uid="{9251F7D7-DF0F-4456-B1FE-178F41B497A5}"/>
    <cellStyle name="AggOrange9 3 2 2 24" xfId="12638" xr:uid="{13DBB192-CCAC-4596-9518-B137650C2B5C}"/>
    <cellStyle name="AggOrange9 3 2 2 25" xfId="13072" xr:uid="{9E8F1D82-1BAB-43A9-AF1D-77EB998DE4CA}"/>
    <cellStyle name="AggOrange9 3 2 2 26" xfId="13509" xr:uid="{83BD896B-6CB0-4308-A80B-EE5D646689FF}"/>
    <cellStyle name="AggOrange9 3 2 2 27" xfId="11537" xr:uid="{05EA10F3-8273-492C-9002-9B006CD7EB90}"/>
    <cellStyle name="AggOrange9 3 2 2 28" xfId="13851" xr:uid="{A224B10C-EDE2-4F13-B43F-EB9DAFC10F37}"/>
    <cellStyle name="AggOrange9 3 2 2 29" xfId="13648" xr:uid="{D5961017-ABD4-4714-AF1D-44FFCD6EF356}"/>
    <cellStyle name="AggOrange9 3 2 2 3" xfId="1421" xr:uid="{FAC6F471-12C2-4ADD-9BF7-925EC1C00B2E}"/>
    <cellStyle name="AggOrange9 3 2 2 30" xfId="15109" xr:uid="{A2975FE4-C8F7-4EA2-97B3-00CC39C1FEF3}"/>
    <cellStyle name="AggOrange9 3 2 2 31" xfId="15360" xr:uid="{304F7974-925F-4A90-84D5-371C0189DF56}"/>
    <cellStyle name="AggOrange9 3 2 2 32" xfId="15453" xr:uid="{12CB66DA-011E-4C28-99A4-B691C6027EC1}"/>
    <cellStyle name="AggOrange9 3 2 2 33" xfId="16857" xr:uid="{E39A3F79-3133-4B38-91CA-E3B7874EB437}"/>
    <cellStyle name="AggOrange9 3 2 2 34" xfId="16526" xr:uid="{32CA80CE-6E33-42C8-9522-FFFCDA7C6A7E}"/>
    <cellStyle name="AggOrange9 3 2 2 35" xfId="17331" xr:uid="{3EDABE09-C251-4ECD-90F4-41C42CB4B4BC}"/>
    <cellStyle name="AggOrange9 3 2 2 36" xfId="18208" xr:uid="{B9C87102-10BF-4ED7-8650-144CC7006115}"/>
    <cellStyle name="AggOrange9 3 2 2 37" xfId="18675" xr:uid="{0B11D254-73B8-4B2E-B281-1E41BEB489D8}"/>
    <cellStyle name="AggOrange9 3 2 2 38" xfId="17801" xr:uid="{08295377-FA9A-448A-B2D5-6E1B2278535D}"/>
    <cellStyle name="AggOrange9 3 2 2 39" xfId="18004" xr:uid="{5B15D25A-C1FA-4FFE-8107-D72C31A154F9}"/>
    <cellStyle name="AggOrange9 3 2 2 4" xfId="2634" xr:uid="{CE973EBA-CE84-4A07-8270-50B70FC66FF1}"/>
    <cellStyle name="AggOrange9 3 2 2 40" xfId="20194" xr:uid="{9DCF524A-9920-4E7A-BF7A-8D5BAFD4C861}"/>
    <cellStyle name="AggOrange9 3 2 2 41" xfId="19862" xr:uid="{DE1A3F26-65B8-4409-A0AD-499AD9035F72}"/>
    <cellStyle name="AggOrange9 3 2 2 42" xfId="20686" xr:uid="{3CE10B97-93E8-4856-8CBC-666E9D87710D}"/>
    <cellStyle name="AggOrange9 3 2 2 43" xfId="20906" xr:uid="{855335F6-CBFB-475E-8CEE-13B7A86322BD}"/>
    <cellStyle name="AggOrange9 3 2 2 44" xfId="20595" xr:uid="{B0CA0DA0-19D7-40EB-873C-A2427FD47AD5}"/>
    <cellStyle name="AggOrange9 3 2 2 45" xfId="20786" xr:uid="{AFB22145-4F41-4CBF-992A-1A66F502383A}"/>
    <cellStyle name="AggOrange9 3 2 2 46" xfId="19742" xr:uid="{C942F214-42EC-43B9-9FC0-64FBE83ACBEC}"/>
    <cellStyle name="AggOrange9 3 2 2 47" xfId="22293" xr:uid="{0BD82114-EF72-47DE-8EC1-E4D6698FF3F5}"/>
    <cellStyle name="AggOrange9 3 2 2 48" xfId="23518" xr:uid="{E0A20FF1-6FF3-457A-8150-86C50F36E113}"/>
    <cellStyle name="AggOrange9 3 2 2 49" xfId="23994" xr:uid="{D8838B53-C02B-42D6-B7C4-48479B72C541}"/>
    <cellStyle name="AggOrange9 3 2 2 5" xfId="2713" xr:uid="{FD776FCB-80A9-4269-B37F-46E1FF4B4BBD}"/>
    <cellStyle name="AggOrange9 3 2 2 50" xfId="24902" xr:uid="{8172E975-FDCF-4177-837D-A59444E08E6A}"/>
    <cellStyle name="AggOrange9 3 2 2 51" xfId="24566" xr:uid="{BDE053F2-B304-481C-8956-D358BFE3FD37}"/>
    <cellStyle name="AggOrange9 3 2 2 52" xfId="25818" xr:uid="{F298CEEE-3567-42E7-A284-3E5EFDE0212E}"/>
    <cellStyle name="AggOrange9 3 2 2 53" xfId="24348" xr:uid="{A7A4272A-9C9E-4B63-A963-72B09373A2C1}"/>
    <cellStyle name="AggOrange9 3 2 2 54" xfId="26676" xr:uid="{BABDEF61-839D-4702-88D9-B5D36449F97F}"/>
    <cellStyle name="AggOrange9 3 2 2 55" xfId="27106" xr:uid="{DF50E847-AD7E-4CCA-AD04-5393E28FF908}"/>
    <cellStyle name="AggOrange9 3 2 2 56" xfId="27525" xr:uid="{41978612-CAFE-4E88-8083-EB3B4E7C8908}"/>
    <cellStyle name="AggOrange9 3 2 2 57" xfId="25970" xr:uid="{A84B4447-6EDB-4247-9063-007A0D6B3EB4}"/>
    <cellStyle name="AggOrange9 3 2 2 58" xfId="28652" xr:uid="{23331CDA-92E6-4930-AAED-ACBA4BEFCC2C}"/>
    <cellStyle name="AggOrange9 3 2 2 59" xfId="29119" xr:uid="{C7A89AE9-483C-441C-9406-27BA1062BADB}"/>
    <cellStyle name="AggOrange9 3 2 2 6" xfId="3324" xr:uid="{BE2FD3C4-F0B4-40F6-98C8-280BF9FD1B2A}"/>
    <cellStyle name="AggOrange9 3 2 2 60" xfId="28795" xr:uid="{EF17D128-A51E-4533-B9DB-E58D022CA6D6}"/>
    <cellStyle name="AggOrange9 3 2 2 61" xfId="29908" xr:uid="{7E41B832-5685-4060-8088-D807CE7C2CA7}"/>
    <cellStyle name="AggOrange9 3 2 2 62" xfId="30314" xr:uid="{1997B88F-A465-4A7A-827E-3482DD256947}"/>
    <cellStyle name="AggOrange9 3 2 2 63" xfId="30731" xr:uid="{3B8CBB9C-2502-4C8A-BF73-35BA1A790D00}"/>
    <cellStyle name="AggOrange9 3 2 2 64" xfId="28055" xr:uid="{EDDCA812-1883-4097-B36E-60C3BD70D197}"/>
    <cellStyle name="AggOrange9 3 2 2 65" xfId="31347" xr:uid="{E76CF395-876A-432B-98CC-F3C31CB1DE91}"/>
    <cellStyle name="AggOrange9 3 2 2 66" xfId="32038" xr:uid="{01241D5D-AC8D-4B0F-AD81-E6DB337D3785}"/>
    <cellStyle name="AggOrange9 3 2 2 67" xfId="31534" xr:uid="{CBC460DD-22A2-4130-A60A-E20EC565F51A}"/>
    <cellStyle name="AggOrange9 3 2 2 7" xfId="4130" xr:uid="{4451C1DE-CEA5-4BEE-BED5-1EE66FE25F99}"/>
    <cellStyle name="AggOrange9 3 2 2 8" xfId="4567" xr:uid="{F313578A-74F6-488C-B254-30C8A36E7896}"/>
    <cellStyle name="AggOrange9 3 2 2 9" xfId="3273" xr:uid="{9B762390-7D32-4D3E-AB52-B4AA7C80E803}"/>
    <cellStyle name="AggOrange9 3 2 20" xfId="10128" xr:uid="{FD0DD6E8-A02B-4C8F-B4D9-623454893A73}"/>
    <cellStyle name="AggOrange9 3 2 21" xfId="10538" xr:uid="{CADC470B-D450-4A81-BC2E-AE9430738847}"/>
    <cellStyle name="AggOrange9 3 2 22" xfId="9836" xr:uid="{B6674146-1790-4F88-8C77-F3D5ED7499F1}"/>
    <cellStyle name="AggOrange9 3 2 23" xfId="10663" xr:uid="{2AB8EA9C-4329-4B12-88F6-39D623B03462}"/>
    <cellStyle name="AggOrange9 3 2 24" xfId="11950" xr:uid="{7CEBBEF2-5201-4B49-968C-0842B756830E}"/>
    <cellStyle name="AggOrange9 3 2 25" xfId="12423" xr:uid="{766A0D14-ADE6-4B48-A4CC-504F784700B5}"/>
    <cellStyle name="AggOrange9 3 2 26" xfId="12857" xr:uid="{EF04C3CB-558B-4290-A6F0-7261480D4AFE}"/>
    <cellStyle name="AggOrange9 3 2 27" xfId="13294" xr:uid="{A75C429C-61C5-4D49-9E0D-6FD2D61CA68C}"/>
    <cellStyle name="AggOrange9 3 2 28" xfId="11649" xr:uid="{C6231EBC-4747-4905-9299-A70D45E14042}"/>
    <cellStyle name="AggOrange9 3 2 29" xfId="14283" xr:uid="{2536627C-7017-41D0-BFA7-D8761AA8F7A5}"/>
    <cellStyle name="AggOrange9 3 2 3" xfId="1080" xr:uid="{D46D383D-CF24-4829-BDC2-06DABDB028EB}"/>
    <cellStyle name="AggOrange9 3 2 30" xfId="14229" xr:uid="{DB640BA9-0C97-4E91-8366-3E207E15D95D}"/>
    <cellStyle name="AggOrange9 3 2 31" xfId="14435" xr:uid="{E679A1C9-9C61-4077-8925-B2BA74B61154}"/>
    <cellStyle name="AggOrange9 3 2 32" xfId="14570" xr:uid="{A4175F0C-5ADB-45C4-8D09-37C6A87FED98}"/>
    <cellStyle name="AggOrange9 3 2 33" xfId="15922" xr:uid="{FA3EE8E0-3144-42AE-B1CB-2CF70F2CFAF8}"/>
    <cellStyle name="AggOrange9 3 2 34" xfId="16642" xr:uid="{A58D2565-2F23-488B-98D2-617B1F60B992}"/>
    <cellStyle name="AggOrange9 3 2 35" xfId="17247" xr:uid="{8BAEB11F-0CB1-4A5C-85B7-97519EA11923}"/>
    <cellStyle name="AggOrange9 3 2 36" xfId="17691" xr:uid="{98AD04DB-F28E-48D9-B138-3F3323A3E61C}"/>
    <cellStyle name="AggOrange9 3 2 37" xfId="17787" xr:uid="{19986764-F5D1-4350-AF18-2AFDCE5C41FA}"/>
    <cellStyle name="AggOrange9 3 2 38" xfId="18460" xr:uid="{9DC86B71-CD86-48BB-9EED-2D58DAF6BB7A}"/>
    <cellStyle name="AggOrange9 3 2 39" xfId="18181" xr:uid="{97173DE0-1ECF-45C6-BA10-26D2654D3326}"/>
    <cellStyle name="AggOrange9 3 2 4" xfId="1454" xr:uid="{E6C73A95-8F2B-4E05-A0B3-54E4EC34A706}"/>
    <cellStyle name="AggOrange9 3 2 40" xfId="18868" xr:uid="{AAB216B4-CDA7-4759-B9EC-45FA1930550A}"/>
    <cellStyle name="AggOrange9 3 2 41" xfId="19979" xr:uid="{64AC57D4-F3A9-478E-8CF3-97AE5804D3E0}"/>
    <cellStyle name="AggOrange9 3 2 42" xfId="20597" xr:uid="{A14D6596-BD44-4F8B-A736-7462C3498BFA}"/>
    <cellStyle name="AggOrange9 3 2 43" xfId="21052" xr:uid="{5AE06830-6B9D-4DBD-B159-97F26FD09C9F}"/>
    <cellStyle name="AggOrange9 3 2 44" xfId="21381" xr:uid="{6D217DFA-89C9-47C1-B918-8FBA87DDF5EB}"/>
    <cellStyle name="AggOrange9 3 2 45" xfId="21983" xr:uid="{A18180A8-6C2F-46DB-89D5-3E613D8F986B}"/>
    <cellStyle name="AggOrange9 3 2 46" xfId="22414" xr:uid="{3320D6CF-7012-4460-A2E3-BF45FCD243AE}"/>
    <cellStyle name="AggOrange9 3 2 47" xfId="21873" xr:uid="{7E6A6A29-1D19-4A72-AF61-7DE79733818B}"/>
    <cellStyle name="AggOrange9 3 2 48" xfId="22183" xr:uid="{F9D34B20-FBCA-474A-8760-766C476E94AF}"/>
    <cellStyle name="AggOrange9 3 2 49" xfId="22642" xr:uid="{0C1E7719-13E9-40E3-A34C-047109512A74}"/>
    <cellStyle name="AggOrange9 3 2 5" xfId="2419" xr:uid="{F6C6C17A-AA2D-45FC-BB8A-340FEC0C50AE}"/>
    <cellStyle name="AggOrange9 3 2 50" xfId="23788" xr:uid="{277197B5-4AC7-4D24-A0F2-DC30C9D0D67B}"/>
    <cellStyle name="AggOrange9 3 2 51" xfId="24687" xr:uid="{E94CB4A6-DCF8-475D-848F-9F32C22BB32B}"/>
    <cellStyle name="AggOrange9 3 2 52" xfId="25306" xr:uid="{00B72FC8-3338-4C22-81BA-6EE71CE6F809}"/>
    <cellStyle name="AggOrange9 3 2 53" xfId="25605" xr:uid="{7138EE46-2787-4718-B251-57DDF9D8EA62}"/>
    <cellStyle name="AggOrange9 3 2 54" xfId="25483" xr:uid="{F0C4AED5-22D6-4E24-BEF1-01BE732ACF9B}"/>
    <cellStyle name="AggOrange9 3 2 55" xfId="26588" xr:uid="{5047C09F-2758-43A8-90F3-D751B693FC04}"/>
    <cellStyle name="AggOrange9 3 2 56" xfId="26895" xr:uid="{606AAA30-0ED3-476B-A049-B6ECB3ED2681}"/>
    <cellStyle name="AggOrange9 3 2 57" xfId="27314" xr:uid="{B2512FB0-0BC3-4520-918E-5F96AAEC6DEC}"/>
    <cellStyle name="AggOrange9 3 2 58" xfId="27714" xr:uid="{3519B99B-2CEF-419C-A0A3-4CFAA5D0C809}"/>
    <cellStyle name="AggOrange9 3 2 59" xfId="28437" xr:uid="{D60B2445-D784-44E4-AD44-3C19E41D64A2}"/>
    <cellStyle name="AggOrange9 3 2 6" xfId="2289" xr:uid="{01CA79EC-B455-4AF4-A36D-1F003A7F4709}"/>
    <cellStyle name="AggOrange9 3 2 60" xfId="28905" xr:uid="{699AAFBE-E9DD-44CD-ADD8-CECB7638C3B5}"/>
    <cellStyle name="AggOrange9 3 2 61" xfId="29428" xr:uid="{0148226D-FA1B-42B7-8CFD-C67C85B59C4A}"/>
    <cellStyle name="AggOrange9 3 2 62" xfId="29695" xr:uid="{A63FD401-4DC3-4346-8EA5-D269658E9462}"/>
    <cellStyle name="AggOrange9 3 2 63" xfId="30103" xr:uid="{762EB609-4EE4-4A8A-A9F6-D685A4DCAAB3}"/>
    <cellStyle name="AggOrange9 3 2 64" xfId="30517" xr:uid="{D5B665B3-A152-4ED1-A7E4-B75A31141E22}"/>
    <cellStyle name="AggOrange9 3 2 65" xfId="30852" xr:uid="{A8D4399F-CE81-410F-B190-59BDEA2914B1}"/>
    <cellStyle name="AggOrange9 3 2 66" xfId="31141" xr:uid="{D05E9FF0-6C2C-4FE0-955E-2C39F2179D70}"/>
    <cellStyle name="AggOrange9 3 2 67" xfId="31827" xr:uid="{76F59270-279B-458E-9DE4-014C76C36464}"/>
    <cellStyle name="AggOrange9 3 2 68" xfId="32246" xr:uid="{6CCE84B4-5B46-40EA-A836-CF177965FAC6}"/>
    <cellStyle name="AggOrange9 3 2 7" xfId="2298" xr:uid="{1786538D-3D98-40C4-A259-77E83C3CA3F8}"/>
    <cellStyle name="AggOrange9 3 2 8" xfId="3915" xr:uid="{A6664AC4-445D-42DD-8C08-236D861FD93D}"/>
    <cellStyle name="AggOrange9 3 2 9" xfId="4353" xr:uid="{12CC3EDC-CA3D-4BF1-9490-72469CC8CC1C}"/>
    <cellStyle name="AggOrange9 3 3" xfId="715" xr:uid="{5D22E125-D3B4-4FEC-95AF-DC72E75B51C7}"/>
    <cellStyle name="AggOrange9 3 3 10" xfId="5363" xr:uid="{BCE1E7AA-2AB9-49A7-A7F9-68E1A75F325C}"/>
    <cellStyle name="AggOrange9 3 3 11" xfId="5821" xr:uid="{28E5BF18-E1EE-48FD-878A-F093680946F0}"/>
    <cellStyle name="AggOrange9 3 3 12" xfId="5759" xr:uid="{5BCF3E41-F5A9-40EA-AB93-011BBAFD3CE4}"/>
    <cellStyle name="AggOrange9 3 3 13" xfId="3393" xr:uid="{A5C26904-24B8-4BB5-A42F-EDE91E4FB241}"/>
    <cellStyle name="AggOrange9 3 3 14" xfId="7435" xr:uid="{315CD689-CE7E-481A-9B51-7D97114B87C9}"/>
    <cellStyle name="AggOrange9 3 3 15" xfId="6861" xr:uid="{9583E487-94E7-4560-AA64-DBE18EA249C5}"/>
    <cellStyle name="AggOrange9 3 3 16" xfId="8091" xr:uid="{F1AE11B7-9C39-4458-9C5D-33B7ADF8CF6C}"/>
    <cellStyle name="AggOrange9 3 3 17" xfId="7913" xr:uid="{F0B2F615-0F0B-4F9C-9EE3-77B01324E91D}"/>
    <cellStyle name="AggOrange9 3 3 18" xfId="9649" xr:uid="{8017EF00-C71D-4F53-98EB-7DBAB165671C}"/>
    <cellStyle name="AggOrange9 3 3 19" xfId="9076" xr:uid="{78B109A9-B7E2-4547-A237-20E3CE48A276}"/>
    <cellStyle name="AggOrange9 3 3 2" xfId="1189" xr:uid="{FD3B597D-53C3-4132-A578-24B228014FC2}"/>
    <cellStyle name="AggOrange9 3 3 20" xfId="10294" xr:uid="{C23242E1-9F29-4603-B257-AC73D928590F}"/>
    <cellStyle name="AggOrange9 3 3 21" xfId="9972" xr:uid="{6E419CFB-F727-45C3-80F2-22CD93EE785F}"/>
    <cellStyle name="AggOrange9 3 3 22" xfId="11261" xr:uid="{E94A917A-CC2E-4215-B051-45488731F162}"/>
    <cellStyle name="AggOrange9 3 3 23" xfId="12068" xr:uid="{561CED4D-FCF1-491A-B1C7-FFEB482AE23A}"/>
    <cellStyle name="AggOrange9 3 3 24" xfId="12541" xr:uid="{076F16E6-520D-4C3E-94CC-FEAA2C68DA12}"/>
    <cellStyle name="AggOrange9 3 3 25" xfId="12975" xr:uid="{C8AA227C-C197-44E9-B52C-FA17825E6179}"/>
    <cellStyle name="AggOrange9 3 3 26" xfId="13412" xr:uid="{967AEB4D-E692-4170-A34D-D460FFCB4C40}"/>
    <cellStyle name="AggOrange9 3 3 27" xfId="12321" xr:uid="{8CB5BD43-4190-4DF4-BCC3-44B67E7E23A1}"/>
    <cellStyle name="AggOrange9 3 3 28" xfId="13993" xr:uid="{3F8FB1BA-687A-456F-B317-CDA11ECDF050}"/>
    <cellStyle name="AggOrange9 3 3 29" xfId="14395" xr:uid="{896687A1-F61C-41FB-9415-A050FE06F44B}"/>
    <cellStyle name="AggOrange9 3 3 3" xfId="1446" xr:uid="{F5A267A7-FC80-4F2C-AE73-3D1A7267458D}"/>
    <cellStyle name="AggOrange9 3 3 30" xfId="15020" xr:uid="{DA1E2311-8C20-46C6-ADC6-79106C905F33}"/>
    <cellStyle name="AggOrange9 3 3 31" xfId="12735" xr:uid="{55B9240A-D9CB-45E5-AEAB-191AAEAEE68B}"/>
    <cellStyle name="AggOrange9 3 3 32" xfId="15367" xr:uid="{E7610EA4-B5A5-4780-9320-F6EF19D5411A}"/>
    <cellStyle name="AggOrange9 3 3 33" xfId="16760" xr:uid="{55A472D6-939B-4D2F-A70D-C14A7EE59095}"/>
    <cellStyle name="AggOrange9 3 3 34" xfId="16177" xr:uid="{67AE4C6B-B955-46DD-8EFC-F4B68344E77A}"/>
    <cellStyle name="AggOrange9 3 3 35" xfId="17195" xr:uid="{C1E0636F-5283-485C-BC58-3812DDDDDD82}"/>
    <cellStyle name="AggOrange9 3 3 36" xfId="18037" xr:uid="{99B98654-12E8-4B8C-88F8-22EBAFDCC6CB}"/>
    <cellStyle name="AggOrange9 3 3 37" xfId="18578" xr:uid="{BDAF9A3E-855C-4AAE-9580-E36FD1F68555}"/>
    <cellStyle name="AggOrange9 3 3 38" xfId="18259" xr:uid="{D8B0A7D3-2DDF-44AF-BBAC-ABB8BAA31092}"/>
    <cellStyle name="AggOrange9 3 3 39" xfId="16167" xr:uid="{23AA4EEC-8A4F-4ADE-A00E-D8A9FC95F88C}"/>
    <cellStyle name="AggOrange9 3 3 4" xfId="2537" xr:uid="{02779AFA-4D65-4072-9497-2399E01812F9}"/>
    <cellStyle name="AggOrange9 3 3 40" xfId="20097" xr:uid="{D23F9EBC-24FC-4F2B-9BF2-81B841091D92}"/>
    <cellStyle name="AggOrange9 3 3 41" xfId="19507" xr:uid="{74289C74-F8A6-4020-9E12-857429E45F67}"/>
    <cellStyle name="AggOrange9 3 3 42" xfId="20651" xr:uid="{62D44477-912D-4488-9159-32547A928761}"/>
    <cellStyle name="AggOrange9 3 3 43" xfId="20563" xr:uid="{B44D65FA-B8F4-4B73-A658-080828000D9F}"/>
    <cellStyle name="AggOrange9 3 3 44" xfId="20821" xr:uid="{9EEB3F2E-0C7B-4DC7-A7D1-4746D85D583C}"/>
    <cellStyle name="AggOrange9 3 3 45" xfId="20943" xr:uid="{FE3FE2FA-B18B-45CC-87EF-AEF69A8ADB3B}"/>
    <cellStyle name="AggOrange9 3 3 46" xfId="22113" xr:uid="{1E8A8955-F656-4425-A189-2A390120A04B}"/>
    <cellStyle name="AggOrange9 3 3 47" xfId="22791" xr:uid="{86C4020A-A3E3-45D3-AC60-826E84C52020}"/>
    <cellStyle name="AggOrange9 3 3 48" xfId="23047" xr:uid="{F782FE88-226B-40E2-9A08-409C9EF10DFF}"/>
    <cellStyle name="AggOrange9 3 3 49" xfId="23897" xr:uid="{041C7D5C-A99E-4F4B-B692-DC8149E57195}"/>
    <cellStyle name="AggOrange9 3 3 5" xfId="2046" xr:uid="{654863E2-E858-437B-BA18-C658DAB0F908}"/>
    <cellStyle name="AggOrange9 3 3 50" xfId="24805" xr:uid="{B00E2E24-924B-4314-8324-5A5CCD1DB68C}"/>
    <cellStyle name="AggOrange9 3 3 51" xfId="24114" xr:uid="{7E505C9F-B725-434D-8494-AA84F8001807}"/>
    <cellStyle name="AggOrange9 3 3 52" xfId="25721" xr:uid="{CF7EEEAA-0610-4A20-8F33-29E236BF3010}"/>
    <cellStyle name="AggOrange9 3 3 53" xfId="25902" xr:uid="{091D1231-1D90-43BF-B769-010C2CCF988E}"/>
    <cellStyle name="AggOrange9 3 3 54" xfId="25154" xr:uid="{D21B206A-AA71-42B8-88FA-D7C2DC07C4A8}"/>
    <cellStyle name="AggOrange9 3 3 55" xfId="27009" xr:uid="{768F48AF-995D-461E-BBA1-D33FA39A704F}"/>
    <cellStyle name="AggOrange9 3 3 56" xfId="27428" xr:uid="{D33E30F0-5704-44F0-B14E-E2A486B7A74F}"/>
    <cellStyle name="AggOrange9 3 3 57" xfId="26525" xr:uid="{90626254-8013-4D5F-86CB-CA651D696536}"/>
    <cellStyle name="AggOrange9 3 3 58" xfId="28555" xr:uid="{3AFE2457-0237-4242-A5C9-9E298EFB21B4}"/>
    <cellStyle name="AggOrange9 3 3 59" xfId="29022" xr:uid="{DAAC8C51-2751-47D4-9DDF-9229182EBB36}"/>
    <cellStyle name="AggOrange9 3 3 6" xfId="2977" xr:uid="{8CD46B8B-EC03-423B-9DE3-CC3855C32E84}"/>
    <cellStyle name="AggOrange9 3 3 60" xfId="28170" xr:uid="{991800C9-B778-47C7-B757-4DF603BFA6D5}"/>
    <cellStyle name="AggOrange9 3 3 61" xfId="29811" xr:uid="{96910CD1-BEF2-4ABE-A3D2-9442E5A159D1}"/>
    <cellStyle name="AggOrange9 3 3 62" xfId="30217" xr:uid="{33B94F4D-83CB-4B94-9182-829261A257BD}"/>
    <cellStyle name="AggOrange9 3 3 63" xfId="30634" xr:uid="{5703A707-A2A3-4F0D-9B9E-60C1D4168261}"/>
    <cellStyle name="AggOrange9 3 3 64" xfId="30907" xr:uid="{12277BDB-51B9-485F-B5B7-07893BA1DDC9}"/>
    <cellStyle name="AggOrange9 3 3 65" xfId="31250" xr:uid="{05F1BD92-E1EE-44D7-BE82-0FCCACEEC758}"/>
    <cellStyle name="AggOrange9 3 3 66" xfId="31941" xr:uid="{7FB86A4D-108A-49D2-BA62-27D9B21A4145}"/>
    <cellStyle name="AggOrange9 3 3 67" xfId="31449" xr:uid="{DE022AFF-DC6C-4002-BF37-4A87008B3FC2}"/>
    <cellStyle name="AggOrange9 3 3 7" xfId="4033" xr:uid="{B8B88F1A-2CD6-4076-8FA1-83F9936096C3}"/>
    <cellStyle name="AggOrange9 3 3 8" xfId="4470" xr:uid="{BA530C96-1789-498C-AB31-ADAA42CEEE55}"/>
    <cellStyle name="AggOrange9 3 3 9" xfId="4762" xr:uid="{173B5DDA-0D54-4A9B-A5DF-0796387BBBD6}"/>
    <cellStyle name="AggOrange9 4" xfId="266" xr:uid="{F19A7FC1-CAB0-4B57-AF9D-5991FC0FDFE3}"/>
    <cellStyle name="AggOrange9 4 10" xfId="3635" xr:uid="{16FFCA76-6020-4DF1-8A5C-39E398C4EEC4}"/>
    <cellStyle name="AggOrange9 4 11" xfId="2323" xr:uid="{9774574F-C5CE-4882-B2A6-BFC6C021060A}"/>
    <cellStyle name="AggOrange9 4 12" xfId="3707" xr:uid="{07B95B4A-B159-40AC-A069-C56E3E564BA3}"/>
    <cellStyle name="AggOrange9 4 13" xfId="1860" xr:uid="{4342FAB0-7038-41AA-B2EB-B4A64124F463}"/>
    <cellStyle name="AggOrange9 4 14" xfId="5812" xr:uid="{8F71FAE0-99E9-4973-8A5B-18486247292E}"/>
    <cellStyle name="AggOrange9 4 15" xfId="5855" xr:uid="{0F05F6A3-AAC7-4F99-A996-769A5C32CB56}"/>
    <cellStyle name="AggOrange9 4 16" xfId="6689" xr:uid="{39F4B7A7-21FD-403B-B2D1-3675D2EA1DCD}"/>
    <cellStyle name="AggOrange9 4 17" xfId="6996" xr:uid="{AF0A0346-8643-4748-80E0-89BDF507DE6C}"/>
    <cellStyle name="AggOrange9 4 18" xfId="7645" xr:uid="{9FAB2093-48A0-48E6-9942-245BD81CB9F5}"/>
    <cellStyle name="AggOrange9 4 19" xfId="8464" xr:uid="{D4E73BF5-0874-4C37-8D5E-F9445B52742D}"/>
    <cellStyle name="AggOrange9 4 2" xfId="605" xr:uid="{9643F564-E0CB-4D6D-8B31-EE6B194DE6A6}"/>
    <cellStyle name="AggOrange9 4 2 10" xfId="3468" xr:uid="{916871AB-7C6D-4798-8491-C20EC93D51AB}"/>
    <cellStyle name="AggOrange9 4 2 11" xfId="5253" xr:uid="{57A84A5D-583D-4E85-8971-4E82B75B36ED}"/>
    <cellStyle name="AggOrange9 4 2 12" xfId="4664" xr:uid="{50F2EE6E-7892-4B65-927A-CA025277FEF8}"/>
    <cellStyle name="AggOrange9 4 2 13" xfId="6010" xr:uid="{2BFA813C-83E2-4FE9-B54A-8A94AB332034}"/>
    <cellStyle name="AggOrange9 4 2 14" xfId="6671" xr:uid="{66105B4A-A00A-4BFE-9409-7E1D18135791}"/>
    <cellStyle name="AggOrange9 4 2 15" xfId="7325" xr:uid="{77B97920-F0A6-4133-A053-1251FB317368}"/>
    <cellStyle name="AggOrange9 4 2 16" xfId="7751" xr:uid="{834D0540-F674-49FE-B445-22C0CF2FAEB3}"/>
    <cellStyle name="AggOrange9 4 2 17" xfId="6948" xr:uid="{E7D83EFF-417E-44FD-A175-3913989D8F44}"/>
    <cellStyle name="AggOrange9 4 2 18" xfId="8851" xr:uid="{5DD23759-1A6E-46AE-ADF9-EEB7E39024E2}"/>
    <cellStyle name="AggOrange9 4 2 19" xfId="9539" xr:uid="{9CB04FC2-C789-4F10-8155-1BBC19573C15}"/>
    <cellStyle name="AggOrange9 4 2 2" xfId="820" xr:uid="{99C0289D-38E4-4189-B84E-3B54A4C7E13A}"/>
    <cellStyle name="AggOrange9 4 2 2 10" xfId="5468" xr:uid="{31ED65D9-7AF6-4113-A24C-FAF5145A927D}"/>
    <cellStyle name="AggOrange9 4 2 2 11" xfId="5815" xr:uid="{D76B2F6B-FC3E-46CC-8FBC-98E5EABBC859}"/>
    <cellStyle name="AggOrange9 4 2 2 12" xfId="4894" xr:uid="{B456F33F-BBDA-43AE-A7FF-61C73575005F}"/>
    <cellStyle name="AggOrange9 4 2 2 13" xfId="6410" xr:uid="{A091F031-347F-49D2-8717-22A2CB6CA371}"/>
    <cellStyle name="AggOrange9 4 2 2 14" xfId="7540" xr:uid="{16EB538A-535E-4464-93A6-0B267A9B9517}"/>
    <cellStyle name="AggOrange9 4 2 2 15" xfId="6980" xr:uid="{512A58CA-67EF-4521-B3B8-70581DB1C4AC}"/>
    <cellStyle name="AggOrange9 4 2 2 16" xfId="7906" xr:uid="{B8A23D15-113C-41B4-A44B-95D62E84E28E}"/>
    <cellStyle name="AggOrange9 4 2 2 17" xfId="8793" xr:uid="{24B69960-947D-4C7F-A2E1-00ECAFBD9AEA}"/>
    <cellStyle name="AggOrange9 4 2 2 18" xfId="9754" xr:uid="{015568B0-358F-4C9D-960C-A4AD0C2A4A3B}"/>
    <cellStyle name="AggOrange9 4 2 2 19" xfId="9321" xr:uid="{FB03BCA3-B2C1-47E3-A6EC-1C5D91129857}"/>
    <cellStyle name="AggOrange9 4 2 2 2" xfId="1294" xr:uid="{D1B4EAE7-46AA-4CFE-8F3E-002067E7AC1D}"/>
    <cellStyle name="AggOrange9 4 2 2 20" xfId="9842" xr:uid="{2D896CDF-DA11-4B1C-AF93-3EC34CF2FEF0}"/>
    <cellStyle name="AggOrange9 4 2 2 21" xfId="10657" xr:uid="{EBBF226E-64CC-4B1A-91EF-390E21DD37DC}"/>
    <cellStyle name="AggOrange9 4 2 2 22" xfId="9954" xr:uid="{4E98AB5B-7580-4571-9C1A-20CCFE2FAFF8}"/>
    <cellStyle name="AggOrange9 4 2 2 23" xfId="12173" xr:uid="{C92B288A-D120-4592-A87C-835581607704}"/>
    <cellStyle name="AggOrange9 4 2 2 24" xfId="12646" xr:uid="{E9C614DF-5A12-4B2C-9C03-9CD339D5F3BB}"/>
    <cellStyle name="AggOrange9 4 2 2 25" xfId="13080" xr:uid="{C13D9DA1-AF20-4741-87E2-5AFAC62F5E9A}"/>
    <cellStyle name="AggOrange9 4 2 2 26" xfId="13517" xr:uid="{B7D9964F-AFDD-421C-8AFE-9B1DA3FCCD95}"/>
    <cellStyle name="AggOrange9 4 2 2 27" xfId="11597" xr:uid="{2FB5C1B7-263D-4ACB-B5E9-BE3DBC7F80EB}"/>
    <cellStyle name="AggOrange9 4 2 2 28" xfId="13930" xr:uid="{198FD394-59EB-4195-BE1E-2FF8AF9CC68B}"/>
    <cellStyle name="AggOrange9 4 2 2 29" xfId="11367" xr:uid="{8B7F0F93-1DA6-4392-BE94-45E23915AA1A}"/>
    <cellStyle name="AggOrange9 4 2 2 3" xfId="1417" xr:uid="{D36C77D6-017B-43EF-BAF8-D1B817019ACD}"/>
    <cellStyle name="AggOrange9 4 2 2 30" xfId="11674" xr:uid="{D597FB59-AFBA-41B1-8ED6-BA8525D77732}"/>
    <cellStyle name="AggOrange9 4 2 2 31" xfId="15474" xr:uid="{52BAEA7C-8098-487B-A66D-2907200B9083}"/>
    <cellStyle name="AggOrange9 4 2 2 32" xfId="15577" xr:uid="{2BE9C6BE-2D2F-4DAF-84D6-6A0AC044C490}"/>
    <cellStyle name="AggOrange9 4 2 2 33" xfId="16865" xr:uid="{B6CE4414-EDBA-4CC7-A757-A5EBBDC88B44}"/>
    <cellStyle name="AggOrange9 4 2 2 34" xfId="16300" xr:uid="{8C50BEF7-B7B7-42BB-801C-1A2BC5904D99}"/>
    <cellStyle name="AggOrange9 4 2 2 35" xfId="16503" xr:uid="{812D777A-2136-4B95-BC96-DF0DFEB7923B}"/>
    <cellStyle name="AggOrange9 4 2 2 36" xfId="16104" xr:uid="{5D5B16CE-17DA-422F-BFA5-CDEF2E619240}"/>
    <cellStyle name="AggOrange9 4 2 2 37" xfId="18683" xr:uid="{4BF1A208-9007-4993-9509-D1569CDB66E3}"/>
    <cellStyle name="AggOrange9 4 2 2 38" xfId="18856" xr:uid="{C6AF3C06-3CF1-4788-9D51-0A928532A2A0}"/>
    <cellStyle name="AggOrange9 4 2 2 39" xfId="17861" xr:uid="{40FCA688-D60A-48E3-8539-F540AE7696D8}"/>
    <cellStyle name="AggOrange9 4 2 2 4" xfId="2642" xr:uid="{45507269-3B8D-4D04-B86E-461041BCEAF7}"/>
    <cellStyle name="AggOrange9 4 2 2 40" xfId="20202" xr:uid="{560B45D5-2FDB-4241-926D-CC020676CC90}"/>
    <cellStyle name="AggOrange9 4 2 2 41" xfId="19471" xr:uid="{E0FC883C-62BA-4E03-8729-3BD2001A8988}"/>
    <cellStyle name="AggOrange9 4 2 2 42" xfId="19829" xr:uid="{361952D2-7CD8-44E5-B3CE-9F073CBAEF3F}"/>
    <cellStyle name="AggOrange9 4 2 2 43" xfId="21628" xr:uid="{00022C36-2090-403D-BF57-9AA0A3C3FC09}"/>
    <cellStyle name="AggOrange9 4 2 2 44" xfId="21469" xr:uid="{B5F3D975-0025-409C-A68E-56756AE95B38}"/>
    <cellStyle name="AggOrange9 4 2 2 45" xfId="20938" xr:uid="{BAEC268B-91E0-4911-9EF8-3FE4367D4801}"/>
    <cellStyle name="AggOrange9 4 2 2 46" xfId="22244" xr:uid="{4699DDDE-D89B-4E1B-90CB-1C4E7BEE64B8}"/>
    <cellStyle name="AggOrange9 4 2 2 47" xfId="23133" xr:uid="{CC38DBAD-A21C-47FE-9645-4C51CE20203F}"/>
    <cellStyle name="AggOrange9 4 2 2 48" xfId="23159" xr:uid="{B256073A-7C1D-45AD-8318-0E0BF90D4DDC}"/>
    <cellStyle name="AggOrange9 4 2 2 49" xfId="24002" xr:uid="{8470D0A0-5C04-4D33-BD1C-2DA2C808243F}"/>
    <cellStyle name="AggOrange9 4 2 2 5" xfId="1916" xr:uid="{313C86AC-5074-4B77-BA74-03BFCBC3CE16}"/>
    <cellStyle name="AggOrange9 4 2 2 50" xfId="24910" xr:uid="{B6C7FF9B-B63C-44B2-89FE-56682B263A18}"/>
    <cellStyle name="AggOrange9 4 2 2 51" xfId="24188" xr:uid="{936F502B-34C3-42FA-86B0-BB0961F18FA9}"/>
    <cellStyle name="AggOrange9 4 2 2 52" xfId="25826" xr:uid="{C953925A-7D88-4A36-B28B-4928FAA8D8D5}"/>
    <cellStyle name="AggOrange9 4 2 2 53" xfId="24098" xr:uid="{69EC2441-5A63-4DDC-8908-42C061C4011D}"/>
    <cellStyle name="AggOrange9 4 2 2 54" xfId="26543" xr:uid="{D8CC7F0B-6722-4D62-ABAE-7E3D2F19AAA1}"/>
    <cellStyle name="AggOrange9 4 2 2 55" xfId="27114" xr:uid="{A3E9E199-A425-4156-8CA3-1AD9E3FFC244}"/>
    <cellStyle name="AggOrange9 4 2 2 56" xfId="27533" xr:uid="{B4796773-B32C-48B6-82C9-6AE8030882AF}"/>
    <cellStyle name="AggOrange9 4 2 2 57" xfId="26998" xr:uid="{7D5266D9-A672-48BF-BCDC-2811A4DBD340}"/>
    <cellStyle name="AggOrange9 4 2 2 58" xfId="28660" xr:uid="{6A3E9AC9-66BD-4DD5-BF6E-2CB90CCA877F}"/>
    <cellStyle name="AggOrange9 4 2 2 59" xfId="29127" xr:uid="{0ABFB195-D12E-4A68-AE2A-552EA3A567AF}"/>
    <cellStyle name="AggOrange9 4 2 2 6" xfId="2063" xr:uid="{863CFD4D-6458-4B25-929A-27F865C09E30}"/>
    <cellStyle name="AggOrange9 4 2 2 60" xfId="28105" xr:uid="{49686E34-CEDE-45ED-B611-09C05BE72531}"/>
    <cellStyle name="AggOrange9 4 2 2 61" xfId="29916" xr:uid="{63C4E035-CD72-4449-88B1-4BB882F48FCF}"/>
    <cellStyle name="AggOrange9 4 2 2 62" xfId="30322" xr:uid="{47601666-4AAA-4530-A740-377CBDA7326C}"/>
    <cellStyle name="AggOrange9 4 2 2 63" xfId="30739" xr:uid="{B12E32F9-5810-4C0E-8078-D4A9EB7F58B7}"/>
    <cellStyle name="AggOrange9 4 2 2 64" xfId="28209" xr:uid="{9B576642-A4AC-4FDA-9859-F0E99FA9FECB}"/>
    <cellStyle name="AggOrange9 4 2 2 65" xfId="31355" xr:uid="{53B8B356-1925-4405-9679-F1477D6AAB30}"/>
    <cellStyle name="AggOrange9 4 2 2 66" xfId="32046" xr:uid="{105A11FF-3585-4865-A227-A517C54A2C89}"/>
    <cellStyle name="AggOrange9 4 2 2 67" xfId="32340" xr:uid="{EB3C07E4-0E77-436E-87EE-3F8F0002D655}"/>
    <cellStyle name="AggOrange9 4 2 2 7" xfId="4138" xr:uid="{06631451-FB26-4953-BEF0-4E2C5511DE40}"/>
    <cellStyle name="AggOrange9 4 2 2 8" xfId="4575" xr:uid="{E8259133-329C-4973-B7C4-32E0BD06C8D8}"/>
    <cellStyle name="AggOrange9 4 2 2 9" xfId="4813" xr:uid="{4D3DEDE1-25D3-4BDA-8349-C54311190133}"/>
    <cellStyle name="AggOrange9 4 2 20" xfId="9965" xr:uid="{CE98A7E2-CB2A-4B2B-87A3-F8DC2BBAF8BE}"/>
    <cellStyle name="AggOrange9 4 2 21" xfId="10393" xr:uid="{A0724F1E-7099-44AC-86C2-414B510076F1}"/>
    <cellStyle name="AggOrange9 4 2 22" xfId="10648" xr:uid="{E3EC6B74-6A03-4426-993C-B4F4B08D7316}"/>
    <cellStyle name="AggOrange9 4 2 23" xfId="11288" xr:uid="{83EBC24E-FA60-4A7F-BE3B-0C69DC0A0D9E}"/>
    <cellStyle name="AggOrange9 4 2 24" xfId="11958" xr:uid="{B70A5892-AF32-455B-BC39-555C5C1F5EE3}"/>
    <cellStyle name="AggOrange9 4 2 25" xfId="12431" xr:uid="{E8F80738-9E91-4BB1-ADB4-EA58877ED6B1}"/>
    <cellStyle name="AggOrange9 4 2 26" xfId="12865" xr:uid="{6AC7AA05-C0C7-4846-BF93-C978EDF7BD64}"/>
    <cellStyle name="AggOrange9 4 2 27" xfId="13302" xr:uid="{8285752A-967C-474D-87A1-2EDD15A3F6F2}"/>
    <cellStyle name="AggOrange9 4 2 28" xfId="13168" xr:uid="{8A44D87C-02FF-4BFC-8263-27BBE39BF4B4}"/>
    <cellStyle name="AggOrange9 4 2 29" xfId="13606" xr:uid="{8DFFCAB6-F958-4AD2-83EF-896FC91E4D31}"/>
    <cellStyle name="AggOrange9 4 2 3" xfId="1088" xr:uid="{C288C543-0466-4F5E-92C5-7B4A6948B82F}"/>
    <cellStyle name="AggOrange9 4 2 30" xfId="14598" xr:uid="{9411DF3F-4711-4EEE-A931-A1C5C8E9B911}"/>
    <cellStyle name="AggOrange9 4 2 31" xfId="14603" xr:uid="{5D211ED8-4523-4EB5-97BF-1E6682BF284E}"/>
    <cellStyle name="AggOrange9 4 2 32" xfId="15357" xr:uid="{2733A9B3-CF5D-446F-8E6E-5646547F558B}"/>
    <cellStyle name="AggOrange9 4 2 33" xfId="15835" xr:uid="{AD23EFA9-FB43-4D8E-83FE-A551537FB002}"/>
    <cellStyle name="AggOrange9 4 2 34" xfId="16650" xr:uid="{6EA5D757-9D12-445F-A500-1C9BF149A8B2}"/>
    <cellStyle name="AggOrange9 4 2 35" xfId="17080" xr:uid="{2834E8D3-A47B-4806-A992-BA688AF2825E}"/>
    <cellStyle name="AggOrange9 4 2 36" xfId="17527" xr:uid="{1D6A06DA-A523-4DEB-879B-07C39978689D}"/>
    <cellStyle name="AggOrange9 4 2 37" xfId="18240" xr:uid="{48FB417B-476B-44FE-97B9-DE3EE1083DDD}"/>
    <cellStyle name="AggOrange9 4 2 38" xfId="18468" xr:uid="{80498092-6F16-46A9-A430-58F45C0F44ED}"/>
    <cellStyle name="AggOrange9 4 2 39" xfId="19007" xr:uid="{4F506C35-AAB5-42C7-925A-CFE75CE35F48}"/>
    <cellStyle name="AggOrange9 4 2 4" xfId="1727" xr:uid="{C4E7B601-FC19-462A-B4CC-77AC0FD1E64C}"/>
    <cellStyle name="AggOrange9 4 2 40" xfId="18779" xr:uid="{7CE8D081-BEF1-409D-9496-F02D7CC83FF0}"/>
    <cellStyle name="AggOrange9 4 2 41" xfId="19987" xr:uid="{9910DBD2-EABF-4A17-93D3-09F6953F2F09}"/>
    <cellStyle name="AggOrange9 4 2 42" xfId="20433" xr:uid="{855C365A-1353-4029-BE1D-ABC0CF30A6E6}"/>
    <cellStyle name="AggOrange9 4 2 43" xfId="20885" xr:uid="{1BE461DF-C9E8-4543-B4D7-2BD8A69BD9E0}"/>
    <cellStyle name="AggOrange9 4 2 44" xfId="21314" xr:uid="{6578E812-BC45-4976-B403-3BB4C1ABDDCF}"/>
    <cellStyle name="AggOrange9 4 2 45" xfId="21817" xr:uid="{5E9CD326-8528-46A9-BB84-9255DF10BCDC}"/>
    <cellStyle name="AggOrange9 4 2 46" xfId="22251" xr:uid="{FC5EE32A-43F7-4DAA-A3E6-999F65ADD0D2}"/>
    <cellStyle name="AggOrange9 4 2 47" xfId="22294" xr:uid="{C1466276-CFB4-4E5E-81E5-D22AF7B8A10A}"/>
    <cellStyle name="AggOrange9 4 2 48" xfId="23289" xr:uid="{DD6F17D4-7C1E-4DC2-BE13-B674EB0A2D72}"/>
    <cellStyle name="AggOrange9 4 2 49" xfId="22939" xr:uid="{6252B50F-202F-4C4D-A3E3-EC320BD53D6C}"/>
    <cellStyle name="AggOrange9 4 2 5" xfId="2427" xr:uid="{E5616025-F3E0-4E4C-8D0F-1230D99B1D19}"/>
    <cellStyle name="AggOrange9 4 2 50" xfId="23796" xr:uid="{CE42CC6E-8627-4AFC-A79B-E7748436F397}"/>
    <cellStyle name="AggOrange9 4 2 51" xfId="24695" xr:uid="{9887E212-61B7-4247-AA94-0C795338412E}"/>
    <cellStyle name="AggOrange9 4 2 52" xfId="25140" xr:uid="{9BB8BAFB-DF99-40EA-B0C4-085E209B197B}"/>
    <cellStyle name="AggOrange9 4 2 53" xfId="25613" xr:uid="{023F10FD-74E8-4367-BB83-1C5592E7E14D}"/>
    <cellStyle name="AggOrange9 4 2 54" xfId="25480" xr:uid="{BCCC05C6-C15C-450C-9369-948EC5656943}"/>
    <cellStyle name="AggOrange9 4 2 55" xfId="24219" xr:uid="{5C4164CB-BB80-4C97-BF22-7601ABA74259}"/>
    <cellStyle name="AggOrange9 4 2 56" xfId="26903" xr:uid="{E555CF90-3DCB-4982-8DAA-101E020A7D69}"/>
    <cellStyle name="AggOrange9 4 2 57" xfId="27322" xr:uid="{E16B6537-7E05-4199-9FCF-AAE370FE5CCE}"/>
    <cellStyle name="AggOrange9 4 2 58" xfId="27741" xr:uid="{1FEE3E32-5976-4936-ACE9-FE0D023D634F}"/>
    <cellStyle name="AggOrange9 4 2 59" xfId="28445" xr:uid="{5D6A7DA7-B5FE-44F4-BBA9-973F5FB48FE9}"/>
    <cellStyle name="AggOrange9 4 2 6" xfId="2281" xr:uid="{71E0E1C2-C3E7-421F-BEC7-48212177AF4A}"/>
    <cellStyle name="AggOrange9 4 2 60" xfId="28913" xr:uid="{260052E0-87F7-462F-A73C-4D546C9E0992}"/>
    <cellStyle name="AggOrange9 4 2 61" xfId="29292" xr:uid="{B628D91D-16A8-409C-8924-03C669B0779D}"/>
    <cellStyle name="AggOrange9 4 2 62" xfId="29703" xr:uid="{95970219-8877-4CEF-8EC7-CC18C07EAEBB}"/>
    <cellStyle name="AggOrange9 4 2 63" xfId="30111" xr:uid="{A4CC8FD8-D3E7-42FD-8E2D-336AE6564220}"/>
    <cellStyle name="AggOrange9 4 2 64" xfId="30525" xr:uid="{4FFAE84E-2A71-400D-8444-35A342F18257}"/>
    <cellStyle name="AggOrange9 4 2 65" xfId="30968" xr:uid="{668471AE-8CC2-4A1F-9CCE-B49202BA7363}"/>
    <cellStyle name="AggOrange9 4 2 66" xfId="31149" xr:uid="{EE75FE80-C92B-45DA-B732-B606197248DE}"/>
    <cellStyle name="AggOrange9 4 2 67" xfId="31835" xr:uid="{A978F130-A999-4D05-B7F1-20F44CFDFA28}"/>
    <cellStyle name="AggOrange9 4 2 68" xfId="31553" xr:uid="{5703BCC8-B278-4E9C-B881-08F56177F096}"/>
    <cellStyle name="AggOrange9 4 2 7" xfId="3594" xr:uid="{9F1C657F-86B1-43EA-A4C9-0085407EA1FF}"/>
    <cellStyle name="AggOrange9 4 2 8" xfId="3923" xr:uid="{A680C7BF-384D-4FF6-8493-62D45AF9C04A}"/>
    <cellStyle name="AggOrange9 4 2 9" xfId="4361" xr:uid="{602F0361-D98F-4E85-8872-F478951514F2}"/>
    <cellStyle name="AggOrange9 4 20" xfId="8736" xr:uid="{64D2C463-088E-4693-9607-D8B871FC2588}"/>
    <cellStyle name="AggOrange9 4 21" xfId="9210" xr:uid="{AB8B1CB1-F9BD-489A-8CE0-4BCD80CBCC57}"/>
    <cellStyle name="AggOrange9 4 22" xfId="9855" xr:uid="{26D2D4EF-6EC5-4B4A-920D-0CDDF6F9E84D}"/>
    <cellStyle name="AggOrange9 4 23" xfId="10298" xr:uid="{310E2DD0-8886-4790-94F1-1D6CE01F87E2}"/>
    <cellStyle name="AggOrange9 4 24" xfId="10483" xr:uid="{59BFC937-6103-4F05-A87D-71A925CF89AB}"/>
    <cellStyle name="AggOrange9 4 25" xfId="11306" xr:uid="{3D9AD390-64EE-437B-8A68-6C1CB4C5E21F}"/>
    <cellStyle name="AggOrange9 4 26" xfId="11622" xr:uid="{4E414B9D-3B25-4D5E-A64A-7F149CB4207F}"/>
    <cellStyle name="AggOrange9 4 27" xfId="11480" xr:uid="{29389DF5-ECDB-4F2B-A6E8-65970D8E04A5}"/>
    <cellStyle name="AggOrange9 4 28" xfId="12524" xr:uid="{F1178DA6-1347-4837-BFC8-ED7E0B9B672D}"/>
    <cellStyle name="AggOrange9 4 29" xfId="11605" xr:uid="{B01225F9-7448-457C-A145-A0A1AD701525}"/>
    <cellStyle name="AggOrange9 4 3" xfId="550" xr:uid="{75A3D90F-29A3-4F41-8BF4-77ED2E06F35B}"/>
    <cellStyle name="AggOrange9 4 3 10" xfId="4920" xr:uid="{963EA5BD-068E-44F4-90F9-38410E4DF4FB}"/>
    <cellStyle name="AggOrange9 4 3 11" xfId="5198" xr:uid="{67E7AE27-603D-469E-AD07-93CCCCFA08C6}"/>
    <cellStyle name="AggOrange9 4 3 12" xfId="5637" xr:uid="{2EA88A1B-717D-4081-A12A-8FA96BA1B64D}"/>
    <cellStyle name="AggOrange9 4 3 13" xfId="5586" xr:uid="{FA1DC34F-458C-483B-B546-1AD45BD827FC}"/>
    <cellStyle name="AggOrange9 4 3 14" xfId="6520" xr:uid="{C37DAC68-2BDE-47FA-8179-6C72D5394060}"/>
    <cellStyle name="AggOrange9 4 3 15" xfId="7270" xr:uid="{E3FCEA55-A549-4D8F-B13D-92F0F07D31ED}"/>
    <cellStyle name="AggOrange9 4 3 16" xfId="6960" xr:uid="{05FBA6CD-4C1C-417D-BB86-1860DFB6D96B}"/>
    <cellStyle name="AggOrange9 4 3 17" xfId="6848" xr:uid="{E0BA7E8F-68EA-4E70-9115-6CB0C846035D}"/>
    <cellStyle name="AggOrange9 4 3 18" xfId="8732" xr:uid="{75F2573B-58C0-4638-A68E-80A7FF92722B}"/>
    <cellStyle name="AggOrange9 4 3 19" xfId="9484" xr:uid="{97371AE2-718B-49BD-97D6-BE7553F2E71D}"/>
    <cellStyle name="AggOrange9 4 3 2" xfId="765" xr:uid="{CA1ECDF8-CD70-448B-B773-B39D4D9ED5BE}"/>
    <cellStyle name="AggOrange9 4 3 2 10" xfId="5413" xr:uid="{48871EDF-B343-4897-BA90-B5A444E35B6C}"/>
    <cellStyle name="AggOrange9 4 3 2 11" xfId="5734" xr:uid="{B8780AF0-B414-4B65-BAF2-E7E65489F318}"/>
    <cellStyle name="AggOrange9 4 3 2 12" xfId="6041" xr:uid="{1857BF93-1BC0-4DCD-8156-1AE0C827F593}"/>
    <cellStyle name="AggOrange9 4 3 2 13" xfId="4902" xr:uid="{DC782CE3-0088-4C6C-BD4E-5BBC1C7F26DF}"/>
    <cellStyle name="AggOrange9 4 3 2 14" xfId="7485" xr:uid="{92DADD6D-11CE-4C1E-B650-ED79160AF36D}"/>
    <cellStyle name="AggOrange9 4 3 2 15" xfId="6962" xr:uid="{F276672E-4C81-48E3-BD8C-9E3C54FAD9F6}"/>
    <cellStyle name="AggOrange9 4 3 2 16" xfId="8357" xr:uid="{6FDA2E27-1171-4892-ACCC-FE288C0A37D3}"/>
    <cellStyle name="AggOrange9 4 3 2 17" xfId="8388" xr:uid="{F0F235C2-5558-4C01-ACE2-7185E4B61B8B}"/>
    <cellStyle name="AggOrange9 4 3 2 18" xfId="9699" xr:uid="{9DE7CBD3-88E2-40A7-9443-BFD79CD14151}"/>
    <cellStyle name="AggOrange9 4 3 2 19" xfId="9175" xr:uid="{1F49378A-F37E-4C1F-8404-7CDE9D806A30}"/>
    <cellStyle name="AggOrange9 4 3 2 2" xfId="1239" xr:uid="{FC6DCDF0-8E6E-4E09-9A8F-80B508832AFB}"/>
    <cellStyle name="AggOrange9 4 3 2 20" xfId="9151" xr:uid="{E7667728-82AF-4679-9C1D-E9901D3ED5F0}"/>
    <cellStyle name="AggOrange9 4 3 2 21" xfId="10694" xr:uid="{E191A022-5339-456A-849B-D7B2C7A9FF12}"/>
    <cellStyle name="AggOrange9 4 3 2 22" xfId="11190" xr:uid="{307B7525-8C77-49EA-BBEC-30998005AD17}"/>
    <cellStyle name="AggOrange9 4 3 2 23" xfId="12118" xr:uid="{5A118DD6-B6AB-4974-B8C2-2BB48406BB8A}"/>
    <cellStyle name="AggOrange9 4 3 2 24" xfId="12591" xr:uid="{4610BE91-7AF2-4DC6-AA5F-C9D3AC46F6D5}"/>
    <cellStyle name="AggOrange9 4 3 2 25" xfId="13025" xr:uid="{1F31C577-E553-49E3-ABA5-0019E3F262C7}"/>
    <cellStyle name="AggOrange9 4 3 2 26" xfId="13462" xr:uid="{1BC28903-E045-406E-817B-B69B6EF8E617}"/>
    <cellStyle name="AggOrange9 4 3 2 27" xfId="11399" xr:uid="{3130B009-C9BE-4301-A2FB-F47AB41246C7}"/>
    <cellStyle name="AggOrange9 4 3 2 28" xfId="11476" xr:uid="{EB89C2F8-207F-4D02-B4DF-5106A078422C}"/>
    <cellStyle name="AggOrange9 4 3 2 29" xfId="14072" xr:uid="{630D1DF0-664F-4158-A712-7F92B3DF54CC}"/>
    <cellStyle name="AggOrange9 4 3 2 3" xfId="1648" xr:uid="{3E51A010-C52F-465C-A376-78396AC042CF}"/>
    <cellStyle name="AggOrange9 4 3 2 30" xfId="14336" xr:uid="{C742091E-4D0F-4B00-93EC-9DDACC0581C5}"/>
    <cellStyle name="AggOrange9 4 3 2 31" xfId="15482" xr:uid="{6B0BB290-A75A-4788-A2F3-1F017FC03A3E}"/>
    <cellStyle name="AggOrange9 4 3 2 32" xfId="15634" xr:uid="{435E2A03-8BE9-4961-90E4-4968C057F7E4}"/>
    <cellStyle name="AggOrange9 4 3 2 33" xfId="16810" xr:uid="{11448BC4-3A80-4489-A235-E24322354746}"/>
    <cellStyle name="AggOrange9 4 3 2 34" xfId="16281" xr:uid="{BDAA79D4-7B4C-4467-9798-9C63077597A4}"/>
    <cellStyle name="AggOrange9 4 3 2 35" xfId="16136" xr:uid="{789DFF93-1A6E-4D5F-A87C-ABC38EBE7C5C}"/>
    <cellStyle name="AggOrange9 4 3 2 36" xfId="17452" xr:uid="{0EBB21CE-7D1D-4FD7-AA1A-B4F95C8CCCF2}"/>
    <cellStyle name="AggOrange9 4 3 2 37" xfId="18628" xr:uid="{300D7A9A-541D-479E-96CA-41CC14391FCA}"/>
    <cellStyle name="AggOrange9 4 3 2 38" xfId="18126" xr:uid="{C7CF4883-51FA-4645-BC28-89B511131164}"/>
    <cellStyle name="AggOrange9 4 3 2 39" xfId="18339" xr:uid="{C7BA0A70-4DA7-4174-A8A1-EFD54CB39B00}"/>
    <cellStyle name="AggOrange9 4 3 2 4" xfId="2587" xr:uid="{C6998C78-3FB4-40C0-91B1-AD1306039636}"/>
    <cellStyle name="AggOrange9 4 3 2 40" xfId="20147" xr:uid="{F9EF6FEB-62F2-40BE-8F91-6F807C4F28CE}"/>
    <cellStyle name="AggOrange9 4 3 2 41" xfId="19614" xr:uid="{8424964E-1794-48F3-A0DC-56CDC062633A}"/>
    <cellStyle name="AggOrange9 4 3 2 42" xfId="19605" xr:uid="{00C273A9-30B4-4F38-88E0-06616E788468}"/>
    <cellStyle name="AggOrange9 4 3 2 43" xfId="21039" xr:uid="{2E346561-89D2-4F1E-83EB-156487F4CD16}"/>
    <cellStyle name="AggOrange9 4 3 2 44" xfId="21502" xr:uid="{7ECF8D12-92EA-4FEC-95EC-C5D97D451EAB}"/>
    <cellStyle name="AggOrange9 4 3 2 45" xfId="21784" xr:uid="{1126895B-3EC4-45B1-925D-8661C4F88EBF}"/>
    <cellStyle name="AggOrange9 4 3 2 46" xfId="21805" xr:uid="{83BFA7C8-F2E8-4E3B-ACF1-12AD62A1E221}"/>
    <cellStyle name="AggOrange9 4 3 2 47" xfId="20503" xr:uid="{686A5BC1-A0BF-4323-8DAA-818511E7A9D8}"/>
    <cellStyle name="AggOrange9 4 3 2 48" xfId="23436" xr:uid="{B68A3192-97EB-462F-8001-73EC67920476}"/>
    <cellStyle name="AggOrange9 4 3 2 49" xfId="23947" xr:uid="{8E598D9B-C5A4-41DF-9214-2840B4CF176E}"/>
    <cellStyle name="AggOrange9 4 3 2 5" xfId="1822" xr:uid="{4FD0E5A1-946D-481E-BF50-12B75B328123}"/>
    <cellStyle name="AggOrange9 4 3 2 50" xfId="24855" xr:uid="{99B75B70-0226-4EF5-BAAB-89B9965FE81F}"/>
    <cellStyle name="AggOrange9 4 3 2 51" xfId="24242" xr:uid="{E0B770EB-F785-4B47-A465-163D3917F23B}"/>
    <cellStyle name="AggOrange9 4 3 2 52" xfId="25771" xr:uid="{15160DF5-1668-4FCB-A70A-3C0A9FA990DC}"/>
    <cellStyle name="AggOrange9 4 3 2 53" xfId="25915" xr:uid="{8AEC9ACB-BA48-4195-89D5-70191EF350A6}"/>
    <cellStyle name="AggOrange9 4 3 2 54" xfId="26423" xr:uid="{ABF1BCC1-C9B6-4ACD-82CF-3EA327A86BB7}"/>
    <cellStyle name="AggOrange9 4 3 2 55" xfId="27059" xr:uid="{6DDAB664-E8FA-421C-AD01-0B82889C4C0E}"/>
    <cellStyle name="AggOrange9 4 3 2 56" xfId="27478" xr:uid="{FAD9B763-E374-4798-AE70-2869AE7682E3}"/>
    <cellStyle name="AggOrange9 4 3 2 57" xfId="24317" xr:uid="{AA30F070-AD45-4C8D-8B1E-3915839BFC90}"/>
    <cellStyle name="AggOrange9 4 3 2 58" xfId="28605" xr:uid="{B44C1BEC-C971-4375-95CB-122067D64299}"/>
    <cellStyle name="AggOrange9 4 3 2 59" xfId="29072" xr:uid="{20A6FFD1-7E32-445F-AC3B-8678E628D113}"/>
    <cellStyle name="AggOrange9 4 3 2 6" xfId="2724" xr:uid="{1FDFF4C4-CB40-48C9-8F07-13437154149C}"/>
    <cellStyle name="AggOrange9 4 3 2 60" xfId="28064" xr:uid="{637ADA5D-E08A-480E-B709-25667A819BF8}"/>
    <cellStyle name="AggOrange9 4 3 2 61" xfId="29861" xr:uid="{36C6E1E9-18E6-4A4F-B63F-A8B8CEDF56BA}"/>
    <cellStyle name="AggOrange9 4 3 2 62" xfId="30267" xr:uid="{076407B9-51EB-4994-845B-D137174BAF41}"/>
    <cellStyle name="AggOrange9 4 3 2 63" xfId="30684" xr:uid="{50CC1EB7-3A6B-4280-A950-44EFF4EEF9CC}"/>
    <cellStyle name="AggOrange9 4 3 2 64" xfId="28051" xr:uid="{517DDB80-2844-4B75-A1A4-CEE3F830329F}"/>
    <cellStyle name="AggOrange9 4 3 2 65" xfId="31300" xr:uid="{34FF801E-FF5A-4CCB-AB5D-63801F61CF6A}"/>
    <cellStyle name="AggOrange9 4 3 2 66" xfId="31991" xr:uid="{3215788C-1B71-44B0-AF3B-2B67E634F0C9}"/>
    <cellStyle name="AggOrange9 4 3 2 67" xfId="32354" xr:uid="{B9AE442A-A825-41DD-9085-4CB0ECE06406}"/>
    <cellStyle name="AggOrange9 4 3 2 7" xfId="4083" xr:uid="{91A2F09E-B21A-45F4-A966-7896154D1C0E}"/>
    <cellStyle name="AggOrange9 4 3 2 8" xfId="4520" xr:uid="{6A2880A4-239D-4A14-8900-9195B16154AA}"/>
    <cellStyle name="AggOrange9 4 3 2 9" xfId="4454" xr:uid="{9EB85458-FE16-4298-AEF5-527381B1B362}"/>
    <cellStyle name="AggOrange9 4 3 20" xfId="9173" xr:uid="{5C2DA413-0F5C-4C66-9C51-C49FD8944163}"/>
    <cellStyle name="AggOrange9 4 3 21" xfId="8973" xr:uid="{E4C7351B-650C-4890-B170-913D87E2245E}"/>
    <cellStyle name="AggOrange9 4 3 22" xfId="10222" xr:uid="{04DB48A4-734C-45D2-91E5-ED66D8F35D0A}"/>
    <cellStyle name="AggOrange9 4 3 23" xfId="11128" xr:uid="{18B8147D-AFF9-4524-8AE8-216869CD97C7}"/>
    <cellStyle name="AggOrange9 4 3 24" xfId="11903" xr:uid="{C1AA24E6-66E8-4B8B-B6A0-882353A74FBF}"/>
    <cellStyle name="AggOrange9 4 3 25" xfId="12376" xr:uid="{A9183579-59BA-41B6-A836-48A114F16DD7}"/>
    <cellStyle name="AggOrange9 4 3 26" xfId="12810" xr:uid="{4761AB22-14BA-49C3-9C4B-7E423DE6A9FE}"/>
    <cellStyle name="AggOrange9 4 3 27" xfId="13247" xr:uid="{105437ED-2C7C-4524-AFD4-DA1FDAF0705E}"/>
    <cellStyle name="AggOrange9 4 3 28" xfId="12249" xr:uid="{EC325FF7-2E14-4E67-BCB6-310B57AC7F8D}"/>
    <cellStyle name="AggOrange9 4 3 29" xfId="14135" xr:uid="{A689D40F-C4C8-4129-BC34-BB94E15314F4}"/>
    <cellStyle name="AggOrange9 4 3 3" xfId="1033" xr:uid="{C7C36FD1-4794-4EFE-9487-2B08EF5398F9}"/>
    <cellStyle name="AggOrange9 4 3 30" xfId="14722" xr:uid="{F211E2EA-FB7E-44AA-BA64-559CC09A0EDF}"/>
    <cellStyle name="AggOrange9 4 3 31" xfId="15257" xr:uid="{7AAB7819-A7A2-49CC-B573-22FA52AD073B}"/>
    <cellStyle name="AggOrange9 4 3 32" xfId="15552" xr:uid="{167B3325-09B8-49AF-A003-EC041F424740}"/>
    <cellStyle name="AggOrange9 4 3 33" xfId="11400" xr:uid="{22379AB0-E5D2-44D6-B35F-938EE84C712F}"/>
    <cellStyle name="AggOrange9 4 3 34" xfId="16595" xr:uid="{9281A91F-6479-498B-9659-2AABA5970C8F}"/>
    <cellStyle name="AggOrange9 4 3 35" xfId="16279" xr:uid="{8E7C9881-B15D-4B4E-8ED7-636E7F78EBDF}"/>
    <cellStyle name="AggOrange9 4 3 36" xfId="16162" xr:uid="{77B4116A-A870-4FB4-A753-65E5972B86AE}"/>
    <cellStyle name="AggOrange9 4 3 37" xfId="17969" xr:uid="{A9B417EB-5E12-4000-8CF2-F6AF785714B7}"/>
    <cellStyle name="AggOrange9 4 3 38" xfId="18413" xr:uid="{E07E34FC-0D65-4382-AE0D-3C0D566AAFB6}"/>
    <cellStyle name="AggOrange9 4 3 39" xfId="18802" xr:uid="{1C7B9875-BC67-4A94-BF57-67936F00BF55}"/>
    <cellStyle name="AggOrange9 4 3 4" xfId="1456" xr:uid="{2ECD35EE-BA8C-49C3-B0E1-717B37E48AAA}"/>
    <cellStyle name="AggOrange9 4 3 40" xfId="17077" xr:uid="{06AF07AD-F051-41A2-BC6C-19637C4FAA62}"/>
    <cellStyle name="AggOrange9 4 3 41" xfId="19932" xr:uid="{14972848-99D6-49BB-A308-EAC8BFD7722A}"/>
    <cellStyle name="AggOrange9 4 3 42" xfId="19612" xr:uid="{61AF5BEC-126F-43C4-B04D-6886681C1C13}"/>
    <cellStyle name="AggOrange9 4 3 43" xfId="20543" xr:uid="{CB65300E-3D9C-4DF1-8053-54BE2C87F22C}"/>
    <cellStyle name="AggOrange9 4 3 44" xfId="20416" xr:uid="{77588E79-6418-444A-91B5-4678FC0D4833}"/>
    <cellStyle name="AggOrange9 4 3 45" xfId="19495" xr:uid="{4C1F4761-47D7-4968-80F3-782D30479BAE}"/>
    <cellStyle name="AggOrange9 4 3 46" xfId="21993" xr:uid="{367CCF08-4D8F-41E0-A14B-E1607823DB58}"/>
    <cellStyle name="AggOrange9 4 3 47" xfId="22194" xr:uid="{B8CE402F-661E-4EFA-9A78-856113D43792}"/>
    <cellStyle name="AggOrange9 4 3 48" xfId="23077" xr:uid="{5D3ABD66-FFA3-45DF-ADCE-A7969D853113}"/>
    <cellStyle name="AggOrange9 4 3 49" xfId="23432" xr:uid="{5447CFE2-4AA6-43BA-9424-26B38EA40D59}"/>
    <cellStyle name="AggOrange9 4 3 5" xfId="2372" xr:uid="{D82A7B88-5D4D-48D3-8B08-B54A19B11046}"/>
    <cellStyle name="AggOrange9 4 3 50" xfId="23741" xr:uid="{ACB20C98-440C-4B54-A137-1992F47286B5}"/>
    <cellStyle name="AggOrange9 4 3 51" xfId="24640" xr:uid="{492DA370-2ED6-4E0E-8767-4D29D6DD1068}"/>
    <cellStyle name="AggOrange9 4 3 52" xfId="24380" xr:uid="{22B62C12-1549-4563-BC80-F8ED904F0567}"/>
    <cellStyle name="AggOrange9 4 3 53" xfId="25558" xr:uid="{645CF2A6-DA45-4A61-BA66-817F1076C4DC}"/>
    <cellStyle name="AggOrange9 4 3 54" xfId="25430" xr:uid="{C5BF0C6A-33D3-4F9B-8132-EE54BCC23A80}"/>
    <cellStyle name="AggOrange9 4 3 55" xfId="26159" xr:uid="{C51776E8-06D9-47A6-A81D-E68C8AD8B9A8}"/>
    <cellStyle name="AggOrange9 4 3 56" xfId="26848" xr:uid="{A1B45116-0421-4472-9DD4-22A07FF7ECEB}"/>
    <cellStyle name="AggOrange9 4 3 57" xfId="27267" xr:uid="{B7699DC8-F2FE-40D2-82E4-C2AFAF712E8A}"/>
    <cellStyle name="AggOrange9 4 3 58" xfId="27763" xr:uid="{8BEE4B2A-3432-48D8-8044-DAD70A3A3E85}"/>
    <cellStyle name="AggOrange9 4 3 59" xfId="28390" xr:uid="{C27D9A47-2FB1-4078-B21C-5B36BFB4BEA9}"/>
    <cellStyle name="AggOrange9 4 3 6" xfId="1927" xr:uid="{E6BC8D25-3264-4797-BB85-F83B15E9A23D}"/>
    <cellStyle name="AggOrange9 4 3 60" xfId="28858" xr:uid="{D97E081D-09C5-4BB7-9EAE-285C20825C1D}"/>
    <cellStyle name="AggOrange9 4 3 61" xfId="28302" xr:uid="{BBE50F7D-4B5E-4A58-9E6A-EEF06FBA4F3C}"/>
    <cellStyle name="AggOrange9 4 3 62" xfId="29648" xr:uid="{836C7D60-6EF8-4F51-B4FA-0CE5D99627C1}"/>
    <cellStyle name="AggOrange9 4 3 63" xfId="30056" xr:uid="{D4C15300-D10D-4704-99F8-D1B0E3AC16E0}"/>
    <cellStyle name="AggOrange9 4 3 64" xfId="30470" xr:uid="{39B7229A-339C-4EE5-BDBC-4CFDA6C2704A}"/>
    <cellStyle name="AggOrange9 4 3 65" xfId="30951" xr:uid="{5E9C44E7-DD2A-48A6-BE99-212F29AA0690}"/>
    <cellStyle name="AggOrange9 4 3 66" xfId="31094" xr:uid="{0116FF38-068F-4A6B-B2BC-AE2DA1D6312D}"/>
    <cellStyle name="AggOrange9 4 3 67" xfId="31780" xr:uid="{6E8CDEBC-4A84-49F2-91D8-71330ABB1E1A}"/>
    <cellStyle name="AggOrange9 4 3 68" xfId="32231" xr:uid="{EAF8C42E-CFD3-4648-8B23-309E4F67AE80}"/>
    <cellStyle name="AggOrange9 4 3 7" xfId="1910" xr:uid="{8DA4AA6A-A0C0-4880-8A82-862C78CA17A3}"/>
    <cellStyle name="AggOrange9 4 3 8" xfId="3868" xr:uid="{11142174-9819-42BC-8598-EC0C6CA81656}"/>
    <cellStyle name="AggOrange9 4 3 9" xfId="4306" xr:uid="{EC3FDF1A-F88B-4F90-9C87-28A1E2AD7A6A}"/>
    <cellStyle name="AggOrange9 4 30" xfId="13746" xr:uid="{11DC4213-FAD0-44F6-8BE8-00FBFC4E4EC2}"/>
    <cellStyle name="AggOrange9 4 31" xfId="13169" xr:uid="{1AFCC467-FA85-44BB-8DD0-A66994627AC9}"/>
    <cellStyle name="AggOrange9 4 32" xfId="14233" xr:uid="{BC5415F7-EE74-4A04-A2F8-01D9560DCDFE}"/>
    <cellStyle name="AggOrange9 4 33" xfId="15192" xr:uid="{5A031D1A-033D-48BD-819D-58037935D276}"/>
    <cellStyle name="AggOrange9 4 34" xfId="15730" xr:uid="{24E05F66-198B-406B-845F-FE53D5A23909}"/>
    <cellStyle name="AggOrange9 4 35" xfId="15483" xr:uid="{2A1202F7-4155-47BA-9B0C-D64A20ABC496}"/>
    <cellStyle name="AggOrange9 4 36" xfId="16317" xr:uid="{90917186-20DB-4240-9A03-BFF234A56E9F}"/>
    <cellStyle name="AggOrange9 4 37" xfId="16971" xr:uid="{6DA5E42C-2631-467B-B35F-7BEA85712366}"/>
    <cellStyle name="AggOrange9 4 38" xfId="17422" xr:uid="{942BB0B3-AC5D-4749-BCAA-356C5C43D401}"/>
    <cellStyle name="AggOrange9 4 39" xfId="17818" xr:uid="{D919BA11-9683-40D7-8CDE-D53A6CF75525}"/>
    <cellStyle name="AggOrange9 4 4" xfId="596" xr:uid="{7B33F60E-248D-4227-B80D-2AFE44CEB7EF}"/>
    <cellStyle name="AggOrange9 4 4 10" xfId="2210" xr:uid="{F4067BA1-E0F0-4EBA-8E54-54E17AE8E1A2}"/>
    <cellStyle name="AggOrange9 4 4 11" xfId="5244" xr:uid="{B9773903-6171-4CF1-9D90-ACDB3A2DB83A}"/>
    <cellStyle name="AggOrange9 4 4 12" xfId="5985" xr:uid="{CCEC1FA3-81A9-4C50-8E07-A3B43FF27DDA}"/>
    <cellStyle name="AggOrange9 4 4 13" xfId="6349" xr:uid="{D4E50442-32CB-4393-9DA9-33C3705942D4}"/>
    <cellStyle name="AggOrange9 4 4 14" xfId="6430" xr:uid="{E84140F5-250D-43ED-B746-20E6BD033DE0}"/>
    <cellStyle name="AggOrange9 4 4 15" xfId="7316" xr:uid="{6B2B3379-041A-4444-B7FF-257D2ECF6EB6}"/>
    <cellStyle name="AggOrange9 4 4 16" xfId="7416" xr:uid="{6B722457-42D5-42D0-A591-5487E287B625}"/>
    <cellStyle name="AggOrange9 4 4 17" xfId="6767" xr:uid="{6E557AFA-9DE0-4231-9263-A2EAF8BD6710}"/>
    <cellStyle name="AggOrange9 4 4 18" xfId="8298" xr:uid="{11CE5950-B72A-4314-8AD3-A6CEF542262F}"/>
    <cellStyle name="AggOrange9 4 4 19" xfId="9530" xr:uid="{08EDE684-FB83-4344-A584-554989BA466A}"/>
    <cellStyle name="AggOrange9 4 4 2" xfId="811" xr:uid="{C269180F-39A6-4C77-9E44-20FF5D738C88}"/>
    <cellStyle name="AggOrange9 4 4 2 10" xfId="5459" xr:uid="{7F13BFD6-C5CF-4805-A962-F4E05532E2FB}"/>
    <cellStyle name="AggOrange9 4 4 2 11" xfId="5568" xr:uid="{3048DDCB-7917-4CD2-99AF-EDDDFB5254D1}"/>
    <cellStyle name="AggOrange9 4 4 2 12" xfId="5683" xr:uid="{8BE6DD0A-2515-4135-8C54-A0547E1A9895}"/>
    <cellStyle name="AggOrange9 4 4 2 13" xfId="6143" xr:uid="{A9F8736D-F4A2-40C5-A291-819AB64BEA05}"/>
    <cellStyle name="AggOrange9 4 4 2 14" xfId="7531" xr:uid="{E17A3E7D-2848-4071-B03F-E1217140F657}"/>
    <cellStyle name="AggOrange9 4 4 2 15" xfId="6928" xr:uid="{CC811194-A77B-4C26-A0D9-C401744D15A8}"/>
    <cellStyle name="AggOrange9 4 4 2 16" xfId="8450" xr:uid="{1604B2E2-F8C6-47E1-A3B0-BF9024C5283D}"/>
    <cellStyle name="AggOrange9 4 4 2 17" xfId="8870" xr:uid="{1F207A43-6A10-4A50-B9DF-31B4F3514275}"/>
    <cellStyle name="AggOrange9 4 4 2 18" xfId="9745" xr:uid="{0E001202-F070-48D0-A0C9-14A049FAFB7E}"/>
    <cellStyle name="AggOrange9 4 4 2 19" xfId="9141" xr:uid="{CFFAA265-5BC2-4A3A-839F-96E9A866922C}"/>
    <cellStyle name="AggOrange9 4 4 2 2" xfId="1285" xr:uid="{AE467267-8512-4584-8697-C92BC5B4C27B}"/>
    <cellStyle name="AggOrange9 4 4 2 20" xfId="10029" xr:uid="{79A87FCC-C913-4829-A77D-BF4B69193CB8}"/>
    <cellStyle name="AggOrange9 4 4 2 21" xfId="10700" xr:uid="{71E1E4DA-1656-4D71-B377-292C73CEE019}"/>
    <cellStyle name="AggOrange9 4 4 2 22" xfId="10430" xr:uid="{EDBF9F3C-F78F-477D-8984-A812435D0BAD}"/>
    <cellStyle name="AggOrange9 4 4 2 23" xfId="12164" xr:uid="{5FC73D75-CBEF-498F-A98F-D347E939C083}"/>
    <cellStyle name="AggOrange9 4 4 2 24" xfId="12637" xr:uid="{D04DD0FA-2F21-4291-AC83-BA1158242F8A}"/>
    <cellStyle name="AggOrange9 4 4 2 25" xfId="13071" xr:uid="{21B4DCA4-0A3E-411D-98E6-5CBFEF781DED}"/>
    <cellStyle name="AggOrange9 4 4 2 26" xfId="13508" xr:uid="{4245F649-B266-4110-8A76-D6214BEA0AB6}"/>
    <cellStyle name="AggOrange9 4 4 2 27" xfId="13616" xr:uid="{3E129FD2-098B-4F0C-B162-11DA0B0D55CD}"/>
    <cellStyle name="AggOrange9 4 4 2 28" xfId="11755" xr:uid="{C887F579-E678-4334-9904-57558C28E9D9}"/>
    <cellStyle name="AggOrange9 4 4 2 29" xfId="14144" xr:uid="{8272D276-5FF2-4528-B10B-DAACC3DEBB08}"/>
    <cellStyle name="AggOrange9 4 4 2 3" xfId="1478" xr:uid="{BDD5CEF5-BDCB-40C2-938A-C3E2695A5FCC}"/>
    <cellStyle name="AggOrange9 4 4 2 30" xfId="15005" xr:uid="{EF140341-0A0C-409C-BF99-7ACF3DDB4FC3}"/>
    <cellStyle name="AggOrange9 4 4 2 31" xfId="15551" xr:uid="{2760565A-85FE-498C-9FED-249C427E9E52}"/>
    <cellStyle name="AggOrange9 4 4 2 32" xfId="15725" xr:uid="{E3909823-D330-4C14-990F-CB747D66CC8F}"/>
    <cellStyle name="AggOrange9 4 4 2 33" xfId="16856" xr:uid="{F873487C-5F0A-4D67-B6B0-0CF90A2E88C6}"/>
    <cellStyle name="AggOrange9 4 4 2 34" xfId="16245" xr:uid="{5586C379-3ED1-4E42-A86D-BDE1D48B5CCB}"/>
    <cellStyle name="AggOrange9 4 4 2 35" xfId="17146" xr:uid="{DD3090C3-DADE-4541-A8B6-5DE124EC7016}"/>
    <cellStyle name="AggOrange9 4 4 2 36" xfId="16339" xr:uid="{D138F2A6-F3B4-4083-BF13-0E3E45D207F0}"/>
    <cellStyle name="AggOrange9 4 4 2 37" xfId="18674" xr:uid="{4A601D52-47AA-40E9-8FD4-1B6B4AFF3477}"/>
    <cellStyle name="AggOrange9 4 4 2 38" xfId="18981" xr:uid="{AE082344-20A0-41A0-BF51-641C702ADA27}"/>
    <cellStyle name="AggOrange9 4 4 2 39" xfId="19172" xr:uid="{711ECED7-649D-4564-B079-0A2579F6ED13}"/>
    <cellStyle name="AggOrange9 4 4 2 4" xfId="2633" xr:uid="{20E95111-C487-4257-B85E-8CE9DFBE0202}"/>
    <cellStyle name="AggOrange9 4 4 2 40" xfId="20193" xr:uid="{68D8A2A8-17EB-4301-AF43-6CB1D4163816}"/>
    <cellStyle name="AggOrange9 4 4 2 41" xfId="19578" xr:uid="{70A3094E-16C4-4CB0-98A6-D9C6C3826472}"/>
    <cellStyle name="AggOrange9 4 4 2 42" xfId="20398" xr:uid="{F7DAB4E5-875A-4E3E-BECB-62178346F6D9}"/>
    <cellStyle name="AggOrange9 4 4 2 43" xfId="21643" xr:uid="{3D2EC094-DA6D-4118-8B33-19CD14C1BA7A}"/>
    <cellStyle name="AggOrange9 4 4 2 44" xfId="21620" xr:uid="{145A76FA-F641-4711-B043-F8B295199396}"/>
    <cellStyle name="AggOrange9 4 4 2 45" xfId="21573" xr:uid="{9E99F0C0-5F14-44CF-90AF-4E3655E5FCBF}"/>
    <cellStyle name="AggOrange9 4 4 2 46" xfId="22625" xr:uid="{5C287899-008B-4C8E-9EE5-99CF55817B6C}"/>
    <cellStyle name="AggOrange9 4 4 2 47" xfId="23268" xr:uid="{4F303A0F-186F-480E-ABFA-F56F06C4A5B0}"/>
    <cellStyle name="AggOrange9 4 4 2 48" xfId="22434" xr:uid="{DA28DA09-B9DC-420C-80D2-A41D430FB4AB}"/>
    <cellStyle name="AggOrange9 4 4 2 49" xfId="23993" xr:uid="{62801DE1-4961-43F4-B212-6F05B578B351}"/>
    <cellStyle name="AggOrange9 4 4 2 5" xfId="2783" xr:uid="{FDA8F18D-DCD1-4FFC-AC8F-E7BDBD65108C}"/>
    <cellStyle name="AggOrange9 4 4 2 50" xfId="24901" xr:uid="{A9E872C3-1BA3-4833-B001-35438D205F62}"/>
    <cellStyle name="AggOrange9 4 4 2 51" xfId="24246" xr:uid="{81FF20E1-89FC-4C64-B640-D9EC0D17FEA4}"/>
    <cellStyle name="AggOrange9 4 4 2 52" xfId="25817" xr:uid="{7FEAFF2E-C3E0-4A4D-B1AE-5657261B1F9B}"/>
    <cellStyle name="AggOrange9 4 4 2 53" xfId="25202" xr:uid="{C94154BD-D0EF-4059-A356-44BC8BF96062}"/>
    <cellStyle name="AggOrange9 4 4 2 54" xfId="26044" xr:uid="{29D3F31D-19F5-4D10-8953-4CD53738D650}"/>
    <cellStyle name="AggOrange9 4 4 2 55" xfId="27105" xr:uid="{AA2F558C-EA58-4E06-B894-9AE483F04C44}"/>
    <cellStyle name="AggOrange9 4 4 2 56" xfId="27524" xr:uid="{EC47B5DE-18E7-4231-8311-CA7760EA9023}"/>
    <cellStyle name="AggOrange9 4 4 2 57" xfId="26216" xr:uid="{80987AA8-ED50-437F-B705-D8399472B5DF}"/>
    <cellStyle name="AggOrange9 4 4 2 58" xfId="28651" xr:uid="{0CE11147-0975-426F-ABB6-A2F464C7066B}"/>
    <cellStyle name="AggOrange9 4 4 2 59" xfId="29118" xr:uid="{084D7E2A-B2CE-46B7-88AD-78D311CDD000}"/>
    <cellStyle name="AggOrange9 4 4 2 6" xfId="2150" xr:uid="{66FF079D-D690-4025-A9F7-0514B97CA828}"/>
    <cellStyle name="AggOrange9 4 4 2 60" xfId="28294" xr:uid="{EC59B846-F396-4916-912F-CEFBF88A5F9C}"/>
    <cellStyle name="AggOrange9 4 4 2 61" xfId="29907" xr:uid="{D269143A-9857-4C24-A06F-926219553256}"/>
    <cellStyle name="AggOrange9 4 4 2 62" xfId="30313" xr:uid="{FBAECC1D-B999-43CC-AF10-281FF1DAB8A5}"/>
    <cellStyle name="AggOrange9 4 4 2 63" xfId="30730" xr:uid="{9286A1AB-A274-45E8-885C-F8F4D03EB85A}"/>
    <cellStyle name="AggOrange9 4 4 2 64" xfId="29218" xr:uid="{05016218-60C4-4F52-9F61-45735B5A839C}"/>
    <cellStyle name="AggOrange9 4 4 2 65" xfId="31346" xr:uid="{CAE16F39-7305-4F5E-8B62-F2487591EE88}"/>
    <cellStyle name="AggOrange9 4 4 2 66" xfId="32037" xr:uid="{23B2F924-E34A-4C80-8AD4-F3D5218DC403}"/>
    <cellStyle name="AggOrange9 4 4 2 67" xfId="31647" xr:uid="{09F55E44-D12E-431C-BB4C-E164D5D11B90}"/>
    <cellStyle name="AggOrange9 4 4 2 7" xfId="4129" xr:uid="{4EE82F5F-C2B9-4AED-AA94-888801FC884C}"/>
    <cellStyle name="AggOrange9 4 4 2 8" xfId="4566" xr:uid="{C158A81D-2908-401D-85B1-E74C22DAF52B}"/>
    <cellStyle name="AggOrange9 4 4 2 9" xfId="2146" xr:uid="{0C20B0FE-69EE-4295-9ECE-38617765147F}"/>
    <cellStyle name="AggOrange9 4 4 20" xfId="9352" xr:uid="{837906D7-41AC-4AFF-9628-A5EFC6DDFA14}"/>
    <cellStyle name="AggOrange9 4 4 21" xfId="9967" xr:uid="{E86A04E5-E380-4D6F-974F-2E7D8F0F22D9}"/>
    <cellStyle name="AggOrange9 4 4 22" xfId="10092" xr:uid="{B0D74CBE-037D-47D1-B737-29D63B275172}"/>
    <cellStyle name="AggOrange9 4 4 23" xfId="11046" xr:uid="{DC41702F-5B75-44DF-B375-6883ADB471F0}"/>
    <cellStyle name="AggOrange9 4 4 24" xfId="11949" xr:uid="{7C552654-037E-4A4B-82D3-847609C0C423}"/>
    <cellStyle name="AggOrange9 4 4 25" xfId="12422" xr:uid="{51D73252-CB21-4088-920F-49059A2E7884}"/>
    <cellStyle name="AggOrange9 4 4 26" xfId="12856" xr:uid="{211C180A-B9EF-4FAE-8141-4D4B62C9809C}"/>
    <cellStyle name="AggOrange9 4 4 27" xfId="13293" xr:uid="{0E7DCE0C-EDFC-4CBB-B210-AD006A9609F1}"/>
    <cellStyle name="AggOrange9 4 4 28" xfId="11446" xr:uid="{843554A9-7D45-4FBF-B8BA-53576F52EB7A}"/>
    <cellStyle name="AggOrange9 4 4 29" xfId="13829" xr:uid="{F7885968-3567-4E38-9636-C4447E142740}"/>
    <cellStyle name="AggOrange9 4 4 3" xfId="1079" xr:uid="{C55640FF-311C-406F-8E0E-B09E0DF06539}"/>
    <cellStyle name="AggOrange9 4 4 30" xfId="14574" xr:uid="{9CE10C70-3816-4D5E-B0F5-4DDBBE421CF9}"/>
    <cellStyle name="AggOrange9 4 4 31" xfId="15364" xr:uid="{EFC4C9C6-19EC-4267-91CF-688081C306F1}"/>
    <cellStyle name="AggOrange9 4 4 32" xfId="14802" xr:uid="{03F84BB7-3C13-4C8D-9ECA-114FA13A6C38}"/>
    <cellStyle name="AggOrange9 4 4 33" xfId="15755" xr:uid="{D6198FE7-894D-4147-B904-E9C25A2C5A12}"/>
    <cellStyle name="AggOrange9 4 4 34" xfId="16641" xr:uid="{53146CF1-9C5A-47CF-936F-F29B49CEC0A6}"/>
    <cellStyle name="AggOrange9 4 4 35" xfId="16741" xr:uid="{CF850879-AD1A-482B-AB83-4B89562676B3}"/>
    <cellStyle name="AggOrange9 4 4 36" xfId="17091" xr:uid="{B78C0F24-DD10-4AC0-8753-694234716A2B}"/>
    <cellStyle name="AggOrange9 4 4 37" xfId="18097" xr:uid="{505E72F7-9457-405D-8DC2-6794DC4AAE03}"/>
    <cellStyle name="AggOrange9 4 4 38" xfId="18459" xr:uid="{1DFA6524-13D4-4046-806F-7B6DCBD3A25D}"/>
    <cellStyle name="AggOrange9 4 4 39" xfId="18174" xr:uid="{912A73A9-71F4-4391-B284-14CEB565F121}"/>
    <cellStyle name="AggOrange9 4 4 4" xfId="1581" xr:uid="{1A415F67-EABB-4A83-A877-C1B90E87D85A}"/>
    <cellStyle name="AggOrange9 4 4 40" xfId="18760" xr:uid="{6BF6074F-6E29-43B8-96BE-34AABB14AB83}"/>
    <cellStyle name="AggOrange9 4 4 41" xfId="19978" xr:uid="{D8FAE3FE-4CDF-4385-AB7A-DC9155927FEC}"/>
    <cellStyle name="AggOrange9 4 4 42" xfId="19793" xr:uid="{A4180781-8223-4BB6-8ADB-916A46FEF5C7}"/>
    <cellStyle name="AggOrange9 4 4 43" xfId="19413" xr:uid="{7AAD076E-CF4B-47AC-BF8C-E6AC7834007D}"/>
    <cellStyle name="AggOrange9 4 4 44" xfId="21037" xr:uid="{B53973E2-313D-4363-ACE9-1BD1ACDF0936}"/>
    <cellStyle name="AggOrange9 4 4 45" xfId="20910" xr:uid="{C0C04256-A9DB-46FA-A1BE-60C9C5158A20}"/>
    <cellStyle name="AggOrange9 4 4 46" xfId="21932" xr:uid="{81D20D4D-A7F4-420B-9197-B0F1D3687251}"/>
    <cellStyle name="AggOrange9 4 4 47" xfId="22272" xr:uid="{9C010C5C-5D94-4584-A15F-9D2813B3700B}"/>
    <cellStyle name="AggOrange9 4 4 48" xfId="22258" xr:uid="{431A8C82-F747-4D7E-A6E1-E260832B2F31}"/>
    <cellStyle name="AggOrange9 4 4 49" xfId="22246" xr:uid="{EDD33486-E70C-4141-94E0-41BBA44F2076}"/>
    <cellStyle name="AggOrange9 4 4 5" xfId="2418" xr:uid="{8340755A-D099-4B0E-8EF8-598E2CC21A1A}"/>
    <cellStyle name="AggOrange9 4 4 50" xfId="23787" xr:uid="{0639355C-6FAE-4BD5-B008-D603BF65D808}"/>
    <cellStyle name="AggOrange9 4 4 51" xfId="24686" xr:uid="{26AC7C81-D7B7-4D27-9FB3-3DC198A169A0}"/>
    <cellStyle name="AggOrange9 4 4 52" xfId="24222" xr:uid="{3CFEB1D8-43E8-441A-9051-8CC91B85E731}"/>
    <cellStyle name="AggOrange9 4 4 53" xfId="25604" xr:uid="{EAFFEACD-5824-4402-B0CE-7B0D00AF3347}"/>
    <cellStyle name="AggOrange9 4 4 54" xfId="25336" xr:uid="{1BB86C51-10C4-4123-AD09-720587FFB525}"/>
    <cellStyle name="AggOrange9 4 4 55" xfId="26020" xr:uid="{87C6C1CB-A001-4182-BBBB-4947C3B16505}"/>
    <cellStyle name="AggOrange9 4 4 56" xfId="26894" xr:uid="{56D92A40-CEFF-4BE6-90F1-77B85CF2B2A3}"/>
    <cellStyle name="AggOrange9 4 4 57" xfId="27313" xr:uid="{6BB5A0E9-DF22-49C4-9B9D-34B2C1E2CE44}"/>
    <cellStyle name="AggOrange9 4 4 58" xfId="26492" xr:uid="{9C8ACF66-770F-4325-ABCA-58798FF627A5}"/>
    <cellStyle name="AggOrange9 4 4 59" xfId="28436" xr:uid="{89F2BC2A-8E80-457A-9898-CF4EB6934981}"/>
    <cellStyle name="AggOrange9 4 4 6" xfId="1938" xr:uid="{ACF3C77E-734C-4221-94E2-BD0BFD2BEE81}"/>
    <cellStyle name="AggOrange9 4 4 60" xfId="28904" xr:uid="{B79FB5B7-BA2B-42B1-8497-DB2DEE8153FA}"/>
    <cellStyle name="AggOrange9 4 4 61" xfId="27951" xr:uid="{1928DB2F-246A-4837-8D70-2342CD113B51}"/>
    <cellStyle name="AggOrange9 4 4 62" xfId="29694" xr:uid="{09CA691B-0224-40DE-9BF1-5CCF2C2CD50D}"/>
    <cellStyle name="AggOrange9 4 4 63" xfId="30102" xr:uid="{1ACA1CCF-3169-4522-B5D1-02A1ECD11A8D}"/>
    <cellStyle name="AggOrange9 4 4 64" xfId="30516" xr:uid="{AF45982E-B5F7-4B62-B90E-F0D8E3578869}"/>
    <cellStyle name="AggOrange9 4 4 65" xfId="30966" xr:uid="{5FCAC689-BACA-4635-920F-61BC7700ACBE}"/>
    <cellStyle name="AggOrange9 4 4 66" xfId="31140" xr:uid="{4A5FC649-CEA6-41A5-AF0E-748F8279F063}"/>
    <cellStyle name="AggOrange9 4 4 67" xfId="31826" xr:uid="{AE93A19D-F6AC-4DD9-A795-EB0480A03A9C}"/>
    <cellStyle name="AggOrange9 4 4 68" xfId="32264" xr:uid="{84312032-0C3D-41D3-8E79-4FB9EC8B4738}"/>
    <cellStyle name="AggOrange9 4 4 7" xfId="3290" xr:uid="{44D9FB08-4028-4C2C-A961-DDE44268A92F}"/>
    <cellStyle name="AggOrange9 4 4 8" xfId="3914" xr:uid="{68A0BFDC-9CDD-4EA2-9190-D9301EC2F37A}"/>
    <cellStyle name="AggOrange9 4 4 9" xfId="4352" xr:uid="{E8C4FF03-3633-4AD2-A81B-A73D23D8515E}"/>
    <cellStyle name="AggOrange9 4 40" xfId="17970" xr:uid="{A9C5D530-65B9-476F-9531-9C9C578B0AEA}"/>
    <cellStyle name="AggOrange9 4 41" xfId="18845" xr:uid="{C7130523-6320-4492-AD4D-30F4431BB7EC}"/>
    <cellStyle name="AggOrange9 4 42" xfId="18912" xr:uid="{39B10BA0-3123-48F4-A9E1-068EE1D88014}"/>
    <cellStyle name="AggOrange9 4 43" xfId="19650" xr:uid="{6FFC3A34-918B-4B0F-AEDF-7D867DF189E6}"/>
    <cellStyle name="AggOrange9 4 44" xfId="20318" xr:uid="{33466BD7-81C5-42FD-B607-2CD62410A7B7}"/>
    <cellStyle name="AggOrange9 4 45" xfId="20774" xr:uid="{8FAD9C25-94C8-4AD3-806C-F4922C25C980}"/>
    <cellStyle name="AggOrange9 4 46" xfId="19883" xr:uid="{786C9BE1-5270-47BE-A067-A092C6CBF840}"/>
    <cellStyle name="AggOrange9 4 47" xfId="21400" xr:uid="{4964CBF0-1881-41B0-B380-DD6DE19E23AE}"/>
    <cellStyle name="AggOrange9 4 48" xfId="21259" xr:uid="{23DDB7C4-6FF4-42C4-ACA2-329A421A201D}"/>
    <cellStyle name="AggOrange9 4 49" xfId="22741" xr:uid="{B47D5BD2-ECA5-47AB-9684-D8E120273775}"/>
    <cellStyle name="AggOrange9 4 5" xfId="943" xr:uid="{2697D08C-3864-47F5-8CD7-50A7CE080E92}"/>
    <cellStyle name="AggOrange9 4 50" xfId="23121" xr:uid="{15BE6040-DCE5-477C-AABB-42FCCE8FE73D}"/>
    <cellStyle name="AggOrange9 4 51" xfId="23555" xr:uid="{3FA6B080-5524-445A-BCBB-915AE98C3721}"/>
    <cellStyle name="AggOrange9 4 52" xfId="23657" xr:uid="{FDC9D598-ABD1-4416-B8D7-113E2F09D62F}"/>
    <cellStyle name="AggOrange9 4 53" xfId="24370" xr:uid="{CE7235AA-DBB9-4A50-A42C-76B39C260CA4}"/>
    <cellStyle name="AggOrange9 4 54" xfId="24207" xr:uid="{E6B32460-3955-4F99-9BD8-123535EA4C1C}"/>
    <cellStyle name="AggOrange9 4 55" xfId="25172" xr:uid="{1AA2F440-26B1-44F0-A3D1-F0CE6772F4F8}"/>
    <cellStyle name="AggOrange9 4 56" xfId="24295" xr:uid="{2EE0FB35-D8FA-42E4-BE02-C6F0B93D5E8D}"/>
    <cellStyle name="AggOrange9 4 57" xfId="26345" xr:uid="{DE53D8FF-1EA8-4AD2-B340-AED61292A97C}"/>
    <cellStyle name="AggOrange9 4 58" xfId="26710" xr:uid="{6A230D1B-CB02-4484-BB82-8FFAE92D31BC}"/>
    <cellStyle name="AggOrange9 4 59" xfId="25494" xr:uid="{B9463467-9DC4-4063-9345-13C31F6FFACC}"/>
    <cellStyle name="AggOrange9 4 6" xfId="1590" xr:uid="{6A10806A-96B6-4F38-9F87-53E02B52EC45}"/>
    <cellStyle name="AggOrange9 4 60" xfId="26379" xr:uid="{76763C4C-8BF3-4CCD-83F4-12962D6EFDC8}"/>
    <cellStyle name="AggOrange9 4 61" xfId="28141" xr:uid="{1553C4E3-5EEE-4BFB-9DBF-5A4EF5B09CA6}"/>
    <cellStyle name="AggOrange9 4 62" xfId="28015" xr:uid="{61085557-82CC-49BE-9F85-46FDB999AEDD}"/>
    <cellStyle name="AggOrange9 4 63" xfId="28052" xr:uid="{5E54EAD9-455F-4F07-B8B5-EA79E5080D16}"/>
    <cellStyle name="AggOrange9 4 64" xfId="29535" xr:uid="{A9AC7526-8877-4C69-9E5C-20210BAEE4FB}"/>
    <cellStyle name="AggOrange9 4 65" xfId="29795" xr:uid="{E936EB2F-3DEE-4070-A523-AC7F0479BB2D}"/>
    <cellStyle name="AggOrange9 4 66" xfId="28235" xr:uid="{433E2230-19F4-4B17-A73B-48E6CA0233CD}"/>
    <cellStyle name="AggOrange9 4 67" xfId="28770" xr:uid="{89821E9D-2497-462E-BE9A-633E64104E9E}"/>
    <cellStyle name="AggOrange9 4 68" xfId="28076" xr:uid="{E7F7050C-D885-4530-BD00-4BE40AEBF071}"/>
    <cellStyle name="AggOrange9 4 69" xfId="31593" xr:uid="{EAB8906E-6129-4797-AB7C-2BB6BA11FE6A}"/>
    <cellStyle name="AggOrange9 4 7" xfId="2090" xr:uid="{9F98C779-4494-4C14-94DE-852E09FA8FD9}"/>
    <cellStyle name="AggOrange9 4 70" xfId="31695" xr:uid="{AC6DA117-9A4E-4628-A211-38967287263A}"/>
    <cellStyle name="AggOrange9 4 8" xfId="2911" xr:uid="{C8B24781-C1FA-44DC-85A1-C38BB197E988}"/>
    <cellStyle name="AggOrange9 4 9" xfId="3612" xr:uid="{776394EF-0CEB-40D4-BCB4-971F90AD0A13}"/>
    <cellStyle name="AggOrange9 5" xfId="69" xr:uid="{FC7CD900-2D58-4E90-B9B5-2048B46E06D5}"/>
    <cellStyle name="AggOrange9 5 10" xfId="16121" xr:uid="{58C4EDEB-EEF9-4D68-87A2-03EC98F1D9A4}"/>
    <cellStyle name="AggOrange9 5 11" xfId="18354" xr:uid="{7E580E63-E973-43A8-8E08-B20EE4B5228D}"/>
    <cellStyle name="AggOrange9 5 12" xfId="19454" xr:uid="{850FBC89-297A-48B5-869B-F026F2D0C622}"/>
    <cellStyle name="AggOrange9 5 13" xfId="22363" xr:uid="{CE47602D-D3C5-43B0-9913-A886FE2E5F8F}"/>
    <cellStyle name="AggOrange9 5 14" xfId="24175" xr:uid="{985183C8-72AC-4C7F-9370-6D82E64F37C0}"/>
    <cellStyle name="AggOrange9 5 15" xfId="26134" xr:uid="{FB1D3889-DE31-4150-A329-E1FA4A05793E}"/>
    <cellStyle name="AggOrange9 5 16" xfId="27968" xr:uid="{06735F70-B4F7-4B62-AAF2-4035AB77E3F6}"/>
    <cellStyle name="AggOrange9 5 17" xfId="31483" xr:uid="{6B4869B8-4BF0-4C93-B34C-430CBAAC1F82}"/>
    <cellStyle name="AggOrange9 5 2" xfId="916" xr:uid="{E8C92826-2960-4A85-B1EB-0F51F4A151BB}"/>
    <cellStyle name="AggOrange9 5 3" xfId="1898" xr:uid="{58BDF84B-BA61-4966-919A-3B9ECA028B6E}"/>
    <cellStyle name="AggOrange9 5 4" xfId="3465" xr:uid="{08E8ECC3-C724-48B9-8447-249E64D083C7}"/>
    <cellStyle name="AggOrange9 5 5" xfId="3372" xr:uid="{D7AA9822-342B-45A2-B429-5DE41266BFDA}"/>
    <cellStyle name="AggOrange9 5 6" xfId="6810" xr:uid="{8F6DA5A3-C003-48FF-BDB1-3C6A5BA55B56}"/>
    <cellStyle name="AggOrange9 5 7" xfId="8645" xr:uid="{AFB959AB-12EB-430D-9E7E-D447609DE8D2}"/>
    <cellStyle name="AggOrange9 5 8" xfId="9024" xr:uid="{660B4413-A586-46A7-A3E3-ECB1D0A0EAB5}"/>
    <cellStyle name="AggOrange9 5 9" xfId="11429" xr:uid="{02D6C0BB-3E42-4AFD-98D9-E334C7A51A0C}"/>
    <cellStyle name="AggOrangeLB_2x" xfId="28" xr:uid="{CC991F6A-F108-4DC1-A1A4-83BD1C3785D5}"/>
    <cellStyle name="AggOrangeLBorder" xfId="30" xr:uid="{8D130D96-ED23-4673-8CFE-2D02F908505E}"/>
    <cellStyle name="AggOrangeLBorder 2" xfId="118" xr:uid="{A47EB40F-5715-43A7-9A42-54800B57DDB3}"/>
    <cellStyle name="AggOrangeLBorder 2 2" xfId="411" xr:uid="{752D987F-3B32-462D-BD06-8572576B875A}"/>
    <cellStyle name="AggOrangeLBorder 2 2 2" xfId="3714" xr:uid="{87F82221-2E80-4123-B0BD-B783CD9643F1}"/>
    <cellStyle name="AggOrangeLBorder 2 2 3" xfId="16985" xr:uid="{F5D7F3C0-7BEB-4A82-9217-B239D72CED51}"/>
    <cellStyle name="AggOrangeLBorder 2 3" xfId="269" xr:uid="{2F4F0801-1BB3-46C9-8F7A-19C3806E2C03}"/>
    <cellStyle name="AggOrangeLBorder 2 3 10" xfId="3713" xr:uid="{18D76BD4-3D4A-4529-B9AE-81A99A367ED1}"/>
    <cellStyle name="AggOrangeLBorder 2 3 11" xfId="3368" xr:uid="{D3B17B85-9546-4641-BC0F-6E09C394F902}"/>
    <cellStyle name="AggOrangeLBorder 2 3 12" xfId="3565" xr:uid="{A7297F5A-36AD-47AF-B6C9-CD6B47AB47C7}"/>
    <cellStyle name="AggOrangeLBorder 2 3 13" xfId="3145" xr:uid="{07751F24-5FA4-40FF-AC67-71F2391DE6CC}"/>
    <cellStyle name="AggOrangeLBorder 2 3 14" xfId="4709" xr:uid="{33F749A1-1D16-4417-82F8-84924BA3B33B}"/>
    <cellStyle name="AggOrangeLBorder 2 3 15" xfId="4812" xr:uid="{3EFBBD1E-13BF-4843-96A7-01062E11CED4}"/>
    <cellStyle name="AggOrangeLBorder 2 3 16" xfId="6125" xr:uid="{EE8756B8-8790-4A12-AA38-30D2F362A45B}"/>
    <cellStyle name="AggOrangeLBorder 2 3 17" xfId="2927" xr:uid="{50521C4F-A5A4-4B7C-A976-7BA13F72F3DF}"/>
    <cellStyle name="AggOrangeLBorder 2 3 18" xfId="6999" xr:uid="{C823CD1A-84C6-423E-9D63-EF13FCDB0ACE}"/>
    <cellStyle name="AggOrangeLBorder 2 3 19" xfId="7644" xr:uid="{6F097394-065B-4C3F-9946-060B5740DF4F}"/>
    <cellStyle name="AggOrangeLBorder 2 3 2" xfId="608" xr:uid="{0E4CD936-AECF-43A6-896B-FF396200207A}"/>
    <cellStyle name="AggOrangeLBorder 2 3 2 10" xfId="1950" xr:uid="{2C01D802-F67B-4268-BBA8-AE9676CFE917}"/>
    <cellStyle name="AggOrangeLBorder 2 3 2 11" xfId="5256" xr:uid="{F1B374D4-1E19-4470-A1BC-784C6F0B9941}"/>
    <cellStyle name="AggOrangeLBorder 2 3 2 12" xfId="3392" xr:uid="{D2865A5C-B864-4608-B74D-ACABDF00C584}"/>
    <cellStyle name="AggOrangeLBorder 2 3 2 13" xfId="4835" xr:uid="{E3ADEB31-F585-4976-B926-F8F4C7DCAC6C}"/>
    <cellStyle name="AggOrangeLBorder 2 3 2 14" xfId="6325" xr:uid="{6C10985E-E2F0-4E9C-AADD-E99D718F0F6F}"/>
    <cellStyle name="AggOrangeLBorder 2 3 2 15" xfId="7328" xr:uid="{8D7AEDD8-4AAD-47E7-A31C-5FC358449383}"/>
    <cellStyle name="AggOrangeLBorder 2 3 2 16" xfId="7989" xr:uid="{B484FAB1-4D87-4DC3-87BE-0A8CACE5E882}"/>
    <cellStyle name="AggOrangeLBorder 2 3 2 17" xfId="7837" xr:uid="{36946216-205D-48CA-8FD9-AF236BC94B9B}"/>
    <cellStyle name="AggOrangeLBorder 2 3 2 18" xfId="8310" xr:uid="{19D2C4F9-91EB-4B5C-A4BD-B825D7B7A80A}"/>
    <cellStyle name="AggOrangeLBorder 2 3 2 19" xfId="9542" xr:uid="{28846011-70FA-4DC3-95BB-19BB758989ED}"/>
    <cellStyle name="AggOrangeLBorder 2 3 2 2" xfId="823" xr:uid="{52003FF5-B18C-46B6-BE4F-CF4D5ECF747C}"/>
    <cellStyle name="AggOrangeLBorder 2 3 2 2 10" xfId="5471" xr:uid="{1A92A188-6F8C-4C5E-982A-98B94127B617}"/>
    <cellStyle name="AggOrangeLBorder 2 3 2 2 11" xfId="3511" xr:uid="{AF652978-5767-4F6F-917A-C30F92DB21D3}"/>
    <cellStyle name="AggOrangeLBorder 2 3 2 2 12" xfId="5805" xr:uid="{7E842AEA-C06F-422A-907C-9A42279A863A}"/>
    <cellStyle name="AggOrangeLBorder 2 3 2 2 13" xfId="6096" xr:uid="{60D64AC0-408C-40B1-8004-7A8420F3A16B}"/>
    <cellStyle name="AggOrangeLBorder 2 3 2 2 14" xfId="7543" xr:uid="{CFB6F68D-B714-491A-9143-B886D441A5D0}"/>
    <cellStyle name="AggOrangeLBorder 2 3 2 2 15" xfId="6733" xr:uid="{0F423877-126E-4871-9834-3001DF52DDCB}"/>
    <cellStyle name="AggOrangeLBorder 2 3 2 2 16" xfId="8541" xr:uid="{B6AEE28B-9CDD-4D63-9FDA-D0AA1BD4DC18}"/>
    <cellStyle name="AggOrangeLBorder 2 3 2 2 17" xfId="8454" xr:uid="{88421A33-BCEC-4488-A288-79EB44079D7C}"/>
    <cellStyle name="AggOrangeLBorder 2 3 2 2 18" xfId="9757" xr:uid="{192E6ED2-B798-42A7-8DE2-93C3471A79CF}"/>
    <cellStyle name="AggOrangeLBorder 2 3 2 2 19" xfId="9185" xr:uid="{22C07611-DD0F-4822-AD3A-BB698513A357}"/>
    <cellStyle name="AggOrangeLBorder 2 3 2 2 2" xfId="1297" xr:uid="{D14C8E9C-D9E6-4B61-A37D-243B823D58D2}"/>
    <cellStyle name="AggOrangeLBorder 2 3 2 2 20" xfId="9370" xr:uid="{13A76AD3-D826-4174-892E-04BA5B819D94}"/>
    <cellStyle name="AggOrangeLBorder 2 3 2 2 21" xfId="10593" xr:uid="{C2EA0BF3-A177-40E3-B675-B3B185BB23D8}"/>
    <cellStyle name="AggOrangeLBorder 2 3 2 2 22" xfId="10825" xr:uid="{44D73667-35A4-4725-8ACC-776DC1098457}"/>
    <cellStyle name="AggOrangeLBorder 2 3 2 2 23" xfId="12176" xr:uid="{F201EAC7-4167-4B27-A8FC-058652899619}"/>
    <cellStyle name="AggOrangeLBorder 2 3 2 2 24" xfId="12649" xr:uid="{711D4C6F-003D-4DA5-A2CC-A7E73A4AB9AE}"/>
    <cellStyle name="AggOrangeLBorder 2 3 2 2 25" xfId="13083" xr:uid="{3F08775E-1218-489A-847E-3D9853FC6628}"/>
    <cellStyle name="AggOrangeLBorder 2 3 2 2 26" xfId="13520" xr:uid="{7D0EBEB7-C2BB-4592-B707-569C25565732}"/>
    <cellStyle name="AggOrangeLBorder 2 3 2 2 27" xfId="11692" xr:uid="{B7E6B151-160A-4EAA-A668-7DE98DBD5250}"/>
    <cellStyle name="AggOrangeLBorder 2 3 2 2 28" xfId="14133" xr:uid="{C9C6D485-463D-47D4-88B9-AC3F1C1CB038}"/>
    <cellStyle name="AggOrangeLBorder 2 3 2 2 29" xfId="12752" xr:uid="{0AB1ED58-E2FF-42BE-A73D-45F19CFDAA23}"/>
    <cellStyle name="AggOrangeLBorder 2 3 2 2 3" xfId="1504" xr:uid="{E021295B-2B86-4B12-ABF7-2FE5D4A260D5}"/>
    <cellStyle name="AggOrangeLBorder 2 3 2 2 30" xfId="14530" xr:uid="{8EA75ACF-8DF4-4F19-99DE-DA931825B284}"/>
    <cellStyle name="AggOrangeLBorder 2 3 2 2 31" xfId="15711" xr:uid="{4FA7FA6C-E9CF-455A-84CD-9F06F2156CEC}"/>
    <cellStyle name="AggOrangeLBorder 2 3 2 2 32" xfId="15026" xr:uid="{AF913AE5-8869-4786-9E15-5B4B66A24346}"/>
    <cellStyle name="AggOrangeLBorder 2 3 2 2 33" xfId="16868" xr:uid="{08EDDC6B-A1B7-4DF1-B8B7-83760B311835}"/>
    <cellStyle name="AggOrangeLBorder 2 3 2 2 34" xfId="16041" xr:uid="{61234569-6D56-4DC0-95FA-E7D43C10B256}"/>
    <cellStyle name="AggOrangeLBorder 2 3 2 2 35" xfId="16476" xr:uid="{22BB5BBB-8767-4BC1-8355-E981E25F7CFD}"/>
    <cellStyle name="AggOrangeLBorder 2 3 2 2 36" xfId="17776" xr:uid="{6334DF08-7828-49E9-BEC8-8C16E317C4C7}"/>
    <cellStyle name="AggOrangeLBorder 2 3 2 2 37" xfId="18686" xr:uid="{75C192EE-F2ED-4FB7-AD8F-B4CE042035CD}"/>
    <cellStyle name="AggOrangeLBorder 2 3 2 2 38" xfId="17929" xr:uid="{8621E11B-2716-44AD-9C66-B1669591EA97}"/>
    <cellStyle name="AggOrangeLBorder 2 3 2 2 39" xfId="17031" xr:uid="{E623D2CD-3C09-471E-8131-1BE7D8862D5F}"/>
    <cellStyle name="AggOrangeLBorder 2 3 2 2 4" xfId="2645" xr:uid="{E9ACC781-E48F-4E85-87BF-E0B708C5EB09}"/>
    <cellStyle name="AggOrangeLBorder 2 3 2 2 40" xfId="20205" xr:uid="{C8CDEAA2-125D-4C17-85DD-1B56A13321F4}"/>
    <cellStyle name="AggOrangeLBorder 2 3 2 2 41" xfId="19515" xr:uid="{684FCC94-5C8A-4800-9CF9-C861B5C97A39}"/>
    <cellStyle name="AggOrangeLBorder 2 3 2 2 42" xfId="20717" xr:uid="{784BE28D-5245-4861-A442-E52296894DF2}"/>
    <cellStyle name="AggOrangeLBorder 2 3 2 2 43" xfId="20787" xr:uid="{368BEFF3-E2C1-48DD-858B-FC69123E23FC}"/>
    <cellStyle name="AggOrangeLBorder 2 3 2 2 44" xfId="21351" xr:uid="{B792DDB1-7F1F-4B19-8B9D-D62F0EDEB722}"/>
    <cellStyle name="AggOrangeLBorder 2 3 2 2 45" xfId="21981" xr:uid="{41703B95-7809-44E0-BD0D-5424AC310E52}"/>
    <cellStyle name="AggOrangeLBorder 2 3 2 2 46" xfId="22276" xr:uid="{F4520275-45D6-431E-8B74-D6EBEB8114C5}"/>
    <cellStyle name="AggOrangeLBorder 2 3 2 2 47" xfId="22159" xr:uid="{8D543EC5-4DFE-4DED-9D35-056D52AC968B}"/>
    <cellStyle name="AggOrangeLBorder 2 3 2 2 48" xfId="23350" xr:uid="{C1608A02-2F6A-4642-B207-B22BEA7B665E}"/>
    <cellStyle name="AggOrangeLBorder 2 3 2 2 49" xfId="24005" xr:uid="{68CE4042-3CB7-4B4A-A5ED-A5F2393F64F6}"/>
    <cellStyle name="AggOrangeLBorder 2 3 2 2 5" xfId="1940" xr:uid="{58C06E1A-DCF9-466A-A85B-2F1BAE0FD594}"/>
    <cellStyle name="AggOrangeLBorder 2 3 2 2 50" xfId="24913" xr:uid="{973DEA4F-D0B1-4412-99CF-34C3AF83D6E5}"/>
    <cellStyle name="AggOrangeLBorder 2 3 2 2 51" xfId="24230" xr:uid="{942E8624-E17B-4062-95D8-F536AE154DC3}"/>
    <cellStyle name="AggOrangeLBorder 2 3 2 2 52" xfId="25829" xr:uid="{6CA38409-4B67-4154-A1AD-34E47FC89149}"/>
    <cellStyle name="AggOrangeLBorder 2 3 2 2 53" xfId="24479" xr:uid="{FEEB9E4C-C8C2-4EA8-87DA-D9BECA4AFBE2}"/>
    <cellStyle name="AggOrangeLBorder 2 3 2 2 54" xfId="26648" xr:uid="{BA42100F-7015-402F-88E7-6F5A3EDC9C99}"/>
    <cellStyle name="AggOrangeLBorder 2 3 2 2 55" xfId="27117" xr:uid="{C05D4B41-46D0-4041-B91E-8A5D3621C7C1}"/>
    <cellStyle name="AggOrangeLBorder 2 3 2 2 56" xfId="27536" xr:uid="{A50B0123-507E-4AB2-B712-D4EAC9788AF9}"/>
    <cellStyle name="AggOrangeLBorder 2 3 2 2 57" xfId="26555" xr:uid="{437740A6-6D4C-455B-96ED-151D1DD2CC2F}"/>
    <cellStyle name="AggOrangeLBorder 2 3 2 2 58" xfId="28663" xr:uid="{6677FF22-9CBF-4EAD-94D1-4C73F2B2762D}"/>
    <cellStyle name="AggOrangeLBorder 2 3 2 2 59" xfId="29130" xr:uid="{A693E42F-236B-4780-9A7B-3015DDC95B2E}"/>
    <cellStyle name="AggOrangeLBorder 2 3 2 2 6" xfId="3309" xr:uid="{0D5885B4-7D57-4B9B-A99D-5546653C70E8}"/>
    <cellStyle name="AggOrangeLBorder 2 3 2 2 60" xfId="27980" xr:uid="{D8812722-8BC8-4DE0-9311-7CB8E0B044D4}"/>
    <cellStyle name="AggOrangeLBorder 2 3 2 2 61" xfId="29919" xr:uid="{412613AF-944B-4758-BFD7-82A44F14C40C}"/>
    <cellStyle name="AggOrangeLBorder 2 3 2 2 62" xfId="30325" xr:uid="{BF90DA7A-3257-4D39-82FA-F57AEEB0E92E}"/>
    <cellStyle name="AggOrangeLBorder 2 3 2 2 63" xfId="30742" xr:uid="{32107360-D686-452D-9553-4FF7E22B0264}"/>
    <cellStyle name="AggOrangeLBorder 2 3 2 2 64" xfId="31003" xr:uid="{528254A7-1CF0-4F16-8D46-4D75EBEE8B29}"/>
    <cellStyle name="AggOrangeLBorder 2 3 2 2 65" xfId="31358" xr:uid="{A5FCCF00-F7A5-4524-995A-9D6E7ECB08AF}"/>
    <cellStyle name="AggOrangeLBorder 2 3 2 2 66" xfId="32049" xr:uid="{B5240774-C0C6-4860-A173-53B3B2977AB5}"/>
    <cellStyle name="AggOrangeLBorder 2 3 2 2 67" xfId="31506" xr:uid="{56BBBDC0-2D94-4663-BD98-7497EA24DA8D}"/>
    <cellStyle name="AggOrangeLBorder 2 3 2 2 7" xfId="4141" xr:uid="{F406F10B-690F-4B80-93AB-BDEF322B2123}"/>
    <cellStyle name="AggOrangeLBorder 2 3 2 2 8" xfId="4578" xr:uid="{FFB738E8-4A0C-4243-A067-7657291F2755}"/>
    <cellStyle name="AggOrangeLBorder 2 3 2 2 9" xfId="4918" xr:uid="{3005C9F3-6BF0-4518-9284-22825D0E9A68}"/>
    <cellStyle name="AggOrangeLBorder 2 3 2 20" xfId="10205" xr:uid="{DFB7D3B7-41DF-440F-87F1-7B1B6B24ED84}"/>
    <cellStyle name="AggOrangeLBorder 2 3 2 21" xfId="10609" xr:uid="{723F8C6A-681A-469F-9F6D-0B5530F42CAF}"/>
    <cellStyle name="AggOrangeLBorder 2 3 2 22" xfId="9164" xr:uid="{66FE6981-64B0-41A9-954D-1AC202735510}"/>
    <cellStyle name="AggOrangeLBorder 2 3 2 23" xfId="11131" xr:uid="{9320C811-55EF-4638-A236-A03C1CE62949}"/>
    <cellStyle name="AggOrangeLBorder 2 3 2 24" xfId="11961" xr:uid="{04495F5F-B88B-499C-B98D-C29E9E129B66}"/>
    <cellStyle name="AggOrangeLBorder 2 3 2 25" xfId="12434" xr:uid="{A46296D7-D715-47F2-B3F0-ACB966F71EA6}"/>
    <cellStyle name="AggOrangeLBorder 2 3 2 26" xfId="12868" xr:uid="{9348B190-3EE2-45D8-8B29-470FDF99E6C8}"/>
    <cellStyle name="AggOrangeLBorder 2 3 2 27" xfId="13305" xr:uid="{FD6C765F-F8C0-468C-9DAF-45E5497CB689}"/>
    <cellStyle name="AggOrangeLBorder 2 3 2 28" xfId="12959" xr:uid="{9C1387A8-91BC-4334-B3E3-F6C0F4D362B5}"/>
    <cellStyle name="AggOrangeLBorder 2 3 2 29" xfId="13801" xr:uid="{EC6C1B56-C060-4FF6-8F28-AAB8B16BDD98}"/>
    <cellStyle name="AggOrangeLBorder 2 3 2 3" xfId="1091" xr:uid="{FD2D35C9-A18B-40EA-A173-1E898199931D}"/>
    <cellStyle name="AggOrangeLBorder 2 3 2 30" xfId="14137" xr:uid="{8663A1FC-2F62-4308-BF62-71256A1FD2A0}"/>
    <cellStyle name="AggOrangeLBorder 2 3 2 31" xfId="14698" xr:uid="{F4F342E1-6F8E-40DF-9506-3E0BB8D79905}"/>
    <cellStyle name="AggOrangeLBorder 2 3 2 32" xfId="15687" xr:uid="{285D2D8F-0523-4E1E-A9E9-C0C3E24C62F2}"/>
    <cellStyle name="AggOrangeLBorder 2 3 2 33" xfId="15968" xr:uid="{8E79B657-50DB-4575-AD64-29A63EDE07EF}"/>
    <cellStyle name="AggOrangeLBorder 2 3 2 34" xfId="16653" xr:uid="{3CCBDD88-CC96-462A-9DA2-A49346556307}"/>
    <cellStyle name="AggOrangeLBorder 2 3 2 35" xfId="17326" xr:uid="{9DD26224-C621-4A09-BC81-ED5CF5F7D2FA}"/>
    <cellStyle name="AggOrangeLBorder 2 3 2 36" xfId="17769" xr:uid="{0122EE54-405F-4946-B1C9-01FCE2B15503}"/>
    <cellStyle name="AggOrangeLBorder 2 3 2 37" xfId="17194" xr:uid="{0C558A1C-A22C-4C2D-B34D-2383A1B31901}"/>
    <cellStyle name="AggOrangeLBorder 2 3 2 38" xfId="18471" xr:uid="{E57FFCB2-0FBA-48A7-9EB6-915AF45D3F43}"/>
    <cellStyle name="AggOrangeLBorder 2 3 2 39" xfId="18336" xr:uid="{9578DE90-A9E5-4738-AA7D-F81D252C54F7}"/>
    <cellStyle name="AggOrangeLBorder 2 3 2 4" xfId="1686" xr:uid="{B291267E-991E-4FAC-B776-FF514227F15F}"/>
    <cellStyle name="AggOrangeLBorder 2 3 2 40" xfId="19280" xr:uid="{DF258199-E3F7-4B87-A24D-DB1C70305090}"/>
    <cellStyle name="AggOrangeLBorder 2 3 2 41" xfId="19990" xr:uid="{80C8AF9F-497E-4EB7-B5BD-A8BD6AB83CB7}"/>
    <cellStyle name="AggOrangeLBorder 2 3 2 42" xfId="20677" xr:uid="{E9DAB59C-2C65-43FD-8CA9-EDFB38F69F08}"/>
    <cellStyle name="AggOrangeLBorder 2 3 2 43" xfId="21133" xr:uid="{9BE8929F-0D59-4743-A3AA-BB4342CB677A}"/>
    <cellStyle name="AggOrangeLBorder 2 3 2 44" xfId="21194" xr:uid="{0824209A-5150-4E30-80D1-A73AFCEF1B04}"/>
    <cellStyle name="AggOrangeLBorder 2 3 2 45" xfId="22065" xr:uid="{08EC2D1C-3AB3-49C4-90FC-0F10551A6203}"/>
    <cellStyle name="AggOrangeLBorder 2 3 2 46" xfId="22493" xr:uid="{6F0C420D-877E-407B-85BA-758334C6C80C}"/>
    <cellStyle name="AggOrangeLBorder 2 3 2 47" xfId="22305" xr:uid="{8BA741E7-2825-4125-BE75-707C365FDBA8}"/>
    <cellStyle name="AggOrangeLBorder 2 3 2 48" xfId="22407" xr:uid="{50A19346-E195-4F30-AF01-A8B48C4B8972}"/>
    <cellStyle name="AggOrangeLBorder 2 3 2 49" xfId="23383" xr:uid="{107BECA3-C7D1-466D-BAF7-CFEF91D94B8C}"/>
    <cellStyle name="AggOrangeLBorder 2 3 2 5" xfId="2430" xr:uid="{B13248E1-8E94-4EBF-9FE2-4BDCE1213F29}"/>
    <cellStyle name="AggOrangeLBorder 2 3 2 50" xfId="23799" xr:uid="{FA41FD57-B866-461F-BC83-8EF6501CE63B}"/>
    <cellStyle name="AggOrangeLBorder 2 3 2 51" xfId="24698" xr:uid="{AA05D4BD-3482-4EB0-B8AF-EBD1B218F9DF}"/>
    <cellStyle name="AggOrangeLBorder 2 3 2 52" xfId="25380" xr:uid="{DC1E4ACF-586B-44B9-86C4-15DA69D1C3DE}"/>
    <cellStyle name="AggOrangeLBorder 2 3 2 53" xfId="25616" xr:uid="{989916D4-14A0-4405-BE31-BA1B467BEF64}"/>
    <cellStyle name="AggOrangeLBorder 2 3 2 54" xfId="25020" xr:uid="{6D0FF96E-CCFC-4816-8C8A-91C3ADBB0211}"/>
    <cellStyle name="AggOrangeLBorder 2 3 2 55" xfId="26580" xr:uid="{A1769718-7387-4CEA-B541-965A6E5FC6A6}"/>
    <cellStyle name="AggOrangeLBorder 2 3 2 56" xfId="26906" xr:uid="{850B2C04-EE78-477F-BAFF-D2B08D959553}"/>
    <cellStyle name="AggOrangeLBorder 2 3 2 57" xfId="27325" xr:uid="{66975B47-74FC-4A27-803F-060E3AA3341F}"/>
    <cellStyle name="AggOrangeLBorder 2 3 2 58" xfId="27195" xr:uid="{7A92DD32-C294-4CDB-A42E-779E632EA731}"/>
    <cellStyle name="AggOrangeLBorder 2 3 2 59" xfId="28448" xr:uid="{D809B51D-AB29-4829-ADD6-B5845F6AF80F}"/>
    <cellStyle name="AggOrangeLBorder 2 3 2 6" xfId="1913" xr:uid="{96316375-72CC-4311-9D13-6FD875D5E94F}"/>
    <cellStyle name="AggOrangeLBorder 2 3 2 60" xfId="28916" xr:uid="{06F43657-DFC7-4C3D-98D3-8DA2C1CF77CC}"/>
    <cellStyle name="AggOrangeLBorder 2 3 2 61" xfId="29502" xr:uid="{E36B86F8-E5B4-4B90-9BA6-6B67BF5563EF}"/>
    <cellStyle name="AggOrangeLBorder 2 3 2 62" xfId="29706" xr:uid="{0A540F4C-0084-4A98-85A8-60A80A7A1174}"/>
    <cellStyle name="AggOrangeLBorder 2 3 2 63" xfId="30114" xr:uid="{02EA2249-C07D-41A4-BB4A-F30FFC6E9411}"/>
    <cellStyle name="AggOrangeLBorder 2 3 2 64" xfId="30528" xr:uid="{E62400E3-E5B0-4B85-85E4-A3DF2859F0B4}"/>
    <cellStyle name="AggOrangeLBorder 2 3 2 65" xfId="30842" xr:uid="{F8046F29-DD60-4BB4-9FBB-2AD526FCAADF}"/>
    <cellStyle name="AggOrangeLBorder 2 3 2 66" xfId="31152" xr:uid="{F96B5A2B-B336-49AD-9392-C753FA2B8CB9}"/>
    <cellStyle name="AggOrangeLBorder 2 3 2 67" xfId="31838" xr:uid="{4EA4F7D3-7DCC-487E-A364-0CC021D78B4E}"/>
    <cellStyle name="AggOrangeLBorder 2 3 2 68" xfId="32259" xr:uid="{44831D42-ECDD-4504-94B4-486E285A7ED3}"/>
    <cellStyle name="AggOrangeLBorder 2 3 2 7" xfId="3667" xr:uid="{1944EBA9-C87F-4644-96AD-69D11DF8C486}"/>
    <cellStyle name="AggOrangeLBorder 2 3 2 8" xfId="3926" xr:uid="{603F7594-6B89-4C0F-A40F-1E1D4DCA35A8}"/>
    <cellStyle name="AggOrangeLBorder 2 3 2 9" xfId="4364" xr:uid="{CD98CC9D-9CFB-40E5-8D08-BF5D9FD036B8}"/>
    <cellStyle name="AggOrangeLBorder 2 3 20" xfId="8619" xr:uid="{8E9C7856-69B6-485E-87FD-A8BE1F9C5AA7}"/>
    <cellStyle name="AggOrangeLBorder 2 3 21" xfId="8775" xr:uid="{63AAE990-61C1-4B28-B0E9-4A247F04F6F5}"/>
    <cellStyle name="AggOrangeLBorder 2 3 22" xfId="9213" xr:uid="{5BC99588-E23D-4AB9-9B56-AC6C51B0F2EA}"/>
    <cellStyle name="AggOrangeLBorder 2 3 23" xfId="9854" xr:uid="{1C73B6A0-9FF3-4867-B311-4306EB050966}"/>
    <cellStyle name="AggOrangeLBorder 2 3 24" xfId="10297" xr:uid="{127C33DF-C9ED-43B1-99D9-8863839E2D5E}"/>
    <cellStyle name="AggOrangeLBorder 2 3 25" xfId="10183" xr:uid="{480BC6D3-9006-4A42-85DE-127379B9098B}"/>
    <cellStyle name="AggOrangeLBorder 2 3 26" xfId="10996" xr:uid="{85ACA22D-E458-4E88-8C7B-427E461EAE10}"/>
    <cellStyle name="AggOrangeLBorder 2 3 27" xfId="11625" xr:uid="{0B968416-01DB-4643-91CF-D3EA0D0C4BBE}"/>
    <cellStyle name="AggOrangeLBorder 2 3 28" xfId="12048" xr:uid="{B527C691-8490-4056-A588-B4BAC4A3D4A4}"/>
    <cellStyle name="AggOrangeLBorder 2 3 29" xfId="11795" xr:uid="{B6ED0FC2-C680-40DC-9F0F-7E411167168C}"/>
    <cellStyle name="AggOrangeLBorder 2 3 3" xfId="548" xr:uid="{D1E2162A-7FF6-4CE4-BD94-180E233BD522}"/>
    <cellStyle name="AggOrangeLBorder 2 3 3 10" xfId="3070" xr:uid="{00E02270-0509-4AF7-B945-C16EA105D5D7}"/>
    <cellStyle name="AggOrangeLBorder 2 3 3 11" xfId="5196" xr:uid="{87464E6A-06DF-4022-9B38-EFCF5826F8FB}"/>
    <cellStyle name="AggOrangeLBorder 2 3 3 12" xfId="5966" xr:uid="{0FD61E85-E807-4D9C-9519-263B0E47C886}"/>
    <cellStyle name="AggOrangeLBorder 2 3 3 13" xfId="6037" xr:uid="{300CFBAC-0180-4AC3-A1B5-E06D506EB5DD}"/>
    <cellStyle name="AggOrangeLBorder 2 3 3 14" xfId="5600" xr:uid="{DCD62C81-EB1E-44D2-B0CC-5450CFBB37D7}"/>
    <cellStyle name="AggOrangeLBorder 2 3 3 15" xfId="7268" xr:uid="{406404D6-0CD1-43F4-8CF3-B037DF42A4BA}"/>
    <cellStyle name="AggOrangeLBorder 2 3 3 16" xfId="6937" xr:uid="{011F7E8E-B47E-4489-88CA-596F682E08FC}"/>
    <cellStyle name="AggOrangeLBorder 2 3 3 17" xfId="8441" xr:uid="{71007B0A-B5F9-4E98-86F2-21A7AFB326DB}"/>
    <cellStyle name="AggOrangeLBorder 2 3 3 18" xfId="8824" xr:uid="{D9171D1C-A084-4997-819B-378BD68EFBFB}"/>
    <cellStyle name="AggOrangeLBorder 2 3 3 19" xfId="9482" xr:uid="{F4AFC65E-348E-4F37-BCAF-1074CE662C13}"/>
    <cellStyle name="AggOrangeLBorder 2 3 3 2" xfId="763" xr:uid="{E1F57CBC-41A0-4F52-BF25-9613FA7A8CA9}"/>
    <cellStyle name="AggOrangeLBorder 2 3 3 2 10" xfId="5411" xr:uid="{2723EE51-C975-4E45-9F96-83276C66AEC9}"/>
    <cellStyle name="AggOrangeLBorder 2 3 3 2 11" xfId="3697" xr:uid="{164C2502-AE88-45A9-9639-25D63D695145}"/>
    <cellStyle name="AggOrangeLBorder 2 3 3 2 12" xfId="5007" xr:uid="{98DD45A9-D992-4FC8-815B-B0718403960C}"/>
    <cellStyle name="AggOrangeLBorder 2 3 3 2 13" xfId="6616" xr:uid="{2654C85C-D0F6-4ED9-9B5E-EB267FEEC6B9}"/>
    <cellStyle name="AggOrangeLBorder 2 3 3 2 14" xfId="7483" xr:uid="{1D33B92A-2F2C-47FD-8C8B-4400C361206A}"/>
    <cellStyle name="AggOrangeLBorder 2 3 3 2 15" xfId="7196" xr:uid="{44620CF1-9372-4961-95F8-8A08EF3D6659}"/>
    <cellStyle name="AggOrangeLBorder 2 3 3 2 16" xfId="7182" xr:uid="{1B88333A-1CAB-4335-89B9-366606F9090C}"/>
    <cellStyle name="AggOrangeLBorder 2 3 3 2 17" xfId="8795" xr:uid="{E6B7010C-F878-4B64-8E26-DC9A0A93DF00}"/>
    <cellStyle name="AggOrangeLBorder 2 3 3 2 18" xfId="9697" xr:uid="{56CCB37D-16AF-4E3F-A26B-609E46624CE0}"/>
    <cellStyle name="AggOrangeLBorder 2 3 3 2 19" xfId="9409" xr:uid="{888C529B-840E-4D03-A201-D9F23467FC7B}"/>
    <cellStyle name="AggOrangeLBorder 2 3 3 2 2" xfId="1237" xr:uid="{48636564-C995-4C07-B210-205DCBA081CC}"/>
    <cellStyle name="AggOrangeLBorder 2 3 3 2 20" xfId="10060" xr:uid="{39435BF9-40EB-4877-B610-D943C6D124C9}"/>
    <cellStyle name="AggOrangeLBorder 2 3 3 2 21" xfId="10531" xr:uid="{47CA45B4-FD7B-4010-BF31-A120F6A2FC36}"/>
    <cellStyle name="AggOrangeLBorder 2 3 3 2 22" xfId="9295" xr:uid="{9029934E-4231-4047-BB5C-670F4B5F9B15}"/>
    <cellStyle name="AggOrangeLBorder 2 3 3 2 23" xfId="12116" xr:uid="{AFE092AB-20BC-4041-8EA8-13402C10A545}"/>
    <cellStyle name="AggOrangeLBorder 2 3 3 2 24" xfId="12589" xr:uid="{CDAF20C5-0B51-4514-963C-13E196708232}"/>
    <cellStyle name="AggOrangeLBorder 2 3 3 2 25" xfId="13023" xr:uid="{DB9E5ABC-68F8-4600-9363-6A63600AA599}"/>
    <cellStyle name="AggOrangeLBorder 2 3 3 2 26" xfId="13460" xr:uid="{AEAE2605-AB5B-497E-8D24-47FDB912EA9C}"/>
    <cellStyle name="AggOrangeLBorder 2 3 3 2 27" xfId="11461" xr:uid="{B1872EAE-3A44-4A51-BA3E-2730D4E4B302}"/>
    <cellStyle name="AggOrangeLBorder 2 3 3 2 28" xfId="11688" xr:uid="{49C5D9D5-7D6B-4DEA-AED4-E7B1BF198BA8}"/>
    <cellStyle name="AggOrangeLBorder 2 3 3 2 29" xfId="14268" xr:uid="{CCD63BD2-B537-4C86-B34D-E336324D8FE1}"/>
    <cellStyle name="AggOrangeLBorder 2 3 3 2 3" xfId="1622" xr:uid="{282E61BA-8A82-46DB-AC38-FFB3E01126C8}"/>
    <cellStyle name="AggOrangeLBorder 2 3 3 2 30" xfId="15235" xr:uid="{808D0634-713B-481C-9ACC-C83474AB44F9}"/>
    <cellStyle name="AggOrangeLBorder 2 3 3 2 31" xfId="15504" xr:uid="{CBFE39BF-AEF4-4932-B0E4-4959D8411BE6}"/>
    <cellStyle name="AggOrangeLBorder 2 3 3 2 32" xfId="15333" xr:uid="{88BC8945-599F-497C-9BDF-32E9B0A90377}"/>
    <cellStyle name="AggOrangeLBorder 2 3 3 2 33" xfId="16808" xr:uid="{2CB2F54B-DA12-46BB-98BC-83C875D15A2E}"/>
    <cellStyle name="AggOrangeLBorder 2 3 3 2 34" xfId="16518" xr:uid="{86698F12-4C25-422E-8E64-AF8ACE9CDC36}"/>
    <cellStyle name="AggOrangeLBorder 2 3 3 2 35" xfId="17178" xr:uid="{0D3064E3-585B-42DC-8014-E0FE94457C16}"/>
    <cellStyle name="AggOrangeLBorder 2 3 3 2 36" xfId="17985" xr:uid="{08B93F2F-1848-4B0B-97E3-286FB6CC30FD}"/>
    <cellStyle name="AggOrangeLBorder 2 3 3 2 37" xfId="18626" xr:uid="{41784CFF-EE3F-4FC1-B21E-0F9F8F9FDE6D}"/>
    <cellStyle name="AggOrangeLBorder 2 3 3 2 38" xfId="18926" xr:uid="{3B017034-8FE1-4AF7-9E7D-1BEE86809F83}"/>
    <cellStyle name="AggOrangeLBorder 2 3 3 2 39" xfId="17284" xr:uid="{CD996BB2-ECEC-4C9A-8C18-4A9395060F02}"/>
    <cellStyle name="AggOrangeLBorder 2 3 3 2 4" xfId="2585" xr:uid="{19462BB2-BF3D-4C61-BAD7-43D924516F94}"/>
    <cellStyle name="AggOrangeLBorder 2 3 3 2 40" xfId="20145" xr:uid="{3B056778-F9C0-4C19-916C-D8F7CB427653}"/>
    <cellStyle name="AggOrangeLBorder 2 3 3 2 41" xfId="19854" xr:uid="{8A7D41E4-B356-4544-B413-CD92D8A8F904}"/>
    <cellStyle name="AggOrangeLBorder 2 3 3 2 42" xfId="20372" xr:uid="{08E8E963-1033-4517-977F-3446EEF57E11}"/>
    <cellStyle name="AggOrangeLBorder 2 3 3 2 43" xfId="21537" xr:uid="{096EEF62-DAA8-450A-8B91-A63F7CAB865F}"/>
    <cellStyle name="AggOrangeLBorder 2 3 3 2 44" xfId="21229" xr:uid="{C2A2C23B-34BD-4E2E-AA9C-FA7DDFAEBAC8}"/>
    <cellStyle name="AggOrangeLBorder 2 3 3 2 45" xfId="21999" xr:uid="{0B6D42F8-E37E-4848-9003-2AD8CC227ECB}"/>
    <cellStyle name="AggOrangeLBorder 2 3 3 2 46" xfId="22296" xr:uid="{D83524E3-EA37-4B78-B336-2D9767DC170F}"/>
    <cellStyle name="AggOrangeLBorder 2 3 3 2 47" xfId="23211" xr:uid="{B6557A08-5054-4101-9EA9-8A66EBB36607}"/>
    <cellStyle name="AggOrangeLBorder 2 3 3 2 48" xfId="22451" xr:uid="{AACED697-45CF-438D-9D15-E43AE3848BE6}"/>
    <cellStyle name="AggOrangeLBorder 2 3 3 2 49" xfId="23945" xr:uid="{4DA3888C-8692-4956-9FF0-E52C4F718D5E}"/>
    <cellStyle name="AggOrangeLBorder 2 3 3 2 5" xfId="2003" xr:uid="{58BF26CA-0322-4A9B-854C-5C087C25A25E}"/>
    <cellStyle name="AggOrangeLBorder 2 3 3 2 50" xfId="24853" xr:uid="{27D1BB06-2E6D-4271-9F78-64176109B6AF}"/>
    <cellStyle name="AggOrangeLBorder 2 3 3 2 51" xfId="24519" xr:uid="{9172506C-A6FC-4AC0-A049-1A631CB58079}"/>
    <cellStyle name="AggOrangeLBorder 2 3 3 2 52" xfId="25769" xr:uid="{40DEE200-223E-449F-8E02-4704B7E83143}"/>
    <cellStyle name="AggOrangeLBorder 2 3 3 2 53" xfId="25203" xr:uid="{84431598-E84A-43A3-A2C7-1D9946DF4325}"/>
    <cellStyle name="AggOrangeLBorder 2 3 3 2 54" xfId="26638" xr:uid="{80A83614-9E7D-446B-9D88-81A17C46BD89}"/>
    <cellStyle name="AggOrangeLBorder 2 3 3 2 55" xfId="27057" xr:uid="{4C72C888-F7FE-41A1-A1F1-70348BE34139}"/>
    <cellStyle name="AggOrangeLBorder 2 3 3 2 56" xfId="27476" xr:uid="{DCBE08B3-BA44-4515-809F-59E0F0CB25F5}"/>
    <cellStyle name="AggOrangeLBorder 2 3 3 2 57" xfId="26218" xr:uid="{AB9D3FCA-4C04-497B-A92B-35E25E4DA849}"/>
    <cellStyle name="AggOrangeLBorder 2 3 3 2 58" xfId="28603" xr:uid="{B3852CB2-CF09-449D-A5B4-B47B9BC39817}"/>
    <cellStyle name="AggOrangeLBorder 2 3 3 2 59" xfId="29070" xr:uid="{823A2E9F-6566-444C-A24D-B1FB28788481}"/>
    <cellStyle name="AggOrangeLBorder 2 3 3 2 6" xfId="2717" xr:uid="{87413ABD-5815-405D-A4C4-10AF2E3765D0}"/>
    <cellStyle name="AggOrangeLBorder 2 3 3 2 60" xfId="28789" xr:uid="{046A5F16-31FF-4A0B-92B2-A2F1D59F79A7}"/>
    <cellStyle name="AggOrangeLBorder 2 3 3 2 61" xfId="29859" xr:uid="{CA5B019C-958B-4CFB-ABCE-25D140D62013}"/>
    <cellStyle name="AggOrangeLBorder 2 3 3 2 62" xfId="30265" xr:uid="{F6B85BA7-FF38-4D54-93EE-FE5AB85B2003}"/>
    <cellStyle name="AggOrangeLBorder 2 3 3 2 63" xfId="30682" xr:uid="{08129830-62A0-486B-8A7F-AFBC670F2319}"/>
    <cellStyle name="AggOrangeLBorder 2 3 3 2 64" xfId="28740" xr:uid="{D2519938-8686-417A-8CC2-77C4F17696E0}"/>
    <cellStyle name="AggOrangeLBorder 2 3 3 2 65" xfId="31298" xr:uid="{F7664949-8B87-4FC9-8BE9-0E03CD63967E}"/>
    <cellStyle name="AggOrangeLBorder 2 3 3 2 66" xfId="31989" xr:uid="{BBE00A68-7354-43B9-AD7F-D16C5870F42C}"/>
    <cellStyle name="AggOrangeLBorder 2 3 3 2 67" xfId="32179" xr:uid="{2B728D93-6FFA-460C-A21A-8EF2EACFA15F}"/>
    <cellStyle name="AggOrangeLBorder 2 3 3 2 7" xfId="4081" xr:uid="{2613D0A3-148D-41CC-83D9-E23F0D308043}"/>
    <cellStyle name="AggOrangeLBorder 2 3 3 2 8" xfId="4518" xr:uid="{C6353920-BCA3-4A93-A6E4-D3F815D9E5E7}"/>
    <cellStyle name="AggOrangeLBorder 2 3 3 2 9" xfId="3238" xr:uid="{397E2184-A4FE-4D8F-B153-F9F33ABDC3E6}"/>
    <cellStyle name="AggOrangeLBorder 2 3 3 20" xfId="8951" xr:uid="{CED19DDB-E17C-4E6C-BA5D-6E57D42C8235}"/>
    <cellStyle name="AggOrangeLBorder 2 3 3 21" xfId="9403" xr:uid="{456F2C1E-A7C4-4554-853D-D3104DB472AC}"/>
    <cellStyle name="AggOrangeLBorder 2 3 3 22" xfId="10385" xr:uid="{781D8776-597D-44A0-B051-B8EAD939255E}"/>
    <cellStyle name="AggOrangeLBorder 2 3 3 23" xfId="11061" xr:uid="{584F3FD0-8DEF-44B0-8ABD-31A9F70227FE}"/>
    <cellStyle name="AggOrangeLBorder 2 3 3 24" xfId="11901" xr:uid="{2C9985E3-FF7F-4E35-A440-590E4B8EE20E}"/>
    <cellStyle name="AggOrangeLBorder 2 3 3 25" xfId="12374" xr:uid="{3DBB5282-FEAA-4ABC-A309-3A8802333D09}"/>
    <cellStyle name="AggOrangeLBorder 2 3 3 26" xfId="12808" xr:uid="{41906F99-B950-4F51-96B6-BB5F773AFE7C}"/>
    <cellStyle name="AggOrangeLBorder 2 3 3 27" xfId="13245" xr:uid="{A2BEAFB8-185A-4678-9707-8912F384861F}"/>
    <cellStyle name="AggOrangeLBorder 2 3 3 28" xfId="13164" xr:uid="{A2324AD3-3BD4-4428-9D49-94E9B25D39A3}"/>
    <cellStyle name="AggOrangeLBorder 2 3 3 29" xfId="14294" xr:uid="{ED20DF77-F57D-4177-8CD3-0041290E8DE7}"/>
    <cellStyle name="AggOrangeLBorder 2 3 3 3" xfId="1031" xr:uid="{0C5A87E3-983B-4B46-BC75-91ECFCC96474}"/>
    <cellStyle name="AggOrangeLBorder 2 3 3 30" xfId="12755" xr:uid="{95418C05-DE90-4A4E-92DE-15A36E8B0C7F}"/>
    <cellStyle name="AggOrangeLBorder 2 3 3 31" xfId="15172" xr:uid="{5D6A5BBE-688B-456D-9D75-092DF0AA3DD8}"/>
    <cellStyle name="AggOrangeLBorder 2 3 3 32" xfId="15743" xr:uid="{3303BDD5-0C87-4B97-9EAE-7CC0B32B769C}"/>
    <cellStyle name="AggOrangeLBorder 2 3 3 33" xfId="13743" xr:uid="{9F823B7A-AC6E-4D92-9844-32BD0A85D10F}"/>
    <cellStyle name="AggOrangeLBorder 2 3 3 34" xfId="16593" xr:uid="{C4A97C87-C4BD-4018-B970-DE715C60DC99}"/>
    <cellStyle name="AggOrangeLBorder 2 3 3 35" xfId="16255" xr:uid="{C9BA0AA6-A5CE-498E-9305-AA81357179B9}"/>
    <cellStyle name="AggOrangeLBorder 2 3 3 36" xfId="17136" xr:uid="{3CC745ED-765B-4078-A73F-825F4E036832}"/>
    <cellStyle name="AggOrangeLBorder 2 3 3 37" xfId="17719" xr:uid="{45BB0B61-AD57-4A77-834C-514CAC4D58BB}"/>
    <cellStyle name="AggOrangeLBorder 2 3 3 38" xfId="18411" xr:uid="{DD8104CE-1693-42C0-B88C-A9F195D778BD}"/>
    <cellStyle name="AggOrangeLBorder 2 3 3 39" xfId="18963" xr:uid="{6616AE0F-2860-4BEB-803D-8B0137F67EA5}"/>
    <cellStyle name="AggOrangeLBorder 2 3 3 4" xfId="1458" xr:uid="{CA7B6A29-2B53-40B3-AF78-1BED0786D9CE}"/>
    <cellStyle name="AggOrangeLBorder 2 3 3 40" xfId="19034" xr:uid="{E51C6E3E-547F-4455-BF51-E1278A744017}"/>
    <cellStyle name="AggOrangeLBorder 2 3 3 41" xfId="19930" xr:uid="{C81BC6E5-2631-463E-828A-6EAB4024B973}"/>
    <cellStyle name="AggOrangeLBorder 2 3 3 42" xfId="19585" xr:uid="{0CB55C6C-F097-4E0B-AD97-40201FF3D2E0}"/>
    <cellStyle name="AggOrangeLBorder 2 3 3 43" xfId="20694" xr:uid="{9AC4A521-EF8D-4A11-B88D-D063DF2BC789}"/>
    <cellStyle name="AggOrangeLBorder 2 3 3 44" xfId="21036" xr:uid="{C64E01E3-0CF0-44E1-A566-FB6A1ABC81D4}"/>
    <cellStyle name="AggOrangeLBorder 2 3 3 45" xfId="20797" xr:uid="{0E8CFB07-32ED-4509-A1F9-1B2350EE68FE}"/>
    <cellStyle name="AggOrangeLBorder 2 3 3 46" xfId="21499" xr:uid="{8F8811D6-F393-4ED5-92F8-32F6BA72148C}"/>
    <cellStyle name="AggOrangeLBorder 2 3 3 47" xfId="20532" xr:uid="{4714C392-45B3-4458-8BC8-A72E32093E48}"/>
    <cellStyle name="AggOrangeLBorder 2 3 3 48" xfId="23251" xr:uid="{B6946915-ACAB-4580-9529-8646E1122E9E}"/>
    <cellStyle name="AggOrangeLBorder 2 3 3 49" xfId="23543" xr:uid="{42A0C7B7-732A-43DC-8407-EFCA9AF75DEE}"/>
    <cellStyle name="AggOrangeLBorder 2 3 3 5" xfId="2370" xr:uid="{89C47AC0-C05F-4E7B-9AF3-A52D4EBC5964}"/>
    <cellStyle name="AggOrangeLBorder 2 3 3 50" xfId="23739" xr:uid="{8F268BB7-6984-4222-9791-7B24381E8B3E}"/>
    <cellStyle name="AggOrangeLBorder 2 3 3 51" xfId="24638" xr:uid="{2D089D09-CC49-4FA6-99C9-3B2C3B60E201}"/>
    <cellStyle name="AggOrangeLBorder 2 3 3 52" xfId="24350" xr:uid="{D86A445B-69E0-493C-865D-993293945E88}"/>
    <cellStyle name="AggOrangeLBorder 2 3 3 53" xfId="25556" xr:uid="{E7C24975-25F4-445D-977C-A644F04C2527}"/>
    <cellStyle name="AggOrangeLBorder 2 3 3 54" xfId="25125" xr:uid="{F62792E2-11C7-4496-BC1D-223CA6D59288}"/>
    <cellStyle name="AggOrangeLBorder 2 3 3 55" xfId="25912" xr:uid="{35BAE2B0-C4D2-41B4-83E6-E5393629C73A}"/>
    <cellStyle name="AggOrangeLBorder 2 3 3 56" xfId="26846" xr:uid="{E4C0575B-9701-4440-8043-4D23EAC49C31}"/>
    <cellStyle name="AggOrangeLBorder 2 3 3 57" xfId="27265" xr:uid="{CBE72F08-DA9A-4E4D-BCDC-F6EA947ECA9E}"/>
    <cellStyle name="AggOrangeLBorder 2 3 3 58" xfId="26680" xr:uid="{F0DE39A3-B9C8-49A5-A73D-F3E8031D6F29}"/>
    <cellStyle name="AggOrangeLBorder 2 3 3 59" xfId="28388" xr:uid="{25C5E8C5-9FA0-4D4F-9BA8-0B7A3A431AEA}"/>
    <cellStyle name="AggOrangeLBorder 2 3 3 6" xfId="2124" xr:uid="{F379B1CF-317F-4723-B92A-59E483734B29}"/>
    <cellStyle name="AggOrangeLBorder 2 3 3 60" xfId="28856" xr:uid="{3E963514-F2FD-4267-A880-F7E742EDF4E8}"/>
    <cellStyle name="AggOrangeLBorder 2 3 3 61" xfId="27984" xr:uid="{1324F23F-1D43-42A5-B012-C48EA8A29DDF}"/>
    <cellStyle name="AggOrangeLBorder 2 3 3 62" xfId="29646" xr:uid="{05C1FB46-EF2A-4C05-B9D8-7B95040BDECA}"/>
    <cellStyle name="AggOrangeLBorder 2 3 3 63" xfId="30054" xr:uid="{D78392AF-FE3E-4997-AC6F-7F1A9D2DA3B7}"/>
    <cellStyle name="AggOrangeLBorder 2 3 3 64" xfId="30468" xr:uid="{C88701FE-62A3-42F6-ABD2-B4641D932078}"/>
    <cellStyle name="AggOrangeLBorder 2 3 3 65" xfId="30838" xr:uid="{C4E1AD95-2106-4F66-A1F2-1B33521BD588}"/>
    <cellStyle name="AggOrangeLBorder 2 3 3 66" xfId="31092" xr:uid="{D861B222-021E-46D2-AFBC-60BF1D1A4B30}"/>
    <cellStyle name="AggOrangeLBorder 2 3 3 67" xfId="31778" xr:uid="{A9B7BC42-E67D-4245-96BD-74024F33534B}"/>
    <cellStyle name="AggOrangeLBorder 2 3 3 68" xfId="32133" xr:uid="{0BAECF5A-9201-4E8E-8899-A2F904A016BE}"/>
    <cellStyle name="AggOrangeLBorder 2 3 3 7" xfId="3193" xr:uid="{F0D18B7E-F989-40B1-8C3A-53B45605F407}"/>
    <cellStyle name="AggOrangeLBorder 2 3 3 8" xfId="3866" xr:uid="{5C70D69F-D234-4AD5-A3E1-768190233A64}"/>
    <cellStyle name="AggOrangeLBorder 2 3 3 9" xfId="4304" xr:uid="{FDE0D09B-344A-4092-80C0-47C5D22DDB1E}"/>
    <cellStyle name="AggOrangeLBorder 2 3 30" xfId="11854" xr:uid="{16746FD5-D423-48C2-831E-919D0728C6CE}"/>
    <cellStyle name="AggOrangeLBorder 2 3 31" xfId="13956" xr:uid="{6BD0459B-B4DD-47E1-8644-3174A0728E72}"/>
    <cellStyle name="AggOrangeLBorder 2 3 32" xfId="14020" xr:uid="{DA7A523C-9C4D-44FE-8CDD-76B0B5B834E8}"/>
    <cellStyle name="AggOrangeLBorder 2 3 33" xfId="13813" xr:uid="{1CA45A4D-8E9C-4D8B-A5A4-F6D74B537570}"/>
    <cellStyle name="AggOrangeLBorder 2 3 34" xfId="15086" xr:uid="{14F539EC-99F9-48A5-B458-FE69825B8C14}"/>
    <cellStyle name="AggOrangeLBorder 2 3 35" xfId="15449" xr:uid="{97D46526-A911-4CF0-9170-E67DF8C9C549}"/>
    <cellStyle name="AggOrangeLBorder 2 3 36" xfId="15719" xr:uid="{1888FCD3-84F8-480F-BD9E-B3E928C2A432}"/>
    <cellStyle name="AggOrangeLBorder 2 3 37" xfId="16320" xr:uid="{DAD82A91-0C64-486C-A496-27C6F1A36EB8}"/>
    <cellStyle name="AggOrangeLBorder 2 3 38" xfId="16970" xr:uid="{8DC61788-503B-4787-BE6A-7478ED313E7B}"/>
    <cellStyle name="AggOrangeLBorder 2 3 39" xfId="17421" xr:uid="{2879A09E-DC3F-490B-80B1-0709BEF19146}"/>
    <cellStyle name="AggOrangeLBorder 2 3 4" xfId="574" xr:uid="{A953E283-BF29-4FC5-AF9A-C44235210B41}"/>
    <cellStyle name="AggOrangeLBorder 2 3 4 10" xfId="3411" xr:uid="{3FE59C66-1B8D-4199-967F-76475DA2B5C7}"/>
    <cellStyle name="AggOrangeLBorder 2 3 4 11" xfId="5222" xr:uid="{F02A5023-D5B4-4806-85EA-475DB18BFFB4}"/>
    <cellStyle name="AggOrangeLBorder 2 3 4 12" xfId="3398" xr:uid="{EC6C4C4E-C850-479F-818F-9BFC0E4D879F}"/>
    <cellStyle name="AggOrangeLBorder 2 3 4 13" xfId="6273" xr:uid="{CBFA2F05-43F7-486B-B4E9-DF355440B844}"/>
    <cellStyle name="AggOrangeLBorder 2 3 4 14" xfId="6079" xr:uid="{A90B277A-32AE-4553-BE39-B4322B5427BD}"/>
    <cellStyle name="AggOrangeLBorder 2 3 4 15" xfId="7294" xr:uid="{7B762EFF-9974-4B40-BF2D-EB7300ABA32C}"/>
    <cellStyle name="AggOrangeLBorder 2 3 4 16" xfId="7189" xr:uid="{50C262DF-F549-42E2-8A71-17EBF02D0DAD}"/>
    <cellStyle name="AggOrangeLBorder 2 3 4 17" xfId="7669" xr:uid="{49C89806-F391-44CE-B4DD-12FE9397D50A}"/>
    <cellStyle name="AggOrangeLBorder 2 3 4 18" xfId="8725" xr:uid="{460F19D8-E7C1-4C92-8BDE-E0C3776F3720}"/>
    <cellStyle name="AggOrangeLBorder 2 3 4 19" xfId="9508" xr:uid="{D6F0FB04-2433-43AB-8F7F-442EB9D4D42D}"/>
    <cellStyle name="AggOrangeLBorder 2 3 4 2" xfId="789" xr:uid="{4E91DA4B-45E7-4F4A-83DD-F07402C3DF5F}"/>
    <cellStyle name="AggOrangeLBorder 2 3 4 2 10" xfId="5437" xr:uid="{C6905274-2527-4C0E-952A-00336213F227}"/>
    <cellStyle name="AggOrangeLBorder 2 3 4 2 11" xfId="3233" xr:uid="{5C50F7EA-E7A5-4D7B-9853-5E8AD4891842}"/>
    <cellStyle name="AggOrangeLBorder 2 3 4 2 12" xfId="4693" xr:uid="{05D4D1DD-325F-46ED-97F1-499D8156B4F9}"/>
    <cellStyle name="AggOrangeLBorder 2 3 4 2 13" xfId="6208" xr:uid="{8C3E2847-9DEE-468C-9DC9-BBF140412E4F}"/>
    <cellStyle name="AggOrangeLBorder 2 3 4 2 14" xfId="7509" xr:uid="{2AC55DBB-83AC-40E6-A999-B0E1D144B6C6}"/>
    <cellStyle name="AggOrangeLBorder 2 3 4 2 15" xfId="6957" xr:uid="{0326343B-355E-483A-9562-97D1246394DA}"/>
    <cellStyle name="AggOrangeLBorder 2 3 4 2 16" xfId="7757" xr:uid="{1E2F5D0B-DCFF-4F17-B76B-451A46548FEE}"/>
    <cellStyle name="AggOrangeLBorder 2 3 4 2 17" xfId="8771" xr:uid="{E37C1884-948F-487D-98EC-3B6CB2E186B0}"/>
    <cellStyle name="AggOrangeLBorder 2 3 4 2 18" xfId="9723" xr:uid="{EE3F38CE-7240-4882-B94F-7ACA336EA2D6}"/>
    <cellStyle name="AggOrangeLBorder 2 3 4 2 19" xfId="9309" xr:uid="{D35D223D-7EAA-4F32-BBCA-47A44ED3D005}"/>
    <cellStyle name="AggOrangeLBorder 2 3 4 2 2" xfId="1263" xr:uid="{169AD3A1-A1D3-4097-94B9-E5656E37BBBF}"/>
    <cellStyle name="AggOrangeLBorder 2 3 4 2 20" xfId="9117" xr:uid="{075F80AF-D20C-442E-8823-79DD11E716BD}"/>
    <cellStyle name="AggOrangeLBorder 2 3 4 2 21" xfId="10336" xr:uid="{DEC1876E-096B-45D8-BDAB-DB5E65A86357}"/>
    <cellStyle name="AggOrangeLBorder 2 3 4 2 22" xfId="10740" xr:uid="{2F64E0A8-6875-404A-AE53-039E8376AB1C}"/>
    <cellStyle name="AggOrangeLBorder 2 3 4 2 23" xfId="12142" xr:uid="{FFC6C778-5C7F-4ED9-AE46-CCD0DDC0ADFB}"/>
    <cellStyle name="AggOrangeLBorder 2 3 4 2 24" xfId="12615" xr:uid="{1AC5A5A5-1EE5-46B2-9E5C-BA7E99716AD2}"/>
    <cellStyle name="AggOrangeLBorder 2 3 4 2 25" xfId="13049" xr:uid="{28D9AE75-2D04-4545-B5D9-20FDDBD10539}"/>
    <cellStyle name="AggOrangeLBorder 2 3 4 2 26" xfId="13486" xr:uid="{65CEE84B-2D47-4FF2-B6BC-43AD4D140CE1}"/>
    <cellStyle name="AggOrangeLBorder 2 3 4 2 27" xfId="11648" xr:uid="{020560AB-4654-4645-BD55-4C3C06B56E90}"/>
    <cellStyle name="AggOrangeLBorder 2 3 4 2 28" xfId="11439" xr:uid="{26C70013-E436-452E-BD75-0363EE127D38}"/>
    <cellStyle name="AggOrangeLBorder 2 3 4 2 29" xfId="14352" xr:uid="{0673BC7C-5898-48F8-B952-5DA0CD74A461}"/>
    <cellStyle name="AggOrangeLBorder 2 3 4 2 3" xfId="1560" xr:uid="{8BF15D64-F85A-46EA-A1E8-120A144CCBA4}"/>
    <cellStyle name="AggOrangeLBorder 2 3 4 2 30" xfId="13654" xr:uid="{45C5CB07-B3E3-4335-B626-297BE4A0B100}"/>
    <cellStyle name="AggOrangeLBorder 2 3 4 2 31" xfId="15153" xr:uid="{9F9F85D6-C0A8-43D7-8145-02C8B02318D4}"/>
    <cellStyle name="AggOrangeLBorder 2 3 4 2 32" xfId="15586" xr:uid="{95359339-0376-4E48-8EF0-78DC0A31ED90}"/>
    <cellStyle name="AggOrangeLBorder 2 3 4 2 33" xfId="16834" xr:uid="{2E882CF5-8721-4C7D-ADA8-3B483D17C4BA}"/>
    <cellStyle name="AggOrangeLBorder 2 3 4 2 34" xfId="16276" xr:uid="{C575F71C-3797-4FCA-A7DB-674FC784107C}"/>
    <cellStyle name="AggOrangeLBorder 2 3 4 2 35" xfId="16221" xr:uid="{AE215BEB-1FD0-4BCD-B973-DE572C0F4913}"/>
    <cellStyle name="AggOrangeLBorder 2 3 4 2 36" xfId="18184" xr:uid="{9B857165-3016-4D21-B12C-BA1CD3F653E4}"/>
    <cellStyle name="AggOrangeLBorder 2 3 4 2 37" xfId="18652" xr:uid="{6843F47E-A1A4-4297-97F1-417F13031F3C}"/>
    <cellStyle name="AggOrangeLBorder 2 3 4 2 38" xfId="18917" xr:uid="{465F9D1B-130A-40F9-971D-053BC7A66024}"/>
    <cellStyle name="AggOrangeLBorder 2 3 4 2 39" xfId="18075" xr:uid="{D2F4B807-6575-4E19-8E94-89EA1CB58A15}"/>
    <cellStyle name="AggOrangeLBorder 2 3 4 2 4" xfId="2611" xr:uid="{00945495-A3AD-4068-84DB-94CBA47475B9}"/>
    <cellStyle name="AggOrangeLBorder 2 3 4 2 40" xfId="20171" xr:uid="{7836A94D-FAC0-4813-A988-B02F8A207844}"/>
    <cellStyle name="AggOrangeLBorder 2 3 4 2 41" xfId="19511" xr:uid="{7C455DCC-62D2-4156-A3AE-4C7110F654F2}"/>
    <cellStyle name="AggOrangeLBorder 2 3 4 2 42" xfId="20766" xr:uid="{64CBAB73-AFD5-4A39-AACD-38CDDB277426}"/>
    <cellStyle name="AggOrangeLBorder 2 3 4 2 43" xfId="21456" xr:uid="{6090004D-2895-4361-A5BD-5E51CF7EFCF6}"/>
    <cellStyle name="AggOrangeLBorder 2 3 4 2 44" xfId="20963" xr:uid="{F84CAF29-17A9-4E4B-ABB7-CFAE76225A1F}"/>
    <cellStyle name="AggOrangeLBorder 2 3 4 2 45" xfId="19603" xr:uid="{FA384106-5B27-421F-A677-45AD7EEAF9CD}"/>
    <cellStyle name="AggOrangeLBorder 2 3 4 2 46" xfId="22304" xr:uid="{CA88F9E0-4DC2-4762-A652-0193D926D7D9}"/>
    <cellStyle name="AggOrangeLBorder 2 3 4 2 47" xfId="23199" xr:uid="{5C8907CF-A073-4792-A931-3285A92CC301}"/>
    <cellStyle name="AggOrangeLBorder 2 3 4 2 48" xfId="23192" xr:uid="{A8D590CE-19FB-4059-B63D-F2F1040296BF}"/>
    <cellStyle name="AggOrangeLBorder 2 3 4 2 49" xfId="23971" xr:uid="{B9E3DC3D-64A0-4017-AFD3-79F7C1ABA5A0}"/>
    <cellStyle name="AggOrangeLBorder 2 3 4 2 5" xfId="2727" xr:uid="{D1264C8A-74D7-47D8-B7C5-190D5B050731}"/>
    <cellStyle name="AggOrangeLBorder 2 3 4 2 50" xfId="24879" xr:uid="{FA0FBFAE-91FD-48E3-8E20-2574878E8132}"/>
    <cellStyle name="AggOrangeLBorder 2 3 4 2 51" xfId="24226" xr:uid="{415063DE-5DF8-4B19-87CB-972501DAC52A}"/>
    <cellStyle name="AggOrangeLBorder 2 3 4 2 52" xfId="25795" xr:uid="{908922C1-ECCA-4DCA-B4D6-5A76E77A5F58}"/>
    <cellStyle name="AggOrangeLBorder 2 3 4 2 53" xfId="25329" xr:uid="{F0123780-9E96-4FE3-9618-8605C470D9BC}"/>
    <cellStyle name="AggOrangeLBorder 2 3 4 2 54" xfId="26269" xr:uid="{9027F325-1AF0-48FF-AA31-566F393A8CAA}"/>
    <cellStyle name="AggOrangeLBorder 2 3 4 2 55" xfId="27083" xr:uid="{5BACA9F0-BBFE-4207-B504-C693C758C7E7}"/>
    <cellStyle name="AggOrangeLBorder 2 3 4 2 56" xfId="27502" xr:uid="{792F4F60-56E2-42E8-84C3-4EC2C26ECA94}"/>
    <cellStyle name="AggOrangeLBorder 2 3 4 2 57" xfId="26342" xr:uid="{21475B0C-2C5B-4416-86B1-0A630F6E69B8}"/>
    <cellStyle name="AggOrangeLBorder 2 3 4 2 58" xfId="28629" xr:uid="{396F2F60-2335-4F35-A9A7-FF1D9E0482B5}"/>
    <cellStyle name="AggOrangeLBorder 2 3 4 2 59" xfId="29096" xr:uid="{778FAA2F-9880-4415-8068-AB4C4CEEB08E}"/>
    <cellStyle name="AggOrangeLBorder 2 3 4 2 6" xfId="1839" xr:uid="{50FA5A05-BC4E-468E-8658-19CCE006193A}"/>
    <cellStyle name="AggOrangeLBorder 2 3 4 2 60" xfId="28128" xr:uid="{31ABA8AE-2499-49FE-9B9F-100F56FD382D}"/>
    <cellStyle name="AggOrangeLBorder 2 3 4 2 61" xfId="29885" xr:uid="{3EC74A9F-88A5-4B5D-B239-154A6E051662}"/>
    <cellStyle name="AggOrangeLBorder 2 3 4 2 62" xfId="30291" xr:uid="{589D4FD1-EB64-4BE7-81AB-811A37548A32}"/>
    <cellStyle name="AggOrangeLBorder 2 3 4 2 63" xfId="30708" xr:uid="{805B09B0-29C8-4588-8DE6-C1AADA99A31A}"/>
    <cellStyle name="AggOrangeLBorder 2 3 4 2 64" xfId="31002" xr:uid="{196DDC8E-3F60-490C-872A-DFFC560D1412}"/>
    <cellStyle name="AggOrangeLBorder 2 3 4 2 65" xfId="31324" xr:uid="{DDC4BFAB-D75E-4E19-9B46-421FF26E002B}"/>
    <cellStyle name="AggOrangeLBorder 2 3 4 2 66" xfId="32015" xr:uid="{8435E0CB-019E-47DB-8EC0-3BF86057AFCF}"/>
    <cellStyle name="AggOrangeLBorder 2 3 4 2 67" xfId="31702" xr:uid="{9E07D8F6-34B3-41A9-BBDE-61BCA2A19BFA}"/>
    <cellStyle name="AggOrangeLBorder 2 3 4 2 7" xfId="4107" xr:uid="{918EC8B4-7E12-4AE7-8162-B04745389DFA}"/>
    <cellStyle name="AggOrangeLBorder 2 3 4 2 8" xfId="4544" xr:uid="{E38EF5EC-6FCE-4F89-8FD6-CBD7B3831D0A}"/>
    <cellStyle name="AggOrangeLBorder 2 3 4 2 9" xfId="4239" xr:uid="{CEC6775F-B642-44FD-8F5E-8E5FD0E03D1F}"/>
    <cellStyle name="AggOrangeLBorder 2 3 4 20" xfId="9402" xr:uid="{585266B5-5215-4FD0-BCCC-05D851DC7391}"/>
    <cellStyle name="AggOrangeLBorder 2 3 4 21" xfId="9097" xr:uid="{1D67A7EA-8E13-4859-9C40-4A3C60C5B635}"/>
    <cellStyle name="AggOrangeLBorder 2 3 4 22" xfId="10926" xr:uid="{F6C68A8B-D90C-4215-BC3E-8C437BC158F8}"/>
    <cellStyle name="AggOrangeLBorder 2 3 4 23" xfId="11201" xr:uid="{02559A80-ED24-49CF-97A5-926E12DBBDEA}"/>
    <cellStyle name="AggOrangeLBorder 2 3 4 24" xfId="11927" xr:uid="{E0C0FD69-DDEB-47E6-B1EC-1B15937213F3}"/>
    <cellStyle name="AggOrangeLBorder 2 3 4 25" xfId="12400" xr:uid="{6DD6DC8F-73FC-4E61-83B5-BAE4BAA7E6DC}"/>
    <cellStyle name="AggOrangeLBorder 2 3 4 26" xfId="12834" xr:uid="{F9F85A77-B44E-48BD-AFD3-2E8A6929D796}"/>
    <cellStyle name="AggOrangeLBorder 2 3 4 27" xfId="13271" xr:uid="{455A4C88-E9B6-411B-ACEE-BDE8DB37ACF5}"/>
    <cellStyle name="AggOrangeLBorder 2 3 4 28" xfId="13960" xr:uid="{0EB8181C-E12A-45F2-B025-F7C4F811A59F}"/>
    <cellStyle name="AggOrangeLBorder 2 3 4 29" xfId="14285" xr:uid="{34D9C03C-3486-4961-9FCD-A042AF34D053}"/>
    <cellStyle name="AggOrangeLBorder 2 3 4 3" xfId="1057" xr:uid="{3F541256-B0A3-41B1-8657-68663D0758DD}"/>
    <cellStyle name="AggOrangeLBorder 2 3 4 30" xfId="12727" xr:uid="{C9BB0365-5DE4-4434-87F8-7C17973D0126}"/>
    <cellStyle name="AggOrangeLBorder 2 3 4 31" xfId="14944" xr:uid="{76EBA886-86A7-4F91-BEBF-3D8801D59BF0}"/>
    <cellStyle name="AggOrangeLBorder 2 3 4 32" xfId="15352" xr:uid="{0963B22E-E4D8-4C18-9599-D2C706847FD4}"/>
    <cellStyle name="AggOrangeLBorder 2 3 4 33" xfId="15427" xr:uid="{803FAB03-88F3-4B3E-BDC7-E73A96834B6E}"/>
    <cellStyle name="AggOrangeLBorder 2 3 4 34" xfId="16619" xr:uid="{08A859F5-2F12-4402-9D25-EF7511C7C5F4}"/>
    <cellStyle name="AggOrangeLBorder 2 3 4 35" xfId="16511" xr:uid="{395D39B3-6814-45A8-8C92-A57A64C664E7}"/>
    <cellStyle name="AggOrangeLBorder 2 3 4 36" xfId="16200" xr:uid="{E0B5E718-2A0E-4CA5-A092-24CCB2BC231C}"/>
    <cellStyle name="AggOrangeLBorder 2 3 4 37" xfId="17677" xr:uid="{ACE99942-629C-49FE-8679-97AC418E2354}"/>
    <cellStyle name="AggOrangeLBorder 2 3 4 38" xfId="18437" xr:uid="{995BFC55-4E4E-41EA-AA8E-21A8D544531F}"/>
    <cellStyle name="AggOrangeLBorder 2 3 4 39" xfId="19060" xr:uid="{22518966-4C68-4A18-934F-BA659DBE3BCA}"/>
    <cellStyle name="AggOrangeLBorder 2 3 4 4" xfId="1600" xr:uid="{867631B8-BA93-49AD-B8F2-47AB8948BB27}"/>
    <cellStyle name="AggOrangeLBorder 2 3 4 40" xfId="19316" xr:uid="{10D6C2A1-F385-4734-AE44-506C7DEFB460}"/>
    <cellStyle name="AggOrangeLBorder 2 3 4 41" xfId="19956" xr:uid="{6630C93C-DA34-42D8-BE74-2B95B1BE2202}"/>
    <cellStyle name="AggOrangeLBorder 2 3 4 42" xfId="19847" xr:uid="{4970E3C7-9069-4420-8094-05D0267E3351}"/>
    <cellStyle name="AggOrangeLBorder 2 3 4 43" xfId="19780" xr:uid="{DD3F2B21-3D57-4DC1-A7B3-6CA093EE6A38}"/>
    <cellStyle name="AggOrangeLBorder 2 3 4 44" xfId="21287" xr:uid="{2FF4B443-C121-4206-8892-01588D8A9C90}"/>
    <cellStyle name="AggOrangeLBorder 2 3 4 45" xfId="21676" xr:uid="{3B5DFB20-6767-4564-BF54-74612DDBAEE5}"/>
    <cellStyle name="AggOrangeLBorder 2 3 4 46" xfId="22115" xr:uid="{EC918C88-74DE-401E-A32E-1845C9E6CB71}"/>
    <cellStyle name="AggOrangeLBorder 2 3 4 47" xfId="22933" xr:uid="{4F73F256-27E1-4AAA-9143-60F6E515C23A}"/>
    <cellStyle name="AggOrangeLBorder 2 3 4 48" xfId="23337" xr:uid="{D4EAE699-0ACA-4B30-BADE-CD2454C09F82}"/>
    <cellStyle name="AggOrangeLBorder 2 3 4 49" xfId="23493" xr:uid="{B43F07E5-3DA9-4EA8-9712-DF90C3B01671}"/>
    <cellStyle name="AggOrangeLBorder 2 3 4 5" xfId="2396" xr:uid="{BFE67C4A-89FC-4F53-B50F-395D18CD322C}"/>
    <cellStyle name="AggOrangeLBorder 2 3 4 50" xfId="23765" xr:uid="{D395C475-B069-4168-BC44-45579C928316}"/>
    <cellStyle name="AggOrangeLBorder 2 3 4 51" xfId="24664" xr:uid="{354A906C-FB1B-451B-9ADA-282F0C9DD61E}"/>
    <cellStyle name="AggOrangeLBorder 2 3 4 52" xfId="24549" xr:uid="{6B6AEB76-194D-448C-948B-031BAE08EAC7}"/>
    <cellStyle name="AggOrangeLBorder 2 3 4 53" xfId="25582" xr:uid="{3E0D1E80-CC88-4A11-91F7-8284CBA6F46C}"/>
    <cellStyle name="AggOrangeLBorder 2 3 4 54" xfId="26049" xr:uid="{14B7AD2D-404B-49E3-8AFD-288D0123E116}"/>
    <cellStyle name="AggOrangeLBorder 2 3 4 55" xfId="26558" xr:uid="{4A148E34-CDF1-4EE3-B0AE-CD07581B88B1}"/>
    <cellStyle name="AggOrangeLBorder 2 3 4 56" xfId="26872" xr:uid="{216649A7-98C8-48C7-BC44-22F0BFC7BEF0}"/>
    <cellStyle name="AggOrangeLBorder 2 3 4 57" xfId="27291" xr:uid="{BCA60F78-6A4C-4D36-A320-8BBA67A73C62}"/>
    <cellStyle name="AggOrangeLBorder 2 3 4 58" xfId="27808" xr:uid="{B5BA26DA-36A3-44A4-BCE0-57747E256F7F}"/>
    <cellStyle name="AggOrangeLBorder 2 3 4 59" xfId="28414" xr:uid="{92AD8D4F-E933-4C7E-92E3-4A24EE50DC80}"/>
    <cellStyle name="AggOrangeLBorder 2 3 4 6" xfId="3129" xr:uid="{27DF5050-4977-4322-BEF5-809F952CA672}"/>
    <cellStyle name="AggOrangeLBorder 2 3 4 60" xfId="28882" xr:uid="{252E0C82-727A-4009-A1C9-868913FB041A}"/>
    <cellStyle name="AggOrangeLBorder 2 3 4 61" xfId="28098" xr:uid="{14A83B26-C941-4A2E-B345-81CD4881878E}"/>
    <cellStyle name="AggOrangeLBorder 2 3 4 62" xfId="29672" xr:uid="{EBFBE304-0FA8-4622-93A3-44F7D64BCD09}"/>
    <cellStyle name="AggOrangeLBorder 2 3 4 63" xfId="30080" xr:uid="{C2CFF43E-F96B-4A33-8066-EC6DCB61F4A9}"/>
    <cellStyle name="AggOrangeLBorder 2 3 4 64" xfId="30494" xr:uid="{CAD91F49-8497-4B05-A6B6-C7563556C19A}"/>
    <cellStyle name="AggOrangeLBorder 2 3 4 65" xfId="30987" xr:uid="{2887CBEE-B889-47D8-97F7-6EB8A2EB5735}"/>
    <cellStyle name="AggOrangeLBorder 2 3 4 66" xfId="31118" xr:uid="{32B98C43-BBF1-4271-8E1B-E159A44D9490}"/>
    <cellStyle name="AggOrangeLBorder 2 3 4 67" xfId="31804" xr:uid="{D9DD9DDA-EA9F-4465-ACB5-B7C1D00D5446}"/>
    <cellStyle name="AggOrangeLBorder 2 3 4 68" xfId="32306" xr:uid="{B502B26D-E2D2-4D3B-BD9F-339647EAF402}"/>
    <cellStyle name="AggOrangeLBorder 2 3 4 7" xfId="3377" xr:uid="{27D980F3-FD12-4C90-AFFA-4FEB23E28C66}"/>
    <cellStyle name="AggOrangeLBorder 2 3 4 8" xfId="3892" xr:uid="{63CB8F59-50A5-4BF4-AEA4-1760C7E0B3A6}"/>
    <cellStyle name="AggOrangeLBorder 2 3 4 9" xfId="4330" xr:uid="{8D748E43-BC67-45FC-8633-85B643993735}"/>
    <cellStyle name="AggOrangeLBorder 2 3 40" xfId="17065" xr:uid="{CB368766-F323-408B-8F90-7DF9ED2BEA86}"/>
    <cellStyle name="AggOrangeLBorder 2 3 41" xfId="16992" xr:uid="{5B2364A2-E4B3-4C9A-8F0D-A2A3AA5BA371}"/>
    <cellStyle name="AggOrangeLBorder 2 3 42" xfId="18972" xr:uid="{4813948F-3E8A-4D05-B30A-F9A71ADCFA28}"/>
    <cellStyle name="AggOrangeLBorder 2 3 43" xfId="18177" xr:uid="{4C9B40CA-2E2F-4B46-A215-E82355488006}"/>
    <cellStyle name="AggOrangeLBorder 2 3 44" xfId="19653" xr:uid="{98F93D91-5E60-4280-ACAA-5F79D27FE3EF}"/>
    <cellStyle name="AggOrangeLBorder 2 3 45" xfId="20317" xr:uid="{1704B468-A6C1-43AA-8104-0ED1575CEF41}"/>
    <cellStyle name="AggOrangeLBorder 2 3 46" xfId="20773" xr:uid="{DC2EE67E-861F-419C-8353-34EB237B9F13}"/>
    <cellStyle name="AggOrangeLBorder 2 3 47" xfId="21390" xr:uid="{31F25744-97ED-4C7B-A4C6-1EB493998A46}"/>
    <cellStyle name="AggOrangeLBorder 2 3 48" xfId="19752" xr:uid="{4671EB4E-001E-4A02-99B6-D761460AEFBE}"/>
    <cellStyle name="AggOrangeLBorder 2 3 49" xfId="21868" xr:uid="{FB41F498-1233-4C33-AAEC-520D77B17AD8}"/>
    <cellStyle name="AggOrangeLBorder 2 3 5" xfId="694" xr:uid="{076DE6C4-B3F0-423C-8D76-041B49EABAFE}"/>
    <cellStyle name="AggOrangeLBorder 2 3 5 2" xfId="5342" xr:uid="{8DBF9C98-B836-4971-9941-25E0DEF6F3AA}"/>
    <cellStyle name="AggOrangeLBorder 2 3 5 3" xfId="18758" xr:uid="{62F5CED3-EF75-40CC-8994-9346D1A51FE8}"/>
    <cellStyle name="AggOrangeLBorder 2 3 50" xfId="22930" xr:uid="{1449E838-3729-4B98-BB38-A2C411DB97B8}"/>
    <cellStyle name="AggOrangeLBorder 2 3 51" xfId="23258" xr:uid="{E074C477-1775-47B4-B878-D2BC2CA17FF6}"/>
    <cellStyle name="AggOrangeLBorder 2 3 52" xfId="21916" xr:uid="{0C46AFAF-5709-4CD9-97CA-85E150C7FA82}"/>
    <cellStyle name="AggOrangeLBorder 2 3 53" xfId="22989" xr:uid="{205D4969-159A-4226-96D2-E7A506A017B0}"/>
    <cellStyle name="AggOrangeLBorder 2 3 54" xfId="24373" xr:uid="{EC86F286-3093-42C1-A2F4-2166C5112388}"/>
    <cellStyle name="AggOrangeLBorder 2 3 55" xfId="24320" xr:uid="{999B7554-E7CF-4757-98FF-C97741FF7455}"/>
    <cellStyle name="AggOrangeLBorder 2 3 56" xfId="24357" xr:uid="{CD2ABBA0-134C-4BAF-A4E2-FCED42967530}"/>
    <cellStyle name="AggOrangeLBorder 2 3 57" xfId="24588" xr:uid="{722BFC14-42D0-4102-A195-415A1AA42A26}"/>
    <cellStyle name="AggOrangeLBorder 2 3 58" xfId="24483" xr:uid="{E4852E2B-7D7F-4CB5-9B07-D58F716993EF}"/>
    <cellStyle name="AggOrangeLBorder 2 3 59" xfId="25097" xr:uid="{94C21798-C0CF-4730-9E8F-D0A88ED9AF48}"/>
    <cellStyle name="AggOrangeLBorder 2 3 6" xfId="946" xr:uid="{96C4FF16-1A65-4559-AA0A-07DD8AE3D080}"/>
    <cellStyle name="AggOrangeLBorder 2 3 60" xfId="26806" xr:uid="{F2764E68-AD8C-4627-A644-99E902F1CD3D}"/>
    <cellStyle name="AggOrangeLBorder 2 3 61" xfId="26393" xr:uid="{4E144641-804F-428F-967F-ABB3398C3ADA}"/>
    <cellStyle name="AggOrangeLBorder 2 3 62" xfId="28144" xr:uid="{33EF023D-6085-44EF-A4E3-03BAA829564C}"/>
    <cellStyle name="AggOrangeLBorder 2 3 63" xfId="28268" xr:uid="{DAA15435-0BB3-43F6-8513-F9EF4EA7B143}"/>
    <cellStyle name="AggOrangeLBorder 2 3 64" xfId="28242" xr:uid="{C7AAC026-240D-4CB8-86EF-B9ACE46B535C}"/>
    <cellStyle name="AggOrangeLBorder 2 3 65" xfId="28817" xr:uid="{58F82F8F-DF0E-42D2-AE52-1AED51DD4401}"/>
    <cellStyle name="AggOrangeLBorder 2 3 66" xfId="28232" xr:uid="{B83DC031-9C54-4E93-8CEB-D702A7DEAA3E}"/>
    <cellStyle name="AggOrangeLBorder 2 3 67" xfId="30202" xr:uid="{37A03830-67AA-406D-A5AB-DC0BFE3BA48B}"/>
    <cellStyle name="AggOrangeLBorder 2 3 68" xfId="27933" xr:uid="{959D7265-CF65-4E1D-A75D-38BD7A659962}"/>
    <cellStyle name="AggOrangeLBorder 2 3 69" xfId="30935" xr:uid="{D9137357-B60A-4F8F-9FED-5E8E5C46DDAA}"/>
    <cellStyle name="AggOrangeLBorder 2 3 7" xfId="1589" xr:uid="{50255718-0DD7-4555-9AC4-EA65D0C4B6C1}"/>
    <cellStyle name="AggOrangeLBorder 2 3 70" xfId="31596" xr:uid="{3A1B385D-F863-4847-B491-DCD74A13CC32}"/>
    <cellStyle name="AggOrangeLBorder 2 3 71" xfId="31927" xr:uid="{0AD3DAA9-94A0-4B3B-96CB-B889673EDACD}"/>
    <cellStyle name="AggOrangeLBorder 2 3 8" xfId="2093" xr:uid="{C69229FA-BC25-470F-BC59-3DEA5DF7C01C}"/>
    <cellStyle name="AggOrangeLBorder 2 3 9" xfId="3125" xr:uid="{70C48C99-24E6-47C3-9BD6-E740381DC0C6}"/>
    <cellStyle name="AggOrangeLBorder 3" xfId="410" xr:uid="{C1908E62-12C2-473A-8694-8302058E3F10}"/>
    <cellStyle name="AggOrangeLBorder 3 2" xfId="2213" xr:uid="{C0748E5E-101B-4332-AC16-21ABA144EC7A}"/>
    <cellStyle name="AggOrangeLBorder 3 3" xfId="18863" xr:uid="{E18DA9BE-5737-44A8-B730-BC37121960B1}"/>
    <cellStyle name="AggOrangeLBorder 4" xfId="268" xr:uid="{BA9CC048-045E-467E-807B-AFF08F0CA33D}"/>
    <cellStyle name="AggOrangeLBorder 4 10" xfId="3251" xr:uid="{E61DA5CF-8A2F-42F0-956F-E91D13CC71E2}"/>
    <cellStyle name="AggOrangeLBorder 4 11" xfId="2004" xr:uid="{113167FD-3FE2-4BB2-95FB-581E40DD178E}"/>
    <cellStyle name="AggOrangeLBorder 4 12" xfId="3623" xr:uid="{6EB237D6-4A7C-4338-8DB4-7DB8B12F3054}"/>
    <cellStyle name="AggOrangeLBorder 4 13" xfId="3548" xr:uid="{DA24C981-BF93-401A-A2EA-BFA7084E45A7}"/>
    <cellStyle name="AggOrangeLBorder 4 14" xfId="2295" xr:uid="{DBBCDB13-E591-40CA-BE2B-D5E7DF63B3C5}"/>
    <cellStyle name="AggOrangeLBorder 4 15" xfId="4653" xr:uid="{7C136181-3AF6-4A82-BB07-F337420C012A}"/>
    <cellStyle name="AggOrangeLBorder 4 16" xfId="5589" xr:uid="{0FB6667E-086A-4898-9AE1-82463B4B03EB}"/>
    <cellStyle name="AggOrangeLBorder 4 17" xfId="5977" xr:uid="{2B161F5C-F2EF-4DF2-9DE6-C77131ADC66D}"/>
    <cellStyle name="AggOrangeLBorder 4 18" xfId="6998" xr:uid="{06F09126-8F43-4BA8-8657-D82B2A90A9A0}"/>
    <cellStyle name="AggOrangeLBorder 4 19" xfId="7643" xr:uid="{4E8C95F9-39E7-4468-A9DF-02AFF38ED272}"/>
    <cellStyle name="AggOrangeLBorder 4 2" xfId="607" xr:uid="{3761E87B-B348-4352-8869-D79966437C99}"/>
    <cellStyle name="AggOrangeLBorder 4 2 10" xfId="2517" xr:uid="{4C060662-0DFA-4BBE-AF58-B22B6F7782E0}"/>
    <cellStyle name="AggOrangeLBorder 4 2 11" xfId="5255" xr:uid="{35914B71-E4AF-4F87-B14E-F9BA563F358B}"/>
    <cellStyle name="AggOrangeLBorder 4 2 12" xfId="5698" xr:uid="{A6E4C179-A7B1-4546-BAC8-99EB6F787FC4}"/>
    <cellStyle name="AggOrangeLBorder 4 2 13" xfId="6145" xr:uid="{6B36750C-CECE-4516-9985-4A4CF8C9D773}"/>
    <cellStyle name="AggOrangeLBorder 4 2 14" xfId="6539" xr:uid="{798438A6-DAA5-4E48-88BF-6A86C6B3FAD0}"/>
    <cellStyle name="AggOrangeLBorder 4 2 15" xfId="7327" xr:uid="{00076814-55C2-44DA-911B-43FCF0E6B1FF}"/>
    <cellStyle name="AggOrangeLBorder 4 2 16" xfId="7732" xr:uid="{6586F1E2-2946-45C0-9EB8-9784614FDC15}"/>
    <cellStyle name="AggOrangeLBorder 4 2 17" xfId="8569" xr:uid="{F3F2C3CC-8A80-487F-91D1-C82AA27D1CAD}"/>
    <cellStyle name="AggOrangeLBorder 4 2 18" xfId="8753" xr:uid="{60E2BA70-4E9B-4C84-8A08-E3A33F19BD95}"/>
    <cellStyle name="AggOrangeLBorder 4 2 19" xfId="9541" xr:uid="{FE741632-43E1-4B31-B316-A6F73A490503}"/>
    <cellStyle name="AggOrangeLBorder 4 2 2" xfId="822" xr:uid="{3C7200B8-0D32-40DD-A098-8AA7EA5A3D17}"/>
    <cellStyle name="AggOrangeLBorder 4 2 2 10" xfId="5470" xr:uid="{2680D734-9B7A-4686-B8D8-689CF79A43DA}"/>
    <cellStyle name="AggOrangeLBorder 4 2 2 11" xfId="5919" xr:uid="{C4FFEF42-EA65-42FF-9474-578009388447}"/>
    <cellStyle name="AggOrangeLBorder 4 2 2 12" xfId="5826" xr:uid="{17454B56-AE0F-446B-86E6-2181D3D0723E}"/>
    <cellStyle name="AggOrangeLBorder 4 2 2 13" xfId="6503" xr:uid="{AE5727E1-F21B-4FA0-A8BC-103B7D29C01B}"/>
    <cellStyle name="AggOrangeLBorder 4 2 2 14" xfId="7542" xr:uid="{8348FDFF-3D3B-4052-8A9E-5F3310D5EBF8}"/>
    <cellStyle name="AggOrangeLBorder 4 2 2 15" xfId="7108" xr:uid="{80F70E44-25C0-484E-833E-DA0054E60340}"/>
    <cellStyle name="AggOrangeLBorder 4 2 2 16" xfId="8509" xr:uid="{0AF895AB-6933-4CF9-AFA7-7414400A6C5F}"/>
    <cellStyle name="AggOrangeLBorder 4 2 2 17" xfId="8280" xr:uid="{5189340A-A0EA-4D1B-A19C-29E3F77B1A9E}"/>
    <cellStyle name="AggOrangeLBorder 4 2 2 18" xfId="9756" xr:uid="{38D69B04-DCC0-442B-8477-264B95029143}"/>
    <cellStyle name="AggOrangeLBorder 4 2 2 19" xfId="9194" xr:uid="{128D3D18-C17B-4433-A205-5C0F4FAE165B}"/>
    <cellStyle name="AggOrangeLBorder 4 2 2 2" xfId="1296" xr:uid="{63E1B6EC-A380-4DB6-8CEB-045DB567F4F5}"/>
    <cellStyle name="AggOrangeLBorder 4 2 2 20" xfId="9393" xr:uid="{A4D1B60E-8811-4E75-9A57-2FE6E7E435B7}"/>
    <cellStyle name="AggOrangeLBorder 4 2 2 21" xfId="9870" xr:uid="{8F909A8F-8BC6-4116-97C4-19881A3B23FA}"/>
    <cellStyle name="AggOrangeLBorder 4 2 2 22" xfId="11103" xr:uid="{970E1BE5-C20D-4A33-BC52-616B0A944634}"/>
    <cellStyle name="AggOrangeLBorder 4 2 2 23" xfId="12175" xr:uid="{AB9A764B-E8C0-4576-AB91-FC58E78BE30F}"/>
    <cellStyle name="AggOrangeLBorder 4 2 2 24" xfId="12648" xr:uid="{E150B314-E028-4A1B-9F56-3DCB1900024D}"/>
    <cellStyle name="AggOrangeLBorder 4 2 2 25" xfId="13082" xr:uid="{333C1BF3-3A66-4073-A232-16AD201140B8}"/>
    <cellStyle name="AggOrangeLBorder 4 2 2 26" xfId="13519" xr:uid="{3192E4CD-33D1-409E-B6DF-2723AC70D904}"/>
    <cellStyle name="AggOrangeLBorder 4 2 2 27" xfId="11552" xr:uid="{2F0F61B4-BA82-4B04-9DB1-42939FCA1491}"/>
    <cellStyle name="AggOrangeLBorder 4 2 2 28" xfId="14329" xr:uid="{310B7627-C392-47D4-BD06-800ED5185C43}"/>
    <cellStyle name="AggOrangeLBorder 4 2 2 29" xfId="14361" xr:uid="{B318578A-9F46-47F3-A239-458D0FF1FD14}"/>
    <cellStyle name="AggOrangeLBorder 4 2 2 3" xfId="1416" xr:uid="{7EB6326D-796E-42FA-8FB9-7E60842193B9}"/>
    <cellStyle name="AggOrangeLBorder 4 2 2 30" xfId="14999" xr:uid="{8127912A-5426-4499-B281-383525C91178}"/>
    <cellStyle name="AggOrangeLBorder 4 2 2 31" xfId="15636" xr:uid="{D5AECFA5-171E-443C-8F3B-B15201437AA0}"/>
    <cellStyle name="AggOrangeLBorder 4 2 2 32" xfId="15585" xr:uid="{EE3E1243-10E6-4488-9E85-055C3CF039CD}"/>
    <cellStyle name="AggOrangeLBorder 4 2 2 33" xfId="16867" xr:uid="{ED4CE636-3A5E-475F-9DA7-5EF88AFE24FC}"/>
    <cellStyle name="AggOrangeLBorder 4 2 2 34" xfId="16430" xr:uid="{3AE82AB5-9ABE-46E8-B979-0B2226BE237C}"/>
    <cellStyle name="AggOrangeLBorder 4 2 2 35" xfId="16958" xr:uid="{6797B309-AA7A-4FA2-B76D-DF1408F1B756}"/>
    <cellStyle name="AggOrangeLBorder 4 2 2 36" xfId="17879" xr:uid="{6BF13AE4-113E-4A56-B61B-4B2D32C13B56}"/>
    <cellStyle name="AggOrangeLBorder 4 2 2 37" xfId="18685" xr:uid="{EF705D96-A49B-49AA-A803-5B75173AA7DE}"/>
    <cellStyle name="AggOrangeLBorder 4 2 2 38" xfId="17947" xr:uid="{9080E580-BA35-4BCD-B922-3F0F37C7DBF2}"/>
    <cellStyle name="AggOrangeLBorder 4 2 2 39" xfId="17273" xr:uid="{0C6E36D1-F3EF-426B-9A0B-E37103748BCF}"/>
    <cellStyle name="AggOrangeLBorder 4 2 2 4" xfId="2644" xr:uid="{AC5FD24F-D27A-4660-B564-9C151FB8A854}"/>
    <cellStyle name="AggOrangeLBorder 4 2 2 40" xfId="20204" xr:uid="{7EA7AD1C-FEA7-4F55-BC5B-78BD8EE8221E}"/>
    <cellStyle name="AggOrangeLBorder 4 2 2 41" xfId="19472" xr:uid="{FB5F11CB-8F20-4602-9373-1CC2E8BE6655}"/>
    <cellStyle name="AggOrangeLBorder 4 2 2 42" xfId="19520" xr:uid="{7EB422EE-849E-4BEE-B6F8-630FED51AAF8}"/>
    <cellStyle name="AggOrangeLBorder 4 2 2 43" xfId="21505" xr:uid="{4A4D59E8-1DC4-404E-B322-957D1404F21C}"/>
    <cellStyle name="AggOrangeLBorder 4 2 2 44" xfId="20624" xr:uid="{818472C9-5B24-4990-8B29-83C930A12F0C}"/>
    <cellStyle name="AggOrangeLBorder 4 2 2 45" xfId="21266" xr:uid="{39DF498D-7BB5-4B00-ACDB-BF0E99DFD81F}"/>
    <cellStyle name="AggOrangeLBorder 4 2 2 46" xfId="21269" xr:uid="{D19F03FE-77DC-4853-B8A1-D253E56A9F01}"/>
    <cellStyle name="AggOrangeLBorder 4 2 2 47" xfId="22986" xr:uid="{23913B2A-653B-47CB-AD3A-954FC1A2745C}"/>
    <cellStyle name="AggOrangeLBorder 4 2 2 48" xfId="23402" xr:uid="{1E4AFE69-1017-4D68-B098-967A5317328B}"/>
    <cellStyle name="AggOrangeLBorder 4 2 2 49" xfId="24004" xr:uid="{47C999BE-D7F5-4E3E-B9B4-C78C37FB67E3}"/>
    <cellStyle name="AggOrangeLBorder 4 2 2 5" xfId="2275" xr:uid="{33946D93-FAE5-4754-A955-B98DC9719462}"/>
    <cellStyle name="AggOrangeLBorder 4 2 2 50" xfId="24912" xr:uid="{384C6FD5-0AEE-474A-9596-0573AF40EF9E}"/>
    <cellStyle name="AggOrangeLBorder 4 2 2 51" xfId="24307" xr:uid="{BA86C758-193F-45C8-813B-41F48C3FFD0C}"/>
    <cellStyle name="AggOrangeLBorder 4 2 2 52" xfId="25828" xr:uid="{7FA4083F-1CC7-4264-A946-6C293220FC9E}"/>
    <cellStyle name="AggOrangeLBorder 4 2 2 53" xfId="25474" xr:uid="{897EB9A3-B0CB-451A-A196-7F0AAA01A62E}"/>
    <cellStyle name="AggOrangeLBorder 4 2 2 54" xfId="26616" xr:uid="{5BDDDD58-2A8C-4859-A032-7CE51BA6B69F}"/>
    <cellStyle name="AggOrangeLBorder 4 2 2 55" xfId="27116" xr:uid="{929F2A6E-7C68-4E75-9821-86131A65C024}"/>
    <cellStyle name="AggOrangeLBorder 4 2 2 56" xfId="27535" xr:uid="{3410560F-969D-4001-A610-03171D30DA1F}"/>
    <cellStyle name="AggOrangeLBorder 4 2 2 57" xfId="27210" xr:uid="{1938B729-DF8F-4B1E-AB60-040ECEDC53D0}"/>
    <cellStyle name="AggOrangeLBorder 4 2 2 58" xfId="28662" xr:uid="{7A0A65AC-4949-49F7-87F6-38181A2AF5C4}"/>
    <cellStyle name="AggOrangeLBorder 4 2 2 59" xfId="29129" xr:uid="{5C55B400-EC19-471D-B161-11D00B3F3D1E}"/>
    <cellStyle name="AggOrangeLBorder 4 2 2 6" xfId="3541" xr:uid="{D0C911C6-604A-4870-97E4-0F777E35F942}"/>
    <cellStyle name="AggOrangeLBorder 4 2 2 60" xfId="28319" xr:uid="{E4481871-B60C-494B-BF02-F5DBF82C8067}"/>
    <cellStyle name="AggOrangeLBorder 4 2 2 61" xfId="29918" xr:uid="{11B1828E-9AEB-48F1-B324-F3BF3008EAFA}"/>
    <cellStyle name="AggOrangeLBorder 4 2 2 62" xfId="30324" xr:uid="{6A1F4782-56DF-4948-9AC7-01FCA5E45261}"/>
    <cellStyle name="AggOrangeLBorder 4 2 2 63" xfId="30741" xr:uid="{A085F92F-0BA0-4700-8769-5C4115A76445}"/>
    <cellStyle name="AggOrangeLBorder 4 2 2 64" xfId="30833" xr:uid="{352E5617-0D6C-4984-9E6E-7C9DE113EFC2}"/>
    <cellStyle name="AggOrangeLBorder 4 2 2 65" xfId="31357" xr:uid="{E51E21C4-500C-4473-BEDE-1787FD238E54}"/>
    <cellStyle name="AggOrangeLBorder 4 2 2 66" xfId="32048" xr:uid="{13F5CC27-7206-4ACA-B5A2-ED1176D15041}"/>
    <cellStyle name="AggOrangeLBorder 4 2 2 67" xfId="32252" xr:uid="{BFF48E37-B770-404B-A952-451DD6F68814}"/>
    <cellStyle name="AggOrangeLBorder 4 2 2 7" xfId="4140" xr:uid="{53A053F5-2154-498C-AB14-1F80A9D14CEE}"/>
    <cellStyle name="AggOrangeLBorder 4 2 2 8" xfId="4577" xr:uid="{EF4D5DD1-8ECD-4D02-8F18-7479CF9F83CC}"/>
    <cellStyle name="AggOrangeLBorder 4 2 2 9" xfId="4885" xr:uid="{E424A8D0-62C9-4C6B-BA37-D90BB5C258B3}"/>
    <cellStyle name="AggOrangeLBorder 4 2 20" xfId="9946" xr:uid="{E8D20D01-DF72-49E7-BFBB-DFEAB841A764}"/>
    <cellStyle name="AggOrangeLBorder 4 2 21" xfId="10376" xr:uid="{80B255A5-0272-4926-A90E-844F85E41BDA}"/>
    <cellStyle name="AggOrangeLBorder 4 2 22" xfId="10985" xr:uid="{F0CF0C19-9D28-43DA-89D6-1DB49D217E23}"/>
    <cellStyle name="AggOrangeLBorder 4 2 23" xfId="11001" xr:uid="{C1C4C188-4567-4050-B16B-DEE1ADC975E5}"/>
    <cellStyle name="AggOrangeLBorder 4 2 24" xfId="11960" xr:uid="{2B0FA5C6-FBD8-4E1D-B47C-1547CE83278D}"/>
    <cellStyle name="AggOrangeLBorder 4 2 25" xfId="12433" xr:uid="{DAD3000B-A7FD-4355-B00B-34B198008CB3}"/>
    <cellStyle name="AggOrangeLBorder 4 2 26" xfId="12867" xr:uid="{062B3D42-8648-4681-B222-F49669412971}"/>
    <cellStyle name="AggOrangeLBorder 4 2 27" xfId="13304" xr:uid="{C81EE3B8-9C99-4A3B-9C83-868A2CC37172}"/>
    <cellStyle name="AggOrangeLBorder 4 2 28" xfId="11521" xr:uid="{D965BEB8-3052-4A80-9CD7-C73DD366D4BC}"/>
    <cellStyle name="AggOrangeLBorder 4 2 29" xfId="14004" xr:uid="{ED4FE27D-1925-4F43-9B86-4326FB1BAF68}"/>
    <cellStyle name="AggOrangeLBorder 4 2 3" xfId="1090" xr:uid="{492395FA-8BE2-4715-BB90-DA5B1010846F}"/>
    <cellStyle name="AggOrangeLBorder 4 2 30" xfId="14654" xr:uid="{79865519-829E-4BD4-84A5-01B4E54CB6FF}"/>
    <cellStyle name="AggOrangeLBorder 4 2 31" xfId="14513" xr:uid="{1EE258AB-A3B4-4B78-817E-332F4713AECD}"/>
    <cellStyle name="AggOrangeLBorder 4 2 32" xfId="14995" xr:uid="{95A951E3-E24A-45D2-BBAC-1A04B58637E5}"/>
    <cellStyle name="AggOrangeLBorder 4 2 33" xfId="15826" xr:uid="{53AE69CB-E525-4F71-B0CF-B287473D655B}"/>
    <cellStyle name="AggOrangeLBorder 4 2 34" xfId="16652" xr:uid="{7F2B2979-3112-4904-A091-67151860892A}"/>
    <cellStyle name="AggOrangeLBorder 4 2 35" xfId="17060" xr:uid="{1F432E02-3492-4E2F-9CA4-C1C3457E7238}"/>
    <cellStyle name="AggOrangeLBorder 4 2 36" xfId="17506" xr:uid="{A98ADB09-F2F0-45B8-A63E-CE2B09B06915}"/>
    <cellStyle name="AggOrangeLBorder 4 2 37" xfId="17708" xr:uid="{B77D01C0-0531-45B8-9FA6-28F9D812D317}"/>
    <cellStyle name="AggOrangeLBorder 4 2 38" xfId="18470" xr:uid="{ECD78D37-AE7A-4EF9-88A3-35021488D7C5}"/>
    <cellStyle name="AggOrangeLBorder 4 2 39" xfId="18855" xr:uid="{298010BA-180C-4696-A19D-07A2CC76B923}"/>
    <cellStyle name="AggOrangeLBorder 4 2 4" xfId="1522" xr:uid="{14C2909D-58F1-4DD5-BBE8-3BB36C6258C6}"/>
    <cellStyle name="AggOrangeLBorder 4 2 40" xfId="19250" xr:uid="{CF5278C2-F47A-4188-AE77-403CD155A63D}"/>
    <cellStyle name="AggOrangeLBorder 4 2 41" xfId="19989" xr:uid="{E08F3A15-093A-4ACE-BEE8-E3C78E42C38F}"/>
    <cellStyle name="AggOrangeLBorder 4 2 42" xfId="20412" xr:uid="{A7DCDB3A-D855-42D2-AAFF-448CA1D4753C}"/>
    <cellStyle name="AggOrangeLBorder 4 2 43" xfId="20865" xr:uid="{8EB03841-D924-44CA-AD93-8133208C7FEA}"/>
    <cellStyle name="AggOrangeLBorder 4 2 44" xfId="21638" xr:uid="{4B1292B1-0AFE-4E06-8C08-23C64C4784F0}"/>
    <cellStyle name="AggOrangeLBorder 4 2 45" xfId="21797" xr:uid="{0DB6D9AB-C18E-43EA-A2E2-E91B360C558B}"/>
    <cellStyle name="AggOrangeLBorder 4 2 46" xfId="22234" xr:uid="{6F8B8940-B789-47F4-8137-299C3C1C7F65}"/>
    <cellStyle name="AggOrangeLBorder 4 2 47" xfId="21944" xr:uid="{A9FA301D-DF63-470B-94EB-95CA5EE5B2F1}"/>
    <cellStyle name="AggOrangeLBorder 4 2 48" xfId="23132" xr:uid="{06C7725E-2476-4AD9-A38D-54C1CBD376DD}"/>
    <cellStyle name="AggOrangeLBorder 4 2 49" xfId="23536" xr:uid="{5E88B42C-74B7-46B6-BF3E-C4183A75D175}"/>
    <cellStyle name="AggOrangeLBorder 4 2 5" xfId="2429" xr:uid="{29077D49-4DE7-4322-B730-C05D51A61131}"/>
    <cellStyle name="AggOrangeLBorder 4 2 50" xfId="23798" xr:uid="{43B3199B-82CF-42B4-A10B-108D8DAA3F03}"/>
    <cellStyle name="AggOrangeLBorder 4 2 51" xfId="24697" xr:uid="{67375747-2447-48FF-A9D3-4F35B47CB249}"/>
    <cellStyle name="AggOrangeLBorder 4 2 52" xfId="25120" xr:uid="{DC93F5B8-2B41-451B-9809-0C258BB850AE}"/>
    <cellStyle name="AggOrangeLBorder 4 2 53" xfId="25615" xr:uid="{0A5F4D97-0CC8-475B-BB58-146E8275A971}"/>
    <cellStyle name="AggOrangeLBorder 4 2 54" xfId="25113" xr:uid="{13F08D84-89C5-40CD-8296-46B18BAD8F65}"/>
    <cellStyle name="AggOrangeLBorder 4 2 55" xfId="25932" xr:uid="{FA51EEF9-710D-492D-802A-6F367E71C924}"/>
    <cellStyle name="AggOrangeLBorder 4 2 56" xfId="26905" xr:uid="{AA99841E-AF98-4EA9-B55B-547201A2672C}"/>
    <cellStyle name="AggOrangeLBorder 4 2 57" xfId="27324" xr:uid="{6E97B63C-6894-4350-9A6D-602132168E86}"/>
    <cellStyle name="AggOrangeLBorder 4 2 58" xfId="25291" xr:uid="{4C36EA6E-A3D7-4A40-8175-2C5D902EBCDB}"/>
    <cellStyle name="AggOrangeLBorder 4 2 59" xfId="28447" xr:uid="{04C299ED-10E6-4F2F-AA21-A3233026D333}"/>
    <cellStyle name="AggOrangeLBorder 4 2 6" xfId="1917" xr:uid="{2C34EAAC-8830-4243-B636-3A2738CD026B}"/>
    <cellStyle name="AggOrangeLBorder 4 2 60" xfId="28915" xr:uid="{AE7790CE-7F3B-42EB-AF95-6A7B45A4B380}"/>
    <cellStyle name="AggOrangeLBorder 4 2 61" xfId="29275" xr:uid="{2E54CEDB-6A27-41AB-B401-4F19EF00BF68}"/>
    <cellStyle name="AggOrangeLBorder 4 2 62" xfId="29705" xr:uid="{56E6559A-8978-4BA5-BB2A-316A46396A26}"/>
    <cellStyle name="AggOrangeLBorder 4 2 63" xfId="30113" xr:uid="{F903D24D-6747-4CA6-8DC8-033E44D16405}"/>
    <cellStyle name="AggOrangeLBorder 4 2 64" xfId="30527" xr:uid="{01060AFB-EA02-434E-B400-D12D8AAA171B}"/>
    <cellStyle name="AggOrangeLBorder 4 2 65" xfId="30957" xr:uid="{A9464E3A-EFE4-4617-B884-8BC3F40A8471}"/>
    <cellStyle name="AggOrangeLBorder 4 2 66" xfId="31151" xr:uid="{5F2D250F-C451-4723-8EA5-2D508827B414}"/>
    <cellStyle name="AggOrangeLBorder 4 2 67" xfId="31837" xr:uid="{F0365F9B-EA16-4648-BBA1-5CAB6602B42B}"/>
    <cellStyle name="AggOrangeLBorder 4 2 68" xfId="31445" xr:uid="{120894E8-DE3C-4AC6-A55C-C1AADF9378E2}"/>
    <cellStyle name="AggOrangeLBorder 4 2 7" xfId="3517" xr:uid="{E5F26E4E-A17B-48AC-BB3A-47DF8A0E621E}"/>
    <cellStyle name="AggOrangeLBorder 4 2 8" xfId="3925" xr:uid="{EA6D7BDC-EC8B-4273-9426-920440E9769B}"/>
    <cellStyle name="AggOrangeLBorder 4 2 9" xfId="4363" xr:uid="{FC23A3E5-A60A-443E-AFF1-716013C64FDC}"/>
    <cellStyle name="AggOrangeLBorder 4 20" xfId="7821" xr:uid="{A39062F2-92EA-46F7-B0CA-961E884D467E}"/>
    <cellStyle name="AggOrangeLBorder 4 21" xfId="8780" xr:uid="{878BFBDF-87C4-4D64-B6C3-AA76254C53EC}"/>
    <cellStyle name="AggOrangeLBorder 4 22" xfId="9212" xr:uid="{D3A728BA-2347-47DA-B6CA-0F799BC59719}"/>
    <cellStyle name="AggOrangeLBorder 4 23" xfId="9853" xr:uid="{7B1BB6B6-BA51-4418-BE0A-AF7D9AAC4615}"/>
    <cellStyle name="AggOrangeLBorder 4 24" xfId="10296" xr:uid="{F9CFF00E-F83E-41E4-8EAC-FAC097D7CE39}"/>
    <cellStyle name="AggOrangeLBorder 4 25" xfId="10534" xr:uid="{081027CC-5804-4B1A-ABF4-4B3CC2B077D3}"/>
    <cellStyle name="AggOrangeLBorder 4 26" xfId="10744" xr:uid="{56F95038-5D23-495D-AEFE-2ABE851E5A77}"/>
    <cellStyle name="AggOrangeLBorder 4 27" xfId="11624" xr:uid="{8659EACA-CB6E-4FD9-B85B-11069E08307E}"/>
    <cellStyle name="AggOrangeLBorder 4 28" xfId="11432" xr:uid="{DAEECC0E-94F6-4172-ACAB-3445F01B96CA}"/>
    <cellStyle name="AggOrangeLBorder 4 29" xfId="11598" xr:uid="{D0FE9AA8-C85F-4C54-972C-1D18B8A3C78B}"/>
    <cellStyle name="AggOrangeLBorder 4 3" xfId="549" xr:uid="{DA466A5D-C337-4134-8E17-B82726A57CC0}"/>
    <cellStyle name="AggOrangeLBorder 4 3 10" xfId="4882" xr:uid="{4E451AEE-0A39-40A4-8241-2EF5CBDF3607}"/>
    <cellStyle name="AggOrangeLBorder 4 3 11" xfId="5197" xr:uid="{1E831811-2BAD-42BC-BDF8-6A9D105C845C}"/>
    <cellStyle name="AggOrangeLBorder 4 3 12" xfId="5547" xr:uid="{97DA1167-3DF7-4499-9A98-5B4DB92D62E7}"/>
    <cellStyle name="AggOrangeLBorder 4 3 13" xfId="6124" xr:uid="{7809A8D7-C708-4303-8E2E-AE234E37F45D}"/>
    <cellStyle name="AggOrangeLBorder 4 3 14" xfId="6579" xr:uid="{8D59D138-79C3-449C-B547-BB3356186FBD}"/>
    <cellStyle name="AggOrangeLBorder 4 3 15" xfId="7269" xr:uid="{C04FC6E4-BAA1-4AE2-8B9F-250AD8AFDCBC}"/>
    <cellStyle name="AggOrangeLBorder 4 3 16" xfId="6943" xr:uid="{31A4BA38-C7D8-4564-9F70-799CD774979C}"/>
    <cellStyle name="AggOrangeLBorder 4 3 17" xfId="7672" xr:uid="{4D575653-875D-4448-B0C9-5AE268FD48EC}"/>
    <cellStyle name="AggOrangeLBorder 4 3 18" xfId="8798" xr:uid="{02A989C3-9089-4A47-8B8D-7AD3E89003A2}"/>
    <cellStyle name="AggOrangeLBorder 4 3 19" xfId="9483" xr:uid="{1182C70E-4FD5-4C07-91ED-B9C1D769EE52}"/>
    <cellStyle name="AggOrangeLBorder 4 3 2" xfId="764" xr:uid="{CEF07C67-37DE-499D-A67A-77226F86054F}"/>
    <cellStyle name="AggOrangeLBorder 4 3 2 10" xfId="5412" xr:uid="{124F73D0-8017-478F-B905-40B96643A815}"/>
    <cellStyle name="AggOrangeLBorder 4 3 2 11" xfId="5116" xr:uid="{731DA0F3-5922-41FC-B984-23A28A0B2BA0}"/>
    <cellStyle name="AggOrangeLBorder 4 3 2 12" xfId="4697" xr:uid="{A95A68D1-BEE1-45C8-9672-CCFF944DACC8}"/>
    <cellStyle name="AggOrangeLBorder 4 3 2 13" xfId="5947" xr:uid="{504C564F-6634-4ED4-9DBC-047631F405AD}"/>
    <cellStyle name="AggOrangeLBorder 4 3 2 14" xfId="7484" xr:uid="{A3930603-297C-46F3-AF53-6B4D6C190799}"/>
    <cellStyle name="AggOrangeLBorder 4 3 2 15" xfId="6987" xr:uid="{D1D46C81-CEB7-4756-A237-2F7B430D24E9}"/>
    <cellStyle name="AggOrangeLBorder 4 3 2 16" xfId="6946" xr:uid="{3C0ACFFC-A782-4594-9B24-9E4C97522A45}"/>
    <cellStyle name="AggOrangeLBorder 4 3 2 17" xfId="8592" xr:uid="{C5620AFB-B364-4E42-BF0F-3245CB1A8740}"/>
    <cellStyle name="AggOrangeLBorder 4 3 2 18" xfId="9698" xr:uid="{44FDBE71-73BF-4BC5-979D-A49F1701DA3F}"/>
    <cellStyle name="AggOrangeLBorder 4 3 2 19" xfId="9328" xr:uid="{5955FB61-5B44-4E36-934A-D9427233E886}"/>
    <cellStyle name="AggOrangeLBorder 4 3 2 2" xfId="1238" xr:uid="{96C5E97E-E128-4800-8F03-82E2CE67EAB1}"/>
    <cellStyle name="AggOrangeLBorder 4 3 2 20" xfId="9876" xr:uid="{0A73E101-720B-40FB-8189-99BD60ADAF37}"/>
    <cellStyle name="AggOrangeLBorder 4 3 2 21" xfId="10379" xr:uid="{30D223CB-A819-4723-8A2F-6F2E29A26E85}"/>
    <cellStyle name="AggOrangeLBorder 4 3 2 22" xfId="10615" xr:uid="{6319E578-C132-4FE2-BBD8-F69B3BA837A8}"/>
    <cellStyle name="AggOrangeLBorder 4 3 2 23" xfId="12117" xr:uid="{BE698086-3BD6-4489-96C9-A6045425E2C0}"/>
    <cellStyle name="AggOrangeLBorder 4 3 2 24" xfId="12590" xr:uid="{A498DBB3-F91F-443C-9FB6-D8A2958E1096}"/>
    <cellStyle name="AggOrangeLBorder 4 3 2 25" xfId="13024" xr:uid="{ED69C35F-9AF6-400E-AA65-F29BEFCA09DC}"/>
    <cellStyle name="AggOrangeLBorder 4 3 2 26" xfId="13461" xr:uid="{862AFBC0-F590-4822-9ABE-ADBEDDABABBD}"/>
    <cellStyle name="AggOrangeLBorder 4 3 2 27" xfId="11382" xr:uid="{02C19912-9296-4C56-9C4E-4DD2BA98E46F}"/>
    <cellStyle name="AggOrangeLBorder 4 3 2 28" xfId="11442" xr:uid="{8AE8451C-A1F7-48B6-B3D4-C66C32CCDD08}"/>
    <cellStyle name="AggOrangeLBorder 4 3 2 29" xfId="14375" xr:uid="{37C17C60-2B52-4045-9696-ACB590D2682C}"/>
    <cellStyle name="AggOrangeLBorder 4 3 2 3" xfId="1740" xr:uid="{F9D4ED72-CDC8-421D-AAFD-0F0962C528AD}"/>
    <cellStyle name="AggOrangeLBorder 4 3 2 30" xfId="14975" xr:uid="{6F60296E-BF6F-443C-AC3B-A65DC0D38857}"/>
    <cellStyle name="AggOrangeLBorder 4 3 2 31" xfId="15418" xr:uid="{312A8C69-5A8A-4ED6-ABD7-37D3A5CC1E5B}"/>
    <cellStyle name="AggOrangeLBorder 4 3 2 32" xfId="14296" xr:uid="{69453D82-8519-498C-B448-CF788FDA9BFE}"/>
    <cellStyle name="AggOrangeLBorder 4 3 2 33" xfId="16809" xr:uid="{7F460A7E-EF4C-40CF-8FB0-2EEC1925B740}"/>
    <cellStyle name="AggOrangeLBorder 4 3 2 34" xfId="16307" xr:uid="{344D9C58-E13C-4846-815D-74243BAFA486}"/>
    <cellStyle name="AggOrangeLBorder 4 3 2 35" xfId="16469" xr:uid="{435BDC55-3109-4C56-84B4-97E80B421275}"/>
    <cellStyle name="AggOrangeLBorder 4 3 2 36" xfId="16186" xr:uid="{5574AB05-9DA8-47D7-9E5B-7CF0A30D8043}"/>
    <cellStyle name="AggOrangeLBorder 4 3 2 37" xfId="18627" xr:uid="{4282557B-5DC3-45E9-BA04-4F3100086241}"/>
    <cellStyle name="AggOrangeLBorder 4 3 2 38" xfId="17681" xr:uid="{3361B95A-5736-4465-839A-D1289A33F425}"/>
    <cellStyle name="AggOrangeLBorder 4 3 2 39" xfId="18815" xr:uid="{B54247C0-3989-4ACC-8F20-6AFD7489CAB6}"/>
    <cellStyle name="AggOrangeLBorder 4 3 2 4" xfId="2586" xr:uid="{2490633A-0889-4B5D-B9EC-FB149E63DFB7}"/>
    <cellStyle name="AggOrangeLBorder 4 3 2 40" xfId="20146" xr:uid="{A059386D-567B-44F2-8129-EE06F021AC4C}"/>
    <cellStyle name="AggOrangeLBorder 4 3 2 41" xfId="19575" xr:uid="{32941923-588A-4A02-9850-4831FA23E697}"/>
    <cellStyle name="AggOrangeLBorder 4 3 2 42" xfId="19580" xr:uid="{38DF5421-C23B-41F7-8C49-AF87D2A923E8}"/>
    <cellStyle name="AggOrangeLBorder 4 3 2 43" xfId="21427" xr:uid="{AE9C3A29-ADB1-49DA-87E3-93AFEDE9F10D}"/>
    <cellStyle name="AggOrangeLBorder 4 3 2 44" xfId="20363" xr:uid="{D784C891-E4A0-4895-BC1C-92CC38FA1D39}"/>
    <cellStyle name="AggOrangeLBorder 4 3 2 45" xfId="21861" xr:uid="{686B93B8-E2D9-444A-948F-A87102C05FCE}"/>
    <cellStyle name="AggOrangeLBorder 4 3 2 46" xfId="21083" xr:uid="{295C6DF4-9740-47DD-8202-C53D96C08781}"/>
    <cellStyle name="AggOrangeLBorder 4 3 2 47" xfId="22260" xr:uid="{B5515380-B630-4AE1-A2D5-949F7665F738}"/>
    <cellStyle name="AggOrangeLBorder 4 3 2 48" xfId="22072" xr:uid="{9320DC23-7441-4A4B-BCA7-66182D61DCE5}"/>
    <cellStyle name="AggOrangeLBorder 4 3 2 49" xfId="23946" xr:uid="{D716E710-760C-468A-ABF4-15979BEA67F5}"/>
    <cellStyle name="AggOrangeLBorder 4 3 2 5" xfId="2722" xr:uid="{F41D87CF-0559-4249-94CE-3CD7F3CC1BBE}"/>
    <cellStyle name="AggOrangeLBorder 4 3 2 50" xfId="24854" xr:uid="{D82E2841-B19B-4CE9-93CB-6A240927CB93}"/>
    <cellStyle name="AggOrangeLBorder 4 3 2 51" xfId="24198" xr:uid="{A4C1B53B-7EC7-4953-BC4F-F8E45343FD1E}"/>
    <cellStyle name="AggOrangeLBorder 4 3 2 52" xfId="25770" xr:uid="{2A3819F0-404F-47C0-9C8E-EFE9CF260E28}"/>
    <cellStyle name="AggOrangeLBorder 4 3 2 53" xfId="25304" xr:uid="{EA88985C-B5B2-48FD-AEC8-5EF69BA9F99D}"/>
    <cellStyle name="AggOrangeLBorder 4 3 2 54" xfId="26400" xr:uid="{D3074404-392E-4A6D-B40E-043C7FEAE27F}"/>
    <cellStyle name="AggOrangeLBorder 4 3 2 55" xfId="27058" xr:uid="{096595E7-3F6D-4B9B-B773-29B3C1872C14}"/>
    <cellStyle name="AggOrangeLBorder 4 3 2 56" xfId="27477" xr:uid="{0247FC9B-F4CD-49DC-8539-E6EA8B3C4FDB}"/>
    <cellStyle name="AggOrangeLBorder 4 3 2 57" xfId="26797" xr:uid="{C2C3900E-DD11-4DEB-8F6E-4BEEA0E96AD6}"/>
    <cellStyle name="AggOrangeLBorder 4 3 2 58" xfId="28604" xr:uid="{7EE7261A-8DFD-4D7A-A75F-47D50F08475F}"/>
    <cellStyle name="AggOrangeLBorder 4 3 2 59" xfId="29071" xr:uid="{B022CCE8-2798-4D0A-B704-02ECA8E0ABCF}"/>
    <cellStyle name="AggOrangeLBorder 4 3 2 6" xfId="3457" xr:uid="{A0F94E8B-5B4F-47AB-920E-C2197E9EC1AE}"/>
    <cellStyle name="AggOrangeLBorder 4 3 2 60" xfId="28287" xr:uid="{2FE89668-DBD1-48E0-94E1-9839A67FCEF1}"/>
    <cellStyle name="AggOrangeLBorder 4 3 2 61" xfId="29860" xr:uid="{BBB6956E-E4CB-469E-92EB-68F5D38335B0}"/>
    <cellStyle name="AggOrangeLBorder 4 3 2 62" xfId="30266" xr:uid="{F468FFCF-C5E2-45BF-AA75-38F2AF9BEB3D}"/>
    <cellStyle name="AggOrangeLBorder 4 3 2 63" xfId="30683" xr:uid="{1859B62C-89EF-49F2-A37A-4D6DFEAA9F6B}"/>
    <cellStyle name="AggOrangeLBorder 4 3 2 64" xfId="29606" xr:uid="{628155D9-CF71-4122-A1DD-622B0FDCC8D5}"/>
    <cellStyle name="AggOrangeLBorder 4 3 2 65" xfId="31299" xr:uid="{A0E87018-22B3-4632-ADC4-B3443B705DD7}"/>
    <cellStyle name="AggOrangeLBorder 4 3 2 66" xfId="31990" xr:uid="{63EE203E-4904-4BCF-BEC3-DD1094D1AF02}"/>
    <cellStyle name="AggOrangeLBorder 4 3 2 67" xfId="32348" xr:uid="{03FD1DDC-8E88-4D5A-BB2C-EC1434798527}"/>
    <cellStyle name="AggOrangeLBorder 4 3 2 7" xfId="4082" xr:uid="{27C1D06F-B795-400F-896F-FE728ABB44A0}"/>
    <cellStyle name="AggOrangeLBorder 4 3 2 8" xfId="4519" xr:uid="{CF514A66-D6F1-496E-B7F4-040C154BBD8C}"/>
    <cellStyle name="AggOrangeLBorder 4 3 2 9" xfId="3561" xr:uid="{B1206D37-9A51-4579-99A1-192C652CAE18}"/>
    <cellStyle name="AggOrangeLBorder 4 3 20" xfId="8953" xr:uid="{BF5B0861-263F-4E83-8F43-83AA38FA95E7}"/>
    <cellStyle name="AggOrangeLBorder 4 3 21" xfId="9123" xr:uid="{796401C0-325C-444D-AC2D-E4FABEA621B2}"/>
    <cellStyle name="AggOrangeLBorder 4 3 22" xfId="10848" xr:uid="{CED9663A-6618-4B4C-8B51-F716D4F353E0}"/>
    <cellStyle name="AggOrangeLBorder 4 3 23" xfId="11210" xr:uid="{F1F8E96F-2325-490B-83D8-24AB9C3C6FF4}"/>
    <cellStyle name="AggOrangeLBorder 4 3 24" xfId="11902" xr:uid="{2B42668E-76F7-4AC0-AB5C-B8DACFC269AD}"/>
    <cellStyle name="AggOrangeLBorder 4 3 25" xfId="12375" xr:uid="{31EEAF0D-7B0C-48CC-9426-2EA2C7688606}"/>
    <cellStyle name="AggOrangeLBorder 4 3 26" xfId="12809" xr:uid="{B36E0C39-4476-4DD8-BA45-63A831D6142C}"/>
    <cellStyle name="AggOrangeLBorder 4 3 27" xfId="13246" xr:uid="{4B73B29F-EF41-47F4-AB54-34A9B454EAB6}"/>
    <cellStyle name="AggOrangeLBorder 4 3 28" xfId="13719" xr:uid="{B159A400-8DE1-48D4-9738-D9EB197DC495}"/>
    <cellStyle name="AggOrangeLBorder 4 3 29" xfId="14331" xr:uid="{EA1B95D7-8831-45AC-B421-A8B40D5126CE}"/>
    <cellStyle name="AggOrangeLBorder 4 3 3" xfId="1032" xr:uid="{EBAE6C41-8411-4F3E-B3CD-76C7CEE795B7}"/>
    <cellStyle name="AggOrangeLBorder 4 3 30" xfId="14449" xr:uid="{F2421874-4271-4CDE-893C-58E39C6BE4DA}"/>
    <cellStyle name="AggOrangeLBorder 4 3 31" xfId="14524" xr:uid="{8263B5F7-32E2-408F-888F-281E6A253883}"/>
    <cellStyle name="AggOrangeLBorder 4 3 32" xfId="15609" xr:uid="{FCFEEDDE-64B3-47DB-AC68-755D7E2FD085}"/>
    <cellStyle name="AggOrangeLBorder 4 3 33" xfId="15575" xr:uid="{8F23FACE-F1C4-4ACA-A52C-B32375D8AB98}"/>
    <cellStyle name="AggOrangeLBorder 4 3 34" xfId="16594" xr:uid="{396E7BBA-2F4A-4D08-A390-C79F62AA6E54}"/>
    <cellStyle name="AggOrangeLBorder 4 3 35" xfId="16261" xr:uid="{66812F39-2427-4DAF-A8F1-A5C906355862}"/>
    <cellStyle name="AggOrangeLBorder 4 3 36" xfId="16940" xr:uid="{328AA59A-05C9-4824-B7F5-BCC06CDEBFD4}"/>
    <cellStyle name="AggOrangeLBorder 4 3 37" xfId="18003" xr:uid="{05265C01-A6CF-430A-9E6D-4053C226BF40}"/>
    <cellStyle name="AggOrangeLBorder 4 3 38" xfId="18412" xr:uid="{64CCF9FF-5BB0-452D-87B7-DB9BA8C5CD83}"/>
    <cellStyle name="AggOrangeLBorder 4 3 39" xfId="17558" xr:uid="{C0ECC20A-EB47-4AC4-8BEB-CA38C96503A2}"/>
    <cellStyle name="AggOrangeLBorder 4 3 4" xfId="1457" xr:uid="{549A723E-7084-4892-B133-6C46CC8EE80B}"/>
    <cellStyle name="AggOrangeLBorder 4 3 40" xfId="18840" xr:uid="{04916553-A342-4FBC-BDF0-7CE87F57B943}"/>
    <cellStyle name="AggOrangeLBorder 4 3 41" xfId="19931" xr:uid="{E07BCF55-86F1-45C8-B0CD-84AE247F4DFB}"/>
    <cellStyle name="AggOrangeLBorder 4 3 42" xfId="19591" xr:uid="{BF91CB0E-DA65-4230-8385-CC269F6A8D77}"/>
    <cellStyle name="AggOrangeLBorder 4 3 43" xfId="19606" xr:uid="{92770CD2-8838-4C13-BB91-AE0CA5FEB427}"/>
    <cellStyle name="AggOrangeLBorder 4 3 44" xfId="21556" xr:uid="{3A88E1C1-A04E-4A0C-903B-0D6A6D2794EA}"/>
    <cellStyle name="AggOrangeLBorder 4 3 45" xfId="21482" xr:uid="{B3A8448E-9E16-4AC5-B6A1-2957E21999F9}"/>
    <cellStyle name="AggOrangeLBorder 4 3 46" xfId="20369" xr:uid="{B413C7E3-2EE5-47FB-973B-5C7CD4D18BB4}"/>
    <cellStyle name="AggOrangeLBorder 4 3 47" xfId="22715" xr:uid="{FB83013B-EEC6-42A7-9CD8-C0DEECB3F684}"/>
    <cellStyle name="AggOrangeLBorder 4 3 48" xfId="22778" xr:uid="{0D878F31-014A-4CF0-9341-7EDC3D9274F8}"/>
    <cellStyle name="AggOrangeLBorder 4 3 49" xfId="23653" xr:uid="{D056A9A5-B17B-4A04-810F-88D3C4300441}"/>
    <cellStyle name="AggOrangeLBorder 4 3 5" xfId="2371" xr:uid="{82EBADB3-82B4-4A48-8817-19DE16A95391}"/>
    <cellStyle name="AggOrangeLBorder 4 3 50" xfId="23740" xr:uid="{17DFA6EC-813C-4D04-942A-AF7A59B24005}"/>
    <cellStyle name="AggOrangeLBorder 4 3 51" xfId="24639" xr:uid="{A22EC343-4C98-490F-B472-D076419B61BE}"/>
    <cellStyle name="AggOrangeLBorder 4 3 52" xfId="24356" xr:uid="{03CA39AA-283F-43F8-AB4F-EE4A069FF906}"/>
    <cellStyle name="AggOrangeLBorder 4 3 53" xfId="25557" xr:uid="{11FA6159-2240-42E2-802A-7FF91FAA962C}"/>
    <cellStyle name="AggOrangeLBorder 4 3 54" xfId="26019" xr:uid="{02E987FB-A2C6-4641-9914-77B3D918DECA}"/>
    <cellStyle name="AggOrangeLBorder 4 3 55" xfId="26621" xr:uid="{EA36B3CC-F043-4EEC-8D42-EABF4EB5699A}"/>
    <cellStyle name="AggOrangeLBorder 4 3 56" xfId="26847" xr:uid="{6756D1EB-6CDA-43AA-B68A-2C4AB5A3173C}"/>
    <cellStyle name="AggOrangeLBorder 4 3 57" xfId="27266" xr:uid="{9DFCCD9D-86AC-44F1-97EC-5E5D550234CA}"/>
    <cellStyle name="AggOrangeLBorder 4 3 58" xfId="27721" xr:uid="{1BEFC6C1-1E44-43D7-A1EA-047ECFC6F659}"/>
    <cellStyle name="AggOrangeLBorder 4 3 59" xfId="28389" xr:uid="{8FD5B51E-54E8-4ABA-9951-477A189A1CC5}"/>
    <cellStyle name="AggOrangeLBorder 4 3 6" xfId="2884" xr:uid="{87B3D19F-91C6-42C7-915F-6F3877733A16}"/>
    <cellStyle name="AggOrangeLBorder 4 3 60" xfId="28857" xr:uid="{ABFF2F53-E3E2-4691-B82E-AF1892692DA3}"/>
    <cellStyle name="AggOrangeLBorder 4 3 61" xfId="28228" xr:uid="{8E36E46E-7BB2-431F-B1C1-03B49B05209B}"/>
    <cellStyle name="AggOrangeLBorder 4 3 62" xfId="29647" xr:uid="{496ACDE9-CF9B-4803-B4F7-D5496F6337D1}"/>
    <cellStyle name="AggOrangeLBorder 4 3 63" xfId="30055" xr:uid="{4BFE58DC-C5BE-486D-9414-9405213DDF6B}"/>
    <cellStyle name="AggOrangeLBorder 4 3 64" xfId="30469" xr:uid="{213432A7-6EDC-4C92-9DE2-BB85DE80736B}"/>
    <cellStyle name="AggOrangeLBorder 4 3 65" xfId="30920" xr:uid="{0F2FDD23-E591-4846-870A-8A3F4640DB57}"/>
    <cellStyle name="AggOrangeLBorder 4 3 66" xfId="31093" xr:uid="{FBA56EDE-7A76-4EFB-BD36-F43CC3C66FA9}"/>
    <cellStyle name="AggOrangeLBorder 4 3 67" xfId="31779" xr:uid="{70009041-3EA7-4796-B371-EA293DDB059B}"/>
    <cellStyle name="AggOrangeLBorder 4 3 68" xfId="31532" xr:uid="{8F185530-AB25-4719-9209-F699A11B006D}"/>
    <cellStyle name="AggOrangeLBorder 4 3 7" xfId="2803" xr:uid="{E8DB8D54-AA35-4771-A6B0-8FFCB714DEA3}"/>
    <cellStyle name="AggOrangeLBorder 4 3 8" xfId="3867" xr:uid="{DBB2B61E-DF06-4E2C-9655-088D7EE3C05D}"/>
    <cellStyle name="AggOrangeLBorder 4 3 9" xfId="4305" xr:uid="{8DDCE302-EA9D-4D94-B444-7FB24CEADF09}"/>
    <cellStyle name="AggOrangeLBorder 4 30" xfId="11496" xr:uid="{8DC6C779-B21E-4250-B221-A24EBD2B793D}"/>
    <cellStyle name="AggOrangeLBorder 4 31" xfId="13716" xr:uid="{2FE76C81-4913-4F29-B378-01BD72A3EC60}"/>
    <cellStyle name="AggOrangeLBorder 4 32" xfId="13692" xr:uid="{75713E9B-0858-4719-A38F-BDE23E66D280}"/>
    <cellStyle name="AggOrangeLBorder 4 33" xfId="14065" xr:uid="{D7893C62-A149-4CB6-8554-C72CB118C48B}"/>
    <cellStyle name="AggOrangeLBorder 4 34" xfId="14555" xr:uid="{092A9E6D-CC6C-44EF-8023-F1A4E9D3D19A}"/>
    <cellStyle name="AggOrangeLBorder 4 35" xfId="15061" xr:uid="{260A2FE1-13C1-482A-96B9-4474933C9338}"/>
    <cellStyle name="AggOrangeLBorder 4 36" xfId="15071" xr:uid="{F2C3A443-4175-4716-A559-0C0D205A0F94}"/>
    <cellStyle name="AggOrangeLBorder 4 37" xfId="16319" xr:uid="{D59696D7-793B-4E0F-B590-E31829D461B8}"/>
    <cellStyle name="AggOrangeLBorder 4 38" xfId="16969" xr:uid="{87039E78-777F-4C35-BB34-85A2BAE72193}"/>
    <cellStyle name="AggOrangeLBorder 4 39" xfId="17420" xr:uid="{EEA0700D-68E8-4BDA-9839-1601CCF7E048}"/>
    <cellStyle name="AggOrangeLBorder 4 4" xfId="570" xr:uid="{502CC28D-1109-45C1-B6CC-F38E797BC80B}"/>
    <cellStyle name="AggOrangeLBorder 4 4 10" xfId="3266" xr:uid="{4B4885F7-1980-4F3D-8539-9DC1DB4DCC02}"/>
    <cellStyle name="AggOrangeLBorder 4 4 11" xfId="5218" xr:uid="{BF1FBF8E-73EF-48AA-B81C-719D82A1B01C}"/>
    <cellStyle name="AggOrangeLBorder 4 4 12" xfId="4896" xr:uid="{FAE582BC-0FC8-4BF5-8D7F-ABDAD6A88771}"/>
    <cellStyle name="AggOrangeLBorder 4 4 13" xfId="5958" xr:uid="{066A4927-E6BD-4ED8-A011-04A0E2EAA802}"/>
    <cellStyle name="AggOrangeLBorder 4 4 14" xfId="6684" xr:uid="{15A4A7F1-80A0-41A7-B40D-FDBA253AB4C6}"/>
    <cellStyle name="AggOrangeLBorder 4 4 15" xfId="7290" xr:uid="{0DE2D18B-7518-490B-A0A3-355522C94C60}"/>
    <cellStyle name="AggOrangeLBorder 4 4 16" xfId="7053" xr:uid="{5E271A2B-77B1-4F33-9A74-55581B096882}"/>
    <cellStyle name="AggOrangeLBorder 4 4 17" xfId="8618" xr:uid="{C7251BC5-21CF-4215-BF5A-06BC94C9BF19}"/>
    <cellStyle name="AggOrangeLBorder 4 4 18" xfId="8776" xr:uid="{46C6F897-C924-4923-B982-D7D9E9C75260}"/>
    <cellStyle name="AggOrangeLBorder 4 4 19" xfId="9504" xr:uid="{8D384622-77B6-4BBA-AE9F-FB5CCB9B0076}"/>
    <cellStyle name="AggOrangeLBorder 4 4 2" xfId="785" xr:uid="{5DDACE16-FD17-47CE-92EA-FCD786B905DE}"/>
    <cellStyle name="AggOrangeLBorder 4 4 2 10" xfId="5433" xr:uid="{C33AC736-0391-4762-BB3F-3F9F85F4EF10}"/>
    <cellStyle name="AggOrangeLBorder 4 4 2 11" xfId="5100" xr:uid="{7C3E8CF6-25C9-4F8B-9D77-3E510B0D9C9C}"/>
    <cellStyle name="AggOrangeLBorder 4 4 2 12" xfId="5983" xr:uid="{09E600F3-99CE-4D70-9C3A-45E05CADECFB}"/>
    <cellStyle name="AggOrangeLBorder 4 4 2 13" xfId="6514" xr:uid="{F798E7CE-BF20-4FAE-9286-81BF2F3281E3}"/>
    <cellStyle name="AggOrangeLBorder 4 4 2 14" xfId="7505" xr:uid="{4B8DC95E-4317-4999-BB71-5C5C7E4ABEEC}"/>
    <cellStyle name="AggOrangeLBorder 4 4 2 15" xfId="6863" xr:uid="{1CA19BC0-B93B-495D-AB3F-4B3BD59F2E97}"/>
    <cellStyle name="AggOrangeLBorder 4 4 2 16" xfId="8590" xr:uid="{68041B25-E729-43C3-84C8-275FF0B08654}"/>
    <cellStyle name="AggOrangeLBorder 4 4 2 17" xfId="6909" xr:uid="{036E9235-3314-4678-B348-CF47E161E7DA}"/>
    <cellStyle name="AggOrangeLBorder 4 4 2 18" xfId="9719" xr:uid="{3FC4795B-E450-4245-910D-D25A82C1D225}"/>
    <cellStyle name="AggOrangeLBorder 4 4 2 19" xfId="9079" xr:uid="{6AFD38C9-65C3-48AB-92AE-BF588C958001}"/>
    <cellStyle name="AggOrangeLBorder 4 4 2 2" xfId="1259" xr:uid="{337FC2D7-D18A-4A00-A13E-73EEA2784A0D}"/>
    <cellStyle name="AggOrangeLBorder 4 4 2 20" xfId="10246" xr:uid="{926A9A20-F1EC-43B4-9E26-03B3AFA993E7}"/>
    <cellStyle name="AggOrangeLBorder 4 4 2 21" xfId="10438" xr:uid="{80D9C2E1-9EEF-4D4F-9A9F-D7705819996A}"/>
    <cellStyle name="AggOrangeLBorder 4 4 2 22" xfId="9902" xr:uid="{F2A579E3-BC05-4064-9382-2A10FA434E44}"/>
    <cellStyle name="AggOrangeLBorder 4 4 2 23" xfId="12138" xr:uid="{23E82066-E57E-42C1-B499-A63FC8B28595}"/>
    <cellStyle name="AggOrangeLBorder 4 4 2 24" xfId="12611" xr:uid="{9D42C8C0-C65D-4111-9A39-A11627190DA7}"/>
    <cellStyle name="AggOrangeLBorder 4 4 2 25" xfId="13045" xr:uid="{74CBCCB2-94E6-433E-9AF1-47DA1EA256AA}"/>
    <cellStyle name="AggOrangeLBorder 4 4 2 26" xfId="13482" xr:uid="{1BBF5F24-FF2F-401F-859C-2BECD1421C1F}"/>
    <cellStyle name="AggOrangeLBorder 4 4 2 27" xfId="12248" xr:uid="{3EA73C0F-3723-452A-9337-0DA8F030E4C8}"/>
    <cellStyle name="AggOrangeLBorder 4 4 2 28" xfId="11349" xr:uid="{68A8CC47-0B60-4CCD-ACCA-FDBDBFAC4673}"/>
    <cellStyle name="AggOrangeLBorder 4 4 2 29" xfId="14507" xr:uid="{44E27788-A26F-4C93-949C-58A13D476ADB}"/>
    <cellStyle name="AggOrangeLBorder 4 4 2 3" xfId="1562" xr:uid="{F239E1F7-BF66-4E40-A18B-01A7986AAACC}"/>
    <cellStyle name="AggOrangeLBorder 4 4 2 30" xfId="15149" xr:uid="{B145DF08-233E-44B2-9ABE-71EF012E8F9B}"/>
    <cellStyle name="AggOrangeLBorder 4 4 2 31" xfId="15097" xr:uid="{250BD812-CC02-44CD-8FE3-92698DB17329}"/>
    <cellStyle name="AggOrangeLBorder 4 4 2 32" xfId="15490" xr:uid="{4400D282-15AB-43EE-9CED-36C714A50CD1}"/>
    <cellStyle name="AggOrangeLBorder 4 4 2 33" xfId="16830" xr:uid="{16CCA6F3-9476-4E13-93A3-0AE527429581}"/>
    <cellStyle name="AggOrangeLBorder 4 4 2 34" xfId="16179" xr:uid="{A7869391-1CE5-4FBC-AB88-6544F8D203AC}"/>
    <cellStyle name="AggOrangeLBorder 4 4 2 35" xfId="17367" xr:uid="{D476CBD5-8F48-4E58-8468-3B986BDC7F64}"/>
    <cellStyle name="AggOrangeLBorder 4 4 2 36" xfId="17208" xr:uid="{4F1BC41D-190E-4236-8EA7-8D71525E0DB6}"/>
    <cellStyle name="AggOrangeLBorder 4 4 2 37" xfId="18648" xr:uid="{8605142B-8DD7-4EFA-A3B4-0048ED033A39}"/>
    <cellStyle name="AggOrangeLBorder 4 4 2 38" xfId="16268" xr:uid="{DEEEC664-6B86-4750-A4BD-929F23E19828}"/>
    <cellStyle name="AggOrangeLBorder 4 4 2 39" xfId="18197" xr:uid="{6BA311CF-D627-4B9F-A627-BE1827E9611A}"/>
    <cellStyle name="AggOrangeLBorder 4 4 2 4" xfId="2607" xr:uid="{70C543FB-A78E-425D-80A2-15686D10AA8A}"/>
    <cellStyle name="AggOrangeLBorder 4 4 2 40" xfId="20167" xr:uid="{BC367701-D34C-405E-B5F5-345B23040429}"/>
    <cellStyle name="AggOrangeLBorder 4 4 2 41" xfId="19607" xr:uid="{65120FDA-B1B5-462F-8D84-8102C3F6A2D8}"/>
    <cellStyle name="AggOrangeLBorder 4 4 2 42" xfId="20444" xr:uid="{D040EC65-504E-463D-9277-B72377ECFCF0}"/>
    <cellStyle name="AggOrangeLBorder 4 4 2 43" xfId="19560" xr:uid="{94576808-6406-4AA3-A21D-0F04ECD362EE}"/>
    <cellStyle name="AggOrangeLBorder 4 4 2 44" xfId="19770" xr:uid="{BA9E7AC5-E380-45E5-8C54-DC95DA6C3643}"/>
    <cellStyle name="AggOrangeLBorder 4 4 2 45" xfId="21584" xr:uid="{18FAF4C0-1467-41BE-8739-5828CBCD8E3A}"/>
    <cellStyle name="AggOrangeLBorder 4 4 2 46" xfId="22503" xr:uid="{8EC86914-1EF8-4B15-A8BB-A3C204B01257}"/>
    <cellStyle name="AggOrangeLBorder 4 4 2 47" xfId="22971" xr:uid="{744B3915-E2C5-4797-9CE7-771AD47EA72B}"/>
    <cellStyle name="AggOrangeLBorder 4 4 2 48" xfId="22858" xr:uid="{109B3A94-64A6-4572-AD50-6FF079524027}"/>
    <cellStyle name="AggOrangeLBorder 4 4 2 49" xfId="23967" xr:uid="{AFCCEA3B-02FE-4FCA-9E91-0B1488B5505B}"/>
    <cellStyle name="AggOrangeLBorder 4 4 2 5" xfId="1843" xr:uid="{187F4156-A7DE-45D0-8360-9B8071083962}"/>
    <cellStyle name="AggOrangeLBorder 4 4 2 50" xfId="24875" xr:uid="{88362E40-1194-4A8C-8A86-31EF95E7FC50}"/>
    <cellStyle name="AggOrangeLBorder 4 4 2 51" xfId="24136" xr:uid="{D229EAD2-579C-4D46-85CD-838EF45956B1}"/>
    <cellStyle name="AggOrangeLBorder 4 4 2 52" xfId="25791" xr:uid="{33D69F34-6141-4DDF-B989-4A37F9297DBE}"/>
    <cellStyle name="AggOrangeLBorder 4 4 2 53" xfId="25057" xr:uid="{DE2E172A-8928-4A75-9B80-C9CF1FBD6E94}"/>
    <cellStyle name="AggOrangeLBorder 4 4 2 54" xfId="26394" xr:uid="{9BCC74CE-1EF8-4E01-A451-0B63B50E2D03}"/>
    <cellStyle name="AggOrangeLBorder 4 4 2 55" xfId="27079" xr:uid="{B5FE02FF-60BC-4AED-A0E5-66222807EBFB}"/>
    <cellStyle name="AggOrangeLBorder 4 4 2 56" xfId="27498" xr:uid="{D3ED9570-7D13-4AB6-A751-A0C3845DB30A}"/>
    <cellStyle name="AggOrangeLBorder 4 4 2 57" xfId="26346" xr:uid="{87270E35-D70E-4F89-A971-5777402D4CC8}"/>
    <cellStyle name="AggOrangeLBorder 4 4 2 58" xfId="28625" xr:uid="{A4CF343B-A059-4BC5-8436-9E3FCC7CC511}"/>
    <cellStyle name="AggOrangeLBorder 4 4 2 59" xfId="29092" xr:uid="{C74381DE-01FE-4C5D-B875-7879B404217F}"/>
    <cellStyle name="AggOrangeLBorder 4 4 2 6" xfId="2231" xr:uid="{D5DD1DF9-0FAF-443E-AB35-B24CF05D119E}"/>
    <cellStyle name="AggOrangeLBorder 4 4 2 60" xfId="27916" xr:uid="{8D2F7D73-59D8-4AE9-AB14-253C3A28300A}"/>
    <cellStyle name="AggOrangeLBorder 4 4 2 61" xfId="29881" xr:uid="{E5DB611A-BB8A-46C9-B64E-A04CF46E4293}"/>
    <cellStyle name="AggOrangeLBorder 4 4 2 62" xfId="30287" xr:uid="{27598617-AA50-42B3-8EBB-83443B70E958}"/>
    <cellStyle name="AggOrangeLBorder 4 4 2 63" xfId="30704" xr:uid="{20DD58A5-F14E-4EC1-875F-C2630C814638}"/>
    <cellStyle name="AggOrangeLBorder 4 4 2 64" xfId="31021" xr:uid="{5C2F00F6-9358-45C4-9A68-E7ACBF78C4CF}"/>
    <cellStyle name="AggOrangeLBorder 4 4 2 65" xfId="31320" xr:uid="{83E200A1-DB7F-4480-BA03-4C2039E7D864}"/>
    <cellStyle name="AggOrangeLBorder 4 4 2 66" xfId="32011" xr:uid="{38D8A201-D5FA-4E9B-8284-81BA5B31E5EA}"/>
    <cellStyle name="AggOrangeLBorder 4 4 2 67" xfId="31576" xr:uid="{DC98D2B7-CD5F-4B26-BDA7-BBC1E445D0B1}"/>
    <cellStyle name="AggOrangeLBorder 4 4 2 7" xfId="4103" xr:uid="{3E0D7665-2FFD-43DE-BF50-00D03615019A}"/>
    <cellStyle name="AggOrangeLBorder 4 4 2 8" xfId="4540" xr:uid="{3577F758-E016-4897-99CC-2CBDB287BB10}"/>
    <cellStyle name="AggOrangeLBorder 4 4 2 9" xfId="2983" xr:uid="{B8DD31C8-CA58-408C-A395-4A7BA00A109C}"/>
    <cellStyle name="AggOrangeLBorder 4 4 20" xfId="9266" xr:uid="{59F984AC-05B6-4190-82B8-853893D0304B}"/>
    <cellStyle name="AggOrangeLBorder 4 4 21" xfId="10226" xr:uid="{188FDA62-CBD8-43FB-AEFE-8A710161D9D2}"/>
    <cellStyle name="AggOrangeLBorder 4 4 22" xfId="10907" xr:uid="{FE3C2F61-74E3-47C9-901B-9E68E709EB70}"/>
    <cellStyle name="AggOrangeLBorder 4 4 23" xfId="11301" xr:uid="{77B6CBEF-6E71-44AA-ACE4-119D107001FC}"/>
    <cellStyle name="AggOrangeLBorder 4 4 24" xfId="11923" xr:uid="{BD259BF8-FF68-49B9-B829-29640A1CF45C}"/>
    <cellStyle name="AggOrangeLBorder 4 4 25" xfId="12396" xr:uid="{B418DBD1-1F59-47C5-9E0E-546E6E7E4427}"/>
    <cellStyle name="AggOrangeLBorder 4 4 26" xfId="12830" xr:uid="{5C67721A-6D39-4A1B-A7AC-FC9C714A0FDC}"/>
    <cellStyle name="AggOrangeLBorder 4 4 27" xfId="13267" xr:uid="{FA37AE01-4322-4F32-9D52-F41F6BBE8660}"/>
    <cellStyle name="AggOrangeLBorder 4 4 28" xfId="13921" xr:uid="{1FDBD54C-3E4F-4FED-B034-2712C028466C}"/>
    <cellStyle name="AggOrangeLBorder 4 4 29" xfId="14439" xr:uid="{BE2D0466-ACE3-4E01-9A71-2697151E8DA4}"/>
    <cellStyle name="AggOrangeLBorder 4 4 3" xfId="1053" xr:uid="{1F4A5728-AA40-4690-8A03-1020370A5110}"/>
    <cellStyle name="AggOrangeLBorder 4 4 30" xfId="14287" xr:uid="{AE524752-304E-4F95-977F-193D9BFEEC6C}"/>
    <cellStyle name="AggOrangeLBorder 4 4 31" xfId="14344" xr:uid="{B505AA3D-E133-462C-816D-52BCA5A0C8D8}"/>
    <cellStyle name="AggOrangeLBorder 4 4 32" xfId="15744" xr:uid="{16DEA78E-F969-4D24-A477-AD940114E114}"/>
    <cellStyle name="AggOrangeLBorder 4 4 33" xfId="13184" xr:uid="{86DCA0E4-56D6-4672-9493-E25DA84C54F5}"/>
    <cellStyle name="AggOrangeLBorder 4 4 34" xfId="16615" xr:uid="{3D725555-A902-43DC-A16B-E6381408B34B}"/>
    <cellStyle name="AggOrangeLBorder 4 4 35" xfId="16375" xr:uid="{88641AE0-117D-4A6F-8CAE-69B10150C5E7}"/>
    <cellStyle name="AggOrangeLBorder 4 4 36" xfId="17347" xr:uid="{816415B2-B257-4F1B-A630-20535180C69A}"/>
    <cellStyle name="AggOrangeLBorder 4 4 37" xfId="18262" xr:uid="{49AA306E-41F7-43B4-AACB-1C0D9C16FB3D}"/>
    <cellStyle name="AggOrangeLBorder 4 4 38" xfId="18433" xr:uid="{5764FFE1-D0F5-43BF-A256-C5E9A5B2A083}"/>
    <cellStyle name="AggOrangeLBorder 4 4 39" xfId="19086" xr:uid="{3E7DA326-37BD-4602-906F-5B4F56DA17E4}"/>
    <cellStyle name="AggOrangeLBorder 4 4 4" xfId="1732" xr:uid="{F254E39B-E661-4334-8699-525A22B54788}"/>
    <cellStyle name="AggOrangeLBorder 4 4 40" xfId="19302" xr:uid="{693342FE-3B88-4F8F-9CF7-6BA96B677576}"/>
    <cellStyle name="AggOrangeLBorder 4 4 41" xfId="19952" xr:uid="{AC55A8D9-6C1B-44EA-88A5-0E893F4F4E3C}"/>
    <cellStyle name="AggOrangeLBorder 4 4 42" xfId="19709" xr:uid="{7BBAB10C-9D9F-4509-85C3-3B8DEB18AA01}"/>
    <cellStyle name="AggOrangeLBorder 4 4 43" xfId="19699" xr:uid="{8A508A26-4EAB-4F8F-8AE9-BDB0266CBB94}"/>
    <cellStyle name="AggOrangeLBorder 4 4 44" xfId="21391" xr:uid="{123AF0C8-70B2-416A-95A5-DE93D37D4371}"/>
    <cellStyle name="AggOrangeLBorder 4 4 45" xfId="19497" xr:uid="{2419BB4A-FF4E-4822-866D-6D0F5CC39B3A}"/>
    <cellStyle name="AggOrangeLBorder 4 4 46" xfId="20695" xr:uid="{A79D166A-D2EC-4FD5-865A-530C8DEA07F5}"/>
    <cellStyle name="AggOrangeLBorder 4 4 47" xfId="22897" xr:uid="{F5E4F69F-DEFB-4518-86A1-E254632613F7}"/>
    <cellStyle name="AggOrangeLBorder 4 4 48" xfId="23364" xr:uid="{33DC0863-C7EB-4C54-BD3D-5453459BD4C4}"/>
    <cellStyle name="AggOrangeLBorder 4 4 49" xfId="23477" xr:uid="{F336AC42-D8BC-42DB-8D5A-426776D1891E}"/>
    <cellStyle name="AggOrangeLBorder 4 4 5" xfId="2392" xr:uid="{0C019066-CA7B-45AD-B67C-F67CF184210E}"/>
    <cellStyle name="AggOrangeLBorder 4 4 50" xfId="23761" xr:uid="{7C7895DE-26C6-48D8-A43E-EC7B9DC4A32F}"/>
    <cellStyle name="AggOrangeLBorder 4 4 51" xfId="24660" xr:uid="{2F4BBF19-2060-4F3C-B921-2E1AAA5216AE}"/>
    <cellStyle name="AggOrangeLBorder 4 4 52" xfId="24384" xr:uid="{791EFF81-E647-4E00-BEA6-35ECC8EA7ADA}"/>
    <cellStyle name="AggOrangeLBorder 4 4 53" xfId="25578" xr:uid="{7F71C687-2A7F-40DD-BD35-43676AF121A4}"/>
    <cellStyle name="AggOrangeLBorder 4 4 54" xfId="26011" xr:uid="{42BB1209-8667-4796-8DC0-0C1DE14F80D7}"/>
    <cellStyle name="AggOrangeLBorder 4 4 55" xfId="25477" xr:uid="{B9FA3994-7231-4900-B1A3-5547FABFA7F1}"/>
    <cellStyle name="AggOrangeLBorder 4 4 56" xfId="26868" xr:uid="{D837776B-5A86-4880-A42E-B786579E9F55}"/>
    <cellStyle name="AggOrangeLBorder 4 4 57" xfId="27287" xr:uid="{8E3F5235-16FD-456C-AF57-B05FB3BA2F6A}"/>
    <cellStyle name="AggOrangeLBorder 4 4 58" xfId="24204" xr:uid="{7058CBD6-08C1-42CF-ABA2-968BFADC2D02}"/>
    <cellStyle name="AggOrangeLBorder 4 4 59" xfId="28410" xr:uid="{40598B01-B2BC-4492-99DA-21543F5AB721}"/>
    <cellStyle name="AggOrangeLBorder 4 4 6" xfId="3089" xr:uid="{5841D55E-9F39-469E-AC8B-AC4D17459937}"/>
    <cellStyle name="AggOrangeLBorder 4 4 60" xfId="28878" xr:uid="{C81B814F-0160-42B5-B7A2-6AAA12FA897B}"/>
    <cellStyle name="AggOrangeLBorder 4 4 61" xfId="28771" xr:uid="{3DADD449-D2D3-480E-BBB8-364B4339ACF3}"/>
    <cellStyle name="AggOrangeLBorder 4 4 62" xfId="29668" xr:uid="{035D93F9-C280-4AED-BCD7-51890A86CF08}"/>
    <cellStyle name="AggOrangeLBorder 4 4 63" xfId="30076" xr:uid="{16033DD4-2974-44D6-A508-0996ABB9FCE2}"/>
    <cellStyle name="AggOrangeLBorder 4 4 64" xfId="30490" xr:uid="{AECA9A87-6115-4B79-9DD5-AD978BC9FCEB}"/>
    <cellStyle name="AggOrangeLBorder 4 4 65" xfId="31017" xr:uid="{84515D24-197D-4FDB-B513-90DC4C2E1DB2}"/>
    <cellStyle name="AggOrangeLBorder 4 4 66" xfId="31114" xr:uid="{045AF0C2-6C1A-4CCA-B969-9DCF3FDAF093}"/>
    <cellStyle name="AggOrangeLBorder 4 4 67" xfId="31800" xr:uid="{42E3C846-5B63-4092-932E-E4F0808F6D91}"/>
    <cellStyle name="AggOrangeLBorder 4 4 68" xfId="31495" xr:uid="{B6A5BACC-3300-4EF7-A3A2-D8F84A6AE6D4}"/>
    <cellStyle name="AggOrangeLBorder 4 4 7" xfId="3712" xr:uid="{A12EE8BD-7C25-40E5-B97A-2F16BB7FEFC4}"/>
    <cellStyle name="AggOrangeLBorder 4 4 8" xfId="3888" xr:uid="{F45104CA-2CD3-4066-A9A4-33888CFC9FC1}"/>
    <cellStyle name="AggOrangeLBorder 4 4 9" xfId="4326" xr:uid="{9568936C-75C0-4EAD-A3A4-A76A5D6F09C5}"/>
    <cellStyle name="AggOrangeLBorder 4 40" xfId="17495" xr:uid="{2B315CA3-B019-45E2-ACF2-29C08DE05387}"/>
    <cellStyle name="AggOrangeLBorder 4 41" xfId="17991" xr:uid="{47C82D81-A34F-413B-95BE-4296A5294D6B}"/>
    <cellStyle name="AggOrangeLBorder 4 42" xfId="18179" xr:uid="{E0C21833-7051-4514-9A33-F1288BBC0E16}"/>
    <cellStyle name="AggOrangeLBorder 4 43" xfId="17638" xr:uid="{B63DACAF-724A-4AAF-90F6-8F8B19C0FE53}"/>
    <cellStyle name="AggOrangeLBorder 4 44" xfId="19652" xr:uid="{B6C37869-F707-4562-92CC-C5471441464E}"/>
    <cellStyle name="AggOrangeLBorder 4 45" xfId="20316" xr:uid="{74917B70-9142-4EE0-9226-AA3E1E246FF0}"/>
    <cellStyle name="AggOrangeLBorder 4 46" xfId="20772" xr:uid="{2BA37067-567F-48C7-94C4-B7A0F70C2422}"/>
    <cellStyle name="AggOrangeLBorder 4 47" xfId="21451" xr:uid="{5BC1957D-C28E-4194-8857-AFB785E374CD}"/>
    <cellStyle name="AggOrangeLBorder 4 48" xfId="21106" xr:uid="{7EB6B3EE-0851-4FF2-A1E5-25505F270870}"/>
    <cellStyle name="AggOrangeLBorder 4 49" xfId="21428" xr:uid="{2BCBB604-63A4-45F9-9041-E305E4E36D18}"/>
    <cellStyle name="AggOrangeLBorder 4 5" xfId="693" xr:uid="{A971E2FC-1129-4779-BE81-C8AAA0A76EAB}"/>
    <cellStyle name="AggOrangeLBorder 4 5 2" xfId="5341" xr:uid="{4880002D-3ACF-4A2E-81F4-04B16A04C4E1}"/>
    <cellStyle name="AggOrangeLBorder 4 5 3" xfId="18247" xr:uid="{D2FA19F4-D600-4DC7-A171-8391C3B8BD48}"/>
    <cellStyle name="AggOrangeLBorder 4 50" xfId="22712" xr:uid="{2EDA2DF4-31F0-4B08-8AA5-B0E52E0262E9}"/>
    <cellStyle name="AggOrangeLBorder 4 51" xfId="19415" xr:uid="{6336D226-5B31-4DAC-86AE-0B609D5CAE62}"/>
    <cellStyle name="AggOrangeLBorder 4 52" xfId="23223" xr:uid="{C5EF4F6C-6455-4D2D-9659-17B25C4D938F}"/>
    <cellStyle name="AggOrangeLBorder 4 53" xfId="23561" xr:uid="{6DA287D1-D9E2-4165-AC0A-728EC528D21C}"/>
    <cellStyle name="AggOrangeLBorder 4 54" xfId="24372" xr:uid="{E8D119DF-13E7-41D8-9F5F-4013CD89CE45}"/>
    <cellStyle name="AggOrangeLBorder 4 55" xfId="25032" xr:uid="{31E2CDEF-E595-4984-9408-3B6F3332ECDE}"/>
    <cellStyle name="AggOrangeLBorder 4 56" xfId="25355" xr:uid="{CB36B15C-ED29-4344-98E9-3A6F843D3AB3}"/>
    <cellStyle name="AggOrangeLBorder 4 57" xfId="26236" xr:uid="{E0A86D15-9ED9-4D27-A20B-393F9D26AB1F}"/>
    <cellStyle name="AggOrangeLBorder 4 58" xfId="26427" xr:uid="{160D7289-1780-4524-ABCF-4E70FC2CAD99}"/>
    <cellStyle name="AggOrangeLBorder 4 59" xfId="25073" xr:uid="{C424EB6B-A728-4583-818E-35B213682C9B}"/>
    <cellStyle name="AggOrangeLBorder 4 6" xfId="945" xr:uid="{3249D5D9-9B68-4AFA-AD4C-739E94A638DC}"/>
    <cellStyle name="AggOrangeLBorder 4 60" xfId="26993" xr:uid="{6A8FA818-480E-4585-A606-4DAD09764A5D}"/>
    <cellStyle name="AggOrangeLBorder 4 61" xfId="26258" xr:uid="{50336A07-F8FA-4153-92CD-4C3CC3440A4B}"/>
    <cellStyle name="AggOrangeLBorder 4 62" xfId="28143" xr:uid="{F695F02C-5D14-4C47-812B-FC992F952A15}"/>
    <cellStyle name="AggOrangeLBorder 4 63" xfId="28267" xr:uid="{9D6DD9A1-A21D-4585-AC3E-56D61910D6EF}"/>
    <cellStyle name="AggOrangeLBorder 4 64" xfId="28731" xr:uid="{01BE88B2-AFDE-4B7A-82F8-DBA95C7A0394}"/>
    <cellStyle name="AggOrangeLBorder 4 65" xfId="29367" xr:uid="{73063961-3CCE-43F2-A914-57D5A5430199}"/>
    <cellStyle name="AggOrangeLBorder 4 66" xfId="29247" xr:uid="{DC730849-F988-4FB9-A84B-A6DDBF32A521}"/>
    <cellStyle name="AggOrangeLBorder 4 67" xfId="28286" xr:uid="{C2CBBF6D-49A7-4E92-A169-00F9482D8FD4}"/>
    <cellStyle name="AggOrangeLBorder 4 68" xfId="29471" xr:uid="{A24E15DF-6D36-4DC2-9767-C9E04FE45F73}"/>
    <cellStyle name="AggOrangeLBorder 4 69" xfId="30825" xr:uid="{0B2285B8-781A-4167-B109-69A7EBFB18F5}"/>
    <cellStyle name="AggOrangeLBorder 4 7" xfId="1588" xr:uid="{A76513F8-D836-4C86-A999-151ABD4B3328}"/>
    <cellStyle name="AggOrangeLBorder 4 70" xfId="31595" xr:uid="{F3D68D61-AF6D-45BF-BA94-16107BCAA519}"/>
    <cellStyle name="AggOrangeLBorder 4 71" xfId="31713" xr:uid="{B43A7600-6AAA-4B9C-ADC8-20A69A2C4C69}"/>
    <cellStyle name="AggOrangeLBorder 4 8" xfId="2092" xr:uid="{AFC97032-8B02-4844-B7CD-AE3C0E0BF12A}"/>
    <cellStyle name="AggOrangeLBorder 4 9" xfId="2881" xr:uid="{FBA92CD3-2E43-4797-8D2A-C59C438B6CB3}"/>
    <cellStyle name="AggOrangeLBorder 5" xfId="77" xr:uid="{EB5CA716-4A0A-45E1-84C2-443E6321562C}"/>
    <cellStyle name="AggOrangeLBorder 5 2" xfId="4741" xr:uid="{5988D7A4-4A8E-42D7-BD6E-D47DB7D349D5}"/>
    <cellStyle name="AggOrangeLBorder 5 3" xfId="18899" xr:uid="{2DB3F43D-D686-4A94-B293-DB44DEBB9BF8}"/>
    <cellStyle name="AggOrangeRBorder" xfId="19" xr:uid="{8D8A4B21-4DF8-4D08-903C-AFF08CBBF8E1}"/>
    <cellStyle name="AggOrangeRBorder 2" xfId="119" xr:uid="{50C1C0CA-B400-4C81-B242-3A06CD4B0166}"/>
    <cellStyle name="AggOrangeRBorder 2 2" xfId="413" xr:uid="{99F60842-29AF-440B-BA1A-5983B0EEDC1B}"/>
    <cellStyle name="AggOrangeRBorder 2 2 2" xfId="525" xr:uid="{6D924AED-6C10-4002-88B9-36ACBCEC2996}"/>
    <cellStyle name="AggOrangeRBorder 2 2 2 10" xfId="4792" xr:uid="{34CB8085-4A4C-4308-AE0B-BCCAECE818BC}"/>
    <cellStyle name="AggOrangeRBorder 2 2 2 11" xfId="5173" xr:uid="{9936F174-ADD2-4998-AC4B-F412276300A3}"/>
    <cellStyle name="AggOrangeRBorder 2 2 2 12" xfId="6006" xr:uid="{D1947205-BA87-4FFA-A013-DDD471FCF6B8}"/>
    <cellStyle name="AggOrangeRBorder 2 2 2 13" xfId="6368" xr:uid="{04E1BB57-BADD-4BAC-889C-E33ED49CB6DA}"/>
    <cellStyle name="AggOrangeRBorder 2 2 2 14" xfId="5542" xr:uid="{0972B6EB-2334-4763-AEA7-610F7B053A6A}"/>
    <cellStyle name="AggOrangeRBorder 2 2 2 15" xfId="7245" xr:uid="{53730A8C-FB57-4E27-A76A-65610F83970F}"/>
    <cellStyle name="AggOrangeRBorder 2 2 2 16" xfId="7019" xr:uid="{8B7AD777-CD3A-49F4-8172-5547B05DEA7D}"/>
    <cellStyle name="AggOrangeRBorder 2 2 2 17" xfId="7846" xr:uid="{DCA41EDF-C7D1-4DA6-8685-552FAF1C9BCB}"/>
    <cellStyle name="AggOrangeRBorder 2 2 2 18" xfId="6940" xr:uid="{53386537-AFFF-4D23-8C91-8FD57C3CE7C0}"/>
    <cellStyle name="AggOrangeRBorder 2 2 2 19" xfId="9459" xr:uid="{61372F7B-B3F1-4AD7-9678-8CFAE119024C}"/>
    <cellStyle name="AggOrangeRBorder 2 2 2 2" xfId="740" xr:uid="{099FF38E-B1AF-4DAE-AF4F-528DBB827FD4}"/>
    <cellStyle name="AggOrangeRBorder 2 2 2 2 10" xfId="5388" xr:uid="{9CAE0975-E97C-4221-8AB5-E3F3E2359CCC}"/>
    <cellStyle name="AggOrangeRBorder 2 2 2 2 11" xfId="5761" xr:uid="{11ADC646-D49B-48D5-9680-2533DA348A14}"/>
    <cellStyle name="AggOrangeRBorder 2 2 2 2 12" xfId="6160" xr:uid="{D969C80C-1FBE-4E8A-BA8C-61464CCC8B70}"/>
    <cellStyle name="AggOrangeRBorder 2 2 2 2 13" xfId="6426" xr:uid="{E5FA3FDB-B8E6-489F-A945-F642E587DFC4}"/>
    <cellStyle name="AggOrangeRBorder 2 2 2 2 14" xfId="7460" xr:uid="{9CF818AE-4BA1-437C-8EE6-DC285B0BE009}"/>
    <cellStyle name="AggOrangeRBorder 2 2 2 2 15" xfId="7151" xr:uid="{8A418F6B-5151-44D8-AEDD-8F904DEDB503}"/>
    <cellStyle name="AggOrangeRBorder 2 2 2 2 16" xfId="8201" xr:uid="{51BD79F1-E027-410D-8F09-5FE73A27C05D}"/>
    <cellStyle name="AggOrangeRBorder 2 2 2 2 17" xfId="8485" xr:uid="{902A6FEC-93B8-411D-A769-8CD0DE6776B0}"/>
    <cellStyle name="AggOrangeRBorder 2 2 2 2 18" xfId="9674" xr:uid="{AED3C53D-0994-44F7-A4FF-A0F3274BE53B}"/>
    <cellStyle name="AggOrangeRBorder 2 2 2 2 19" xfId="9366" xr:uid="{8B889B1F-3325-4E79-8DC7-0022FDBF5BB7}"/>
    <cellStyle name="AggOrangeRBorder 2 2 2 2 2" xfId="1214" xr:uid="{DC101EE4-0AE9-4B31-BF03-8E4845E5E50A}"/>
    <cellStyle name="AggOrangeRBorder 2 2 2 2 20" xfId="9364" xr:uid="{18976122-C10A-480F-8AE4-FA20A8D956BB}"/>
    <cellStyle name="AggOrangeRBorder 2 2 2 2 21" xfId="10961" xr:uid="{132675C9-88C9-4B0B-A1D4-5790BF3DC76D}"/>
    <cellStyle name="AggOrangeRBorder 2 2 2 2 22" xfId="11237" xr:uid="{3F0B92E8-7127-4786-9535-7513855EEB3D}"/>
    <cellStyle name="AggOrangeRBorder 2 2 2 2 23" xfId="12093" xr:uid="{CB37C2E9-1232-48A1-9659-2086BEBFD4DD}"/>
    <cellStyle name="AggOrangeRBorder 2 2 2 2 24" xfId="12566" xr:uid="{D95B60E1-04B2-48F8-AB63-39576633675B}"/>
    <cellStyle name="AggOrangeRBorder 2 2 2 2 25" xfId="13000" xr:uid="{F52BEDAC-BB51-47E1-898F-31DF192C664D}"/>
    <cellStyle name="AggOrangeRBorder 2 2 2 2 26" xfId="13437" xr:uid="{E791202C-4197-46CB-85CF-BE93407D6F06}"/>
    <cellStyle name="AggOrangeRBorder 2 2 2 2 27" xfId="12333" xr:uid="{2A6515F9-E642-4C2B-A363-030AD246FABB}"/>
    <cellStyle name="AggOrangeRBorder 2 2 2 2 28" xfId="13805" xr:uid="{CE1A33DE-592C-4A27-9AD2-6056DA0A7AC7}"/>
    <cellStyle name="AggOrangeRBorder 2 2 2 2 29" xfId="14112" xr:uid="{BE9EE390-21FF-442D-921B-795EA3847BEC}"/>
    <cellStyle name="AggOrangeRBorder 2 2 2 2 3" xfId="1487" xr:uid="{A5E9792F-3829-470E-934B-E8FC16F70F04}"/>
    <cellStyle name="AggOrangeRBorder 2 2 2 2 30" xfId="14264" xr:uid="{31DA4650-BE8A-471E-B971-F93D591825BF}"/>
    <cellStyle name="AggOrangeRBorder 2 2 2 2 31" xfId="15161" xr:uid="{52B01C74-76E3-4E48-9CEF-ED10F170A3D8}"/>
    <cellStyle name="AggOrangeRBorder 2 2 2 2 32" xfId="15518" xr:uid="{A1BBC39B-0782-4A7A-9608-D9CED7C39A9B}"/>
    <cellStyle name="AggOrangeRBorder 2 2 2 2 33" xfId="16785" xr:uid="{37A18F68-AA44-4E9D-9911-5782E5A7A235}"/>
    <cellStyle name="AggOrangeRBorder 2 2 2 2 34" xfId="16472" xr:uid="{91299E18-334E-4C21-9220-B6C9EE731478}"/>
    <cellStyle name="AggOrangeRBorder 2 2 2 2 35" xfId="16470" xr:uid="{D7087159-50C2-4F94-B2D5-25D4DF2B72D6}"/>
    <cellStyle name="AggOrangeRBorder 2 2 2 2 36" xfId="17999" xr:uid="{F218E2DE-807D-4952-8C7D-0F2159A01C00}"/>
    <cellStyle name="AggOrangeRBorder 2 2 2 2 37" xfId="18603" xr:uid="{4328C663-1791-4763-A78C-58FA1341AB1C}"/>
    <cellStyle name="AggOrangeRBorder 2 2 2 2 38" xfId="17882" xr:uid="{C92C36CC-8F7B-4C38-94E6-A51538D8218B}"/>
    <cellStyle name="AggOrangeRBorder 2 2 2 2 39" xfId="17100" xr:uid="{4F8CE0F6-803B-45FD-9355-24008A2D67CB}"/>
    <cellStyle name="AggOrangeRBorder 2 2 2 2 4" xfId="2562" xr:uid="{850D6A8E-7ACC-4349-9EFF-6D44AF9F5B2A}"/>
    <cellStyle name="AggOrangeRBorder 2 2 2 2 40" xfId="20122" xr:uid="{74A21CF0-6B5C-45E5-91D6-8D1D1298E478}"/>
    <cellStyle name="AggOrangeRBorder 2 2 2 2 41" xfId="19808" xr:uid="{E867353E-AE0D-4FBA-9458-113BF25286E3}"/>
    <cellStyle name="AggOrangeRBorder 2 2 2 2 42" xfId="20588" xr:uid="{24CC6BA2-0714-4709-A510-08DD80FDCB1F}"/>
    <cellStyle name="AggOrangeRBorder 2 2 2 2 43" xfId="21255" xr:uid="{A73B164A-FCB4-48F4-BEC0-7269A1595345}"/>
    <cellStyle name="AggOrangeRBorder 2 2 2 2 44" xfId="21248" xr:uid="{7B729BC2-310F-485F-9443-B5121754DCCF}"/>
    <cellStyle name="AggOrangeRBorder 2 2 2 2 45" xfId="20804" xr:uid="{EA7E5731-261C-45CE-94D6-EEC01C6BD9F5}"/>
    <cellStyle name="AggOrangeRBorder 2 2 2 2 46" xfId="21245" xr:uid="{588C207E-F032-4049-A141-9C53FEA0CD45}"/>
    <cellStyle name="AggOrangeRBorder 2 2 2 2 47" xfId="22973" xr:uid="{89EE4B46-863B-41F4-8681-C5CC12172F3A}"/>
    <cellStyle name="AggOrangeRBorder 2 2 2 2 48" xfId="23519" xr:uid="{1CD5761D-4918-455A-A9DD-84C8BCD4A2AC}"/>
    <cellStyle name="AggOrangeRBorder 2 2 2 2 49" xfId="23922" xr:uid="{C211B7AC-6CA8-41C7-AA97-66D8A3A87C92}"/>
    <cellStyle name="AggOrangeRBorder 2 2 2 2 5" xfId="2244" xr:uid="{9FA472B8-0AA5-4A8D-9E66-9130F48770AD}"/>
    <cellStyle name="AggOrangeRBorder 2 2 2 2 50" xfId="24830" xr:uid="{083465A5-9AF9-4EF0-BB91-C3B7D756C77D}"/>
    <cellStyle name="AggOrangeRBorder 2 2 2 2 51" xfId="24555" xr:uid="{F90E04DB-FB87-4C55-8F9B-D62D60824E69}"/>
    <cellStyle name="AggOrangeRBorder 2 2 2 2 52" xfId="25746" xr:uid="{639C4607-7D2F-48CD-A0B6-8E697EAA3969}"/>
    <cellStyle name="AggOrangeRBorder 2 2 2 2 53" xfId="24163" xr:uid="{4144B280-9FEC-4B68-835D-F4A4045BBDFF}"/>
    <cellStyle name="AggOrangeRBorder 2 2 2 2 54" xfId="26373" xr:uid="{02508653-29CA-436A-BE92-FA0CFC92CF80}"/>
    <cellStyle name="AggOrangeRBorder 2 2 2 2 55" xfId="27034" xr:uid="{05AB24B3-14A3-4481-8B5E-D8476DC414F6}"/>
    <cellStyle name="AggOrangeRBorder 2 2 2 2 56" xfId="27453" xr:uid="{9DABF0B2-E776-496E-9C4F-F1925344FCD9}"/>
    <cellStyle name="AggOrangeRBorder 2 2 2 2 57" xfId="26398" xr:uid="{08DA4307-F002-4B7F-AF4C-31DB448773A0}"/>
    <cellStyle name="AggOrangeRBorder 2 2 2 2 58" xfId="28580" xr:uid="{24FE4083-55A5-45A4-9720-25C700B163CE}"/>
    <cellStyle name="AggOrangeRBorder 2 2 2 2 59" xfId="29047" xr:uid="{8C341E22-6CED-4F01-9274-C04A2091EEAB}"/>
    <cellStyle name="AggOrangeRBorder 2 2 2 2 6" xfId="3349" xr:uid="{DE689FB4-1441-429F-BC92-F45AD70B8160}"/>
    <cellStyle name="AggOrangeRBorder 2 2 2 2 60" xfId="28785" xr:uid="{E8313339-CCAE-4E34-A07A-E031EE6CA123}"/>
    <cellStyle name="AggOrangeRBorder 2 2 2 2 61" xfId="29836" xr:uid="{4BF654BD-876A-4D69-8ED6-4FF9349F49E6}"/>
    <cellStyle name="AggOrangeRBorder 2 2 2 2 62" xfId="30242" xr:uid="{4A916859-3A8E-4010-8823-4D6E37FA65C7}"/>
    <cellStyle name="AggOrangeRBorder 2 2 2 2 63" xfId="30659" xr:uid="{884DC5E8-7863-4CE2-A2C1-B38A909612F4}"/>
    <cellStyle name="AggOrangeRBorder 2 2 2 2 64" xfId="30401" xr:uid="{81EA5947-A0CD-4EB6-B345-564FB9599152}"/>
    <cellStyle name="AggOrangeRBorder 2 2 2 2 65" xfId="31275" xr:uid="{DAD68417-8D90-40CB-8F9E-99E9DCCF17D6}"/>
    <cellStyle name="AggOrangeRBorder 2 2 2 2 66" xfId="31966" xr:uid="{26EA7D0E-87E9-4CCC-BCB6-372C13AD715A}"/>
    <cellStyle name="AggOrangeRBorder 2 2 2 2 67" xfId="31478" xr:uid="{51F1DB24-9A24-494D-83FB-BCBC9DFE3015}"/>
    <cellStyle name="AggOrangeRBorder 2 2 2 2 7" xfId="4058" xr:uid="{243416B2-7BCE-43D8-93E3-71551F697795}"/>
    <cellStyle name="AggOrangeRBorder 2 2 2 2 8" xfId="4495" xr:uid="{089341EF-7A98-40A0-BDFB-47B9C3A6AE9B}"/>
    <cellStyle name="AggOrangeRBorder 2 2 2 2 9" xfId="4234" xr:uid="{CB081691-FEA0-4CE3-9207-C4016BE469E6}"/>
    <cellStyle name="AggOrangeRBorder 2 2 2 20" xfId="9233" xr:uid="{082B0340-A724-4422-90F8-139462A54494}"/>
    <cellStyle name="AggOrangeRBorder 2 2 2 21" xfId="10006" xr:uid="{FF753CD1-D1E5-424E-B01B-26B99A75F789}"/>
    <cellStyle name="AggOrangeRBorder 2 2 2 22" xfId="10776" xr:uid="{3DF21258-FDCF-4143-917D-79F10B4BC159}"/>
    <cellStyle name="AggOrangeRBorder 2 2 2 23" xfId="11048" xr:uid="{11EC055C-9B85-4A52-A85A-450E64923B85}"/>
    <cellStyle name="AggOrangeRBorder 2 2 2 24" xfId="11878" xr:uid="{C5CE8298-7097-4BEB-9A4F-40976213A089}"/>
    <cellStyle name="AggOrangeRBorder 2 2 2 25" xfId="12351" xr:uid="{D35B995E-4379-4F6C-93C0-6D76767C4A71}"/>
    <cellStyle name="AggOrangeRBorder 2 2 2 26" xfId="12785" xr:uid="{D170BF79-2B4E-4D23-A79F-72C6276DB23F}"/>
    <cellStyle name="AggOrangeRBorder 2 2 2 27" xfId="13222" xr:uid="{364C568C-8C0E-4A35-9064-EA5FDDB29DCB}"/>
    <cellStyle name="AggOrangeRBorder 2 2 2 28" xfId="12272" xr:uid="{7F8996DF-981D-4881-A143-4EE12ED359BD}"/>
    <cellStyle name="AggOrangeRBorder 2 2 2 29" xfId="13951" xr:uid="{9FB08706-2A75-475E-82D2-AFF8E82E5042}"/>
    <cellStyle name="AggOrangeRBorder 2 2 2 3" xfId="1008" xr:uid="{1CD14584-B6A1-4278-B8F3-EB88C7836D7B}"/>
    <cellStyle name="AggOrangeRBorder 2 2 2 30" xfId="14914" xr:uid="{A8CA6C10-B3BD-47A9-B6A0-DB6B13F0FE2D}"/>
    <cellStyle name="AggOrangeRBorder 2 2 2 31" xfId="15385" xr:uid="{AF91A7F5-9819-4218-8B44-5E3BB9602A50}"/>
    <cellStyle name="AggOrangeRBorder 2 2 2 32" xfId="15608" xr:uid="{354E2C51-89FE-4D76-A090-8E4AA85327EC}"/>
    <cellStyle name="AggOrangeRBorder 2 2 2 33" xfId="15705" xr:uid="{68B9FCBB-9A0B-4766-B589-E392160DDC66}"/>
    <cellStyle name="AggOrangeRBorder 2 2 2 34" xfId="16570" xr:uid="{6C759AFE-ACC3-42CF-8C6C-D213E615A4EB}"/>
    <cellStyle name="AggOrangeRBorder 2 2 2 35" xfId="16341" xr:uid="{98F033C5-23AD-4FAC-A320-4EEB01A2AA2C}"/>
    <cellStyle name="AggOrangeRBorder 2 2 2 36" xfId="17122" xr:uid="{AA7C761F-EEFB-4082-A243-35B25640AA37}"/>
    <cellStyle name="AggOrangeRBorder 2 2 2 37" xfId="17206" xr:uid="{0EABC8DD-AE1F-4BD6-81FC-E5872EECAB19}"/>
    <cellStyle name="AggOrangeRBorder 2 2 2 38" xfId="18388" xr:uid="{B6F8B227-01C2-478A-AFC9-92B655E5D687}"/>
    <cellStyle name="AggOrangeRBorder 2 2 2 39" xfId="16407" xr:uid="{937FE871-25E1-4A4E-AF78-334DFEB8F97C}"/>
    <cellStyle name="AggOrangeRBorder 2 2 2 4" xfId="1549" xr:uid="{5EA7724D-4417-4A6E-BD53-676DFBF90C5A}"/>
    <cellStyle name="AggOrangeRBorder 2 2 2 40" xfId="16980" xr:uid="{93619DE6-86CA-424C-ABC6-465EAA5E5794}"/>
    <cellStyle name="AggOrangeRBorder 2 2 2 41" xfId="19907" xr:uid="{AA25EF3C-D90E-4A76-8DA2-E4BD166F353B}"/>
    <cellStyle name="AggOrangeRBorder 2 2 2 42" xfId="19674" xr:uid="{D2DEEEF0-6094-4981-89C6-4EBA519E4082}"/>
    <cellStyle name="AggOrangeRBorder 2 2 2 43" xfId="19581" xr:uid="{55961637-5C9A-4D2D-8942-BC1B1F89C89F}"/>
    <cellStyle name="AggOrangeRBorder 2 2 2 44" xfId="20427" xr:uid="{A47F32F8-83D0-4A21-B880-CEBDD86BF7DC}"/>
    <cellStyle name="AggOrangeRBorder 2 2 2 45" xfId="21301" xr:uid="{D3A2A580-C62B-4240-886F-627E8EE04DA4}"/>
    <cellStyle name="AggOrangeRBorder 2 2 2 46" xfId="21921" xr:uid="{09CC3255-24B2-4084-B474-A545A4541BA1}"/>
    <cellStyle name="AggOrangeRBorder 2 2 2 47" xfId="21225" xr:uid="{D1C502F2-CDF9-4FA4-BD42-D20C8D21400C}"/>
    <cellStyle name="AggOrangeRBorder 2 2 2 48" xfId="20430" xr:uid="{4A974242-6917-4D67-BADE-5A696FD97885}"/>
    <cellStyle name="AggOrangeRBorder 2 2 2 49" xfId="23642" xr:uid="{2B86DAD4-D0C7-4E05-98D9-D71FC92B81B1}"/>
    <cellStyle name="AggOrangeRBorder 2 2 2 5" xfId="2347" xr:uid="{F4180944-15E1-4ACB-ACB8-53A992BDAD7E}"/>
    <cellStyle name="AggOrangeRBorder 2 2 2 50" xfId="23716" xr:uid="{09669F00-8CAB-4ACD-997D-B6157DFB9633}"/>
    <cellStyle name="AggOrangeRBorder 2 2 2 51" xfId="24615" xr:uid="{AA57AA58-A818-481D-A085-26FD62269C73}"/>
    <cellStyle name="AggOrangeRBorder 2 2 2 52" xfId="24548" xr:uid="{1132563A-AF5E-4314-ADA0-CFA2D78D4A41}"/>
    <cellStyle name="AggOrangeRBorder 2 2 2 53" xfId="25533" xr:uid="{E6C8EDE4-876A-409C-B072-0426AA754CA2}"/>
    <cellStyle name="AggOrangeRBorder 2 2 2 54" xfId="26186" xr:uid="{3480265F-9159-4506-B935-32737FC72D38}"/>
    <cellStyle name="AggOrangeRBorder 2 2 2 55" xfId="26431" xr:uid="{41648752-4989-4ABB-A4AA-7940F377984F}"/>
    <cellStyle name="AggOrangeRBorder 2 2 2 56" xfId="26823" xr:uid="{F727CFB9-542D-4641-82BB-30C3226A8A21}"/>
    <cellStyle name="AggOrangeRBorder 2 2 2 57" xfId="27242" xr:uid="{72B172C4-B076-46C9-9B95-D7AEDF2866D4}"/>
    <cellStyle name="AggOrangeRBorder 2 2 2 58" xfId="27706" xr:uid="{0FCDD58D-0912-479B-9D13-D4F7055DD331}"/>
    <cellStyle name="AggOrangeRBorder 2 2 2 59" xfId="28365" xr:uid="{A0DB5A44-4AD6-4861-A131-3C2B704DBCBD}"/>
    <cellStyle name="AggOrangeRBorder 2 2 2 6" xfId="1857" xr:uid="{EC545A1F-0063-4ECA-B42D-BE2ED750F689}"/>
    <cellStyle name="AggOrangeRBorder 2 2 2 60" xfId="28833" xr:uid="{5536BBF4-5CB1-4016-A2AC-AADC53962559}"/>
    <cellStyle name="AggOrangeRBorder 2 2 2 61" xfId="28777" xr:uid="{31D51970-4D5B-47F8-A03D-F83DBB8C9C22}"/>
    <cellStyle name="AggOrangeRBorder 2 2 2 62" xfId="29623" xr:uid="{9569E680-445F-4FE3-8182-64125F234916}"/>
    <cellStyle name="AggOrangeRBorder 2 2 2 63" xfId="30031" xr:uid="{E0AA2903-401B-494E-8C75-3E1715DC28AC}"/>
    <cellStyle name="AggOrangeRBorder 2 2 2 64" xfId="30445" xr:uid="{5DBEAF58-B949-4C50-B079-5B8628E19159}"/>
    <cellStyle name="AggOrangeRBorder 2 2 2 65" xfId="30919" xr:uid="{0C78BF59-07CF-41EF-9B86-8F88E25D0020}"/>
    <cellStyle name="AggOrangeRBorder 2 2 2 66" xfId="31069" xr:uid="{245EFD9F-E017-4357-860E-DF9B18D4AB3D}"/>
    <cellStyle name="AggOrangeRBorder 2 2 2 67" xfId="31755" xr:uid="{AD3319B2-27F7-45F5-A616-E93B966CE9DF}"/>
    <cellStyle name="AggOrangeRBorder 2 2 2 68" xfId="32128" xr:uid="{8BA0D124-D8DA-47F7-9AE3-968CE8895D06}"/>
    <cellStyle name="AggOrangeRBorder 2 2 2 7" xfId="3403" xr:uid="{F795790D-1F81-4452-9535-7CCE13C41ECA}"/>
    <cellStyle name="AggOrangeRBorder 2 2 2 8" xfId="3843" xr:uid="{1E1E1292-4E18-4564-BF9A-B01EFDBD6916}"/>
    <cellStyle name="AggOrangeRBorder 2 2 2 9" xfId="4281" xr:uid="{BC43FE3B-662E-48DD-A1E1-C8F0FE6643B5}"/>
    <cellStyle name="AggOrangeRBorder 2 3" xfId="271" xr:uid="{2DC8BC9D-87DC-43C9-96DB-603A54B33BE1}"/>
    <cellStyle name="AggOrangeRBorder 2 3 10" xfId="3286" xr:uid="{3055E48C-0AB1-4E06-8910-AA8965E67855}"/>
    <cellStyle name="AggOrangeRBorder 2 3 11" xfId="3743" xr:uid="{FC6373DF-0B43-4E4E-8277-C1E2485A344A}"/>
    <cellStyle name="AggOrangeRBorder 2 3 12" xfId="2301" xr:uid="{4B46A2F3-0035-4F6C-BE0C-98A036093E7D}"/>
    <cellStyle name="AggOrangeRBorder 2 3 13" xfId="2789" xr:uid="{F9665A73-19B1-496E-8327-FBBD0C1413F3}"/>
    <cellStyle name="AggOrangeRBorder 2 3 14" xfId="4898" xr:uid="{73B2D109-9012-40EB-A37B-290F06D00945}"/>
    <cellStyle name="AggOrangeRBorder 2 3 15" xfId="1867" xr:uid="{F890CFFC-0C68-40A2-A8AD-EE0AB54CE566}"/>
    <cellStyle name="AggOrangeRBorder 2 3 16" xfId="6282" xr:uid="{93D533F7-CE7F-46D6-AD53-78E775CF81C4}"/>
    <cellStyle name="AggOrangeRBorder 2 3 17" xfId="6623" xr:uid="{3558B028-DEF6-4C36-9F99-1E7EFD320DF6}"/>
    <cellStyle name="AggOrangeRBorder 2 3 18" xfId="7001" xr:uid="{C03ABE97-7A9F-454F-B0B1-DD2ADF522C74}"/>
    <cellStyle name="AggOrangeRBorder 2 3 19" xfId="6927" xr:uid="{6EB1565E-8D5E-4105-A769-672974D1F90E}"/>
    <cellStyle name="AggOrangeRBorder 2 3 2" xfId="610" xr:uid="{B89BEFDA-FF0B-4D37-BE82-29C2FF3F2991}"/>
    <cellStyle name="AggOrangeRBorder 2 3 2 10" xfId="2916" xr:uid="{87B56B11-FFBD-4205-BDF4-37035C97B79D}"/>
    <cellStyle name="AggOrangeRBorder 2 3 2 11" xfId="5258" xr:uid="{898A8FB1-DA16-4C98-8E4A-4986B4D4A2D9}"/>
    <cellStyle name="AggOrangeRBorder 2 3 2 12" xfId="4760" xr:uid="{E784AEA8-8CAD-4A09-8213-9024DD23D98C}"/>
    <cellStyle name="AggOrangeRBorder 2 3 2 13" xfId="6164" xr:uid="{B69291CF-C57D-40C1-9A26-ACE6E3FFC22A}"/>
    <cellStyle name="AggOrangeRBorder 2 3 2 14" xfId="6266" xr:uid="{2B59037A-2FC1-4AC7-BACD-A8FE479FA87B}"/>
    <cellStyle name="AggOrangeRBorder 2 3 2 15" xfId="7330" xr:uid="{2347131D-26D4-4BC9-BEF0-6582D2294CD9}"/>
    <cellStyle name="AggOrangeRBorder 2 3 2 16" xfId="7415" xr:uid="{1BB704D1-E576-4473-81B5-9D37721E7B77}"/>
    <cellStyle name="AggOrangeRBorder 2 3 2 17" xfId="8451" xr:uid="{B94C29C1-1942-4309-90B8-02F3D96EEA0F}"/>
    <cellStyle name="AggOrangeRBorder 2 3 2 18" xfId="8765" xr:uid="{60B7288D-A7C7-4C3D-B1E6-054A8D366E29}"/>
    <cellStyle name="AggOrangeRBorder 2 3 2 19" xfId="9544" xr:uid="{C05D5672-96BB-43CD-8E52-9F0C04CB064F}"/>
    <cellStyle name="AggOrangeRBorder 2 3 2 2" xfId="825" xr:uid="{40AF0C93-35EA-4CBC-895F-C94165B4FC4D}"/>
    <cellStyle name="AggOrangeRBorder 2 3 2 2 10" xfId="5473" xr:uid="{054473AE-6786-4A9A-B963-70CDADF0F664}"/>
    <cellStyle name="AggOrangeRBorder 2 3 2 2 11" xfId="3179" xr:uid="{18C93898-26AA-461C-B4FB-D70B14F87859}"/>
    <cellStyle name="AggOrangeRBorder 2 3 2 2 12" xfId="5136" xr:uid="{10B0BA94-9C7B-4F2E-BA62-7C4FE5A76F46}"/>
    <cellStyle name="AggOrangeRBorder 2 3 2 2 13" xfId="6112" xr:uid="{4F9AA7DB-1B72-4B67-BD68-5CD0B68DE24D}"/>
    <cellStyle name="AggOrangeRBorder 2 3 2 2 14" xfId="7545" xr:uid="{FCD9C98F-67BA-4674-B867-9AF3C30943B4}"/>
    <cellStyle name="AggOrangeRBorder 2 3 2 2 15" xfId="6972" xr:uid="{6538C654-53E9-49D8-A35A-42863C9DC1CE}"/>
    <cellStyle name="AggOrangeRBorder 2 3 2 2 16" xfId="7424" xr:uid="{014B837E-3CE1-4A0C-A546-932E83848337}"/>
    <cellStyle name="AggOrangeRBorder 2 3 2 2 17" xfId="8634" xr:uid="{E345B16B-CE09-48E1-B079-B47FBA61FFFB}"/>
    <cellStyle name="AggOrangeRBorder 2 3 2 2 18" xfId="9759" xr:uid="{FF47BAD8-3C08-453D-A731-33AEF6899EBF}"/>
    <cellStyle name="AggOrangeRBorder 2 3 2 2 19" xfId="9083" xr:uid="{C2F12ADA-FBE3-4028-88E2-C420B677AAE2}"/>
    <cellStyle name="AggOrangeRBorder 2 3 2 2 2" xfId="1299" xr:uid="{77FCEBBC-1CEA-49E9-B9D4-F294FE526E33}"/>
    <cellStyle name="AggOrangeRBorder 2 3 2 2 20" xfId="9109" xr:uid="{A226C13B-2DA2-4DF6-9024-535698C8566B}"/>
    <cellStyle name="AggOrangeRBorder 2 3 2 2 21" xfId="10176" xr:uid="{7528D1BC-0A44-45AE-9F34-94BF8DAD9475}"/>
    <cellStyle name="AggOrangeRBorder 2 3 2 2 22" xfId="10842" xr:uid="{EAC2994D-C2BA-4CAB-90DB-C88F0C7257F2}"/>
    <cellStyle name="AggOrangeRBorder 2 3 2 2 23" xfId="12178" xr:uid="{48612821-A0F9-4A7C-B590-2D4D8C2EBEF2}"/>
    <cellStyle name="AggOrangeRBorder 2 3 2 2 24" xfId="12651" xr:uid="{FDA57294-831E-41BD-BF05-3C47498905D2}"/>
    <cellStyle name="AggOrangeRBorder 2 3 2 2 25" xfId="13085" xr:uid="{16863C44-C406-4A71-BEEE-4CCAE29D67AA}"/>
    <cellStyle name="AggOrangeRBorder 2 3 2 2 26" xfId="13522" xr:uid="{0CC63C19-5067-4580-BAD4-33B4041B8AD2}"/>
    <cellStyle name="AggOrangeRBorder 2 3 2 2 27" xfId="12766" xr:uid="{03D3F32B-7A0D-41BD-95AF-2BA618A8BD4F}"/>
    <cellStyle name="AggOrangeRBorder 2 3 2 2 28" xfId="11697" xr:uid="{7786F3C8-106F-4C40-9ADA-7E1BAE87AC9C}"/>
    <cellStyle name="AggOrangeRBorder 2 3 2 2 29" xfId="13941" xr:uid="{01969CFD-A1B8-49D6-BB3E-384C2B2F6D6C}"/>
    <cellStyle name="AggOrangeRBorder 2 3 2 2 3" xfId="1503" xr:uid="{ADB56C23-A26D-4328-B344-E1FBCF53E2A4}"/>
    <cellStyle name="AggOrangeRBorder 2 3 2 2 30" xfId="12753" xr:uid="{25D5DE90-4C63-40DF-8532-87FF43B1A71D}"/>
    <cellStyle name="AggOrangeRBorder 2 3 2 2 31" xfId="15185" xr:uid="{D172C059-D112-42C3-A0F1-3A9537B97D87}"/>
    <cellStyle name="AggOrangeRBorder 2 3 2 2 32" xfId="15764" xr:uid="{6BB4D89B-6F66-4DCF-B223-E6BEACDD6393}"/>
    <cellStyle name="AggOrangeRBorder 2 3 2 2 33" xfId="16870" xr:uid="{0C89B696-5F66-4710-B45F-54BB630A49A2}"/>
    <cellStyle name="AggOrangeRBorder 2 3 2 2 34" xfId="16292" xr:uid="{9A0CCBD7-09FD-432C-9B2E-CAB2ABD5F962}"/>
    <cellStyle name="AggOrangeRBorder 2 3 2 2 35" xfId="16212" xr:uid="{AD6F88C6-1AF7-4C11-B650-8254E590F63E}"/>
    <cellStyle name="AggOrangeRBorder 2 3 2 2 36" xfId="17964" xr:uid="{427388A7-6204-4591-BCA6-26560B75B667}"/>
    <cellStyle name="AggOrangeRBorder 2 3 2 2 37" xfId="18688" xr:uid="{17C3D19E-7323-497C-9D70-FAF2094E3A7E}"/>
    <cellStyle name="AggOrangeRBorder 2 3 2 2 38" xfId="18223" xr:uid="{3CE0020D-ECAC-4407-881A-517EA0D01E75}"/>
    <cellStyle name="AggOrangeRBorder 2 3 2 2 39" xfId="18809" xr:uid="{E9D04763-6366-4223-8FF3-E7E08682A9AB}"/>
    <cellStyle name="AggOrangeRBorder 2 3 2 2 4" xfId="2647" xr:uid="{FDF60FA1-B622-428A-895B-FA6CC7B851F8}"/>
    <cellStyle name="AggOrangeRBorder 2 3 2 2 40" xfId="20207" xr:uid="{C6C7A284-7E29-4BF4-9FE9-705D040080DB}"/>
    <cellStyle name="AggOrangeRBorder 2 3 2 2 41" xfId="19797" xr:uid="{ACD38B35-7120-4B21-B94B-5245E6F05C44}"/>
    <cellStyle name="AggOrangeRBorder 2 3 2 2 42" xfId="20572" xr:uid="{75BEE360-27CB-4C55-B128-80FC28804DBE}"/>
    <cellStyle name="AggOrangeRBorder 2 3 2 2 43" xfId="20888" xr:uid="{F0FB6FF7-180D-4170-BB9F-915F6E082E7C}"/>
    <cellStyle name="AggOrangeRBorder 2 3 2 2 44" xfId="21594" xr:uid="{40D4E71C-7D5B-4D00-AB92-91CEC59CF178}"/>
    <cellStyle name="AggOrangeRBorder 2 3 2 2 45" xfId="21389" xr:uid="{C96970A1-719A-40EB-9D8F-5FB02D633B00}"/>
    <cellStyle name="AggOrangeRBorder 2 3 2 2 46" xfId="22406" xr:uid="{3FC51933-88AC-4503-9AEC-2EABF60D01C4}"/>
    <cellStyle name="AggOrangeRBorder 2 3 2 2 47" xfId="22961" xr:uid="{655EAEEA-B336-490F-87F6-89D775E193C7}"/>
    <cellStyle name="AggOrangeRBorder 2 3 2 2 48" xfId="20930" xr:uid="{99935BDA-9F42-42E7-9FB9-89E61CFFFD17}"/>
    <cellStyle name="AggOrangeRBorder 2 3 2 2 49" xfId="24007" xr:uid="{56C4CCBC-2DC6-480A-8BA7-810CF38FB6EA}"/>
    <cellStyle name="AggOrangeRBorder 2 3 2 2 5" xfId="1936" xr:uid="{C30FEB13-084B-4B2C-AE9A-4ADA4E4B3B96}"/>
    <cellStyle name="AggOrangeRBorder 2 3 2 2 50" xfId="24915" xr:uid="{74A2F778-700F-41EB-9D67-C7D4FC764E9C}"/>
    <cellStyle name="AggOrangeRBorder 2 3 2 2 51" xfId="24231" xr:uid="{B59CFCC0-B542-44E4-B71E-1272B29A821D}"/>
    <cellStyle name="AggOrangeRBorder 2 3 2 2 52" xfId="25831" xr:uid="{A63F0883-2B9A-41ED-B8EB-B48616CAB13C}"/>
    <cellStyle name="AggOrangeRBorder 2 3 2 2 53" xfId="25701" xr:uid="{58C9DD8A-A30E-443B-A2CE-85C6BE0F1E87}"/>
    <cellStyle name="AggOrangeRBorder 2 3 2 2 54" xfId="26024" xr:uid="{637ECB78-1B7F-422A-9C4A-14B142FAA6A4}"/>
    <cellStyle name="AggOrangeRBorder 2 3 2 2 55" xfId="27119" xr:uid="{CB222544-4191-45CD-99F4-A0779C386F05}"/>
    <cellStyle name="AggOrangeRBorder 2 3 2 2 56" xfId="27538" xr:uid="{3E161CD7-5A94-41F7-919B-97991B0E7463}"/>
    <cellStyle name="AggOrangeRBorder 2 3 2 2 57" xfId="26727" xr:uid="{F1148BDD-175B-4E4E-B501-79E120341285}"/>
    <cellStyle name="AggOrangeRBorder 2 3 2 2 58" xfId="28665" xr:uid="{986F28E0-28BF-44E5-AA32-1223C9FD0F10}"/>
    <cellStyle name="AggOrangeRBorder 2 3 2 2 59" xfId="29132" xr:uid="{DBCD40CC-CC25-40CF-820C-8F49B18E917E}"/>
    <cellStyle name="AggOrangeRBorder 2 3 2 2 6" xfId="3618" xr:uid="{1E95B92B-F79D-42C2-8E22-FD428E02EB98}"/>
    <cellStyle name="AggOrangeRBorder 2 3 2 2 60" xfId="28266" xr:uid="{A16F69B3-64A0-43F8-AEF8-98249E11C00C}"/>
    <cellStyle name="AggOrangeRBorder 2 3 2 2 61" xfId="29921" xr:uid="{9619D38F-451A-4D6A-AA96-D23669291B76}"/>
    <cellStyle name="AggOrangeRBorder 2 3 2 2 62" xfId="30327" xr:uid="{BFEB20DB-02A0-4C45-8C3C-19A37DFACC31}"/>
    <cellStyle name="AggOrangeRBorder 2 3 2 2 63" xfId="30744" xr:uid="{ACFA4CA1-CBF4-411F-B3A8-842A327B635C}"/>
    <cellStyle name="AggOrangeRBorder 2 3 2 2 64" xfId="31001" xr:uid="{14D8EB9A-682A-4DF1-BDB3-23D9CC466731}"/>
    <cellStyle name="AggOrangeRBorder 2 3 2 2 65" xfId="31360" xr:uid="{BDD3F053-6C33-47F2-9E30-86BE5508D7B1}"/>
    <cellStyle name="AggOrangeRBorder 2 3 2 2 66" xfId="32051" xr:uid="{1188E1BB-ABE9-42B2-85BF-4129CE68BA35}"/>
    <cellStyle name="AggOrangeRBorder 2 3 2 2 67" xfId="31718" xr:uid="{70A778D3-43E3-49BA-A5F2-1D8A1F327FF6}"/>
    <cellStyle name="AggOrangeRBorder 2 3 2 2 7" xfId="4143" xr:uid="{02844CBF-4C34-4BC0-9CFA-F5B2311B92A5}"/>
    <cellStyle name="AggOrangeRBorder 2 3 2 2 8" xfId="4580" xr:uid="{CAF581EF-DD64-4BD7-A5BE-7C7E91A7ED02}"/>
    <cellStyle name="AggOrangeRBorder 2 3 2 2 9" xfId="2723" xr:uid="{8AC18927-44A6-449B-B4C1-C565B3ABBD30}"/>
    <cellStyle name="AggOrangeRBorder 2 3 2 20" xfId="9027" xr:uid="{5C887621-AAAE-4ADF-A16B-02FF6862A3BA}"/>
    <cellStyle name="AggOrangeRBorder 2 3 2 21" xfId="9056" xr:uid="{AAE42352-BC32-4B9D-A797-B7B3FB4E5D75}"/>
    <cellStyle name="AggOrangeRBorder 2 3 2 22" xfId="9950" xr:uid="{67A9E0C3-D33A-4B4B-9EBB-FF6B8C5D045C}"/>
    <cellStyle name="AggOrangeRBorder 2 3 2 23" xfId="11040" xr:uid="{5FC13ADF-C396-4FBA-99E2-9460C7E94CE2}"/>
    <cellStyle name="AggOrangeRBorder 2 3 2 24" xfId="11963" xr:uid="{F519BE7F-ECD8-4D5F-93C0-AE97FDB81D49}"/>
    <cellStyle name="AggOrangeRBorder 2 3 2 25" xfId="12436" xr:uid="{84C40EC5-B067-4C33-B356-77B646341134}"/>
    <cellStyle name="AggOrangeRBorder 2 3 2 26" xfId="12870" xr:uid="{63D0078E-C8A1-4FFC-B49B-5EB61D09F765}"/>
    <cellStyle name="AggOrangeRBorder 2 3 2 27" xfId="13307" xr:uid="{CAB1A8E1-DA1F-4C66-A1C8-486C8E6101CA}"/>
    <cellStyle name="AggOrangeRBorder 2 3 2 28" xfId="11751" xr:uid="{70B2651A-A6BA-4816-BF30-09B0205E4342}"/>
    <cellStyle name="AggOrangeRBorder 2 3 2 29" xfId="14392" xr:uid="{E69BA2FA-C6AD-4995-B4BC-C4A0D2C4EE79}"/>
    <cellStyle name="AggOrangeRBorder 2 3 2 3" xfId="1093" xr:uid="{E90E1843-5E83-4B25-AA2D-6E365AE1B8F0}"/>
    <cellStyle name="AggOrangeRBorder 2 3 2 30" xfId="14736" xr:uid="{76F1626B-8DBC-48F7-8029-005694D21B24}"/>
    <cellStyle name="AggOrangeRBorder 2 3 2 31" xfId="14101" xr:uid="{1DC094F8-CEF6-43ED-B1E2-54F8D7DF0F0C}"/>
    <cellStyle name="AggOrangeRBorder 2 3 2 32" xfId="15667" xr:uid="{9D525AD8-1369-4251-AFFA-26CF0D8CB509}"/>
    <cellStyle name="AggOrangeRBorder 2 3 2 33" xfId="14273" xr:uid="{35D275F0-A7DD-4DC1-A6C9-A34C6FB074E4}"/>
    <cellStyle name="AggOrangeRBorder 2 3 2 34" xfId="16655" xr:uid="{0149C2B8-93AA-4876-B1CE-E7E270086045}"/>
    <cellStyle name="AggOrangeRBorder 2 3 2 35" xfId="16740" xr:uid="{40C9C187-3BC1-4944-8793-926D85917BC0}"/>
    <cellStyle name="AggOrangeRBorder 2 3 2 36" xfId="16546" xr:uid="{5A76ADF0-A040-438D-9790-34F7AEBE109D}"/>
    <cellStyle name="AggOrangeRBorder 2 3 2 37" xfId="17641" xr:uid="{DAA24BD5-9EF9-4332-B851-66B3F62E5526}"/>
    <cellStyle name="AggOrangeRBorder 2 3 2 38" xfId="18473" xr:uid="{C6988DFA-1686-426F-AD6F-3C16D5FE2985}"/>
    <cellStyle name="AggOrangeRBorder 2 3 2 39" xfId="18852" xr:uid="{28D1F224-0E01-45FD-81CC-C7595CB7F7DC}"/>
    <cellStyle name="AggOrangeRBorder 2 3 2 4" xfId="1628" xr:uid="{3B81A163-CDFD-49E5-8CE1-6B207C5D60DF}"/>
    <cellStyle name="AggOrangeRBorder 2 3 2 40" xfId="19151" xr:uid="{D9FE5E88-6B2F-4124-AF81-E815E60E725C}"/>
    <cellStyle name="AggOrangeRBorder 2 3 2 41" xfId="19992" xr:uid="{386E9D63-EFE3-4DC6-A875-551C78B11AFA}"/>
    <cellStyle name="AggOrangeRBorder 2 3 2 42" xfId="19389" xr:uid="{2D18BCC8-623E-4F80-9E81-F35DFA9FC3D5}"/>
    <cellStyle name="AggOrangeRBorder 2 3 2 43" xfId="20531" xr:uid="{7ECDAFB4-CC13-4DF3-A9B4-E50B2DF0F3E1}"/>
    <cellStyle name="AggOrangeRBorder 2 3 2 44" xfId="19382" xr:uid="{1A46F13A-0153-466C-B15D-869190498BD9}"/>
    <cellStyle name="AggOrangeRBorder 2 3 2 45" xfId="19598" xr:uid="{798CD209-183E-4C14-84A4-50BEB577F4E8}"/>
    <cellStyle name="AggOrangeRBorder 2 3 2 46" xfId="21903" xr:uid="{FF3DE358-8FBC-4B51-941D-F3F507846E63}"/>
    <cellStyle name="AggOrangeRBorder 2 3 2 47" xfId="22596" xr:uid="{2584CEA5-2625-44F5-A4AA-435C26D1D554}"/>
    <cellStyle name="AggOrangeRBorder 2 3 2 48" xfId="23129" xr:uid="{9C4D8400-5CD6-47BC-9FD2-FD1A77FB8611}"/>
    <cellStyle name="AggOrangeRBorder 2 3 2 49" xfId="23075" xr:uid="{A881D18C-097F-488D-A86C-25E5195EAE14}"/>
    <cellStyle name="AggOrangeRBorder 2 3 2 5" xfId="2432" xr:uid="{7AD301C6-8237-4EB8-BED7-B8B22BA7BB9A}"/>
    <cellStyle name="AggOrangeRBorder 2 3 2 50" xfId="23801" xr:uid="{92E2EEC7-2155-4320-86A4-3B6FB52FC958}"/>
    <cellStyle name="AggOrangeRBorder 2 3 2 51" xfId="24700" xr:uid="{30C66DDE-479B-4EE0-87D5-321CF3CE0970}"/>
    <cellStyle name="AggOrangeRBorder 2 3 2 52" xfId="24123" xr:uid="{BA80C9A7-4EA8-4678-9749-BF5E11CB4146}"/>
    <cellStyle name="AggOrangeRBorder 2 3 2 53" xfId="25618" xr:uid="{D80AB61F-5CAA-46F8-8A65-0A44527B8713}"/>
    <cellStyle name="AggOrangeRBorder 2 3 2 54" xfId="25900" xr:uid="{6FFC25EC-0847-412F-A697-F3C6C1935A96}"/>
    <cellStyle name="AggOrangeRBorder 2 3 2 55" xfId="26570" xr:uid="{D3B1BDFE-4EC6-49E8-839A-311C7604803C}"/>
    <cellStyle name="AggOrangeRBorder 2 3 2 56" xfId="26908" xr:uid="{02545DC4-1FBC-45EE-971C-A8C56C4BDA01}"/>
    <cellStyle name="AggOrangeRBorder 2 3 2 57" xfId="27327" xr:uid="{CBC31624-895E-4763-B38E-C985D275937D}"/>
    <cellStyle name="AggOrangeRBorder 2 3 2 58" xfId="25426" xr:uid="{2533853B-EF07-40E3-B2D9-C7DAECAA48D4}"/>
    <cellStyle name="AggOrangeRBorder 2 3 2 59" xfId="28450" xr:uid="{112D8BC2-866F-4CCF-97E8-E48B272364BC}"/>
    <cellStyle name="AggOrangeRBorder 2 3 2 6" xfId="2753" xr:uid="{66404DD5-19F8-4BB5-8773-242B324B98C9}"/>
    <cellStyle name="AggOrangeRBorder 2 3 2 60" xfId="28918" xr:uid="{0B8CF59E-576C-491F-85A1-438CF35094B4}"/>
    <cellStyle name="AggOrangeRBorder 2 3 2 61" xfId="28733" xr:uid="{E4A179B7-95B4-4D5E-8D46-7CFCD379D52C}"/>
    <cellStyle name="AggOrangeRBorder 2 3 2 62" xfId="29708" xr:uid="{B36A3FD7-3E6E-4851-9BA0-0B6C2421F254}"/>
    <cellStyle name="AggOrangeRBorder 2 3 2 63" xfId="30116" xr:uid="{EC5FD7D8-7125-4F27-96E3-68E29535C106}"/>
    <cellStyle name="AggOrangeRBorder 2 3 2 64" xfId="30530" xr:uid="{ED07286B-8A17-48A0-B4AB-22F1730F2EB2}"/>
    <cellStyle name="AggOrangeRBorder 2 3 2 65" xfId="30873" xr:uid="{97670F82-F44D-43E9-9423-C66CBFD5BEDE}"/>
    <cellStyle name="AggOrangeRBorder 2 3 2 66" xfId="31154" xr:uid="{381A0B1B-08BF-41DE-9FD2-48AAD7509D99}"/>
    <cellStyle name="AggOrangeRBorder 2 3 2 67" xfId="31840" xr:uid="{04779F10-A9BB-4617-BA42-2468B43A3971}"/>
    <cellStyle name="AggOrangeRBorder 2 3 2 68" xfId="31651" xr:uid="{BDC158B7-E359-4AD7-93A2-70C898B7D9E5}"/>
    <cellStyle name="AggOrangeRBorder 2 3 2 7" xfId="2037" xr:uid="{E8851CF2-C588-44E4-BC03-9E12A720BA92}"/>
    <cellStyle name="AggOrangeRBorder 2 3 2 8" xfId="3928" xr:uid="{5C8A1EC1-AA53-4E49-A63F-E410C40F76CE}"/>
    <cellStyle name="AggOrangeRBorder 2 3 2 9" xfId="4366" xr:uid="{DA3BF0B6-4CB5-42A8-AACF-405D1B641156}"/>
    <cellStyle name="AggOrangeRBorder 2 3 20" xfId="8049" xr:uid="{79152F64-EA88-40B8-B638-F0A37BE88A67}"/>
    <cellStyle name="AggOrangeRBorder 2 3 21" xfId="8817" xr:uid="{E7EA5D4D-AC5B-4BAC-BE6A-1E3E84968DCE}"/>
    <cellStyle name="AggOrangeRBorder 2 3 22" xfId="9215" xr:uid="{4D37BE3A-B8F4-48A1-A325-0630E7569311}"/>
    <cellStyle name="AggOrangeRBorder 2 3 23" xfId="9286" xr:uid="{BD1B4A5C-7424-4C42-A04D-833C45C03CD5}"/>
    <cellStyle name="AggOrangeRBorder 2 3 24" xfId="9988" xr:uid="{0DB50E8A-A823-42B8-BA5A-4F7C28D132FD}"/>
    <cellStyle name="AggOrangeRBorder 2 3 25" xfId="10237" xr:uid="{405DC40A-E6AE-4342-9CAE-8816CD46FFB0}"/>
    <cellStyle name="AggOrangeRBorder 2 3 26" xfId="10934" xr:uid="{8CB3102E-786B-4B57-BE8B-C4F265C798BC}"/>
    <cellStyle name="AggOrangeRBorder 2 3 27" xfId="11627" xr:uid="{503516DA-E128-4827-A84C-6BA1C0A7ECAD}"/>
    <cellStyle name="AggOrangeRBorder 2 3 28" xfId="11765" xr:uid="{D4E856FE-01DC-4930-B67A-E515290C5371}"/>
    <cellStyle name="AggOrangeRBorder 2 3 29" xfId="11413" xr:uid="{1F9DA13B-BE44-4324-B882-39DE7D1DD403}"/>
    <cellStyle name="AggOrangeRBorder 2 3 3" xfId="586" xr:uid="{AA7D6A97-4B7B-43E4-97B3-470A0E1808FB}"/>
    <cellStyle name="AggOrangeRBorder 2 3 3 10" xfId="3509" xr:uid="{42B04F0C-8DE2-427C-97B2-CC14C153919B}"/>
    <cellStyle name="AggOrangeRBorder 2 3 3 11" xfId="5234" xr:uid="{F905E973-BFE8-4FBB-871E-1D06A4A69409}"/>
    <cellStyle name="AggOrangeRBorder 2 3 3 12" xfId="5676" xr:uid="{E00FFE55-BBBD-4AFC-8E73-D673BA69BB54}"/>
    <cellStyle name="AggOrangeRBorder 2 3 3 13" xfId="6117" xr:uid="{1F772296-3AD2-484A-8496-FE600927EC97}"/>
    <cellStyle name="AggOrangeRBorder 2 3 3 14" xfId="6557" xr:uid="{C12203ED-B51F-4D3C-9A5C-F2300C1A3475}"/>
    <cellStyle name="AggOrangeRBorder 2 3 3 15" xfId="7306" xr:uid="{CE9FB1EF-C46B-4328-A602-87DE6B319BB0}"/>
    <cellStyle name="AggOrangeRBorder 2 3 3 16" xfId="7822" xr:uid="{7835F1B9-EFD0-4962-AA92-1B01B0A717AC}"/>
    <cellStyle name="AggOrangeRBorder 2 3 3 17" xfId="8479" xr:uid="{241AF960-C73E-4F15-BD0E-9DDD9FB9363D}"/>
    <cellStyle name="AggOrangeRBorder 2 3 3 18" xfId="8617" xr:uid="{E12918CF-6BBD-45E6-8AA5-E2D98AEA61AB}"/>
    <cellStyle name="AggOrangeRBorder 2 3 3 19" xfId="9520" xr:uid="{17A71879-2950-4EB3-92F4-B8B5403F560E}"/>
    <cellStyle name="AggOrangeRBorder 2 3 3 2" xfId="801" xr:uid="{02FA6421-3F7D-4A39-9E89-BFAF14902B99}"/>
    <cellStyle name="AggOrangeRBorder 2 3 3 2 10" xfId="5449" xr:uid="{CD4A33E4-2875-42F9-91EF-F7E45FAF834C}"/>
    <cellStyle name="AggOrangeRBorder 2 3 3 2 11" xfId="3988" xr:uid="{3262CA44-2299-4163-BAF3-3161BC36F111}"/>
    <cellStyle name="AggOrangeRBorder 2 3 3 2 12" xfId="4818" xr:uid="{83D02F02-2CB5-4B17-AB24-368B7B486302}"/>
    <cellStyle name="AggOrangeRBorder 2 3 3 2 13" xfId="6412" xr:uid="{E46C3FF4-CC7A-4005-85E4-1D159A3126A5}"/>
    <cellStyle name="AggOrangeRBorder 2 3 3 2 14" xfId="7521" xr:uid="{D6E652E7-4D89-4099-AF6B-080EA30434E3}"/>
    <cellStyle name="AggOrangeRBorder 2 3 3 2 15" xfId="7055" xr:uid="{BE6E8A77-84E9-46AD-A2D1-5A3788A16110}"/>
    <cellStyle name="AggOrangeRBorder 2 3 3 2 16" xfId="8393" xr:uid="{60CD3380-A8BB-4054-974D-BE6514F09CCE}"/>
    <cellStyle name="AggOrangeRBorder 2 3 3 2 17" xfId="7803" xr:uid="{79D99FAA-05EF-41F9-99EF-C8E827A1A24D}"/>
    <cellStyle name="AggOrangeRBorder 2 3 3 2 18" xfId="9735" xr:uid="{2FD27A3A-60A5-4083-A4A5-B6313C18DD3A}"/>
    <cellStyle name="AggOrangeRBorder 2 3 3 2 19" xfId="9268" xr:uid="{0FEEB291-3BFE-409A-99D4-7422A629604A}"/>
    <cellStyle name="AggOrangeRBorder 2 3 3 2 2" xfId="1275" xr:uid="{41B5412D-4CA0-4856-A67C-F53547A12E8B}"/>
    <cellStyle name="AggOrangeRBorder 2 3 3 2 20" xfId="10214" xr:uid="{5D1C0E08-7FEA-442D-A581-7F21DF1D6300}"/>
    <cellStyle name="AggOrangeRBorder 2 3 3 2 21" xfId="9884" xr:uid="{B0F5EBA8-84FA-4A16-926B-DB26120DDA9A}"/>
    <cellStyle name="AggOrangeRBorder 2 3 3 2 22" xfId="9889" xr:uid="{01268E75-00D0-4898-B1D8-44676FCD0F12}"/>
    <cellStyle name="AggOrangeRBorder 2 3 3 2 23" xfId="12154" xr:uid="{5B9574B6-3194-4044-B7CD-D3459F988E79}"/>
    <cellStyle name="AggOrangeRBorder 2 3 3 2 24" xfId="12627" xr:uid="{DB0A2B95-E10A-425B-B41B-65E2F5EEF192}"/>
    <cellStyle name="AggOrangeRBorder 2 3 3 2 25" xfId="13061" xr:uid="{42897353-4D7F-403A-92C5-7DA87B1DE969}"/>
    <cellStyle name="AggOrangeRBorder 2 3 3 2 26" xfId="13498" xr:uid="{EB20B67A-1903-4F5E-B23D-144063BA5328}"/>
    <cellStyle name="AggOrangeRBorder 2 3 3 2 27" xfId="13904" xr:uid="{85335305-C8B9-4E67-B3EB-465595F436F6}"/>
    <cellStyle name="AggOrangeRBorder 2 3 3 2 28" xfId="13824" xr:uid="{9BD5C557-8501-4184-8766-314D60FF9E92}"/>
    <cellStyle name="AggOrangeRBorder 2 3 3 2 29" xfId="14408" xr:uid="{C67B9F80-02E6-4BA9-B0C0-2EF9D08CCEEB}"/>
    <cellStyle name="AggOrangeRBorder 2 3 3 2 3" xfId="1647" xr:uid="{D83F4F2C-2B93-4043-BC23-9D9C3B351CDE}"/>
    <cellStyle name="AggOrangeRBorder 2 3 3 2 30" xfId="14534" xr:uid="{FC8C3CF5-F5FF-4A14-AFF6-CA9C5060E9EC}"/>
    <cellStyle name="AggOrangeRBorder 2 3 3 2 31" xfId="14539" xr:uid="{4CEF9A3F-3FB1-4449-8387-0B4A62D52D13}"/>
    <cellStyle name="AggOrangeRBorder 2 3 3 2 32" xfId="14982" xr:uid="{53ACD454-F2F3-4BD4-A537-C26F36083E36}"/>
    <cellStyle name="AggOrangeRBorder 2 3 3 2 33" xfId="16846" xr:uid="{A6916C2C-E7CA-4558-B509-B5404C2CC428}"/>
    <cellStyle name="AggOrangeRBorder 2 3 3 2 34" xfId="16377" xr:uid="{B486065D-B5B6-4958-B4A5-3E16F4893BD6}"/>
    <cellStyle name="AggOrangeRBorder 2 3 3 2 35" xfId="17335" xr:uid="{3E17319A-C287-4384-A612-4DD9F7731E8F}"/>
    <cellStyle name="AggOrangeRBorder 2 3 3 2 36" xfId="17653" xr:uid="{884A36F8-3B11-40E0-9ED6-898A14C53704}"/>
    <cellStyle name="AggOrangeRBorder 2 3 3 2 37" xfId="18664" xr:uid="{2750CA7C-F0A5-46FB-AEE7-62836C0E317C}"/>
    <cellStyle name="AggOrangeRBorder 2 3 3 2 38" xfId="18348" xr:uid="{AB22CA1A-64E2-4854-86F2-630C25C5CB49}"/>
    <cellStyle name="AggOrangeRBorder 2 3 3 2 39" xfId="19291" xr:uid="{71451C96-5D41-4715-88D7-DC7F86EA5A3A}"/>
    <cellStyle name="AggOrangeRBorder 2 3 3 2 4" xfId="2623" xr:uid="{280B6DD0-FB1B-4FE0-B8C1-0BF1D810C752}"/>
    <cellStyle name="AggOrangeRBorder 2 3 3 2 40" xfId="20183" xr:uid="{6C4017ED-ADCF-4B47-A3D1-82126E2FEECC}"/>
    <cellStyle name="AggOrangeRBorder 2 3 3 2 41" xfId="19711" xr:uid="{89D72110-1B90-4A1A-BB09-AF4741272AB3}"/>
    <cellStyle name="AggOrangeRBorder 2 3 3 2 42" xfId="20558" xr:uid="{B74739B3-92A5-404F-A5D9-1CB284BE8A78}"/>
    <cellStyle name="AggOrangeRBorder 2 3 3 2 43" xfId="20292" xr:uid="{E03FA922-156A-4074-9144-4B370D0E7291}"/>
    <cellStyle name="AggOrangeRBorder 2 3 3 2 44" xfId="21506" xr:uid="{BEE5FEEF-AC4F-49C4-9CBE-FA5889CC87FA}"/>
    <cellStyle name="AggOrangeRBorder 2 3 3 2 45" xfId="21793" xr:uid="{45A30ACB-CB4C-4AFF-87AC-E6D81258A7D5}"/>
    <cellStyle name="AggOrangeRBorder 2 3 3 2 46" xfId="22884" xr:uid="{39F5AD5D-AD87-48D2-A188-52871AC37A51}"/>
    <cellStyle name="AggOrangeRBorder 2 3 3 2 47" xfId="22950" xr:uid="{40CBD9E2-0C13-4E2D-AE2E-A989A2BFC5B6}"/>
    <cellStyle name="AggOrangeRBorder 2 3 3 2 48" xfId="22893" xr:uid="{B8C8991D-8079-432A-9CA4-F692E85C6E67}"/>
    <cellStyle name="AggOrangeRBorder 2 3 3 2 49" xfId="23983" xr:uid="{9DB6BC3B-1319-4000-9252-C1BEE421A02A}"/>
    <cellStyle name="AggOrangeRBorder 2 3 3 2 5" xfId="3072" xr:uid="{1D7E5A46-3081-46EA-9008-ED98CA4481BB}"/>
    <cellStyle name="AggOrangeRBorder 2 3 3 2 50" xfId="24891" xr:uid="{DB026610-F48A-4F59-B1B9-DAFA309D5696}"/>
    <cellStyle name="AggOrangeRBorder 2 3 3 2 51" xfId="24562" xr:uid="{A95DA936-BF45-42D0-B6E4-857D2E08B302}"/>
    <cellStyle name="AggOrangeRBorder 2 3 3 2 52" xfId="25807" xr:uid="{4B7E3AE0-ED93-4AE4-998A-93D8E3436423}"/>
    <cellStyle name="AggOrangeRBorder 2 3 3 2 53" xfId="25072" xr:uid="{656DAE1C-A0E5-4F03-AA2E-60A38F8922EC}"/>
    <cellStyle name="AggOrangeRBorder 2 3 3 2 54" xfId="26008" xr:uid="{00D3AC07-746C-4695-A95D-BD038B9C8C22}"/>
    <cellStyle name="AggOrangeRBorder 2 3 3 2 55" xfId="27095" xr:uid="{FB382C9E-254B-4250-9054-1542CF7A2EA4}"/>
    <cellStyle name="AggOrangeRBorder 2 3 3 2 56" xfId="27514" xr:uid="{124A6DB2-7E06-4BC5-93F9-52F8D9E02E23}"/>
    <cellStyle name="AggOrangeRBorder 2 3 3 2 57" xfId="27822" xr:uid="{D9368EC5-75AA-4448-8A4A-C42225FD4619}"/>
    <cellStyle name="AggOrangeRBorder 2 3 3 2 58" xfId="28641" xr:uid="{B859AB07-10E1-451C-A96A-DDCF6B162513}"/>
    <cellStyle name="AggOrangeRBorder 2 3 3 2 59" xfId="29108" xr:uid="{3B2E3515-0A9D-453A-AB3C-41AE26683766}"/>
    <cellStyle name="AggOrangeRBorder 2 3 3 2 6" xfId="2829" xr:uid="{00670E13-F3B2-40EF-A7F3-534A2AA817CF}"/>
    <cellStyle name="AggOrangeRBorder 2 3 3 2 60" xfId="28791" xr:uid="{891F95A5-86BA-4D62-A86C-BB482C0B59A9}"/>
    <cellStyle name="AggOrangeRBorder 2 3 3 2 61" xfId="29897" xr:uid="{4BD440D8-311C-4B22-B588-E56297DEDED0}"/>
    <cellStyle name="AggOrangeRBorder 2 3 3 2 62" xfId="30303" xr:uid="{4D2C44C1-D543-48B8-A73C-514B27FAB364}"/>
    <cellStyle name="AggOrangeRBorder 2 3 3 2 63" xfId="30720" xr:uid="{490B31CA-4C59-482E-96E9-E3B9AE45CC48}"/>
    <cellStyle name="AggOrangeRBorder 2 3 3 2 64" xfId="28049" xr:uid="{3B442ABD-78A5-4E62-95A5-3387C5CFABAC}"/>
    <cellStyle name="AggOrangeRBorder 2 3 3 2 65" xfId="31336" xr:uid="{6D493D75-9F1D-4D56-ACB5-F7DF836B864F}"/>
    <cellStyle name="AggOrangeRBorder 2 3 3 2 66" xfId="32027" xr:uid="{16229DB5-474E-45B0-A71A-12D0E1AD9893}"/>
    <cellStyle name="AggOrangeRBorder 2 3 3 2 67" xfId="31548" xr:uid="{F8EECBB2-C11A-437B-9B47-48FA3397E93E}"/>
    <cellStyle name="AggOrangeRBorder 2 3 3 2 7" xfId="4119" xr:uid="{CEBBE96F-AC54-4DDA-AC73-261111F19B9E}"/>
    <cellStyle name="AggOrangeRBorder 2 3 3 2 8" xfId="4556" xr:uid="{6B2AF672-E09C-486A-93ED-F6E67B3106B6}"/>
    <cellStyle name="AggOrangeRBorder 2 3 3 2 9" xfId="3316" xr:uid="{3DFC0CFE-6B48-4DED-8E91-B21F0DEF281D}"/>
    <cellStyle name="AggOrangeRBorder 2 3 3 20" xfId="10034" xr:uid="{B76DAC27-EFB2-409E-8C43-5BEE153ABB6C}"/>
    <cellStyle name="AggOrangeRBorder 2 3 3 21" xfId="10455" xr:uid="{9CFD6418-FC61-4FAE-9215-2FEF1515FA93}"/>
    <cellStyle name="AggOrangeRBorder 2 3 3 22" xfId="10019" xr:uid="{FA95809C-767F-4D20-BABF-14A8E86EEC03}"/>
    <cellStyle name="AggOrangeRBorder 2 3 3 23" xfId="11137" xr:uid="{F9C64A23-1467-49F4-9F20-258F1BC17A12}"/>
    <cellStyle name="AggOrangeRBorder 2 3 3 24" xfId="11939" xr:uid="{41D6020C-E67D-4D5C-BFF9-1C87302060AC}"/>
    <cellStyle name="AggOrangeRBorder 2 3 3 25" xfId="12412" xr:uid="{AAE77B98-79AA-4327-BE49-8F62CE30A7E7}"/>
    <cellStyle name="AggOrangeRBorder 2 3 3 26" xfId="12846" xr:uid="{3EC33F43-93A3-45B7-BF57-DF7B74CC72A5}"/>
    <cellStyle name="AggOrangeRBorder 2 3 3 27" xfId="13283" xr:uid="{1EDAB5AF-E20B-4649-955C-773926415726}"/>
    <cellStyle name="AggOrangeRBorder 2 3 3 28" xfId="13985" xr:uid="{7F1D998D-C7BB-4409-B2A2-66D450F3733A}"/>
    <cellStyle name="AggOrangeRBorder 2 3 3 29" xfId="11421" xr:uid="{B9667828-E33E-49EE-BF87-EA5383CA3B9C}"/>
    <cellStyle name="AggOrangeRBorder 2 3 3 3" xfId="1069" xr:uid="{A5EC4597-8DBA-4BEB-9DB5-27F694D3AF0B}"/>
    <cellStyle name="AggOrangeRBorder 2 3 3 30" xfId="14062" xr:uid="{4A16262E-ED27-4E59-9B1C-318C0DF78A9B}"/>
    <cellStyle name="AggOrangeRBorder 2 3 3 31" xfId="13872" xr:uid="{810D8A7E-F627-48B9-9F5F-404C8A56F09A}"/>
    <cellStyle name="AggOrangeRBorder 2 3 3 32" xfId="14628" xr:uid="{5CB425EA-F0D2-48A3-8B2F-16B8631C17E6}"/>
    <cellStyle name="AggOrangeRBorder 2 3 3 33" xfId="15869" xr:uid="{C56FCB7D-2056-4ED4-9C53-7B26BA87EA10}"/>
    <cellStyle name="AggOrangeRBorder 2 3 3 34" xfId="16631" xr:uid="{56473E57-035F-468B-9BB9-0C01036C3754}"/>
    <cellStyle name="AggOrangeRBorder 2 3 3 35" xfId="17152" xr:uid="{A4C65DF7-BD8C-4AC3-9E8D-14E344A07664}"/>
    <cellStyle name="AggOrangeRBorder 2 3 3 36" xfId="17597" xr:uid="{78D0318E-2D73-4397-8D67-3F4F5D0AD774}"/>
    <cellStyle name="AggOrangeRBorder 2 3 3 37" xfId="17475" xr:uid="{9EB6BA17-DD09-45E0-9B4B-FF281AAE02A4}"/>
    <cellStyle name="AggOrangeRBorder 2 3 3 38" xfId="18449" xr:uid="{2A0A0FEC-9488-4F31-9E83-3C4378DE43C8}"/>
    <cellStyle name="AggOrangeRBorder 2 3 3 39" xfId="18304" xr:uid="{70A65AFE-C09F-4901-9F5C-C6F133D6B181}"/>
    <cellStyle name="AggOrangeRBorder 2 3 3 4" xfId="1524" xr:uid="{AE372526-05F6-45D1-9CDA-610941FDAE9D}"/>
    <cellStyle name="AggOrangeRBorder 2 3 3 40" xfId="18334" xr:uid="{3F6C4488-4FB7-49F5-B510-70A8D376E802}"/>
    <cellStyle name="AggOrangeRBorder 2 3 3 41" xfId="19968" xr:uid="{84C5589E-AB04-4502-9FAB-CEC3C8B52C88}"/>
    <cellStyle name="AggOrangeRBorder 2 3 3 42" xfId="20504" xr:uid="{74A07791-F175-42F9-AFD5-5C539DCD1014}"/>
    <cellStyle name="AggOrangeRBorder 2 3 3 43" xfId="20958" xr:uid="{7B5D9048-C2FF-460B-A3F6-0AC99B51351E}"/>
    <cellStyle name="AggOrangeRBorder 2 3 3 44" xfId="19643" xr:uid="{477BB6CE-8744-46F7-94A4-6B68D8A3F276}"/>
    <cellStyle name="AggOrangeRBorder 2 3 3 45" xfId="21888" xr:uid="{B3103CA3-C7FC-4F5C-826C-F7B040D12F3A}"/>
    <cellStyle name="AggOrangeRBorder 2 3 3 46" xfId="22324" xr:uid="{FBC381A0-B4C4-4508-83FE-1E2BECDD2AA3}"/>
    <cellStyle name="AggOrangeRBorder 2 3 3 47" xfId="22957" xr:uid="{1248DA1A-38CD-4198-9ECB-A65614C6C497}"/>
    <cellStyle name="AggOrangeRBorder 2 3 3 48" xfId="22463" xr:uid="{0C89B57E-27F1-463F-A87F-0F1D92415B31}"/>
    <cellStyle name="AggOrangeRBorder 2 3 3 49" xfId="22243" xr:uid="{A7336CC2-D743-474B-B270-3B6B573BBDAE}"/>
    <cellStyle name="AggOrangeRBorder 2 3 3 5" xfId="2408" xr:uid="{2B0DF68A-6F06-406E-99E8-542FC5456FC3}"/>
    <cellStyle name="AggOrangeRBorder 2 3 3 50" xfId="23777" xr:uid="{BA040B9B-4040-4D63-995E-D0905E062E08}"/>
    <cellStyle name="AggOrangeRBorder 2 3 3 51" xfId="24676" xr:uid="{51CDE25E-F101-4CBE-9C96-CA50AFC26CA4}"/>
    <cellStyle name="AggOrangeRBorder 2 3 3 52" xfId="25213" xr:uid="{9D1B56BB-6DC4-422E-98CD-F91ECA4D02D3}"/>
    <cellStyle name="AggOrangeRBorder 2 3 3 53" xfId="25594" xr:uid="{2050A5B7-51B6-4C0C-9E23-B9C95427CA28}"/>
    <cellStyle name="AggOrangeRBorder 2 3 3 54" xfId="26264" xr:uid="{F6095605-2B38-4456-89EF-5D1E3B99D48B}"/>
    <cellStyle name="AggOrangeRBorder 2 3 3 55" xfId="26429" xr:uid="{8BE8342F-040B-44D7-A9F7-F8EC052A1BE0}"/>
    <cellStyle name="AggOrangeRBorder 2 3 3 56" xfId="26884" xr:uid="{586CD795-11C5-416D-80E4-E3815550A637}"/>
    <cellStyle name="AggOrangeRBorder 2 3 3 57" xfId="27303" xr:uid="{C914A492-651A-47A2-8340-CE9B43407BC0}"/>
    <cellStyle name="AggOrangeRBorder 2 3 3 58" xfId="27818" xr:uid="{AAB4DEB8-C4A5-4907-9FB2-EC4F0195FCC2}"/>
    <cellStyle name="AggOrangeRBorder 2 3 3 59" xfId="28426" xr:uid="{51B6B335-D209-43DB-BAEA-9AF94AD5DFE8}"/>
    <cellStyle name="AggOrangeRBorder 2 3 3 6" xfId="3156" xr:uid="{3A97DEBA-5466-4602-A0E7-FC3F878F0ABF}"/>
    <cellStyle name="AggOrangeRBorder 2 3 3 60" xfId="28894" xr:uid="{744AB883-A0A2-413C-8DBB-40DEC6D62AC0}"/>
    <cellStyle name="AggOrangeRBorder 2 3 3 61" xfId="29354" xr:uid="{71A5D964-0B40-4EA3-9E55-2AC697408F68}"/>
    <cellStyle name="AggOrangeRBorder 2 3 3 62" xfId="29684" xr:uid="{BC8587F6-4103-45F6-AA65-DDD9BDED2748}"/>
    <cellStyle name="AggOrangeRBorder 2 3 3 63" xfId="30092" xr:uid="{520386BC-1CA4-478D-B073-24B6594AF11C}"/>
    <cellStyle name="AggOrangeRBorder 2 3 3 64" xfId="30506" xr:uid="{1653FCFB-C8D7-41A3-A568-DA71FC251F64}"/>
    <cellStyle name="AggOrangeRBorder 2 3 3 65" xfId="30988" xr:uid="{7637BA96-B47D-43D6-998F-9FE7BAE8246F}"/>
    <cellStyle name="AggOrangeRBorder 2 3 3 66" xfId="31130" xr:uid="{900EDDE3-E49E-4262-B959-C8AA15043028}"/>
    <cellStyle name="AggOrangeRBorder 2 3 3 67" xfId="31816" xr:uid="{CF185A80-F578-4118-BB18-FD3E4B219BD5}"/>
    <cellStyle name="AggOrangeRBorder 2 3 3 68" xfId="31531" xr:uid="{B271188A-A733-42B9-9762-E53074C6A7E3}"/>
    <cellStyle name="AggOrangeRBorder 2 3 3 7" xfId="3387" xr:uid="{46C5503A-173A-4B26-AD99-E176B797A01F}"/>
    <cellStyle name="AggOrangeRBorder 2 3 3 8" xfId="3904" xr:uid="{8EDB3B6A-6067-44EC-A8AE-291D4F5055EC}"/>
    <cellStyle name="AggOrangeRBorder 2 3 3 9" xfId="4342" xr:uid="{7E1C9265-9232-45D1-89E2-613652FD6401}"/>
    <cellStyle name="AggOrangeRBorder 2 3 30" xfId="11491" xr:uid="{88FB614C-BFA4-4771-8ADD-C3B1F0C945A3}"/>
    <cellStyle name="AggOrangeRBorder 2 3 31" xfId="11534" xr:uid="{176F9285-3FC2-4107-BBB8-88EE68FF1DCA}"/>
    <cellStyle name="AggOrangeRBorder 2 3 32" xfId="13780" xr:uid="{3F5EC70F-0BD6-4FB2-9D11-B8E5F891268C}"/>
    <cellStyle name="AggOrangeRBorder 2 3 33" xfId="13711" xr:uid="{E15E3735-D86E-4BA5-AAB2-223D57575175}"/>
    <cellStyle name="AggOrangeRBorder 2 3 34" xfId="15024" xr:uid="{CB9EE8FF-2644-487A-ABB7-330D679CD207}"/>
    <cellStyle name="AggOrangeRBorder 2 3 35" xfId="15672" xr:uid="{FE55FE15-5746-40C0-AA70-A48452D5173A}"/>
    <cellStyle name="AggOrangeRBorder 2 3 36" xfId="14554" xr:uid="{DC3F6EEF-025A-44EF-844F-003982701AC7}"/>
    <cellStyle name="AggOrangeRBorder 2 3 37" xfId="16322" xr:uid="{554F83C7-705C-4DB1-A6A0-C2C1FD57DFE6}"/>
    <cellStyle name="AggOrangeRBorder 2 3 38" xfId="16244" xr:uid="{95D0B99D-EDB9-4161-8511-21D542F89450}"/>
    <cellStyle name="AggOrangeRBorder 2 3 39" xfId="17193" xr:uid="{B97CF873-8936-4FAD-ACC8-3D915D68B0C8}"/>
    <cellStyle name="AggOrangeRBorder 2 3 4" xfId="568" xr:uid="{5DD55455-57CE-41BF-893A-AA02779FD01B}"/>
    <cellStyle name="AggOrangeRBorder 2 3 4 10" xfId="4992" xr:uid="{1C86FB74-2CE2-46C2-92BA-2B30C6CCB519}"/>
    <cellStyle name="AggOrangeRBorder 2 3 4 11" xfId="5216" xr:uid="{91335EF5-3317-4860-9BBB-80C5B4B68785}"/>
    <cellStyle name="AggOrangeRBorder 2 3 4 12" xfId="2153" xr:uid="{D2A0DAEF-DC71-4E51-A9FB-9883DFD46D75}"/>
    <cellStyle name="AggOrangeRBorder 2 3 4 13" xfId="6103" xr:uid="{7D4FC985-F6B7-4C94-8F45-0846B6DF347F}"/>
    <cellStyle name="AggOrangeRBorder 2 3 4 14" xfId="6669" xr:uid="{43B4ED6C-0D93-4955-A2E9-7F06EA8A9D38}"/>
    <cellStyle name="AggOrangeRBorder 2 3 4 15" xfId="7288" xr:uid="{99E256E0-BE2D-4082-A785-82275A62329C}"/>
    <cellStyle name="AggOrangeRBorder 2 3 4 16" xfId="6738" xr:uid="{F7905A07-DF48-4B5A-9268-34D61E879A02}"/>
    <cellStyle name="AggOrangeRBorder 2 3 4 17" xfId="8612" xr:uid="{4A1E3273-B46C-4756-BFC0-B5A492192EB7}"/>
    <cellStyle name="AggOrangeRBorder 2 3 4 18" xfId="6918" xr:uid="{F9041674-4811-4542-A3B0-292C9B21975F}"/>
    <cellStyle name="AggOrangeRBorder 2 3 4 19" xfId="9502" xr:uid="{6FF07E6C-1C24-4B69-9451-C17BCC725C7A}"/>
    <cellStyle name="AggOrangeRBorder 2 3 4 2" xfId="783" xr:uid="{C75D32A1-1058-4BEB-9BF1-C4FB33BD1563}"/>
    <cellStyle name="AggOrangeRBorder 2 3 4 2 10" xfId="5431" xr:uid="{6322FC67-EDAB-4946-8FB7-B276A0532438}"/>
    <cellStyle name="AggOrangeRBorder 2 3 4 2 11" xfId="5769" xr:uid="{CC17DC76-4A7C-4DD8-8D6C-7AC6D10DB399}"/>
    <cellStyle name="AggOrangeRBorder 2 3 4 2 12" xfId="4722" xr:uid="{F0774C31-77B3-4BE4-A545-5B4E789EA03B}"/>
    <cellStyle name="AggOrangeRBorder 2 3 4 2 13" xfId="6633" xr:uid="{A13E886C-EC7E-4135-AB76-D9CBA6210F95}"/>
    <cellStyle name="AggOrangeRBorder 2 3 4 2 14" xfId="7503" xr:uid="{3A03E8DB-B3A9-44AA-8459-93A1DDE94E45}"/>
    <cellStyle name="AggOrangeRBorder 2 3 4 2 15" xfId="7090" xr:uid="{EEFEAC81-05A3-4DC2-9708-FBC553513E10}"/>
    <cellStyle name="AggOrangeRBorder 2 3 4 2 16" xfId="8178" xr:uid="{9BF651F7-8D77-46B2-946D-38F3C506AAA7}"/>
    <cellStyle name="AggOrangeRBorder 2 3 4 2 17" xfId="8783" xr:uid="{F1CA6FE3-A42B-4D9C-9170-73DE9F05CABE}"/>
    <cellStyle name="AggOrangeRBorder 2 3 4 2 18" xfId="9717" xr:uid="{651FF791-BC4E-4D59-BE25-4728AFBA3856}"/>
    <cellStyle name="AggOrangeRBorder 2 3 4 2 19" xfId="9077" xr:uid="{03BBBF40-168A-480A-8683-99E23912C2D0}"/>
    <cellStyle name="AggOrangeRBorder 2 3 4 2 2" xfId="1257" xr:uid="{1C81316B-1754-4CFD-AED1-6ACF3DDEA9DD}"/>
    <cellStyle name="AggOrangeRBorder 2 3 4 2 20" xfId="9049" xr:uid="{5784351F-DD45-4B78-9333-F5D047AD4625}"/>
    <cellStyle name="AggOrangeRBorder 2 3 4 2 21" xfId="8999" xr:uid="{E5364DD2-09CC-45B2-8F8D-6B8E3A9BCCDF}"/>
    <cellStyle name="AggOrangeRBorder 2 3 4 2 22" xfId="11119" xr:uid="{D6432D3C-3E53-4A91-9618-3EA8E28EF582}"/>
    <cellStyle name="AggOrangeRBorder 2 3 4 2 23" xfId="12136" xr:uid="{FA82B58C-31DA-4601-AC20-D8303044C8B0}"/>
    <cellStyle name="AggOrangeRBorder 2 3 4 2 24" xfId="12609" xr:uid="{53436C3C-A8C5-4FF5-A44F-FD18057D6E02}"/>
    <cellStyle name="AggOrangeRBorder 2 3 4 2 25" xfId="13043" xr:uid="{43FF470B-63A7-453B-A753-D4223F41ED6F}"/>
    <cellStyle name="AggOrangeRBorder 2 3 4 2 26" xfId="13480" xr:uid="{5C0B8765-231F-47FF-A993-11EC6DA2629F}"/>
    <cellStyle name="AggOrangeRBorder 2 3 4 2 27" xfId="11451" xr:uid="{DCDFEB47-8FC9-4211-AF27-7FCBCC6EB20F}"/>
    <cellStyle name="AggOrangeRBorder 2 3 4 2 28" xfId="14231" xr:uid="{0C98EA33-3824-4CC3-895D-8719ADA415B5}"/>
    <cellStyle name="AggOrangeRBorder 2 3 4 2 29" xfId="11550" xr:uid="{46A2CE7A-10DA-49B8-AB04-D5305791585B}"/>
    <cellStyle name="AggOrangeRBorder 2 3 4 2 3" xfId="1425" xr:uid="{CF8F88F8-D3B5-44A4-93A9-984CF13CB5FA}"/>
    <cellStyle name="AggOrangeRBorder 2 3 4 2 30" xfId="14318" xr:uid="{502E2C1C-C0F4-49A7-B289-61E492A21224}"/>
    <cellStyle name="AggOrangeRBorder 2 3 4 2 31" xfId="15288" xr:uid="{C152824B-CA58-4958-AE42-EC5A50BDABCF}"/>
    <cellStyle name="AggOrangeRBorder 2 3 4 2 32" xfId="14719" xr:uid="{03B159CF-32EA-4B2F-96B7-7B75511F0E05}"/>
    <cellStyle name="AggOrangeRBorder 2 3 4 2 33" xfId="16828" xr:uid="{11E81E6B-E91A-46AB-9B47-0FB72A7E4AC8}"/>
    <cellStyle name="AggOrangeRBorder 2 3 4 2 34" xfId="16412" xr:uid="{B955955A-86DB-4973-9C94-BB566BD6DAB3}"/>
    <cellStyle name="AggOrangeRBorder 2 3 4 2 35" xfId="16146" xr:uid="{BBD5530F-F79F-4524-80FF-29D8F76EF048}"/>
    <cellStyle name="AggOrangeRBorder 2 3 4 2 36" xfId="18089" xr:uid="{456E8CFE-5774-47DF-B0E3-5787F4A45B2B}"/>
    <cellStyle name="AggOrangeRBorder 2 3 4 2 37" xfId="18646" xr:uid="{74FB1912-4A4C-4226-943C-945662BFBCDC}"/>
    <cellStyle name="AggOrangeRBorder 2 3 4 2 38" xfId="18898" xr:uid="{53837658-E49C-4455-ABA0-2FABFEB91AB2}"/>
    <cellStyle name="AggOrangeRBorder 2 3 4 2 39" xfId="19146" xr:uid="{15E2CD25-7795-4011-9D74-9B7A300E3069}"/>
    <cellStyle name="AggOrangeRBorder 2 3 4 2 4" xfId="2605" xr:uid="{FE3AA365-2918-4608-A5F2-5099BF1D6667}"/>
    <cellStyle name="AggOrangeRBorder 2 3 4 2 40" xfId="20165" xr:uid="{172F9768-8902-4B09-86E3-EADD412FF0A1}"/>
    <cellStyle name="AggOrangeRBorder 2 3 4 2 41" xfId="19510" xr:uid="{DA7BA768-2C4B-40A3-B284-8D54583904B0}"/>
    <cellStyle name="AggOrangeRBorder 2 3 4 2 42" xfId="19417" xr:uid="{B1CEDECC-482D-43F2-AD8E-678E3FA51409}"/>
    <cellStyle name="AggOrangeRBorder 2 3 4 2 43" xfId="21148" xr:uid="{02FDDE39-8658-4105-A878-3256A05094F8}"/>
    <cellStyle name="AggOrangeRBorder 2 3 4 2 44" xfId="19777" xr:uid="{99E1620F-1A38-4AAE-A405-948D32EE0494}"/>
    <cellStyle name="AggOrangeRBorder 2 3 4 2 45" xfId="20800" xr:uid="{854F39F8-8006-488E-BD65-E780F4C48841}"/>
    <cellStyle name="AggOrangeRBorder 2 3 4 2 46" xfId="22587" xr:uid="{695E8D39-24DB-4E9C-ADCD-AF6AA023B2F8}"/>
    <cellStyle name="AggOrangeRBorder 2 3 4 2 47" xfId="23174" xr:uid="{9C9B24A3-043D-416C-B69E-5C012F00F8CF}"/>
    <cellStyle name="AggOrangeRBorder 2 3 4 2 48" xfId="22888" xr:uid="{1A712ED0-AF0A-4CD9-86DD-F3D5309B5D31}"/>
    <cellStyle name="AggOrangeRBorder 2 3 4 2 49" xfId="23965" xr:uid="{B6499BBF-F090-4A15-943E-E7BEC02F48E5}"/>
    <cellStyle name="AggOrangeRBorder 2 3 4 2 5" xfId="2743" xr:uid="{5214EFFD-1ED5-438D-AFFE-3ADB77A7C692}"/>
    <cellStyle name="AggOrangeRBorder 2 3 4 2 50" xfId="24873" xr:uid="{E1C1587B-B4A1-4ED3-A330-80385DE99F88}"/>
    <cellStyle name="AggOrangeRBorder 2 3 4 2 51" xfId="24505" xr:uid="{923B0A56-55D0-4360-ABB7-4350488EF18B}"/>
    <cellStyle name="AggOrangeRBorder 2 3 4 2 52" xfId="25789" xr:uid="{2DB04AF2-1BC6-4ABC-9620-7B7BCDA9EB7E}"/>
    <cellStyle name="AggOrangeRBorder 2 3 4 2 53" xfId="24249" xr:uid="{9C70FD2E-E7B0-404B-96FE-4755DE0516CF}"/>
    <cellStyle name="AggOrangeRBorder 2 3 4 2 54" xfId="26389" xr:uid="{B7B86E60-1672-4F8E-BFBC-6117903D3EA0}"/>
    <cellStyle name="AggOrangeRBorder 2 3 4 2 55" xfId="27077" xr:uid="{B9B24E9C-08CC-44A2-8412-C5172AF568B2}"/>
    <cellStyle name="AggOrangeRBorder 2 3 4 2 56" xfId="27496" xr:uid="{5AE3754F-75A4-4D82-9237-1F731B172C01}"/>
    <cellStyle name="AggOrangeRBorder 2 3 4 2 57" xfId="26656" xr:uid="{7C4CA6E6-A415-41F6-9E9D-E955269A910F}"/>
    <cellStyle name="AggOrangeRBorder 2 3 4 2 58" xfId="28623" xr:uid="{AD059A59-3FEE-4839-BFD3-7A19E1BACA1E}"/>
    <cellStyle name="AggOrangeRBorder 2 3 4 2 59" xfId="29090" xr:uid="{5B2B951D-8137-4A8E-B1B7-640FAF88E585}"/>
    <cellStyle name="AggOrangeRBorder 2 3 4 2 6" xfId="3520" xr:uid="{9A3A3B14-A565-4810-BA07-00EFD46FEA97}"/>
    <cellStyle name="AggOrangeRBorder 2 3 4 2 60" xfId="29007" xr:uid="{5DF00D8D-92FD-4587-9CF9-04FDD65E45E5}"/>
    <cellStyle name="AggOrangeRBorder 2 3 4 2 61" xfId="29879" xr:uid="{0AA52500-F284-41DB-92D6-4539346C1145}"/>
    <cellStyle name="AggOrangeRBorder 2 3 4 2 62" xfId="30285" xr:uid="{A98B7D19-98A9-40A9-9D19-BEBE9A7F27EF}"/>
    <cellStyle name="AggOrangeRBorder 2 3 4 2 63" xfId="30702" xr:uid="{3E2F9A8F-1D3F-4CC7-9667-5A79910F91FE}"/>
    <cellStyle name="AggOrangeRBorder 2 3 4 2 64" xfId="28768" xr:uid="{FE589772-3EAB-4D5B-98D4-DF873B9E99F6}"/>
    <cellStyle name="AggOrangeRBorder 2 3 4 2 65" xfId="31318" xr:uid="{E6D1E1BA-CC4F-44AC-A64C-399A6A20BFC6}"/>
    <cellStyle name="AggOrangeRBorder 2 3 4 2 66" xfId="32009" xr:uid="{C288F7D5-8ADE-4D3C-99F9-9AB713FDF6EE}"/>
    <cellStyle name="AggOrangeRBorder 2 3 4 2 67" xfId="31659" xr:uid="{AD90A42D-A928-4E1F-A055-66B6F6AAFFB4}"/>
    <cellStyle name="AggOrangeRBorder 2 3 4 2 7" xfId="4101" xr:uid="{FEC6C50C-08DF-4327-ADCE-D74395ED5521}"/>
    <cellStyle name="AggOrangeRBorder 2 3 4 2 8" xfId="4538" xr:uid="{4C878C00-4997-4057-A6B5-5DE6DAB08CB7}"/>
    <cellStyle name="AggOrangeRBorder 2 3 4 2 9" xfId="5016" xr:uid="{05071EA7-8888-468E-A046-55C64815ABB6}"/>
    <cellStyle name="AggOrangeRBorder 2 3 4 20" xfId="9040" xr:uid="{FF5DE4F7-4847-4574-8793-5FEB78BB2CFD}"/>
    <cellStyle name="AggOrangeRBorder 2 3 4 21" xfId="9891" xr:uid="{8F8B1DBF-4203-4556-B3F6-445523B8E8AD}"/>
    <cellStyle name="AggOrangeRBorder 2 3 4 22" xfId="10587" xr:uid="{15E9A605-BEAC-475E-84D7-6C425FB143C5}"/>
    <cellStyle name="AggOrangeRBorder 2 3 4 23" xfId="11286" xr:uid="{D3D03E63-2B54-4317-BFDD-E0E4F37DC7C6}"/>
    <cellStyle name="AggOrangeRBorder 2 3 4 24" xfId="11921" xr:uid="{6E30EA58-BAF0-4040-95B8-125EBD9A040C}"/>
    <cellStyle name="AggOrangeRBorder 2 3 4 25" xfId="12394" xr:uid="{E3B01629-7485-4E30-931D-95EDC2A73B7F}"/>
    <cellStyle name="AggOrangeRBorder 2 3 4 26" xfId="12828" xr:uid="{CF9A3C6A-2127-4510-824D-B5A5E19FF19E}"/>
    <cellStyle name="AggOrangeRBorder 2 3 4 27" xfId="13265" xr:uid="{7EDB1E5D-A917-4A08-A048-7CCD1ABB3EFD}"/>
    <cellStyle name="AggOrangeRBorder 2 3 4 28" xfId="12261" xr:uid="{68ED3E1A-DAD1-48C1-871F-117588902726}"/>
    <cellStyle name="AggOrangeRBorder 2 3 4 29" xfId="14207" xr:uid="{B6930019-07E1-4E11-9CB8-7EEDA4A881CD}"/>
    <cellStyle name="AggOrangeRBorder 2 3 4 3" xfId="1051" xr:uid="{36B0DA7D-2402-4B63-BF60-AD0FFD9FBFFB}"/>
    <cellStyle name="AggOrangeRBorder 2 3 4 30" xfId="13155" xr:uid="{437B8D6A-D851-4685-8CEF-9D15AF859573}"/>
    <cellStyle name="AggOrangeRBorder 2 3 4 31" xfId="15098" xr:uid="{4C9F2D9C-64B6-4F81-BE3E-AB72D2F50634}"/>
    <cellStyle name="AggOrangeRBorder 2 3 4 32" xfId="15051" xr:uid="{F0631E6B-8FF1-40A1-BE22-6737ABA1E5D4}"/>
    <cellStyle name="AggOrangeRBorder 2 3 4 33" xfId="15514" xr:uid="{1D0EB4C2-DE80-4006-BBAC-451DCDB47768}"/>
    <cellStyle name="AggOrangeRBorder 2 3 4 34" xfId="16613" xr:uid="{583D710F-A05C-42F7-A94E-6269C081FE8E}"/>
    <cellStyle name="AggOrangeRBorder 2 3 4 35" xfId="16046" xr:uid="{1799343D-9B1E-496D-B02C-F81C2D196DE9}"/>
    <cellStyle name="AggOrangeRBorder 2 3 4 36" xfId="16512" xr:uid="{A8825D63-1A82-419B-BEE3-5A89788AD1D7}"/>
    <cellStyle name="AggOrangeRBorder 2 3 4 37" xfId="17584" xr:uid="{B690D915-FC42-4BF2-A370-7CA188C179BD}"/>
    <cellStyle name="AggOrangeRBorder 2 3 4 38" xfId="18431" xr:uid="{38A8A6D6-DC54-48DD-96A9-C992A5BC34D9}"/>
    <cellStyle name="AggOrangeRBorder 2 3 4 39" xfId="17778" xr:uid="{4886D408-F63B-4AFD-A506-E2BBC05465EA}"/>
    <cellStyle name="AggOrangeRBorder 2 3 4 4" xfId="1716" xr:uid="{2A80F205-C02D-461B-9C8D-D6ECBE6B4026}"/>
    <cellStyle name="AggOrangeRBorder 2 3 4 40" xfId="17868" xr:uid="{D66BB7C4-7603-4EB6-ABA1-046DC5C3927B}"/>
    <cellStyle name="AggOrangeRBorder 2 3 4 41" xfId="19950" xr:uid="{4E5F111B-D5A6-4001-9812-F9056C028E08}"/>
    <cellStyle name="AggOrangeRBorder 2 3 4 42" xfId="19467" xr:uid="{B13FE072-9BBB-4CC0-B7B6-1904B2A667C5}"/>
    <cellStyle name="AggOrangeRBorder 2 3 4 43" xfId="20486" xr:uid="{BF9416FB-AFE9-40D3-8197-9A0EBB12158B}"/>
    <cellStyle name="AggOrangeRBorder 2 3 4 44" xfId="21034" xr:uid="{1D89F164-525F-48BD-A083-E3BFDA3725A8}"/>
    <cellStyle name="AggOrangeRBorder 2 3 4 45" xfId="19872" xr:uid="{4E7B19EA-6144-4704-984D-B32807F78594}"/>
    <cellStyle name="AggOrangeRBorder 2 3 4 46" xfId="20337" xr:uid="{650C3BD9-530D-4C1F-9123-876FA03E2AA6}"/>
    <cellStyle name="AggOrangeRBorder 2 3 4 47" xfId="21974" xr:uid="{B3BAF0D8-DE88-4E45-9A75-DDFB5BBE137D}"/>
    <cellStyle name="AggOrangeRBorder 2 3 4 48" xfId="21393" xr:uid="{46C57908-D5AF-438D-9450-0E37AFF308E7}"/>
    <cellStyle name="AggOrangeRBorder 2 3 4 49" xfId="22774" xr:uid="{BCF00A3F-9C5E-451D-A7EB-37E31A3F29A1}"/>
    <cellStyle name="AggOrangeRBorder 2 3 4 5" xfId="2390" xr:uid="{8CA8A9C7-20B2-43E1-85C4-455CE1D950BD}"/>
    <cellStyle name="AggOrangeRBorder 2 3 4 50" xfId="23759" xr:uid="{E4C57241-804A-457F-AC71-55B967A15A88}"/>
    <cellStyle name="AggOrangeRBorder 2 3 4 51" xfId="24658" xr:uid="{59714EC6-9473-4774-95B4-D5F4CB79AA4D}"/>
    <cellStyle name="AggOrangeRBorder 2 3 4 52" xfId="24474" xr:uid="{4C6A47FE-FC02-4F15-BFD4-B4287F1B496F}"/>
    <cellStyle name="AggOrangeRBorder 2 3 4 53" xfId="25576" xr:uid="{3DC689D1-B5BD-4DF2-AB73-02E3C3E2413E}"/>
    <cellStyle name="AggOrangeRBorder 2 3 4 54" xfId="25074" xr:uid="{94A7A781-B15A-4A36-ACF8-FF7A192F7FE3}"/>
    <cellStyle name="AggOrangeRBorder 2 3 4 55" xfId="24507" xr:uid="{91FB08F3-D7E6-442B-AAE4-DEB7E180729C}"/>
    <cellStyle name="AggOrangeRBorder 2 3 4 56" xfId="26866" xr:uid="{F3B8D7DD-57CC-42D3-B80F-1A08B7D3E1A8}"/>
    <cellStyle name="AggOrangeRBorder 2 3 4 57" xfId="27285" xr:uid="{53B462EB-C9C4-44C1-9428-BDE38D0CE10D}"/>
    <cellStyle name="AggOrangeRBorder 2 3 4 58" xfId="27792" xr:uid="{B05F2F44-296C-46AF-B55E-054F839E86E2}"/>
    <cellStyle name="AggOrangeRBorder 2 3 4 59" xfId="28408" xr:uid="{E85DCE91-7E5A-4AC7-A671-820946469B25}"/>
    <cellStyle name="AggOrangeRBorder 2 3 4 6" xfId="1835" xr:uid="{B0ADB99A-AE9E-4F52-924C-6F59CAFFC180}"/>
    <cellStyle name="AggOrangeRBorder 2 3 4 60" xfId="28876" xr:uid="{B6440DF0-9A94-4A5E-A10A-9CA0B0F45969}"/>
    <cellStyle name="AggOrangeRBorder 2 3 4 61" xfId="28107" xr:uid="{441EF42D-2146-413D-9406-25BF506800C8}"/>
    <cellStyle name="AggOrangeRBorder 2 3 4 62" xfId="29666" xr:uid="{E0A2FFDC-E676-44FF-9E35-C510B0AAE59A}"/>
    <cellStyle name="AggOrangeRBorder 2 3 4 63" xfId="30074" xr:uid="{CF348F1E-93E0-4103-95BB-D31A6047F31B}"/>
    <cellStyle name="AggOrangeRBorder 2 3 4 64" xfId="30488" xr:uid="{2B47FAF7-6531-4A09-A274-2F70BAC76557}"/>
    <cellStyle name="AggOrangeRBorder 2 3 4 65" xfId="30419" xr:uid="{F4405288-670A-4B4F-A8B8-56EFCED225C2}"/>
    <cellStyle name="AggOrangeRBorder 2 3 4 66" xfId="31112" xr:uid="{B94BD95D-05F1-47E7-BC13-C3E5C7982AA2}"/>
    <cellStyle name="AggOrangeRBorder 2 3 4 67" xfId="31798" xr:uid="{CEFA8EE8-56B2-4CD9-86C7-FC7EB12F5BCC}"/>
    <cellStyle name="AggOrangeRBorder 2 3 4 68" xfId="31724" xr:uid="{B1F8587B-FEBD-403F-AA15-4A502AA84E1A}"/>
    <cellStyle name="AggOrangeRBorder 2 3 4 7" xfId="3706" xr:uid="{C178FFA4-581C-4888-9879-5A9BD971DAF6}"/>
    <cellStyle name="AggOrangeRBorder 2 3 4 8" xfId="3886" xr:uid="{8595D57C-32DF-4F11-A1C7-4159A83C2FD3}"/>
    <cellStyle name="AggOrangeRBorder 2 3 4 9" xfId="4324" xr:uid="{6304457A-EC4D-437D-9BB7-03DF07D3F18C}"/>
    <cellStyle name="AggOrangeRBorder 2 3 40" xfId="18083" xr:uid="{1B7EE885-4F7A-407B-BB8F-4A49A768AA84}"/>
    <cellStyle name="AggOrangeRBorder 2 3 41" xfId="18081" xr:uid="{1F7F4146-45B3-4B44-BA7F-7CF76B00C71F}"/>
    <cellStyle name="AggOrangeRBorder 2 3 42" xfId="18953" xr:uid="{B7CAC9B1-16B3-4786-93CC-802FE8D482DC}"/>
    <cellStyle name="AggOrangeRBorder 2 3 43" xfId="17463" xr:uid="{239EC60E-D768-4FAE-A615-ADEB60B99241}"/>
    <cellStyle name="AggOrangeRBorder 2 3 44" xfId="19655" xr:uid="{87001E7D-19A6-4415-9D91-EA9BE9B33489}"/>
    <cellStyle name="AggOrangeRBorder 2 3 45" xfId="19377" xr:uid="{37EF8A75-F011-4B6B-95D2-4D1624D5B623}"/>
    <cellStyle name="AggOrangeRBorder 2 3 46" xfId="20487" xr:uid="{C8B2839F-C5ED-4B96-899F-CA89AA2C1D7A}"/>
    <cellStyle name="AggOrangeRBorder 2 3 47" xfId="21376" xr:uid="{71775A8D-E2CC-49C7-B6E0-A9B4EBFC31D8}"/>
    <cellStyle name="AggOrangeRBorder 2 3 48" xfId="21513" xr:uid="{37081DDF-107D-4F21-BF41-F603A3B7C23D}"/>
    <cellStyle name="AggOrangeRBorder 2 3 49" xfId="21872" xr:uid="{8884C5A1-58AD-4394-8D7C-F66BACD70F48}"/>
    <cellStyle name="AggOrangeRBorder 2 3 5" xfId="696" xr:uid="{E8CAE640-33BD-468B-A4B1-1603DB2B7D26}"/>
    <cellStyle name="AggOrangeRBorder 2 3 5 2" xfId="5344" xr:uid="{13A002BD-5CF6-41DC-870C-0EB2B11145C9}"/>
    <cellStyle name="AggOrangeRBorder 2 3 5 3" xfId="18294" xr:uid="{1385D300-FD66-46F3-A9F0-7AAC5608FD3C}"/>
    <cellStyle name="AggOrangeRBorder 2 3 5 4" xfId="20078" xr:uid="{0D80BF45-2D4F-4625-AA06-0A89561F4A95}"/>
    <cellStyle name="AggOrangeRBorder 2 3 5 5" xfId="24786" xr:uid="{96793B27-055A-455B-8A49-571E4AFD0CBF}"/>
    <cellStyle name="AggOrangeRBorder 2 3 5 6" xfId="28536" xr:uid="{6F0AE973-70FA-40DB-A520-112B6DB3FCE6}"/>
    <cellStyle name="AggOrangeRBorder 2 3 50" xfId="22431" xr:uid="{EE8E5281-CB03-49C0-AD90-F6A661169964}"/>
    <cellStyle name="AggOrangeRBorder 2 3 51" xfId="23240" xr:uid="{9B78B5BC-F56B-42DD-9E6F-ECC18C1CEC5B}"/>
    <cellStyle name="AggOrangeRBorder 2 3 52" xfId="23105" xr:uid="{8D99FBB8-B184-4FBF-A913-71C315A1A8D4}"/>
    <cellStyle name="AggOrangeRBorder 2 3 53" xfId="23637" xr:uid="{ADCB4ABA-808D-4256-8038-630654311250}"/>
    <cellStyle name="AggOrangeRBorder 2 3 54" xfId="24375" xr:uid="{2AD532AF-6DA7-4147-A60C-FEF6DB0BA994}"/>
    <cellStyle name="AggOrangeRBorder 2 3 55" xfId="24297" xr:uid="{F63316A4-EF8D-4FE3-A37A-6CA6EBD51532}"/>
    <cellStyle name="AggOrangeRBorder 2 3 56" xfId="24587" xr:uid="{BCF9C0EE-B951-458F-9B03-41691CC293B7}"/>
    <cellStyle name="AggOrangeRBorder 2 3 57" xfId="24265" xr:uid="{649EF466-44A4-4E93-98DA-8F754B47D6BE}"/>
    <cellStyle name="AggOrangeRBorder 2 3 58" xfId="26137" xr:uid="{940550D8-3EA6-4E8F-9362-42BB1C5C9910}"/>
    <cellStyle name="AggOrangeRBorder 2 3 59" xfId="26620" xr:uid="{0797E405-AB0A-44CD-B54A-68D98EC7DAE5}"/>
    <cellStyle name="AggOrangeRBorder 2 3 6" xfId="948" xr:uid="{7BADE54F-E330-4B4C-A8BB-E9225737B494}"/>
    <cellStyle name="AggOrangeRBorder 2 3 60" xfId="26522" xr:uid="{C7EDE208-C9C9-454B-B634-A4B1627C4875}"/>
    <cellStyle name="AggOrangeRBorder 2 3 61" xfId="26592" xr:uid="{EBDB6700-50D8-4F72-9D2A-D4EC6BD6DBE9}"/>
    <cellStyle name="AggOrangeRBorder 2 3 62" xfId="28146" xr:uid="{40CEBC08-6C57-4735-8EC0-5DA7257B5830}"/>
    <cellStyle name="AggOrangeRBorder 2 3 63" xfId="27906" xr:uid="{81A7D0E4-82F9-4704-AD6B-B2DE809AA233}"/>
    <cellStyle name="AggOrangeRBorder 2 3 64" xfId="29002" xr:uid="{B159D253-D61D-4EAB-8DEC-A41201BB1737}"/>
    <cellStyle name="AggOrangeRBorder 2 3 65" xfId="29388" xr:uid="{7345C10D-82B4-4743-8501-F31931758979}"/>
    <cellStyle name="AggOrangeRBorder 2 3 66" xfId="29464" xr:uid="{57F478A2-AFC7-4584-8E93-528271A3640A}"/>
    <cellStyle name="AggOrangeRBorder 2 3 67" xfId="30015" xr:uid="{5205F66F-0713-4890-9691-122E37CD7C2E}"/>
    <cellStyle name="AggOrangeRBorder 2 3 68" xfId="29487" xr:uid="{585D4ED2-5FAC-4060-98B9-0FAABD454A1C}"/>
    <cellStyle name="AggOrangeRBorder 2 3 69" xfId="28063" xr:uid="{30D410BE-A474-4D28-BACC-72564C464459}"/>
    <cellStyle name="AggOrangeRBorder 2 3 7" xfId="1533" xr:uid="{82445B80-9B9F-42A7-9539-3899DB71715B}"/>
    <cellStyle name="AggOrangeRBorder 2 3 70" xfId="31598" xr:uid="{9F63FC05-7388-46E9-B7BA-1D9055902708}"/>
    <cellStyle name="AggOrangeRBorder 2 3 71" xfId="31638" xr:uid="{7C8BA41B-7E38-4318-B01A-7940FB0C6385}"/>
    <cellStyle name="AggOrangeRBorder 2 3 8" xfId="2095" xr:uid="{CD105BD7-C0CF-4CA7-AD5A-1A54B4841D95}"/>
    <cellStyle name="AggOrangeRBorder 2 3 9" xfId="1991" xr:uid="{B56C915A-A56B-422E-9CE0-DAE2854BB6B0}"/>
    <cellStyle name="AggOrangeRBorder 3" xfId="412" xr:uid="{7A3B9651-F864-47F4-8291-EBAB23A9AFA0}"/>
    <cellStyle name="AggOrangeRBorder 3 2" xfId="44" xr:uid="{A1680057-236D-4E78-848D-1C1262F54CA4}"/>
    <cellStyle name="AggOrangeRBorder 3 2 2" xfId="644" xr:uid="{231A8365-1988-4AC7-81F1-468B3D98B559}"/>
    <cellStyle name="AggOrangeRBorder 3 2 2 10" xfId="5292" xr:uid="{17918BCD-6360-4296-BF3A-624E84F33BAD}"/>
    <cellStyle name="AggOrangeRBorder 3 2 2 11" xfId="5603" xr:uid="{CDD21BBC-4845-4D75-B17F-A75119842C7D}"/>
    <cellStyle name="AggOrangeRBorder 3 2 2 12" xfId="2844" xr:uid="{A5730A97-B654-4840-9B0D-0BACCD9F3A7A}"/>
    <cellStyle name="AggOrangeRBorder 3 2 2 13" xfId="5111" xr:uid="{39B249EA-2FF4-405E-BFF6-5234882A4E8A}"/>
    <cellStyle name="AggOrangeRBorder 3 2 2 14" xfId="7364" xr:uid="{5E9D4AF1-4DA3-4401-A0D0-995923C7593A}"/>
    <cellStyle name="AggOrangeRBorder 3 2 2 15" xfId="8023" xr:uid="{E33C71FC-E48E-4C4B-A6A2-31087FF4255F}"/>
    <cellStyle name="AggOrangeRBorder 3 2 2 16" xfId="8380" xr:uid="{684921F4-1274-499F-BCB0-7CA8BB6076D4}"/>
    <cellStyle name="AggOrangeRBorder 3 2 2 17" xfId="8622" xr:uid="{80CA9A5C-22CA-4AFF-8F4B-D070C02FF59C}"/>
    <cellStyle name="AggOrangeRBorder 3 2 2 18" xfId="9578" xr:uid="{FB081A25-317A-4F98-82C0-714B44D7002C}"/>
    <cellStyle name="AggOrangeRBorder 3 2 2 19" xfId="10242" xr:uid="{E5B57503-649B-4F40-8204-ED1564F96F02}"/>
    <cellStyle name="AggOrangeRBorder 3 2 2 2" xfId="1127" xr:uid="{9A29F241-9999-4F78-93E3-BF59D426D4C4}"/>
    <cellStyle name="AggOrangeRBorder 3 2 2 20" xfId="10637" xr:uid="{E82AE3E3-687B-41B2-9AA3-753424B103AC}"/>
    <cellStyle name="AggOrangeRBorder 3 2 2 21" xfId="10120" xr:uid="{5EE63792-E364-46C3-B911-0E51858DE76E}"/>
    <cellStyle name="AggOrangeRBorder 3 2 2 22" xfId="10762" xr:uid="{732DF441-F05B-4DD9-8665-78F3F342F904}"/>
    <cellStyle name="AggOrangeRBorder 3 2 2 23" xfId="11997" xr:uid="{DAAE4135-4B2E-4FC4-9FA6-681B558B15B2}"/>
    <cellStyle name="AggOrangeRBorder 3 2 2 24" xfId="12470" xr:uid="{AE903D0C-3F4F-42AC-A04B-50A21A196CAF}"/>
    <cellStyle name="AggOrangeRBorder 3 2 2 25" xfId="12904" xr:uid="{7FF3B6E7-3CE6-4C3D-BC27-AB0A905503F3}"/>
    <cellStyle name="AggOrangeRBorder 3 2 2 26" xfId="13341" xr:uid="{D1E2692F-994A-4FED-8F05-A3B1549146FC}"/>
    <cellStyle name="AggOrangeRBorder 3 2 2 27" xfId="11840" xr:uid="{F30B21D9-0330-4080-84E9-B0E94DAA4D7B}"/>
    <cellStyle name="AggOrangeRBorder 3 2 2 28" xfId="14388" xr:uid="{3C172C49-F8FB-4C71-BAAD-D4DEEFD4E82B}"/>
    <cellStyle name="AggOrangeRBorder 3 2 2 29" xfId="13838" xr:uid="{5026431C-39BB-4532-A9DD-5D85F65C5205}"/>
    <cellStyle name="AggOrangeRBorder 3 2 2 3" xfId="1521" xr:uid="{682311E9-E511-4B52-B7B3-F992715A0F97}"/>
    <cellStyle name="AggOrangeRBorder 3 2 2 30" xfId="15132" xr:uid="{50DD4A23-F26E-4371-BC68-DE3245F18727}"/>
    <cellStyle name="AggOrangeRBorder 3 2 2 31" xfId="15526" xr:uid="{2FEB2D55-ED9B-4D45-8611-7F8B66A159EE}"/>
    <cellStyle name="AggOrangeRBorder 3 2 2 32" xfId="15983" xr:uid="{B1789DC7-690A-4291-BD88-5B820E51DEC9}"/>
    <cellStyle name="AggOrangeRBorder 3 2 2 33" xfId="16689" xr:uid="{EDBEFA7F-3ABC-4B53-8A96-71D81665949E}"/>
    <cellStyle name="AggOrangeRBorder 3 2 2 34" xfId="17363" xr:uid="{1FE224D2-F449-4A5E-892A-4FB3265185A1}"/>
    <cellStyle name="AggOrangeRBorder 3 2 2 35" xfId="17805" xr:uid="{6604A0C0-D707-4C1C-832E-EDAFB24B3F4A}"/>
    <cellStyle name="AggOrangeRBorder 3 2 2 36" xfId="17458" xr:uid="{01B57CCD-E8FC-4CA0-9E3B-8A32B222F68B}"/>
    <cellStyle name="AggOrangeRBorder 3 2 2 37" xfId="18507" xr:uid="{33AFDAFA-75D5-435D-A261-CC5A08F0FA37}"/>
    <cellStyle name="AggOrangeRBorder 3 2 2 38" xfId="17957" xr:uid="{8BA3416A-6DEA-460E-AB5E-FBF1D3BA0A93}"/>
    <cellStyle name="AggOrangeRBorder 3 2 2 39" xfId="18831" xr:uid="{CB87494A-B758-4E3C-BEC7-C8F6BEFFE693}"/>
    <cellStyle name="AggOrangeRBorder 3 2 2 4" xfId="2466" xr:uid="{6A6BDB36-E009-4050-95C3-AA535192C237}"/>
    <cellStyle name="AggOrangeRBorder 3 2 2 40" xfId="20026" xr:uid="{DC1569E3-C70A-46FC-AF34-D765DB4CEB5B}"/>
    <cellStyle name="AggOrangeRBorder 3 2 2 41" xfId="20713" xr:uid="{1AFB1B7B-EFB4-4221-8FA0-A14A2814E964}"/>
    <cellStyle name="AggOrangeRBorder 3 2 2 42" xfId="21171" xr:uid="{839DFC21-8F93-442C-9F65-AC30B720BAF6}"/>
    <cellStyle name="AggOrangeRBorder 3 2 2 43" xfId="20893" xr:uid="{D6434AA7-00E8-4C05-AE3E-4FF4BD42575B}"/>
    <cellStyle name="AggOrangeRBorder 3 2 2 44" xfId="22102" xr:uid="{9C5AAFA0-F952-4E6F-9553-1651E3918A20}"/>
    <cellStyle name="AggOrangeRBorder 3 2 2 45" xfId="22530" xr:uid="{427C59A7-393B-4D36-9D4D-B54A05B2BA80}"/>
    <cellStyle name="AggOrangeRBorder 3 2 2 46" xfId="19405" xr:uid="{4BC6EBEF-FD52-4A12-BD10-444A628D96D7}"/>
    <cellStyle name="AggOrangeRBorder 3 2 2 47" xfId="22085" xr:uid="{A68D55C4-BDB7-4F72-83FD-80C80A4E85A6}"/>
    <cellStyle name="AggOrangeRBorder 3 2 2 48" xfId="23053" xr:uid="{B59A5CEB-6DCB-479A-B461-7F5024774C61}"/>
    <cellStyle name="AggOrangeRBorder 3 2 2 49" xfId="23835" xr:uid="{94D4FD96-658D-40D7-AD66-F6FC5152EFF7}"/>
    <cellStyle name="AggOrangeRBorder 3 2 2 5" xfId="1818" xr:uid="{465F0A5D-F068-495E-B738-3A354AEFBDD8}"/>
    <cellStyle name="AggOrangeRBorder 3 2 2 50" xfId="24734" xr:uid="{FDDE1BA3-8FA3-4B40-9736-E3DA9974FC24}"/>
    <cellStyle name="AggOrangeRBorder 3 2 2 51" xfId="25417" xr:uid="{312C03A1-05FE-43F3-B643-93C4A40DF51E}"/>
    <cellStyle name="AggOrangeRBorder 3 2 2 52" xfId="25652" xr:uid="{33BF997C-66EC-4643-B90D-C7A197E219FD}"/>
    <cellStyle name="AggOrangeRBorder 3 2 2 53" xfId="25237" xr:uid="{C560C097-49B0-4BD5-A508-D47E37C6FA46}"/>
    <cellStyle name="AggOrangeRBorder 3 2 2 54" xfId="25946" xr:uid="{0EECBE09-FF9D-41F7-BAB4-7C7D16176484}"/>
    <cellStyle name="AggOrangeRBorder 3 2 2 55" xfId="26942" xr:uid="{E3C8A495-21D5-4EBB-8CAA-4719C8AE0D9A}"/>
    <cellStyle name="AggOrangeRBorder 3 2 2 56" xfId="27361" xr:uid="{3EB5E643-9B9F-4461-8BC8-3AC93CE13BF1}"/>
    <cellStyle name="AggOrangeRBorder 3 2 2 57" xfId="27821" xr:uid="{8DE12A31-3FE7-497B-8D8F-48D726222838}"/>
    <cellStyle name="AggOrangeRBorder 3 2 2 58" xfId="28484" xr:uid="{ECDE1CF4-9A81-4484-BC1A-C4223ADABAE4}"/>
    <cellStyle name="AggOrangeRBorder 3 2 2 59" xfId="28952" xr:uid="{E0E601A5-C8CF-48F9-87A4-F403EB487B3D}"/>
    <cellStyle name="AggOrangeRBorder 3 2 2 6" xfId="3507" xr:uid="{D3C7C36A-8028-4BFE-8646-8B0171787B9F}"/>
    <cellStyle name="AggOrangeRBorder 3 2 2 60" xfId="29531" xr:uid="{F4854036-2CC8-45D8-8E63-498EAC54D92A}"/>
    <cellStyle name="AggOrangeRBorder 3 2 2 61" xfId="29742" xr:uid="{17CD456E-DD43-4B7F-9B46-E0E86C4E5EC9}"/>
    <cellStyle name="AggOrangeRBorder 3 2 2 62" xfId="30150" xr:uid="{EEFF211A-CD0D-4CC4-AEE3-45B476BFF5A3}"/>
    <cellStyle name="AggOrangeRBorder 3 2 2 63" xfId="30564" xr:uid="{29C3CA96-02CA-41DE-9E8C-02CA39E3500D}"/>
    <cellStyle name="AggOrangeRBorder 3 2 2 64" xfId="29216" xr:uid="{A5751C6E-A989-45C9-AC3A-2A7D2E18EBF2}"/>
    <cellStyle name="AggOrangeRBorder 3 2 2 65" xfId="31188" xr:uid="{CCF2FDC0-EEE3-4391-9DA4-560F69B21028}"/>
    <cellStyle name="AggOrangeRBorder 3 2 2 66" xfId="31874" xr:uid="{17C85528-3700-44B7-A981-F8671DDAA923}"/>
    <cellStyle name="AggOrangeRBorder 3 2 2 67" xfId="32134" xr:uid="{A3B3C422-7027-4524-BCB5-FE5186725D06}"/>
    <cellStyle name="AggOrangeRBorder 3 2 2 7" xfId="3962" xr:uid="{CCE48FCD-060A-4EEA-B7F6-82564461819B}"/>
    <cellStyle name="AggOrangeRBorder 3 2 2 8" xfId="4400" xr:uid="{B92F6CAD-A63C-4C2F-AE6E-3A785F6FE728}"/>
    <cellStyle name="AggOrangeRBorder 3 2 2 9" xfId="4750" xr:uid="{308991D7-6B8A-499D-953E-F746897493C1}"/>
    <cellStyle name="AggOrangeRBorder 3 2 3" xfId="859" xr:uid="{1F3DBFD2-93D4-4634-9098-CBC40F4AD027}"/>
    <cellStyle name="AggOrangeRBorder 3 2 3 10" xfId="5507" xr:uid="{1A3CEDF7-3B22-4F88-989C-097E552312F8}"/>
    <cellStyle name="AggOrangeRBorder 3 2 3 11" xfId="5651" xr:uid="{01BDCC29-1E74-4ED0-815F-FBDF7F636AEE}"/>
    <cellStyle name="AggOrangeRBorder 3 2 3 12" xfId="4847" xr:uid="{4FB8AF8D-3920-4925-B1F9-D174039B05D5}"/>
    <cellStyle name="AggOrangeRBorder 3 2 3 13" xfId="6447" xr:uid="{4F5C3FF2-CF16-4C0F-BA4A-9F77E5E49870}"/>
    <cellStyle name="AggOrangeRBorder 3 2 3 14" xfId="7579" xr:uid="{EA3ED944-951E-441A-9564-76FF49792DBE}"/>
    <cellStyle name="AggOrangeRBorder 3 2 3 15" xfId="6983" xr:uid="{3844852D-3263-4CC7-B1C7-A120FAE425BE}"/>
    <cellStyle name="AggOrangeRBorder 3 2 3 16" xfId="8560" xr:uid="{DA83D7D4-894D-4EEA-9584-DF6A222F5E94}"/>
    <cellStyle name="AggOrangeRBorder 3 2 3 17" xfId="8790" xr:uid="{570FC702-346B-4B5D-887F-A3F0B83AAF58}"/>
    <cellStyle name="AggOrangeRBorder 3 2 3 18" xfId="9793" xr:uid="{A95388FD-9D2A-4617-AF09-A4A406402DFF}"/>
    <cellStyle name="AggOrangeRBorder 3 2 3 19" xfId="9324" xr:uid="{240E4978-3B05-42B5-9AEF-79CA4153046E}"/>
    <cellStyle name="AggOrangeRBorder 3 2 3 2" xfId="1333" xr:uid="{8E5CA5E2-FAE9-4999-8F90-F708DB245A2B}"/>
    <cellStyle name="AggOrangeRBorder 3 2 3 20" xfId="9881" xr:uid="{0BD32DA4-79E2-4F4C-A6A2-D0E1FB25C09E}"/>
    <cellStyle name="AggOrangeRBorder 3 2 3 21" xfId="10368" xr:uid="{F6AE7119-4836-4D2E-A8F4-FDD7044DD42A}"/>
    <cellStyle name="AggOrangeRBorder 3 2 3 22" xfId="10809" xr:uid="{9EB7275B-D9D3-4D14-AEAA-261712006832}"/>
    <cellStyle name="AggOrangeRBorder 3 2 3 23" xfId="12212" xr:uid="{FD1BB52F-8075-46A9-90CC-F8D8AADB863A}"/>
    <cellStyle name="AggOrangeRBorder 3 2 3 24" xfId="12685" xr:uid="{EF8FB831-17C5-419B-998B-CCC79A1D89C7}"/>
    <cellStyle name="AggOrangeRBorder 3 2 3 25" xfId="13119" xr:uid="{C66C8B32-D252-4EDD-9613-0B68219255BC}"/>
    <cellStyle name="AggOrangeRBorder 3 2 3 26" xfId="13556" xr:uid="{C6229E58-2237-4E54-AF1A-2CA1BC388D62}"/>
    <cellStyle name="AggOrangeRBorder 3 2 3 27" xfId="11596" xr:uid="{19097486-35C3-48D5-863B-F8B72FBDA451}"/>
    <cellStyle name="AggOrangeRBorder 3 2 3 28" xfId="14475" xr:uid="{CF3FDD8D-8FDD-427B-B1C1-B64ADA5E96B3}"/>
    <cellStyle name="AggOrangeRBorder 3 2 3 29" xfId="12246" xr:uid="{0E05C693-AD11-485B-9F1A-1BE096FEA019}"/>
    <cellStyle name="AggOrangeRBorder 3 2 3 3" xfId="1782" xr:uid="{D6271B2E-CCD2-434A-B363-EBA63D8CEC7A}"/>
    <cellStyle name="AggOrangeRBorder 3 2 3 30" xfId="13868" xr:uid="{DB2718C7-5B36-45B0-8B64-61FD191F8484}"/>
    <cellStyle name="AggOrangeRBorder 3 2 3 31" xfId="14986" xr:uid="{E2DDAF4A-04AC-42DE-860C-2A854B134E25}"/>
    <cellStyle name="AggOrangeRBorder 3 2 3 32" xfId="15058" xr:uid="{EBA91E51-00FF-4CB2-A1A0-8864C7AC9F01}"/>
    <cellStyle name="AggOrangeRBorder 3 2 3 33" xfId="16904" xr:uid="{4D08BD8D-3B79-4A5F-9343-00DB175720D9}"/>
    <cellStyle name="AggOrangeRBorder 3 2 3 34" xfId="16303" xr:uid="{A92AFED6-400C-48CF-BC16-5048CD57D860}"/>
    <cellStyle name="AggOrangeRBorder 3 2 3 35" xfId="17071" xr:uid="{AFF13DD5-5246-459A-9521-7264BCD90EC7}"/>
    <cellStyle name="AggOrangeRBorder 3 2 3 36" xfId="18040" xr:uid="{34FA7250-1569-46E0-893D-B30FB55BA2D1}"/>
    <cellStyle name="AggOrangeRBorder 3 2 3 37" xfId="18722" xr:uid="{503C7B73-01A4-4648-8BF4-0A111C59DCD7}"/>
    <cellStyle name="AggOrangeRBorder 3 2 3 38" xfId="18924" xr:uid="{7DFCDE87-2E4A-49C5-969F-2DC1EE0AF831}"/>
    <cellStyle name="AggOrangeRBorder 3 2 3 39" xfId="18987" xr:uid="{D3409BA3-FDCB-436A-B397-E92AED12BBFE}"/>
    <cellStyle name="AggOrangeRBorder 3 2 3 4" xfId="2681" xr:uid="{EDF80AE8-BD48-48AB-A898-F71E97243B1C}"/>
    <cellStyle name="AggOrangeRBorder 3 2 3 40" xfId="20241" xr:uid="{0786E6B5-59EE-4981-8EDD-D7FECFBD54F3}"/>
    <cellStyle name="AggOrangeRBorder 3 2 3 41" xfId="19633" xr:uid="{298669F7-299C-41B4-8E19-BC093040FB1A}"/>
    <cellStyle name="AggOrangeRBorder 3 2 3 42" xfId="19478" xr:uid="{1160EFA1-0D5A-4648-8227-D45B9E57FD8A}"/>
    <cellStyle name="AggOrangeRBorder 3 2 3 43" xfId="21526" xr:uid="{29B06A0E-BEF8-4872-8149-8C371DE94BD3}"/>
    <cellStyle name="AggOrangeRBorder 3 2 3 44" xfId="19824" xr:uid="{70AE2B1A-2610-4464-8B62-F0865B432239}"/>
    <cellStyle name="AggOrangeRBorder 3 2 3 45" xfId="19484" xr:uid="{A33443B4-5269-44EA-9E71-6D1DA158AD74}"/>
    <cellStyle name="AggOrangeRBorder 3 2 3 46" xfId="21408" xr:uid="{C87721C9-4D02-4C2D-A833-C19DF12CEE0A}"/>
    <cellStyle name="AggOrangeRBorder 3 2 3 47" xfId="23207" xr:uid="{B590B377-F8C9-4C47-9445-CF7EA8F1703A}"/>
    <cellStyle name="AggOrangeRBorder 3 2 3 48" xfId="23109" xr:uid="{DC651882-E8D3-488F-A83B-D964482A35CE}"/>
    <cellStyle name="AggOrangeRBorder 3 2 3 49" xfId="24041" xr:uid="{49165C6A-BBC7-4C44-8868-563200524CFD}"/>
    <cellStyle name="AggOrangeRBorder 3 2 3 5" xfId="1915" xr:uid="{A72F077E-E500-4FAB-BAB8-B217300B289F}"/>
    <cellStyle name="AggOrangeRBorder 3 2 3 50" xfId="24949" xr:uid="{8932E907-3D45-4DDC-87C0-446909AA867F}"/>
    <cellStyle name="AggOrangeRBorder 3 2 3 51" xfId="24104" xr:uid="{384812DF-BE8E-462F-B62B-7BD3043AE816}"/>
    <cellStyle name="AggOrangeRBorder 3 2 3 52" xfId="25865" xr:uid="{E1D9CD89-7A43-4887-8ADD-31BC3E85F7DF}"/>
    <cellStyle name="AggOrangeRBorder 3 2 3 53" xfId="24252" xr:uid="{251D98B3-C9A9-4B36-B3C5-FFC38FBA426C}"/>
    <cellStyle name="AggOrangeRBorder 3 2 3 54" xfId="26732" xr:uid="{7406E27D-A094-4B7B-B65D-C4561A130826}"/>
    <cellStyle name="AggOrangeRBorder 3 2 3 55" xfId="27153" xr:uid="{37E3A43F-BDA4-4D63-A8BD-01C928FA56D4}"/>
    <cellStyle name="AggOrangeRBorder 3 2 3 56" xfId="27572" xr:uid="{C4425737-8C15-4D87-BD3F-45427879D70F}"/>
    <cellStyle name="AggOrangeRBorder 3 2 3 57" xfId="25339" xr:uid="{22568B11-52DE-48C5-A640-10B19D8029B6}"/>
    <cellStyle name="AggOrangeRBorder 3 2 3 58" xfId="28699" xr:uid="{224672D9-5165-4FE9-BAB4-01A1F4DC7339}"/>
    <cellStyle name="AggOrangeRBorder 3 2 3 59" xfId="29166" xr:uid="{2F71A5F9-CE93-4A41-AB18-2C98F04FD1CE}"/>
    <cellStyle name="AggOrangeRBorder 3 2 3 6" xfId="3637" xr:uid="{C9AA98D2-D3C1-4E06-BD57-244B661BEFB3}"/>
    <cellStyle name="AggOrangeRBorder 3 2 3 60" xfId="28230" xr:uid="{4621A4B4-CC17-4989-93C5-A742A80EA040}"/>
    <cellStyle name="AggOrangeRBorder 3 2 3 61" xfId="29955" xr:uid="{6BE36704-AC2F-4DAE-805C-3D192689AFC5}"/>
    <cellStyle name="AggOrangeRBorder 3 2 3 62" xfId="30361" xr:uid="{7BA47A42-FC2B-4560-9AFB-CAC1C039C0D4}"/>
    <cellStyle name="AggOrangeRBorder 3 2 3 63" xfId="30778" xr:uid="{30A9C23F-F273-4CF5-81F2-EC86B4A36090}"/>
    <cellStyle name="AggOrangeRBorder 3 2 3 64" xfId="28769" xr:uid="{47F771CD-6E65-49DF-B193-6072524B1EC1}"/>
    <cellStyle name="AggOrangeRBorder 3 2 3 65" xfId="31394" xr:uid="{2A5D2288-EAFF-4D92-8252-368602DFB2DE}"/>
    <cellStyle name="AggOrangeRBorder 3 2 3 66" xfId="32085" xr:uid="{DFBF28BD-1837-4565-BF7F-A7FE845DA962}"/>
    <cellStyle name="AggOrangeRBorder 3 2 3 67" xfId="32300" xr:uid="{8B8C4A00-C5DB-40BF-8FF6-5EF84238CBA6}"/>
    <cellStyle name="AggOrangeRBorder 3 2 3 7" xfId="4177" xr:uid="{671A4D71-C04C-4526-8387-B72AFF6DA599}"/>
    <cellStyle name="AggOrangeRBorder 3 2 3 8" xfId="4614" xr:uid="{34B3CFC2-5885-45E4-9DCA-6A467803B058}"/>
    <cellStyle name="AggOrangeRBorder 3 2 3 9" xfId="5060" xr:uid="{4C5214B6-1321-440C-8115-AD66DA498A9F}"/>
    <cellStyle name="AggOrangeRBorder 4" xfId="270" xr:uid="{51C982D1-0C6B-4FDF-B4C3-28BE0C0805A8}"/>
    <cellStyle name="AggOrangeRBorder 4 10" xfId="2023" xr:uid="{1D4326A6-83AF-42FA-851F-609837029034}"/>
    <cellStyle name="AggOrangeRBorder 4 11" xfId="3788" xr:uid="{C0D74441-3335-49E9-A5B9-378315142458}"/>
    <cellStyle name="AggOrangeRBorder 4 12" xfId="3764" xr:uid="{87F3A14E-9A1C-4A8C-9B1D-A2C100A78F8E}"/>
    <cellStyle name="AggOrangeRBorder 4 13" xfId="3816" xr:uid="{5A29B342-6761-4EA0-98DD-7401C1D3DCAA}"/>
    <cellStyle name="AggOrangeRBorder 4 14" xfId="4911" xr:uid="{4B53C5F9-9EA2-4B07-BA9F-97B5D8259A0F}"/>
    <cellStyle name="AggOrangeRBorder 4 15" xfId="4875" xr:uid="{1E14922F-0E0C-4B11-8B57-BFA68D38FAF1}"/>
    <cellStyle name="AggOrangeRBorder 4 16" xfId="6318" xr:uid="{53918C0B-1FB3-487C-B21A-08C6C21C6579}"/>
    <cellStyle name="AggOrangeRBorder 4 17" xfId="6446" xr:uid="{D15EEEB1-42DB-4A0E-944D-ECC3E4F4672A}"/>
    <cellStyle name="AggOrangeRBorder 4 18" xfId="7000" xr:uid="{B64DBBB7-D25A-4E84-A078-8B4DE80BBCEA}"/>
    <cellStyle name="AggOrangeRBorder 4 19" xfId="7081" xr:uid="{B18DB28E-F1B2-41C1-81C3-EF74F69E5869}"/>
    <cellStyle name="AggOrangeRBorder 4 2" xfId="609" xr:uid="{6D1DE3B5-C4A0-4823-99CF-3B8E9324EBE4}"/>
    <cellStyle name="AggOrangeRBorder 4 2 10" xfId="4262" xr:uid="{6A9A3F15-EED5-4CBA-85C5-11C29450959A}"/>
    <cellStyle name="AggOrangeRBorder 4 2 11" xfId="5257" xr:uid="{3516C90D-B0BE-4153-B348-67B0C43681EF}"/>
    <cellStyle name="AggOrangeRBorder 4 2 12" xfId="5020" xr:uid="{8552649A-6B35-4DEF-A349-541812FE0AEA}"/>
    <cellStyle name="AggOrangeRBorder 4 2 13" xfId="6221" xr:uid="{2118FBDB-DE63-4604-A9DE-588FDB62DC53}"/>
    <cellStyle name="AggOrangeRBorder 4 2 14" xfId="6441" xr:uid="{B53019E6-E591-49BB-AF6E-376F75E47539}"/>
    <cellStyle name="AggOrangeRBorder 4 2 15" xfId="7329" xr:uid="{5E056D7F-0FC3-4B83-95BA-93A7AC882FD4}"/>
    <cellStyle name="AggOrangeRBorder 4 2 16" xfId="7787" xr:uid="{C9738A22-4784-4617-826C-547DB51FC2FE}"/>
    <cellStyle name="AggOrangeRBorder 4 2 17" xfId="8547" xr:uid="{2ECB952C-76BD-4DFA-B568-BCF9BF57170F}"/>
    <cellStyle name="AggOrangeRBorder 4 2 18" xfId="6858" xr:uid="{48DAE3A3-9604-4759-957F-EA491EEAF19C}"/>
    <cellStyle name="AggOrangeRBorder 4 2 19" xfId="9543" xr:uid="{1773B560-4999-483C-8C32-3C1494F04958}"/>
    <cellStyle name="AggOrangeRBorder 4 2 2" xfId="824" xr:uid="{EF216758-8A26-4C8E-AA9C-11E5FDC7EE57}"/>
    <cellStyle name="AggOrangeRBorder 4 2 2 10" xfId="5472" xr:uid="{B644418C-2DC3-433F-99CA-5EB5A58769D3}"/>
    <cellStyle name="AggOrangeRBorder 4 2 2 11" xfId="5748" xr:uid="{A7C205B3-9146-47F3-A0D7-BF4A5C5376A6}"/>
    <cellStyle name="AggOrangeRBorder 4 2 2 12" xfId="4688" xr:uid="{4AF77172-0D73-4D9D-BF68-B8948EFC103A}"/>
    <cellStyle name="AggOrangeRBorder 4 2 2 13" xfId="6311" xr:uid="{4BC4FDBF-7C9B-45EB-B002-D4FC870575FD}"/>
    <cellStyle name="AggOrangeRBorder 4 2 2 14" xfId="7544" xr:uid="{82436B48-D274-47F8-BDB7-79DBBC8F76DC}"/>
    <cellStyle name="AggOrangeRBorder 4 2 2 15" xfId="6981" xr:uid="{1150BDF3-67C2-4341-8C4F-6A7500D3B0DD}"/>
    <cellStyle name="AggOrangeRBorder 4 2 2 16" xfId="8233" xr:uid="{83AB37E1-A3FE-4E25-93A5-C8B2120169CF}"/>
    <cellStyle name="AggOrangeRBorder 4 2 2 17" xfId="7977" xr:uid="{617359BD-31B3-4EF2-AD8E-D11D841221A2}"/>
    <cellStyle name="AggOrangeRBorder 4 2 2 18" xfId="9758" xr:uid="{DA411EBD-750D-4933-8180-C6C870DE45CE}"/>
    <cellStyle name="AggOrangeRBorder 4 2 2 19" xfId="9322" xr:uid="{153BB73D-9704-4A83-98B0-2ADE57D8FF86}"/>
    <cellStyle name="AggOrangeRBorder 4 2 2 2" xfId="1298" xr:uid="{A2317E52-2F9D-4F43-97E2-1797598A7EAF}"/>
    <cellStyle name="AggOrangeRBorder 4 2 2 20" xfId="9638" xr:uid="{B6258ADF-2278-4A21-B12D-185A70F11B5E}"/>
    <cellStyle name="AggOrangeRBorder 4 2 2 21" xfId="10451" xr:uid="{32404442-B42A-4C0F-906B-DFC88250C5A8}"/>
    <cellStyle name="AggOrangeRBorder 4 2 2 22" xfId="11099" xr:uid="{5F501A28-A75D-461B-9610-5A1A95BAB1F9}"/>
    <cellStyle name="AggOrangeRBorder 4 2 2 23" xfId="12177" xr:uid="{8B95FCBD-E197-4094-B8C2-17143B924D12}"/>
    <cellStyle name="AggOrangeRBorder 4 2 2 24" xfId="12650" xr:uid="{422ABFCA-267C-4171-A524-598F4B856529}"/>
    <cellStyle name="AggOrangeRBorder 4 2 2 25" xfId="13084" xr:uid="{9F07F6B8-D7EE-40A4-A5D4-44290D3AAF87}"/>
    <cellStyle name="AggOrangeRBorder 4 2 2 26" xfId="13521" xr:uid="{5E43F7DF-14E2-4BA0-A521-B170794B27FE}"/>
    <cellStyle name="AggOrangeRBorder 4 2 2 27" xfId="11545" xr:uid="{B395CA4A-29B7-4CC4-ACA9-C6C792F44C59}"/>
    <cellStyle name="AggOrangeRBorder 4 2 2 28" xfId="11519" xr:uid="{3DEA4392-F834-4369-9AE1-3243C11638AA}"/>
    <cellStyle name="AggOrangeRBorder 4 2 2 29" xfId="13815" xr:uid="{F448F5F8-496A-4B67-9027-1912B26C4C9F}"/>
    <cellStyle name="AggOrangeRBorder 4 2 2 3" xfId="1556" xr:uid="{957D0897-6304-49BC-B114-75DE80644C86}"/>
    <cellStyle name="AggOrangeRBorder 4 2 2 30" xfId="15344" xr:uid="{62CC1EA7-E619-48B9-A5A8-525A6DAF5646}"/>
    <cellStyle name="AggOrangeRBorder 4 2 2 31" xfId="15443" xr:uid="{B3AA980A-93E0-43CF-9028-C8B972A6A320}"/>
    <cellStyle name="AggOrangeRBorder 4 2 2 32" xfId="15200" xr:uid="{29DDAC68-99B1-4B5C-9F93-A5C656E21E01}"/>
    <cellStyle name="AggOrangeRBorder 4 2 2 33" xfId="16869" xr:uid="{E407986A-306D-417B-BC6D-32D6D4AFDC2C}"/>
    <cellStyle name="AggOrangeRBorder 4 2 2 34" xfId="16301" xr:uid="{691E2539-D73B-40FE-A119-8E09C785E1D7}"/>
    <cellStyle name="AggOrangeRBorder 4 2 2 35" xfId="16502" xr:uid="{96230F4E-B18D-4290-89E2-7224CFDFD24F}"/>
    <cellStyle name="AggOrangeRBorder 4 2 2 36" xfId="18100" xr:uid="{9D3FEEDC-802A-46C5-8CEF-C423A6B7394D}"/>
    <cellStyle name="AggOrangeRBorder 4 2 2 37" xfId="18687" xr:uid="{D855267C-050C-4D28-A875-2BAE28B1614C}"/>
    <cellStyle name="AggOrangeRBorder 4 2 2 38" xfId="18020" xr:uid="{78C25EC4-0FFD-49F6-9CC9-AC827B520C50}"/>
    <cellStyle name="AggOrangeRBorder 4 2 2 39" xfId="17454" xr:uid="{8BCCCE7B-89E6-4105-A855-898C1C1C5808}"/>
    <cellStyle name="AggOrangeRBorder 4 2 2 4" xfId="2646" xr:uid="{A68B633D-EA98-4BD2-98C0-F897871CAD71}"/>
    <cellStyle name="AggOrangeRBorder 4 2 2 40" xfId="20206" xr:uid="{16A73556-55AF-4232-A45E-68E86E096D25}"/>
    <cellStyle name="AggOrangeRBorder 4 2 2 41" xfId="19783" xr:uid="{83ECF960-A1F8-4B59-BDBE-4526A5DEB08E}"/>
    <cellStyle name="AggOrangeRBorder 4 2 2 42" xfId="19386" xr:uid="{144161A1-C08F-4350-BA55-43B2854F47BD}"/>
    <cellStyle name="AggOrangeRBorder 4 2 2 43" xfId="21227" xr:uid="{5CBB9AF0-3E9E-4CC5-8A90-6BEF69A249C8}"/>
    <cellStyle name="AggOrangeRBorder 4 2 2 44" xfId="21384" xr:uid="{A3B33295-2494-419E-8550-F8E0557006F4}"/>
    <cellStyle name="AggOrangeRBorder 4 2 2 45" xfId="21303" xr:uid="{E5DF1B35-07B9-4EA6-963F-1184795EB617}"/>
    <cellStyle name="AggOrangeRBorder 4 2 2 46" xfId="22162" xr:uid="{6FB4C92A-9832-42B8-8A1F-CBBB42C29D3D}"/>
    <cellStyle name="AggOrangeRBorder 4 2 2 47" xfId="22631" xr:uid="{2F405831-523D-4A28-B856-D5A9376C0B0C}"/>
    <cellStyle name="AggOrangeRBorder 4 2 2 48" xfId="22951" xr:uid="{672CCCB5-0341-46A5-90CD-25A158E0C42D}"/>
    <cellStyle name="AggOrangeRBorder 4 2 2 49" xfId="24006" xr:uid="{312BADB9-B74A-402B-82C2-C3B269D63FD1}"/>
    <cellStyle name="AggOrangeRBorder 4 2 2 5" xfId="1829" xr:uid="{41E72E4F-A2AD-4218-8088-5D8CC205531A}"/>
    <cellStyle name="AggOrangeRBorder 4 2 2 50" xfId="24914" xr:uid="{E3878F4C-A92E-4DCB-8C56-7D8A07493D45}"/>
    <cellStyle name="AggOrangeRBorder 4 2 2 51" xfId="24189" xr:uid="{B65CDEAD-3171-4606-BE75-441227F12C70}"/>
    <cellStyle name="AggOrangeRBorder 4 2 2 52" xfId="25830" xr:uid="{77880E0E-EFA6-4AD2-AE37-B690D7EC5058}"/>
    <cellStyle name="AggOrangeRBorder 4 2 2 53" xfId="25251" xr:uid="{4F833A13-EE0E-42AD-8FDF-066408D368E4}"/>
    <cellStyle name="AggOrangeRBorder 4 2 2 54" xfId="26665" xr:uid="{CF9834A8-4490-406F-9269-FED4D6AC0FEA}"/>
    <cellStyle name="AggOrangeRBorder 4 2 2 55" xfId="27118" xr:uid="{4FC33A07-080A-4548-A5A4-E394B58F14BE}"/>
    <cellStyle name="AggOrangeRBorder 4 2 2 56" xfId="27537" xr:uid="{F0858CD2-9CC0-4873-859D-553D8CBB28AA}"/>
    <cellStyle name="AggOrangeRBorder 4 2 2 57" xfId="26765" xr:uid="{28EABD9C-C57F-4A77-A551-1A2393F69E9A}"/>
    <cellStyle name="AggOrangeRBorder 4 2 2 58" xfId="28664" xr:uid="{67E99B95-8BFE-4089-BE3B-7C126D97069B}"/>
    <cellStyle name="AggOrangeRBorder 4 2 2 59" xfId="29131" xr:uid="{8D276953-BCE6-4EA7-A4C0-3CE62FD6A944}"/>
    <cellStyle name="AggOrangeRBorder 4 2 2 6" xfId="2985" xr:uid="{7047C487-8663-426F-9D81-651EE550B0EE}"/>
    <cellStyle name="AggOrangeRBorder 4 2 2 60" xfId="27925" xr:uid="{EED29715-6479-4719-AB4C-5D53AE539626}"/>
    <cellStyle name="AggOrangeRBorder 4 2 2 61" xfId="29920" xr:uid="{A3259CA3-380C-4FF0-82BC-24AB9F0C100F}"/>
    <cellStyle name="AggOrangeRBorder 4 2 2 62" xfId="30326" xr:uid="{1F428D0C-65D7-4E2A-BDD4-A7407E3703E9}"/>
    <cellStyle name="AggOrangeRBorder 4 2 2 63" xfId="30743" xr:uid="{5DBAB869-7D0D-4D6B-9108-8355B4FA4C0B}"/>
    <cellStyle name="AggOrangeRBorder 4 2 2 64" xfId="30886" xr:uid="{D010AAC1-F8CE-4C00-8B83-E7FE48E65DE7}"/>
    <cellStyle name="AggOrangeRBorder 4 2 2 65" xfId="31359" xr:uid="{01BB20DF-C9F8-4442-8933-D5A003C8B092}"/>
    <cellStyle name="AggOrangeRBorder 4 2 2 66" xfId="32050" xr:uid="{FB82E4EA-DB52-463E-9AC1-F3D9F7DD699C}"/>
    <cellStyle name="AggOrangeRBorder 4 2 2 67" xfId="31433" xr:uid="{E2F83CAA-F167-4E89-91B7-2D3E80EA4ACE}"/>
    <cellStyle name="AggOrangeRBorder 4 2 2 7" xfId="4142" xr:uid="{A5F79F9C-702B-42CB-8267-882372A022EF}"/>
    <cellStyle name="AggOrangeRBorder 4 2 2 8" xfId="4579" xr:uid="{30F62323-0D84-4EF4-B9F5-B4E9769C202D}"/>
    <cellStyle name="AggOrangeRBorder 4 2 2 9" xfId="4715" xr:uid="{016BC0B9-4E78-4213-A5E5-D04B1C744AF5}"/>
    <cellStyle name="AggOrangeRBorder 4 2 20" xfId="10000" xr:uid="{3EE0992A-0958-4170-8FA2-EFAFA042DBC6}"/>
    <cellStyle name="AggOrangeRBorder 4 2 21" xfId="10425" xr:uid="{C05E5358-DF24-4286-9995-E55D8B454673}"/>
    <cellStyle name="AggOrangeRBorder 4 2 22" xfId="10571" xr:uid="{72C32AF8-9487-41D9-9DE1-91B9AF2DDAC9}"/>
    <cellStyle name="AggOrangeRBorder 4 2 23" xfId="10413" xr:uid="{0ACDD567-35BD-45CF-B471-0079624CCE0C}"/>
    <cellStyle name="AggOrangeRBorder 4 2 24" xfId="11962" xr:uid="{67286575-3F06-4CE1-92DA-1C38F7A1483D}"/>
    <cellStyle name="AggOrangeRBorder 4 2 25" xfId="12435" xr:uid="{4F469B70-198A-4222-AB01-E8FAE68498F9}"/>
    <cellStyle name="AggOrangeRBorder 4 2 26" xfId="12869" xr:uid="{4EBACD6C-B3B1-40E5-9546-60885D1B3A46}"/>
    <cellStyle name="AggOrangeRBorder 4 2 27" xfId="13306" xr:uid="{FEBCCD0B-3700-43CC-8BC9-7EB94B90BB4B}"/>
    <cellStyle name="AggOrangeRBorder 4 2 28" xfId="13681" xr:uid="{B16DEFAF-6990-40DF-8BD0-632B80141710}"/>
    <cellStyle name="AggOrangeRBorder 4 2 29" xfId="13948" xr:uid="{40DB2081-B9D3-4FBE-AB3D-DEF34EDC9CCF}"/>
    <cellStyle name="AggOrangeRBorder 4 2 3" xfId="1092" xr:uid="{5EF71910-E07C-474B-89FA-362FBAF0AC5E}"/>
    <cellStyle name="AggOrangeRBorder 4 2 30" xfId="13627" xr:uid="{F4FF7A49-0FF5-4DDA-94B1-28FD3891509B}"/>
    <cellStyle name="AggOrangeRBorder 4 2 31" xfId="15251" xr:uid="{F55A884D-227F-42F9-80B7-4B4587ADCEFA}"/>
    <cellStyle name="AggOrangeRBorder 4 2 32" xfId="14624" xr:uid="{0847B51D-8CF2-4C3A-B2A7-1EAE7EC34F3D}"/>
    <cellStyle name="AggOrangeRBorder 4 2 33" xfId="15855" xr:uid="{6DA451B5-D1EE-4650-9C35-70C8B93EA013}"/>
    <cellStyle name="AggOrangeRBorder 4 2 34" xfId="16654" xr:uid="{C83DACF9-6D47-45BA-B721-EE2D05EB80FD}"/>
    <cellStyle name="AggOrangeRBorder 4 2 35" xfId="17116" xr:uid="{CBCC07B3-E1D7-485D-946C-3915D68912F3}"/>
    <cellStyle name="AggOrangeRBorder 4 2 36" xfId="17563" xr:uid="{98F09453-60DC-45E1-AACE-9E1B51DF87C0}"/>
    <cellStyle name="AggOrangeRBorder 4 2 37" xfId="17971" xr:uid="{AC1FDC30-4F6E-4B4A-BC0F-D720309E7B4E}"/>
    <cellStyle name="AggOrangeRBorder 4 2 38" xfId="18472" xr:uid="{278CF7DB-5AFC-441F-9E10-25D28F7E98C8}"/>
    <cellStyle name="AggOrangeRBorder 4 2 39" xfId="17977" xr:uid="{A02B16D9-21F1-43C3-B4BD-7E0AADB5D7A0}"/>
    <cellStyle name="AggOrangeRBorder 4 2 4" xfId="1720" xr:uid="{EDE73353-5F9B-4D06-8A3C-B3E62FC0AB9A}"/>
    <cellStyle name="AggOrangeRBorder 4 2 40" xfId="17006" xr:uid="{17C4393F-646B-4F30-B782-BEA947D3E816}"/>
    <cellStyle name="AggOrangeRBorder 4 2 41" xfId="19991" xr:uid="{8CF8CF2E-BD98-4AEC-9185-90A718F10D29}"/>
    <cellStyle name="AggOrangeRBorder 4 2 42" xfId="20469" xr:uid="{25BCEB71-7F3E-4206-9C66-25F99E8FE1EC}"/>
    <cellStyle name="AggOrangeRBorder 4 2 43" xfId="20922" xr:uid="{E8B1699C-EAA4-4E72-AB41-F592E118D58F}"/>
    <cellStyle name="AggOrangeRBorder 4 2 44" xfId="21417" xr:uid="{86716B1E-0720-42CF-BAA9-AAF615E246F7}"/>
    <cellStyle name="AggOrangeRBorder 4 2 45" xfId="21851" xr:uid="{9480987D-B18B-40A3-BD68-1AD200BA02B5}"/>
    <cellStyle name="AggOrangeRBorder 4 2 46" xfId="22288" xr:uid="{2647E103-523C-421F-BA08-66E263123C1F}"/>
    <cellStyle name="AggOrangeRBorder 4 2 47" xfId="22680" xr:uid="{1C90C5F7-8F03-4A18-928F-DDA163383AD3}"/>
    <cellStyle name="AggOrangeRBorder 4 2 48" xfId="22584" xr:uid="{146CDAC1-6A81-4191-B349-D649E9E65298}"/>
    <cellStyle name="AggOrangeRBorder 4 2 49" xfId="23552" xr:uid="{9DDAF84C-F13C-422A-B1AC-E3F6D2540FF1}"/>
    <cellStyle name="AggOrangeRBorder 4 2 5" xfId="2431" xr:uid="{B4E1F5F6-AC80-4D92-9282-799F80D43711}"/>
    <cellStyle name="AggOrangeRBorder 4 2 50" xfId="23800" xr:uid="{7944CF90-980B-443E-9527-AB1A86205B17}"/>
    <cellStyle name="AggOrangeRBorder 4 2 51" xfId="24699" xr:uid="{DA6BC08C-84E7-41D5-B7B9-5FB2FD96D420}"/>
    <cellStyle name="AggOrangeRBorder 4 2 52" xfId="25177" xr:uid="{3B208B68-38E7-47DD-AA89-DBD75B1BE515}"/>
    <cellStyle name="AggOrangeRBorder 4 2 53" xfId="25617" xr:uid="{6818A104-3D47-40D6-A8B8-BD9EA074A1E0}"/>
    <cellStyle name="AggOrangeRBorder 4 2 54" xfId="25984" xr:uid="{A49DBE74-026D-4AB3-A26E-F8B7A8F72657}"/>
    <cellStyle name="AggOrangeRBorder 4 2 55" xfId="25493" xr:uid="{E1451902-4C38-4209-B197-D4617FDA6AB6}"/>
    <cellStyle name="AggOrangeRBorder 4 2 56" xfId="26907" xr:uid="{78012918-E2F4-4296-893E-BCC13007AF01}"/>
    <cellStyle name="AggOrangeRBorder 4 2 57" xfId="27326" xr:uid="{12ACA8A1-B0F4-4F64-9415-4A5430D6CE15}"/>
    <cellStyle name="AggOrangeRBorder 4 2 58" xfId="26514" xr:uid="{432BEB8E-7AEC-4B07-8667-78E101A6B02A}"/>
    <cellStyle name="AggOrangeRBorder 4 2 59" xfId="28449" xr:uid="{A0FD7F60-8D1D-45F6-9182-8280D787906A}"/>
    <cellStyle name="AggOrangeRBorder 4 2 6" xfId="2846" xr:uid="{F0A8A16F-D1B6-4499-A5CD-04E63C69C6DB}"/>
    <cellStyle name="AggOrangeRBorder 4 2 60" xfId="28917" xr:uid="{18568E70-5ABB-48C6-9D81-CEFC30FC7736}"/>
    <cellStyle name="AggOrangeRBorder 4 2 61" xfId="29324" xr:uid="{0B71D88B-D272-42BD-B5EC-FD2810243C71}"/>
    <cellStyle name="AggOrangeRBorder 4 2 62" xfId="29707" xr:uid="{F61C11A5-4F60-4AA1-BB7C-AEF99BBE0606}"/>
    <cellStyle name="AggOrangeRBorder 4 2 63" xfId="30115" xr:uid="{3C01FC58-48F2-4556-994D-78FBDFC51F52}"/>
    <cellStyle name="AggOrangeRBorder 4 2 64" xfId="30529" xr:uid="{7722BD1B-4852-4E3B-BE36-B8E21171841B}"/>
    <cellStyle name="AggOrangeRBorder 4 2 65" xfId="30986" xr:uid="{2B86D00A-2BFF-4B71-BC9C-B490D75C97F2}"/>
    <cellStyle name="AggOrangeRBorder 4 2 66" xfId="31153" xr:uid="{1C3B8971-3CB5-49E5-A2D1-C7758B04AB66}"/>
    <cellStyle name="AggOrangeRBorder 4 2 67" xfId="31839" xr:uid="{94611217-C524-4348-B780-93B431098873}"/>
    <cellStyle name="AggOrangeRBorder 4 2 68" xfId="32220" xr:uid="{A99170A1-8AD2-47C8-B884-494F7843AB86}"/>
    <cellStyle name="AggOrangeRBorder 4 2 7" xfId="2872" xr:uid="{1DD27257-9FEC-459D-A501-96E97172498C}"/>
    <cellStyle name="AggOrangeRBorder 4 2 8" xfId="3927" xr:uid="{69FA96D2-AE81-47A5-AE1F-F6A11C16444D}"/>
    <cellStyle name="AggOrangeRBorder 4 2 9" xfId="4365" xr:uid="{C6467DC5-B5D2-42EA-92D2-6355F19633C8}"/>
    <cellStyle name="AggOrangeRBorder 4 20" xfId="8203" xr:uid="{3E191B4B-A107-450E-9B10-CE1A836981D0}"/>
    <cellStyle name="AggOrangeRBorder 4 21" xfId="8894" xr:uid="{378C52EB-97C4-45F7-BCEE-C0AAF079D8E0}"/>
    <cellStyle name="AggOrangeRBorder 4 22" xfId="9214" xr:uid="{7A47A513-DDAF-4FC3-8C29-6C7DD0A3E93A}"/>
    <cellStyle name="AggOrangeRBorder 4 23" xfId="9058" xr:uid="{3DECD84D-9D78-494E-B6B4-A95F951B1789}"/>
    <cellStyle name="AggOrangeRBorder 4 24" xfId="9132" xr:uid="{51A15711-9990-45A5-BC30-4EA07DE9AE38}"/>
    <cellStyle name="AggOrangeRBorder 4 25" xfId="10333" xr:uid="{E85DAF39-10CC-40C4-9B78-3A052D438E9D}"/>
    <cellStyle name="AggOrangeRBorder 4 26" xfId="10880" xr:uid="{859F433E-D031-4D14-8F94-5719A4B81B75}"/>
    <cellStyle name="AggOrangeRBorder 4 27" xfId="11626" xr:uid="{B285DB69-402F-4AF1-98BC-92C69618D656}"/>
    <cellStyle name="AggOrangeRBorder 4 28" xfId="11388" xr:uid="{168D8C30-84ED-40F0-8773-143515C44EF6}"/>
    <cellStyle name="AggOrangeRBorder 4 29" xfId="12052" xr:uid="{70F42CC0-8588-45C0-9532-F8DB965F9C00}"/>
    <cellStyle name="AggOrangeRBorder 4 3" xfId="642" xr:uid="{979957BC-1731-4B60-B2BD-8479884C19B4}"/>
    <cellStyle name="AggOrangeRBorder 4 3 10" xfId="4253" xr:uid="{30D7DEBB-9AAC-44FF-AD9E-47E78E8E7595}"/>
    <cellStyle name="AggOrangeRBorder 4 3 11" xfId="5290" xr:uid="{C97194BB-5BEA-4DAA-9EAC-E88F4A5940B5}"/>
    <cellStyle name="AggOrangeRBorder 4 3 12" xfId="4681" xr:uid="{9BD9B39A-0659-4EFD-BFB9-CFE88DBD22A1}"/>
    <cellStyle name="AggOrangeRBorder 4 3 13" xfId="5813" xr:uid="{10A66891-85F7-4EC5-8F1B-3AF47C01A50D}"/>
    <cellStyle name="AggOrangeRBorder 4 3 14" xfId="5849" xr:uid="{65BD8DF1-35C1-4746-9A61-0D9780E89C09}"/>
    <cellStyle name="AggOrangeRBorder 4 3 15" xfId="7362" xr:uid="{D7C5A570-6526-408A-B046-D61DC7FE9988}"/>
    <cellStyle name="AggOrangeRBorder 4 3 16" xfId="6813" xr:uid="{685F81FD-F2F8-4E38-87B3-73B8393792AE}"/>
    <cellStyle name="AggOrangeRBorder 4 3 17" xfId="7068" xr:uid="{24C261BF-7EF0-432F-9E36-D3C86BD9D862}"/>
    <cellStyle name="AggOrangeRBorder 4 3 18" xfId="7179" xr:uid="{60020C14-10D5-43FA-BA2F-0299B4334F6D}"/>
    <cellStyle name="AggOrangeRBorder 4 3 19" xfId="9576" xr:uid="{B869CC79-D9B0-4DCC-9819-B53072088FDC}"/>
    <cellStyle name="AggOrangeRBorder 4 3 2" xfId="857" xr:uid="{25BC6962-E630-4A00-BBDE-664B29EAEE56}"/>
    <cellStyle name="AggOrangeRBorder 4 3 2 10" xfId="5505" xr:uid="{C0EE4281-A5FA-452A-9A48-22ED718D610E}"/>
    <cellStyle name="AggOrangeRBorder 4 3 2 11" xfId="5962" xr:uid="{DE84AC66-6740-46E1-87BC-056F027A061C}"/>
    <cellStyle name="AggOrangeRBorder 4 3 2 12" xfId="3130" xr:uid="{777FF6CF-70BD-4C8F-9868-D7393A9D9E12}"/>
    <cellStyle name="AggOrangeRBorder 4 3 2 13" xfId="3353" xr:uid="{0450411C-AC7F-4EC5-87D3-24AA05A62CB3}"/>
    <cellStyle name="AggOrangeRBorder 4 3 2 14" xfId="7577" xr:uid="{AA271ED5-4F4E-487F-8CB9-9104B233896D}"/>
    <cellStyle name="AggOrangeRBorder 4 3 2 15" xfId="7110" xr:uid="{B6F57F0A-1B88-4939-A857-67749E495645}"/>
    <cellStyle name="AggOrangeRBorder 4 3 2 16" xfId="7047" xr:uid="{F54E032E-7143-43E0-9FF1-8302D2C39E45}"/>
    <cellStyle name="AggOrangeRBorder 4 3 2 17" xfId="8253" xr:uid="{3E311E34-BF46-4B1E-95E9-825E80F8EE81}"/>
    <cellStyle name="AggOrangeRBorder 4 3 2 18" xfId="9791" xr:uid="{42CA9443-F0FC-4D3E-92EE-1C43E22558F4}"/>
    <cellStyle name="AggOrangeRBorder 4 3 2 19" xfId="9196" xr:uid="{AA1F2676-CB50-48EE-AFA9-C7F70E72F291}"/>
    <cellStyle name="AggOrangeRBorder 4 3 2 2" xfId="1331" xr:uid="{4179E7FA-33EF-4AD8-926E-5159876FE55C}"/>
    <cellStyle name="AggOrangeRBorder 4 3 2 20" xfId="9958" xr:uid="{4E24DB6B-10D7-4BCA-945B-C7117AF5E16A}"/>
    <cellStyle name="AggOrangeRBorder 4 3 2 21" xfId="9158" xr:uid="{2043CA1E-AB4E-41A4-BB8F-F7488A812BF8}"/>
    <cellStyle name="AggOrangeRBorder 4 3 2 22" xfId="11090" xr:uid="{24A30A32-F88B-47D3-8EC8-045A540FF9CC}"/>
    <cellStyle name="AggOrangeRBorder 4 3 2 23" xfId="12210" xr:uid="{23A83442-E587-46A1-ABA6-281930E4D133}"/>
    <cellStyle name="AggOrangeRBorder 4 3 2 24" xfId="12683" xr:uid="{AC3E4125-522E-4CF3-A80A-7F3BD4F5B59D}"/>
    <cellStyle name="AggOrangeRBorder 4 3 2 25" xfId="13117" xr:uid="{C8C3C6D7-8EC8-4734-8896-58BA64AB1E1D}"/>
    <cellStyle name="AggOrangeRBorder 4 3 2 26" xfId="13554" xr:uid="{C86448F3-9A9F-4072-9AC8-5CCC6A21609F}"/>
    <cellStyle name="AggOrangeRBorder 4 3 2 27" xfId="11760" xr:uid="{D5A89E19-72B5-45D3-9276-8FE69ED81CE6}"/>
    <cellStyle name="AggOrangeRBorder 4 3 2 28" xfId="14473" xr:uid="{0C5AF9DA-9607-4EEE-A132-89A43AAAAB79}"/>
    <cellStyle name="AggOrangeRBorder 4 3 2 29" xfId="13199" xr:uid="{1BBB3756-2BA9-44EE-8C3D-19A70A24F945}"/>
    <cellStyle name="AggOrangeRBorder 4 3 2 3" xfId="1780" xr:uid="{81430185-BBAF-4114-890E-566473F2FE9B}"/>
    <cellStyle name="AggOrangeRBorder 4 3 2 30" xfId="14990" xr:uid="{D25C3508-EE58-42F3-AFD4-BF56B1623CEB}"/>
    <cellStyle name="AggOrangeRBorder 4 3 2 31" xfId="15201" xr:uid="{CB82BCAB-C7EC-4CAD-B99C-874BEAF2042F}"/>
    <cellStyle name="AggOrangeRBorder 4 3 2 32" xfId="15141" xr:uid="{075A79AB-5DA0-4096-A662-704F5A706434}"/>
    <cellStyle name="AggOrangeRBorder 4 3 2 33" xfId="16902" xr:uid="{2B8DF6A9-A125-4F71-B897-5CB0F94085A9}"/>
    <cellStyle name="AggOrangeRBorder 4 3 2 34" xfId="16432" xr:uid="{9837B42A-7FBE-45CC-B61A-969C788A6343}"/>
    <cellStyle name="AggOrangeRBorder 4 3 2 35" xfId="16974" xr:uid="{4376BEA1-FD17-4978-B4D1-EDCA6CB6AB95}"/>
    <cellStyle name="AggOrangeRBorder 4 3 2 36" xfId="17676" xr:uid="{F70219C4-77F7-4BA5-A720-6BADD592FE73}"/>
    <cellStyle name="AggOrangeRBorder 4 3 2 37" xfId="18720" xr:uid="{E8E4EC1C-82AC-44C7-B10F-490A9861B9DE}"/>
    <cellStyle name="AggOrangeRBorder 4 3 2 38" xfId="17207" xr:uid="{C89BA667-BD09-4191-825F-9D05186242ED}"/>
    <cellStyle name="AggOrangeRBorder 4 3 2 39" xfId="19093" xr:uid="{646E5A7F-B94C-430B-8F46-7A1ED8D0ADAD}"/>
    <cellStyle name="AggOrangeRBorder 4 3 2 4" xfId="2679" xr:uid="{B7800A64-2D1C-4D0F-BAD0-B85E9EBC0447}"/>
    <cellStyle name="AggOrangeRBorder 4 3 2 40" xfId="20239" xr:uid="{185DDEDF-CDB3-4D24-BDDD-E04D0A000068}"/>
    <cellStyle name="AggOrangeRBorder 4 3 2 41" xfId="19764" xr:uid="{EC0AE230-11F2-4763-AE15-235EE97BF206}"/>
    <cellStyle name="AggOrangeRBorder 4 3 2 42" xfId="19838" xr:uid="{7E3B7B39-CEDD-4101-A7FC-5C351CBF47B0}"/>
    <cellStyle name="AggOrangeRBorder 4 3 2 43" xfId="20779" xr:uid="{33743030-D2A8-4E41-A637-1ED331C514C5}"/>
    <cellStyle name="AggOrangeRBorder 4 3 2 44" xfId="20948" xr:uid="{68DD87B9-0D4F-4B06-A200-5073154D557F}"/>
    <cellStyle name="AggOrangeRBorder 4 3 2 45" xfId="21720" xr:uid="{9D79B307-187F-40BF-83A1-BC0331C0F717}"/>
    <cellStyle name="AggOrangeRBorder 4 3 2 46" xfId="21322" xr:uid="{6FB347A3-6147-4432-9BA9-E770024AE4C6}"/>
    <cellStyle name="AggOrangeRBorder 4 3 2 47" xfId="22918" xr:uid="{70B74F50-D351-486F-902F-C146BEE91CDB}"/>
    <cellStyle name="AggOrangeRBorder 4 3 2 48" xfId="22914" xr:uid="{11602937-54C9-4E6B-B479-EBCD687168D3}"/>
    <cellStyle name="AggOrangeRBorder 4 3 2 49" xfId="24039" xr:uid="{2C853ED9-EE32-4702-9E56-94DF17EF8E03}"/>
    <cellStyle name="AggOrangeRBorder 4 3 2 5" xfId="2522" xr:uid="{F01AC936-9282-4B37-9E7F-C8B369FCF5E1}"/>
    <cellStyle name="AggOrangeRBorder 4 3 2 50" xfId="24947" xr:uid="{2B0422EB-5636-4F37-AA79-C9F0D9C082BB}"/>
    <cellStyle name="AggOrangeRBorder 4 3 2 51" xfId="24309" xr:uid="{7C26CB68-D58B-4423-8279-3D521DA90A4C}"/>
    <cellStyle name="AggOrangeRBorder 4 3 2 52" xfId="25863" xr:uid="{A832B81A-F895-436A-BB36-8421889886CC}"/>
    <cellStyle name="AggOrangeRBorder 4 3 2 53" xfId="24457" xr:uid="{E37D549B-6795-49BD-BBE2-AB1BB05683D2}"/>
    <cellStyle name="AggOrangeRBorder 4 3 2 54" xfId="26730" xr:uid="{DD3E1E07-B242-4A04-8BDB-BE119E802FC4}"/>
    <cellStyle name="AggOrangeRBorder 4 3 2 55" xfId="27151" xr:uid="{99B66DAC-AEF5-4C42-AA58-E9C38EDB43A8}"/>
    <cellStyle name="AggOrangeRBorder 4 3 2 56" xfId="27570" xr:uid="{CFF76C40-A809-4D6D-A99E-A0400E28E10A}"/>
    <cellStyle name="AggOrangeRBorder 4 3 2 57" xfId="27214" xr:uid="{CD4D2C36-0DAB-4B56-A14B-C2FD569C2F6C}"/>
    <cellStyle name="AggOrangeRBorder 4 3 2 58" xfId="28697" xr:uid="{3094B9DE-C792-4082-AEA5-AB4E785572FA}"/>
    <cellStyle name="AggOrangeRBorder 4 3 2 59" xfId="29164" xr:uid="{DE6CB85D-F9C6-4B2A-869E-2A9500A239DA}"/>
    <cellStyle name="AggOrangeRBorder 4 3 2 6" xfId="3683" xr:uid="{B74FC670-EC67-4741-BB94-AFF987A4CC9B}"/>
    <cellStyle name="AggOrangeRBorder 4 3 2 60" xfId="28196" xr:uid="{4F6BB041-A908-482A-B8EF-A662477401BC}"/>
    <cellStyle name="AggOrangeRBorder 4 3 2 61" xfId="29953" xr:uid="{BED58673-95B9-4763-803A-E2C0CEB46ABC}"/>
    <cellStyle name="AggOrangeRBorder 4 3 2 62" xfId="30359" xr:uid="{98A31E20-D8F9-4B19-830F-85846217E384}"/>
    <cellStyle name="AggOrangeRBorder 4 3 2 63" xfId="30776" xr:uid="{E6D6388F-5680-4A1E-8A78-B52FB1473471}"/>
    <cellStyle name="AggOrangeRBorder 4 3 2 64" xfId="29999" xr:uid="{0DCA2A58-CCA3-485F-BFDB-16E0B00DF8CD}"/>
    <cellStyle name="AggOrangeRBorder 4 3 2 65" xfId="31392" xr:uid="{41381E54-D595-4370-9B42-A83BC5F33A82}"/>
    <cellStyle name="AggOrangeRBorder 4 3 2 66" xfId="32083" xr:uid="{93EC68A8-3C13-4AA5-9EC9-C184A9EDE8F7}"/>
    <cellStyle name="AggOrangeRBorder 4 3 2 67" xfId="32189" xr:uid="{70593326-382C-401D-BDF9-7A1372BFA159}"/>
    <cellStyle name="AggOrangeRBorder 4 3 2 7" xfId="4175" xr:uid="{E04D7C48-1AD2-4CF2-B340-D4D927F92F5E}"/>
    <cellStyle name="AggOrangeRBorder 4 3 2 8" xfId="4612" xr:uid="{05E5F0FC-A9B7-46E5-973F-4B4A8B8CE6B5}"/>
    <cellStyle name="AggOrangeRBorder 4 3 2 9" xfId="5058" xr:uid="{9BBAB094-BE23-474B-AEEA-6E88C3DA62AD}"/>
    <cellStyle name="AggOrangeRBorder 4 3 20" xfId="8971" xr:uid="{4BF2B75E-0440-4A90-83BC-1829208FF30F}"/>
    <cellStyle name="AggOrangeRBorder 4 3 21" xfId="10030" xr:uid="{24D03A7A-3BA1-41F3-9AB0-2DC8992E0AA7}"/>
    <cellStyle name="AggOrangeRBorder 4 3 22" xfId="10442" xr:uid="{5816EF87-25A1-425B-811C-0A6C55D03D81}"/>
    <cellStyle name="AggOrangeRBorder 4 3 23" xfId="10342" xr:uid="{78F94851-D428-49FF-A085-22589CE2CCC1}"/>
    <cellStyle name="AggOrangeRBorder 4 3 24" xfId="11995" xr:uid="{A8DCBD3E-1E39-4BC5-8EAC-0A2DD2F03F5A}"/>
    <cellStyle name="AggOrangeRBorder 4 3 25" xfId="12468" xr:uid="{07982F85-0F16-4135-A86E-20D34EA0EDE7}"/>
    <cellStyle name="AggOrangeRBorder 4 3 26" xfId="12902" xr:uid="{8BF664B4-5C7E-4777-9581-2907E2BE3696}"/>
    <cellStyle name="AggOrangeRBorder 4 3 27" xfId="13339" xr:uid="{C252EFA1-A357-471F-90FE-4A74D448194B}"/>
    <cellStyle name="AggOrangeRBorder 4 3 28" xfId="12757" xr:uid="{A7969E2C-0E1B-4724-AD76-2D0F66A884DD}"/>
    <cellStyle name="AggOrangeRBorder 4 3 29" xfId="14363" xr:uid="{C42F1EFE-17F7-4413-AA21-AE59B289027E}"/>
    <cellStyle name="AggOrangeRBorder 4 3 3" xfId="1125" xr:uid="{ADC6DC5C-E347-46C1-8108-94B28ADC53E2}"/>
    <cellStyle name="AggOrangeRBorder 4 3 30" xfId="14889" xr:uid="{AE54A5FB-1A5C-4003-A41F-C265624A111B}"/>
    <cellStyle name="AggOrangeRBorder 4 3 31" xfId="14463" xr:uid="{A9F60255-60C9-4716-B747-3E343F930CBB}"/>
    <cellStyle name="AggOrangeRBorder 4 3 32" xfId="15294" xr:uid="{65CCAFFE-7F93-4EB9-A62B-12560335C11E}"/>
    <cellStyle name="AggOrangeRBorder 4 3 33" xfId="15681" xr:uid="{521F8BD6-DB66-46EA-B1F1-0B1028DBFF15}"/>
    <cellStyle name="AggOrangeRBorder 4 3 34" xfId="16687" xr:uid="{F0C6D59E-D404-424C-B483-901D0F2AC3C4}"/>
    <cellStyle name="AggOrangeRBorder 4 3 35" xfId="16124" xr:uid="{497E6668-C72E-400B-8839-74087EDCA269}"/>
    <cellStyle name="AggOrangeRBorder 4 3 36" xfId="16400" xr:uid="{48980599-01BF-444D-B8E3-9F11D5BE6303}"/>
    <cellStyle name="AggOrangeRBorder 4 3 37" xfId="18016" xr:uid="{D48A7C63-5E0F-4BF8-A72A-40195EF39FF0}"/>
    <cellStyle name="AggOrangeRBorder 4 3 38" xfId="18505" xr:uid="{32B82E1A-F88F-46A5-8C84-DAAE6949B251}"/>
    <cellStyle name="AggOrangeRBorder 4 3 39" xfId="17238" xr:uid="{DF7C068E-DBF4-4FE4-85D2-B6F6F8D98E7F}"/>
    <cellStyle name="AggOrangeRBorder 4 3 4" xfId="1726" xr:uid="{DF88758E-E7D7-466A-8746-4C384F1A6788}"/>
    <cellStyle name="AggOrangeRBorder 4 3 40" xfId="18878" xr:uid="{7469858E-3FB1-4A4D-B806-59C551F44763}"/>
    <cellStyle name="AggOrangeRBorder 4 3 41" xfId="20024" xr:uid="{B684F962-4D55-4555-81CC-3E5ABAE2DAFE}"/>
    <cellStyle name="AggOrangeRBorder 4 3 42" xfId="19503" xr:uid="{E3F1EE2A-82A4-48A8-BF71-B8E0B2A5D70D}"/>
    <cellStyle name="AggOrangeRBorder 4 3 43" xfId="20652" xr:uid="{3648961E-7D1D-47DC-B8BB-9B65462B84AA}"/>
    <cellStyle name="AggOrangeRBorder 4 3 44" xfId="20817" xr:uid="{753FE35F-C935-4459-964B-5282D4176E37}"/>
    <cellStyle name="AggOrangeRBorder 4 3 45" xfId="21517" xr:uid="{72D94818-13AB-47C3-92F6-31A037A1A20D}"/>
    <cellStyle name="AggOrangeRBorder 4 3 46" xfId="20981" xr:uid="{C3BDB763-7B2E-47A6-820C-3ABAEE8D476D}"/>
    <cellStyle name="AggOrangeRBorder 4 3 47" xfId="21394" xr:uid="{2B1C20F4-FB1F-4F12-83E6-3E8CCA5EE114}"/>
    <cellStyle name="AggOrangeRBorder 4 3 48" xfId="22673" xr:uid="{1D48DEDD-F204-474F-B3BD-EB5AA23A0E92}"/>
    <cellStyle name="AggOrangeRBorder 4 3 49" xfId="23130" xr:uid="{B7B1AD9D-210A-4285-BA85-54EDF5BEB62A}"/>
    <cellStyle name="AggOrangeRBorder 4 3 5" xfId="2464" xr:uid="{EBDC2F90-A06A-4C9E-80A4-6DE15113E68A}"/>
    <cellStyle name="AggOrangeRBorder 4 3 50" xfId="23833" xr:uid="{03FA691E-55E5-433D-99E1-316D5F0F0F92}"/>
    <cellStyle name="AggOrangeRBorder 4 3 51" xfId="24732" xr:uid="{CE1FBE36-94C2-4390-9B0B-75B252040E9C}"/>
    <cellStyle name="AggOrangeRBorder 4 3 52" xfId="24125" xr:uid="{D6A8ED34-A520-415A-97D2-14F030C351C8}"/>
    <cellStyle name="AggOrangeRBorder 4 3 53" xfId="25650" xr:uid="{1A0D65B2-81E8-4027-8C40-C7A51DD676DA}"/>
    <cellStyle name="AggOrangeRBorder 4 3 54" xfId="25899" xr:uid="{277E49D2-AC4E-4083-8690-6AF4939EFD6C}"/>
    <cellStyle name="AggOrangeRBorder 4 3 55" xfId="26696" xr:uid="{D1FD335F-3221-44B1-93C0-410747F08CAF}"/>
    <cellStyle name="AggOrangeRBorder 4 3 56" xfId="26940" xr:uid="{FDD60DC3-6969-43B6-B469-1AF6C04FBE6C}"/>
    <cellStyle name="AggOrangeRBorder 4 3 57" xfId="27359" xr:uid="{9702B5FA-9E56-497D-A444-7A4DA11A0406}"/>
    <cellStyle name="AggOrangeRBorder 4 3 58" xfId="27656" xr:uid="{731BC0F8-6208-4CF8-AF4E-F203EBE6202C}"/>
    <cellStyle name="AggOrangeRBorder 4 3 59" xfId="28482" xr:uid="{D6DD0C08-B1C2-420E-BBC5-949536C0AD70}"/>
    <cellStyle name="AggOrangeRBorder 4 3 6" xfId="2174" xr:uid="{A61313D1-B337-42CA-8061-519B4BBCD929}"/>
    <cellStyle name="AggOrangeRBorder 4 3 60" xfId="28950" xr:uid="{372533AD-A2C7-4450-9225-31ED935CBD07}"/>
    <cellStyle name="AggOrangeRBorder 4 3 61" xfId="28816" xr:uid="{23B15456-1AD3-4247-951A-7B89033BB280}"/>
    <cellStyle name="AggOrangeRBorder 4 3 62" xfId="29740" xr:uid="{E39C5112-7C7A-4F55-9895-B3DC2404BA6A}"/>
    <cellStyle name="AggOrangeRBorder 4 3 63" xfId="30148" xr:uid="{5CA802C1-48BD-483D-B755-962DE123B8F8}"/>
    <cellStyle name="AggOrangeRBorder 4 3 64" xfId="30562" xr:uid="{5D10FFBA-62B8-424D-8EA6-4DBC2EA9378B}"/>
    <cellStyle name="AggOrangeRBorder 4 3 65" xfId="28298" xr:uid="{C329C3D6-49D7-45AE-8BA9-1AA0EFD27D33}"/>
    <cellStyle name="AggOrangeRBorder 4 3 66" xfId="31186" xr:uid="{1811CE64-EE26-4A80-A505-25A97CA4C439}"/>
    <cellStyle name="AggOrangeRBorder 4 3 67" xfId="31872" xr:uid="{71CA4651-5F2A-4A61-A7B2-A6D338B00091}"/>
    <cellStyle name="AggOrangeRBorder 4 3 68" xfId="32190" xr:uid="{DD18AD60-0092-4375-84F3-D425C6B0AAE9}"/>
    <cellStyle name="AggOrangeRBorder 4 3 7" xfId="3111" xr:uid="{8F44FADA-919C-424D-B638-FF2795E4DD07}"/>
    <cellStyle name="AggOrangeRBorder 4 3 8" xfId="3960" xr:uid="{5ED2B127-7C47-4125-A82B-24C0A11F71E1}"/>
    <cellStyle name="AggOrangeRBorder 4 3 9" xfId="4398" xr:uid="{7C7C5CD8-404E-4260-8B1E-1611245A88E4}"/>
    <cellStyle name="AggOrangeRBorder 4 30" xfId="11473" xr:uid="{93FEBCB9-26BA-413E-BA36-085ED093ED10}"/>
    <cellStyle name="AggOrangeRBorder 4 31" xfId="11606" xr:uid="{04613BD0-2A44-417C-8A67-FBD5E266A7A6}"/>
    <cellStyle name="AggOrangeRBorder 4 32" xfId="13955" xr:uid="{BBA86742-985D-4441-A50C-9295DD6F2548}"/>
    <cellStyle name="AggOrangeRBorder 4 33" xfId="14378" xr:uid="{745048CC-2219-4461-99E1-A429AF7C2D98}"/>
    <cellStyle name="AggOrangeRBorder 4 34" xfId="15229" xr:uid="{6C5AB705-927A-4A68-8313-8F732B95682A}"/>
    <cellStyle name="AggOrangeRBorder 4 35" xfId="15481" xr:uid="{D9F4290E-40C1-41A2-86E5-2CF89F7DABB0}"/>
    <cellStyle name="AggOrangeRBorder 4 36" xfId="15620" xr:uid="{D1D19E2F-232B-4908-9866-CB790C2FD572}"/>
    <cellStyle name="AggOrangeRBorder 4 37" xfId="16321" xr:uid="{54CF7F91-DDF1-4EB5-9809-FD0F8EF91EAC}"/>
    <cellStyle name="AggOrangeRBorder 4 38" xfId="16402" xr:uid="{670746AA-6A8B-4149-BF70-A7567B57A9C4}"/>
    <cellStyle name="AggOrangeRBorder 4 39" xfId="16206" xr:uid="{8CB40752-7ABF-4D38-8C6B-B10652E4A317}"/>
    <cellStyle name="AggOrangeRBorder 4 4" xfId="663" xr:uid="{809B3B98-1CF3-4DC7-AD39-B70D30A7BBAC}"/>
    <cellStyle name="AggOrangeRBorder 4 4 10" xfId="4712" xr:uid="{D14DCA0B-E01D-4D63-8FB9-0E3891C6FF78}"/>
    <cellStyle name="AggOrangeRBorder 4 4 11" xfId="5311" xr:uid="{162E50A4-E8CD-4B25-82B6-375CB36125AC}"/>
    <cellStyle name="AggOrangeRBorder 4 4 12" xfId="4852" xr:uid="{6012C380-5F58-4344-841A-9F91D0C0B207}"/>
    <cellStyle name="AggOrangeRBorder 4 4 13" xfId="5928" xr:uid="{BE8EEDA2-3A28-4B36-A2F7-9BBBD611E0A6}"/>
    <cellStyle name="AggOrangeRBorder 4 4 14" xfId="4721" xr:uid="{AD7E68AD-7E01-4FA4-A61D-BF11952E30CE}"/>
    <cellStyle name="AggOrangeRBorder 4 4 15" xfId="7383" xr:uid="{B58DEB93-BC09-475F-BC6B-2BD90D66446D}"/>
    <cellStyle name="AggOrangeRBorder 4 4 16" xfId="6857" xr:uid="{8DBAEF00-5D30-4006-829A-05E4A978ACCB}"/>
    <cellStyle name="AggOrangeRBorder 4 4 17" xfId="8232" xr:uid="{36F9D7BC-C041-4A6A-B360-F99161F32117}"/>
    <cellStyle name="AggOrangeRBorder 4 4 18" xfId="8192" xr:uid="{01816E52-2382-4B2A-8C38-B8B28E681ADE}"/>
    <cellStyle name="AggOrangeRBorder 4 4 19" xfId="9597" xr:uid="{1DF054E5-4F34-4BC6-997F-62FD9130C140}"/>
    <cellStyle name="AggOrangeRBorder 4 4 2" xfId="878" xr:uid="{90D615DA-B824-4F28-8E60-4E4BAE5D7F1E}"/>
    <cellStyle name="AggOrangeRBorder 4 4 2 10" xfId="5526" xr:uid="{36A4B0A8-D19E-4E98-8500-2F3B651A98F4}"/>
    <cellStyle name="AggOrangeRBorder 4 4 2 11" xfId="6020" xr:uid="{52C41391-A181-46BF-81DE-387769D390CA}"/>
    <cellStyle name="AggOrangeRBorder 4 4 2 12" xfId="6379" xr:uid="{F288A37B-DD80-4EF7-99FE-5E29FF934E17}"/>
    <cellStyle name="AggOrangeRBorder 4 4 2 13" xfId="6717" xr:uid="{A747039E-2DF2-4BAF-942B-6D957E76EECC}"/>
    <cellStyle name="AggOrangeRBorder 4 4 2 14" xfId="7598" xr:uid="{5C3C0A73-1CE4-4596-B9FF-198B92B06B4B}"/>
    <cellStyle name="AggOrangeRBorder 4 4 2 15" xfId="8062" xr:uid="{10350F7E-8761-4553-8676-A4B1FADA36FB}"/>
    <cellStyle name="AggOrangeRBorder 4 4 2 16" xfId="8671" xr:uid="{4EF56541-88DC-401E-9B64-F068B7D06620}"/>
    <cellStyle name="AggOrangeRBorder 4 4 2 17" xfId="8930" xr:uid="{0F00AA9B-BC7F-4685-9ED5-6F5525959EA9}"/>
    <cellStyle name="AggOrangeRBorder 4 4 2 18" xfId="9812" xr:uid="{C8FAF95D-C06A-431C-8803-C54E61EDD6BF}"/>
    <cellStyle name="AggOrangeRBorder 4 4 2 19" xfId="10281" xr:uid="{F520897E-2D22-4D90-9FCF-88300592E307}"/>
    <cellStyle name="AggOrangeRBorder 4 4 2 2" xfId="1352" xr:uid="{6615327B-7702-4071-B8C9-A63A2767A4B7}"/>
    <cellStyle name="AggOrangeRBorder 4 4 2 20" xfId="10675" xr:uid="{DA60FEEF-BC19-4D19-BE2A-65537D31EC4B}"/>
    <cellStyle name="AggOrangeRBorder 4 4 2 21" xfId="11024" xr:uid="{C0F0219D-79BF-46B2-92A0-904CA8067884}"/>
    <cellStyle name="AggOrangeRBorder 4 4 2 22" xfId="11334" xr:uid="{4767F9EC-1B05-4F16-939E-2F478539E4B1}"/>
    <cellStyle name="AggOrangeRBorder 4 4 2 23" xfId="12231" xr:uid="{9644186B-E87E-4F73-8CAC-4ECA4BB3A672}"/>
    <cellStyle name="AggOrangeRBorder 4 4 2 24" xfId="12704" xr:uid="{1176DD23-B5A7-40C6-A9AC-75A3DBB0B8D3}"/>
    <cellStyle name="AggOrangeRBorder 4 4 2 25" xfId="13138" xr:uid="{EA0374B1-BE60-430D-B1BD-F6A243920609}"/>
    <cellStyle name="AggOrangeRBorder 4 4 2 26" xfId="13575" xr:uid="{70F8D6E0-299F-42BF-9CB4-522DF307AF94}"/>
    <cellStyle name="AggOrangeRBorder 4 4 2 27" xfId="14047" xr:uid="{D3301ADD-95ED-4D3B-9A26-1C90692EC5B5}"/>
    <cellStyle name="AggOrangeRBorder 4 4 2 28" xfId="14494" xr:uid="{247A628D-C6A6-4BE4-81DD-5D2B2854B513}"/>
    <cellStyle name="AggOrangeRBorder 4 4 2 29" xfId="14928" xr:uid="{D33660D0-D2F8-4CA7-A062-6EA67F0907B0}"/>
    <cellStyle name="AggOrangeRBorder 4 4 2 3" xfId="1801" xr:uid="{85479EEE-8B5A-4EFA-B4BA-E0404B21662A}"/>
    <cellStyle name="AggOrangeRBorder 4 4 2 30" xfId="15398" xr:uid="{4DE89CB0-15E2-4F23-8993-06AEAE6C7DAE}"/>
    <cellStyle name="AggOrangeRBorder 4 4 2 31" xfId="15788" xr:uid="{33564512-04D5-4652-B6A8-F4B24B9EB9E3}"/>
    <cellStyle name="AggOrangeRBorder 4 4 2 32" xfId="16010" xr:uid="{8F56C6DA-F392-4076-AEFF-81EF47801D55}"/>
    <cellStyle name="AggOrangeRBorder 4 4 2 33" xfId="16923" xr:uid="{87BA2564-BA73-40D8-84B7-DDB4B1DC258B}"/>
    <cellStyle name="AggOrangeRBorder 4 4 2 34" xfId="17404" xr:uid="{3CBF73CF-5757-4006-93C8-BDB6CFAD544F}"/>
    <cellStyle name="AggOrangeRBorder 4 4 2 35" xfId="17845" xr:uid="{E01581B2-2310-497A-8340-5D9CF3CCB0DF}"/>
    <cellStyle name="AggOrangeRBorder 4 4 2 36" xfId="18320" xr:uid="{38C8260B-7AFC-4EED-8008-840495E19C2A}"/>
    <cellStyle name="AggOrangeRBorder 4 4 2 37" xfId="18741" xr:uid="{EDB7E7A4-27F3-4209-AF7F-EB56110EE511}"/>
    <cellStyle name="AggOrangeRBorder 4 4 2 38" xfId="19128" xr:uid="{E4851F5F-0FBA-4E49-AEA7-8BA4D1A642A9}"/>
    <cellStyle name="AggOrangeRBorder 4 4 2 39" xfId="19358" xr:uid="{B2DA815F-8FB8-4501-8868-98A82C41C7A4}"/>
    <cellStyle name="AggOrangeRBorder 4 4 2 4" xfId="2700" xr:uid="{9393471C-A00A-435E-A278-EFAC656518C3}"/>
    <cellStyle name="AggOrangeRBorder 4 4 2 40" xfId="20260" xr:uid="{91535E05-44EB-4A76-8D5A-4A2C3CFC88A0}"/>
    <cellStyle name="AggOrangeRBorder 4 4 2 41" xfId="20753" xr:uid="{5F8D8661-2643-4C89-B7D1-320485193FF6}"/>
    <cellStyle name="AggOrangeRBorder 4 4 2 42" xfId="21212" xr:uid="{479F251D-340A-4A5E-93B0-6357DFF33843}"/>
    <cellStyle name="AggOrangeRBorder 4 4 2 43" xfId="21704" xr:uid="{06A8CB12-6F1E-431E-9106-D52DA76A848A}"/>
    <cellStyle name="AggOrangeRBorder 4 4 2 44" xfId="22143" xr:uid="{C6FA5203-E803-4678-8C40-11423F39FC35}"/>
    <cellStyle name="AggOrangeRBorder 4 4 2 45" xfId="22570" xr:uid="{9F036641-E70B-4841-904B-DA56D2D3DCE3}"/>
    <cellStyle name="AggOrangeRBorder 4 4 2 46" xfId="23015" xr:uid="{0329D2F6-DA17-4267-948D-D4A82B19D86F}"/>
    <cellStyle name="AggOrangeRBorder 4 4 2 47" xfId="23417" xr:uid="{600668F1-A778-4C69-A729-237436245960}"/>
    <cellStyle name="AggOrangeRBorder 4 4 2 48" xfId="23680" xr:uid="{2BC2179B-40BD-4677-A7A6-B76EFCC5EEB4}"/>
    <cellStyle name="AggOrangeRBorder 4 4 2 49" xfId="24060" xr:uid="{B7E5E445-612D-407D-A0F0-031A6E63B87C}"/>
    <cellStyle name="AggOrangeRBorder 4 4 2 5" xfId="3220" xr:uid="{5B776C2C-67C4-4E48-8A6E-FB4108159F5B}"/>
    <cellStyle name="AggOrangeRBorder 4 4 2 50" xfId="24968" xr:uid="{5A8FFAA1-3E79-446D-94FD-E8F1DB9D6DFC}"/>
    <cellStyle name="AggOrangeRBorder 4 4 2 51" xfId="25456" xr:uid="{40AA1066-077C-4CF5-8E34-6BD335D02C1E}"/>
    <cellStyle name="AggOrangeRBorder 4 4 2 52" xfId="25884" xr:uid="{5B44F8B6-D540-417F-9719-C2A5BE177767}"/>
    <cellStyle name="AggOrangeRBorder 4 4 2 53" xfId="26322" xr:uid="{55AE4BC5-C24D-4EA7-B8D3-06704857FF7A}"/>
    <cellStyle name="AggOrangeRBorder 4 4 2 54" xfId="26751" xr:uid="{A262FB96-7786-4965-B052-5B47A4FB9351}"/>
    <cellStyle name="AggOrangeRBorder 4 4 2 55" xfId="27172" xr:uid="{55F32754-EC9B-4CB6-9ADE-060665478394}"/>
    <cellStyle name="AggOrangeRBorder 4 4 2 56" xfId="27591" xr:uid="{6C099926-17E8-4481-984F-2E82C9FD3389}"/>
    <cellStyle name="AggOrangeRBorder 4 4 2 57" xfId="27829" xr:uid="{74B305B1-3025-45E8-884F-10C822123F52}"/>
    <cellStyle name="AggOrangeRBorder 4 4 2 58" xfId="28718" xr:uid="{B025D16D-8C68-4E53-B45E-E829EF2C93B5}"/>
    <cellStyle name="AggOrangeRBorder 4 4 2 59" xfId="29185" xr:uid="{8D392EE8-8028-4A02-B913-5CA6E6B56332}"/>
    <cellStyle name="AggOrangeRBorder 4 4 2 6" xfId="3775" xr:uid="{44092B9A-B298-446A-AD38-32F32BCAB1E1}"/>
    <cellStyle name="AggOrangeRBorder 4 4 2 60" xfId="29567" xr:uid="{3CF7D1D9-E0F0-4E96-94B3-B2773D457B48}"/>
    <cellStyle name="AggOrangeRBorder 4 4 2 61" xfId="29974" xr:uid="{F9CE5C03-84E6-4D69-BAA3-73CA9AAB1FA2}"/>
    <cellStyle name="AggOrangeRBorder 4 4 2 62" xfId="30380" xr:uid="{A044AAAC-21D1-42B1-B976-5ED46BFEF017}"/>
    <cellStyle name="AggOrangeRBorder 4 4 2 63" xfId="30797" xr:uid="{06F585A1-5263-49F1-A097-3983F1033F12}"/>
    <cellStyle name="AggOrangeRBorder 4 4 2 64" xfId="31042" xr:uid="{B100FB32-F097-4DCA-B345-72EA19823A0E}"/>
    <cellStyle name="AggOrangeRBorder 4 4 2 65" xfId="31413" xr:uid="{03F37371-C1D4-4433-A5B4-5F73A52FDB5C}"/>
    <cellStyle name="AggOrangeRBorder 4 4 2 66" xfId="32104" xr:uid="{68F263D2-5EEA-495A-80FB-B28ADA276310}"/>
    <cellStyle name="AggOrangeRBorder 4 4 2 67" xfId="32391" xr:uid="{04A59F2A-8BE8-4B82-86D1-826075BEBC73}"/>
    <cellStyle name="AggOrangeRBorder 4 4 2 7" xfId="4196" xr:uid="{6E1CD525-9E8A-4149-8FFF-DDBC51C0B9D3}"/>
    <cellStyle name="AggOrangeRBorder 4 4 2 8" xfId="4633" xr:uid="{4516CA61-F97D-45A9-AA0E-E78A7CE14F11}"/>
    <cellStyle name="AggOrangeRBorder 4 4 2 9" xfId="5079" xr:uid="{10E65FC3-8D6B-4FEA-8DA4-1803496A8F54}"/>
    <cellStyle name="AggOrangeRBorder 4 4 20" xfId="9072" xr:uid="{B6222CB6-6B2B-4913-9B0B-4B4120A24EBF}"/>
    <cellStyle name="AggOrangeRBorder 4 4 21" xfId="9995" xr:uid="{8C4E12B2-1874-4AF7-9FF5-64633B18F3C1}"/>
    <cellStyle name="AggOrangeRBorder 4 4 22" xfId="9878" xr:uid="{68BD1368-F0A1-460B-A532-A040152AFEAA}"/>
    <cellStyle name="AggOrangeRBorder 4 4 23" xfId="10193" xr:uid="{1F33758B-1E1F-4947-8057-66AD1184B048}"/>
    <cellStyle name="AggOrangeRBorder 4 4 24" xfId="12016" xr:uid="{0FC22084-C107-498B-A850-B47971824E8F}"/>
    <cellStyle name="AggOrangeRBorder 4 4 25" xfId="12489" xr:uid="{C802498D-6616-4F22-A50F-CFDEDCAEC815}"/>
    <cellStyle name="AggOrangeRBorder 4 4 26" xfId="12923" xr:uid="{E2D04693-E0C3-4622-BDB6-489050BF7E1F}"/>
    <cellStyle name="AggOrangeRBorder 4 4 27" xfId="13360" xr:uid="{2FFD9B6D-0485-4C9C-B561-EB0C34EEC687}"/>
    <cellStyle name="AggOrangeRBorder 4 4 28" xfId="13390" xr:uid="{979D2C34-3D6B-475E-B5AD-50CB7DD61A98}"/>
    <cellStyle name="AggOrangeRBorder 4 4 29" xfId="13826" xr:uid="{03DA8F91-269B-4DEC-A979-7BB60A6691F6}"/>
    <cellStyle name="AggOrangeRBorder 4 4 3" xfId="1146" xr:uid="{BF742FB2-D468-4C29-A924-8E6D7757AEDE}"/>
    <cellStyle name="AggOrangeRBorder 4 4 30" xfId="13651" xr:uid="{7307A804-8A74-4ABD-80FF-9362D119C795}"/>
    <cellStyle name="AggOrangeRBorder 4 4 31" xfId="14512" xr:uid="{3B55F530-04A4-47CC-9097-FB405D36261A}"/>
    <cellStyle name="AggOrangeRBorder 4 4 32" xfId="15656" xr:uid="{FB91B440-8C69-4694-B6AB-B91783FAAEBF}"/>
    <cellStyle name="AggOrangeRBorder 4 4 33" xfId="15548" xr:uid="{5CC088BE-6CF6-4D66-9F36-98EC000ACDBE}"/>
    <cellStyle name="AggOrangeRBorder 4 4 34" xfId="16708" xr:uid="{E9E7AE71-FA7B-4D09-A99A-FF16CC8551BB}"/>
    <cellStyle name="AggOrangeRBorder 4 4 35" xfId="16173" xr:uid="{4FCC68EC-BB09-4A68-BCFD-0B3F2043B263}"/>
    <cellStyle name="AggOrangeRBorder 4 4 36" xfId="16506" xr:uid="{410C561B-083D-450E-8434-70A07AFB3D56}"/>
    <cellStyle name="AggOrangeRBorder 4 4 37" xfId="17901" xr:uid="{9C38FABE-96DB-4F53-B92F-4FE0E1C00A7E}"/>
    <cellStyle name="AggOrangeRBorder 4 4 38" xfId="18526" xr:uid="{0416C172-90B9-4A56-A6BE-3E2AD32346AF}"/>
    <cellStyle name="AggOrangeRBorder 4 4 39" xfId="18099" xr:uid="{B6D07557-B8D0-4638-97BB-E9A13C6AECA5}"/>
    <cellStyle name="AggOrangeRBorder 4 4 4" xfId="1737" xr:uid="{B14770A8-0048-4B44-90E0-F92665C49F37}"/>
    <cellStyle name="AggOrangeRBorder 4 4 40" xfId="18990" xr:uid="{32C33ABD-8749-463B-9DD9-277A1827FA44}"/>
    <cellStyle name="AggOrangeRBorder 4 4 41" xfId="20045" xr:uid="{6E3BEFDE-47CD-4E03-B006-413918F767E0}"/>
    <cellStyle name="AggOrangeRBorder 4 4 42" xfId="19412" xr:uid="{F294488A-007B-48A8-8154-FD019499EC73}"/>
    <cellStyle name="AggOrangeRBorder 4 4 43" xfId="20708" xr:uid="{5407A429-F3A4-48F4-9252-43F57FE33A17}"/>
    <cellStyle name="AggOrangeRBorder 4 4 44" xfId="20307" xr:uid="{E22B5C45-D90F-4D63-9914-FCE322C7480A}"/>
    <cellStyle name="AggOrangeRBorder 4 4 45" xfId="20367" xr:uid="{070ADB19-BC76-4345-B1AB-DE92EA32BA50}"/>
    <cellStyle name="AggOrangeRBorder 4 4 46" xfId="21534" xr:uid="{0AB5B375-D952-4F07-9C07-6BD5F0E09682}"/>
    <cellStyle name="AggOrangeRBorder 4 4 47" xfId="22306" xr:uid="{77A61942-FCCF-483E-9C25-E865D65CF2B1}"/>
    <cellStyle name="AggOrangeRBorder 4 4 48" xfId="22501" xr:uid="{67800928-BB86-41E8-BE24-B161D0A54EF7}"/>
    <cellStyle name="AggOrangeRBorder 4 4 49" xfId="23210" xr:uid="{6F276DCC-2D45-4EFD-A785-DA29B5DFA773}"/>
    <cellStyle name="AggOrangeRBorder 4 4 5" xfId="2485" xr:uid="{64B5E149-31F0-43C8-9B65-6A0272CA317A}"/>
    <cellStyle name="AggOrangeRBorder 4 4 50" xfId="23854" xr:uid="{BCC8F039-2973-4093-91A5-0E911EF20575}"/>
    <cellStyle name="AggOrangeRBorder 4 4 51" xfId="24753" xr:uid="{F06E94FD-1967-4740-939E-6A6C70B3F39A}"/>
    <cellStyle name="AggOrangeRBorder 4 4 52" xfId="24784" xr:uid="{7B3455EB-DF02-4B41-831E-514533570880}"/>
    <cellStyle name="AggOrangeRBorder 4 4 53" xfId="25671" xr:uid="{57EEE39C-3D96-48EE-B173-77F390472EBE}"/>
    <cellStyle name="AggOrangeRBorder 4 4 54" xfId="25898" xr:uid="{C1190D86-4510-4A52-B994-DA5B363D2D1B}"/>
    <cellStyle name="AggOrangeRBorder 4 4 55" xfId="26706" xr:uid="{7E5FF6DE-C0DF-4D8F-AA3D-76EE3618D0F4}"/>
    <cellStyle name="AggOrangeRBorder 4 4 56" xfId="26961" xr:uid="{F8DA2DEB-20A0-4273-A641-A4AF126E078E}"/>
    <cellStyle name="AggOrangeRBorder 4 4 57" xfId="27380" xr:uid="{6394C505-5467-4EED-97A8-24CD7767831B}"/>
    <cellStyle name="AggOrangeRBorder 4 4 58" xfId="26033" xr:uid="{F441596B-1CAC-499A-A809-54D0AC00DB21}"/>
    <cellStyle name="AggOrangeRBorder 4 4 59" xfId="28503" xr:uid="{EE76EE6E-95C5-4E4B-A69F-B0AA627462D0}"/>
    <cellStyle name="AggOrangeRBorder 4 4 6" xfId="2018" xr:uid="{DA38FC4D-2D05-466A-B74A-6092EA3ECFA3}"/>
    <cellStyle name="AggOrangeRBorder 4 4 60" xfId="28971" xr:uid="{DE6A3E4A-26E0-4A32-B88A-D6A7A4B413F5}"/>
    <cellStyle name="AggOrangeRBorder 4 4 61" xfId="28734" xr:uid="{BEE21BB4-B93E-42B5-91AD-74BA474CBB8C}"/>
    <cellStyle name="AggOrangeRBorder 4 4 62" xfId="29761" xr:uid="{26F4EC3C-9FA2-475B-9E37-E266E505E6A8}"/>
    <cellStyle name="AggOrangeRBorder 4 4 63" xfId="30169" xr:uid="{31409C8D-AB5A-491C-9A43-CA94AA0893E2}"/>
    <cellStyle name="AggOrangeRBorder 4 4 64" xfId="30583" xr:uid="{19F38E4A-7B43-4A68-A212-3028AB0403FE}"/>
    <cellStyle name="AggOrangeRBorder 4 4 65" xfId="30822" xr:uid="{1381A8B7-AC0F-4FE7-8F33-7E783B51635F}"/>
    <cellStyle name="AggOrangeRBorder 4 4 66" xfId="31207" xr:uid="{341F9D8E-FFF4-46F4-A575-140B20EE4AAF}"/>
    <cellStyle name="AggOrangeRBorder 4 4 67" xfId="31893" xr:uid="{0047630F-F4BD-4C50-A9B4-E9E6A09B4F53}"/>
    <cellStyle name="AggOrangeRBorder 4 4 68" xfId="32290" xr:uid="{36471C50-D036-41CD-AE73-4D76B326D191}"/>
    <cellStyle name="AggOrangeRBorder 4 4 7" xfId="3640" xr:uid="{C3162A7D-3222-4B6D-9074-240F6B938393}"/>
    <cellStyle name="AggOrangeRBorder 4 4 8" xfId="3981" xr:uid="{BC1FDB8C-221B-4D08-AA17-8AAE3C6AB99E}"/>
    <cellStyle name="AggOrangeRBorder 4 4 9" xfId="4419" xr:uid="{B72962C8-8E11-4D01-BDA7-A3FBD6201471}"/>
    <cellStyle name="AggOrangeRBorder 4 40" xfId="18265" xr:uid="{6B610149-74C1-46B0-B09D-B679BD77D2BD}"/>
    <cellStyle name="AggOrangeRBorder 4 41" xfId="16938" xr:uid="{0A0B2342-FBD0-4C59-BF98-74F3992640FA}"/>
    <cellStyle name="AggOrangeRBorder 4 42" xfId="19089" xr:uid="{DCD66D75-83D3-4E71-80E1-F4417CD202B8}"/>
    <cellStyle name="AggOrangeRBorder 4 43" xfId="19032" xr:uid="{2703F689-BFE2-4F68-AE70-BB0FB0E2A68B}"/>
    <cellStyle name="AggOrangeRBorder 4 44" xfId="19654" xr:uid="{EE75C6E1-DFD2-4EF0-A899-3938C6B54454}"/>
    <cellStyle name="AggOrangeRBorder 4 45" xfId="19735" xr:uid="{83EA5392-AA59-45E2-87FA-73E97E3DA0DE}"/>
    <cellStyle name="AggOrangeRBorder 4 46" xfId="19874" xr:uid="{4FAB1DCA-DB0D-4242-B5AF-E9F971CEBB3C}"/>
    <cellStyle name="AggOrangeRBorder 4 47" xfId="21313" xr:uid="{DC0A2B32-32D6-46C5-BE71-5EA1D18EE878}"/>
    <cellStyle name="AggOrangeRBorder 4 48" xfId="20793" xr:uid="{7CCCFF36-EAF1-4C13-BEAE-45912E8923C2}"/>
    <cellStyle name="AggOrangeRBorder 4 49" xfId="21930" xr:uid="{6B5EE098-CB1F-4861-8C99-F6B9F1E06210}"/>
    <cellStyle name="AggOrangeRBorder 4 5" xfId="695" xr:uid="{A9E9C9AB-E421-422C-A318-3BB6C3E2D3E7}"/>
    <cellStyle name="AggOrangeRBorder 4 5 2" xfId="5343" xr:uid="{1ED32A10-5DB8-4CD1-B47A-D24709AE26F8}"/>
    <cellStyle name="AggOrangeRBorder 4 5 3" xfId="16142" xr:uid="{810FF818-C692-4E66-9EB0-A979F70A0A6D}"/>
    <cellStyle name="AggOrangeRBorder 4 5 4" xfId="20077" xr:uid="{28D4D294-96EE-44DD-8133-D02C6CE48BE3}"/>
    <cellStyle name="AggOrangeRBorder 4 5 5" xfId="24785" xr:uid="{2194ECEE-5733-47C0-B496-374F617EBB8B}"/>
    <cellStyle name="AggOrangeRBorder 4 5 6" xfId="28535" xr:uid="{46F5266C-97A4-44FC-80CD-5A5BEED7F091}"/>
    <cellStyle name="AggOrangeRBorder 4 50" xfId="21755" xr:uid="{A3074D0D-C1D5-4633-AC1C-31340F76A654}"/>
    <cellStyle name="AggOrangeRBorder 4 51" xfId="23366" xr:uid="{F15F9EB8-E555-4D72-A8B0-8573818B0027}"/>
    <cellStyle name="AggOrangeRBorder 4 52" xfId="22746" xr:uid="{5A16FE3D-8D9C-437C-990A-D636304A51A4}"/>
    <cellStyle name="AggOrangeRBorder 4 53" xfId="23693" xr:uid="{6DCAD699-12FE-4C2F-8E32-75E297BF6C80}"/>
    <cellStyle name="AggOrangeRBorder 4 54" xfId="24374" xr:uid="{53BE3146-3C6D-4F0E-B8D0-6C2B5D4F9FE1}"/>
    <cellStyle name="AggOrangeRBorder 4 55" xfId="24452" xr:uid="{32B9971C-6CE2-4106-AE62-6C8AE4465C8E}"/>
    <cellStyle name="AggOrangeRBorder 4 56" xfId="24212" xr:uid="{051B019B-E1A7-4C35-840B-C8712A685422}"/>
    <cellStyle name="AggOrangeRBorder 4 57" xfId="25056" xr:uid="{5F73D3FF-F247-4BB4-B45A-A37CEBAC72A0}"/>
    <cellStyle name="AggOrangeRBorder 4 58" xfId="24441" xr:uid="{C64DF99C-6593-4923-BCF0-E3CF09FDADB7}"/>
    <cellStyle name="AggOrangeRBorder 4 59" xfId="25082" xr:uid="{0F1F0AC0-45FD-413A-85E5-046918EB81B3}"/>
    <cellStyle name="AggOrangeRBorder 4 6" xfId="947" xr:uid="{7A9F5FC9-E7B9-4AFB-84D6-D31D48131408}"/>
    <cellStyle name="AggOrangeRBorder 4 60" xfId="26453" xr:uid="{B2F97541-8786-4E6D-8DD5-192C1A5F7C64}"/>
    <cellStyle name="AggOrangeRBorder 4 61" xfId="24481" xr:uid="{4C799E54-961D-43E4-B422-43662CFDB6A7}"/>
    <cellStyle name="AggOrangeRBorder 4 62" xfId="28145" xr:uid="{DC85FA1C-52B4-47BA-94C6-FFD9C1E72547}"/>
    <cellStyle name="AggOrangeRBorder 4 63" xfId="28014" xr:uid="{78ECD94A-E700-44CE-AF71-29865955C7FC}"/>
    <cellStyle name="AggOrangeRBorder 4 64" xfId="28183" xr:uid="{38D69826-96FE-4FB5-951A-20FB84BF7C05}"/>
    <cellStyle name="AggOrangeRBorder 4 65" xfId="29580" xr:uid="{1A8B3686-6A4B-455B-B89C-4AC9005E9862}"/>
    <cellStyle name="AggOrangeRBorder 4 66" xfId="29308" xr:uid="{57245E1A-079F-4350-9339-B627573D6A70}"/>
    <cellStyle name="AggOrangeRBorder 4 67" xfId="30393" xr:uid="{EFBF4F6B-B14B-47E0-B5FB-EB9CF941DF2D}"/>
    <cellStyle name="AggOrangeRBorder 4 68" xfId="28028" xr:uid="{4568F29B-A418-435E-8BEB-ADD4E273A263}"/>
    <cellStyle name="AggOrangeRBorder 4 69" xfId="30898" xr:uid="{6B3B2B76-4DBD-406B-81D8-194F1E92B81D}"/>
    <cellStyle name="AggOrangeRBorder 4 7" xfId="1536" xr:uid="{FBE32567-8DBD-49BC-90AD-F8BDFE3F3B98}"/>
    <cellStyle name="AggOrangeRBorder 4 70" xfId="31597" xr:uid="{F9EFBE65-35A3-4A1A-A720-C704A3A1D031}"/>
    <cellStyle name="AggOrangeRBorder 4 71" xfId="31737" xr:uid="{D9665BCF-6B08-43F1-ABB1-ABAB086D37CD}"/>
    <cellStyle name="AggOrangeRBorder 4 8" xfId="2094" xr:uid="{5E0F4AFF-A650-4F89-9041-C091AB35ADED}"/>
    <cellStyle name="AggOrangeRBorder 4 9" xfId="2077" xr:uid="{117D5EA5-EC49-45FE-B50A-BE27447A7193}"/>
    <cellStyle name="AggOrangeRBorder 5" xfId="72" xr:uid="{E0400562-60F0-462A-9153-06E1DFB13C71}"/>
    <cellStyle name="AggOrangeRBorder 5 2" xfId="3492" xr:uid="{E9797111-3C27-4719-98DD-38EF0224A0AF}"/>
    <cellStyle name="AggOrangeRBorder 5 3" xfId="18836" xr:uid="{A84F4D47-7FC8-432B-8FDF-7CB5ED9ED9F0}"/>
    <cellStyle name="AggOrangeRBorder 5 4" xfId="19457" xr:uid="{3B699A1C-6CC1-4216-87A2-F905BFADCCB4}"/>
    <cellStyle name="AggOrangeRBorder 5 5" xfId="24178" xr:uid="{F5E5E461-ACE8-4268-9CB0-F79B1DF4C181}"/>
    <cellStyle name="AggOrangeRBorder 5 6" xfId="27971" xr:uid="{80E18685-4BA8-4467-9280-9D685810C379}"/>
    <cellStyle name="AggOrangeRBorder_CRFReport-template" xfId="31" xr:uid="{7246229D-01EB-43F1-BFF9-67B629EA7A03}"/>
    <cellStyle name="Akzent1" xfId="120" xr:uid="{0B6436DA-ABCA-452F-9338-B7814F038FB3}"/>
    <cellStyle name="Akzent2" xfId="121" xr:uid="{A08D2637-ED01-4954-8FBF-1979A9D12057}"/>
    <cellStyle name="Akzent3" xfId="122" xr:uid="{13547CCD-F782-48F7-B0C7-699B4669C41A}"/>
    <cellStyle name="Akzent4" xfId="123" xr:uid="{4F86FB4E-1301-4DC7-8F99-52106329833F}"/>
    <cellStyle name="Akzent5" xfId="124" xr:uid="{24797455-DDAB-482B-83B9-B8C552DDD983}"/>
    <cellStyle name="Akzent6" xfId="125" xr:uid="{D75E5EC8-DCB2-4232-A3C1-24C03A58B27B}"/>
    <cellStyle name="Ausgabe" xfId="15031" hidden="1" xr:uid="{87783B52-9AA2-405E-B414-D4212B6DF876}"/>
    <cellStyle name="Ausgabe" xfId="15553" hidden="1" xr:uid="{82DDD11E-1FAC-4019-A39F-A69A73F3D7D7}"/>
    <cellStyle name="Ausgabe" xfId="13825" hidden="1" xr:uid="{C724F93D-B264-49E1-8309-F367636AC9F9}"/>
    <cellStyle name="Ausgabe" xfId="11392" hidden="1" xr:uid="{FA15BC9C-44BE-4144-A36C-D6C1AB21A961}"/>
    <cellStyle name="Ausgabe" xfId="15804" hidden="1" xr:uid="{93EBBC20-9765-40D9-85DE-F4801AC2C940}"/>
    <cellStyle name="Ausgabe" xfId="16088" hidden="1" xr:uid="{5DEA9E4A-93F4-4F64-9EA4-54FCC3F05CD1}"/>
    <cellStyle name="Ausgabe" xfId="16475" hidden="1" xr:uid="{E54E4663-1AF8-4363-A9F5-F2B4C674DF76}"/>
    <cellStyle name="Ausgabe" xfId="17369" hidden="1" xr:uid="{39DBC1FE-02B4-4013-9BAA-39AF486D5553}"/>
    <cellStyle name="Ausgabe" xfId="17240" hidden="1" xr:uid="{D96ED8D9-407A-47BA-A64D-B1D9296B7323}"/>
    <cellStyle name="Ausgabe" xfId="17811" hidden="1" xr:uid="{1E031CE6-834E-43D8-920D-227814D527AF}"/>
    <cellStyle name="Ausgabe" xfId="16211" hidden="1" xr:uid="{92727F93-033D-4F82-B5B0-8E7AC318616E}"/>
    <cellStyle name="Ausgabe" xfId="18228" hidden="1" xr:uid="{816A5201-6F76-451C-8851-4668A51ACDB6}"/>
    <cellStyle name="Ausgabe" xfId="17438" hidden="1" xr:uid="{560AC677-FC54-4636-A75A-E395C5AEA255}"/>
    <cellStyle name="Ausgabe" xfId="17577" hidden="1" xr:uid="{D17E74C7-294E-4B1C-9E66-1933E5340DEA}"/>
    <cellStyle name="Ausgabe" xfId="17067" hidden="1" xr:uid="{30C69006-471E-4181-A13D-C1DDFB09EAFF}"/>
    <cellStyle name="Ausgabe" xfId="17683" hidden="1" xr:uid="{742369B8-373E-41EF-8BEB-F74D90926FB5}"/>
    <cellStyle name="Ausgabe" xfId="19072" hidden="1" xr:uid="{4B527AEC-0E9B-4DC9-A14A-9BB63896B2A9}"/>
    <cellStyle name="Ausgabe" xfId="18073" hidden="1" xr:uid="{0BCCC114-BF76-4436-A43E-12552181F705}"/>
    <cellStyle name="Ausgabe" xfId="17135" hidden="1" xr:uid="{B76DF6C3-2DC1-4D52-9D86-E438A17646D4}"/>
    <cellStyle name="Ausgabe" xfId="19103" hidden="1" xr:uid="{7805E5A4-0473-4B82-BEE5-2478619174BA}"/>
    <cellStyle name="Ausgabe" xfId="19325" hidden="1" xr:uid="{FCB8D4F1-4ACE-4596-BC32-76E40918F445}"/>
    <cellStyle name="Ausgabe" xfId="19337" hidden="1" xr:uid="{90B292EF-AFEF-4D0E-8741-8A4A4FF474F6}"/>
    <cellStyle name="Ausgabe" xfId="19421" hidden="1" xr:uid="{5B54350F-E7AD-445B-A95D-58E4A9A89A7A}"/>
    <cellStyle name="Ausgabe" xfId="19811" hidden="1" xr:uid="{2F52B5D2-465B-4F8F-BF5B-CBD35B7C53CD}"/>
    <cellStyle name="Ausgabe" xfId="20719" hidden="1" xr:uid="{A68E7A46-BEF5-4891-8160-2D599A9A35F2}"/>
    <cellStyle name="Ausgabe" xfId="19404" hidden="1" xr:uid="{088E5E19-5A49-4046-97E3-48302DBF7839}"/>
    <cellStyle name="Ausgabe" xfId="21177" hidden="1" xr:uid="{5AD8DC18-5C86-428D-9A50-0958DAA7E88D}"/>
    <cellStyle name="Ausgabe" xfId="19499" hidden="1" xr:uid="{3E63F8F2-B059-4DA2-8D74-BD41B0C5D1CB}"/>
    <cellStyle name="Ausgabe" xfId="21480" hidden="1" xr:uid="{0164AC2D-51A5-432F-BB61-610CE39EFFAC}"/>
    <cellStyle name="Ausgabe" xfId="21647" hidden="1" xr:uid="{906DC9E7-6A0E-4FE0-9EAE-28B07CA58037}"/>
    <cellStyle name="Ausgabe" xfId="19636" hidden="1" xr:uid="{3EA50953-39E0-46C0-8E5C-63FE1B0D72BA}"/>
    <cellStyle name="Ausgabe" xfId="19631" hidden="1" xr:uid="{F3FFD11C-6E23-4B84-8324-7D55CF5850D1}"/>
    <cellStyle name="Ausgabe" xfId="22108" hidden="1" xr:uid="{7A1E4DCF-18EB-400E-9F9B-B8E4248E2ED2}"/>
    <cellStyle name="Ausgabe" xfId="20348" hidden="1" xr:uid="{5DDB738B-186D-4576-8828-2DAD5C7C620D}"/>
    <cellStyle name="Ausgabe" xfId="22536" hidden="1" xr:uid="{B01331A0-46E2-47C0-AE67-C91E15951FF0}"/>
    <cellStyle name="Ausgabe" xfId="22177" hidden="1" xr:uid="{F83C0DC0-C042-41DA-B186-9085BADA5F1F}"/>
    <cellStyle name="Ausgabe" xfId="22962" hidden="1" xr:uid="{78BB9ADE-C515-4C38-9C13-CD17EA8254AB}"/>
    <cellStyle name="Ausgabe" xfId="21808" hidden="1" xr:uid="{752EABF6-D20B-49B4-B812-B847CEC07A91}"/>
    <cellStyle name="Ausgabe" xfId="22861" hidden="1" xr:uid="{9BAE58B1-13F6-4BB2-AA35-4C6E8FF12255}"/>
    <cellStyle name="Ausgabe" xfId="23349" hidden="1" xr:uid="{E90FC4A7-0562-4861-A13D-304221B3DD8F}"/>
    <cellStyle name="Ausgabe" xfId="22846" hidden="1" xr:uid="{37D25C85-EB32-40C8-9CC2-4FB64C92ABF5}"/>
    <cellStyle name="Ausgabe" xfId="22197" hidden="1" xr:uid="{1B163399-7015-4086-ADD4-12BEA619A385}"/>
    <cellStyle name="Ausgabe" xfId="22498" hidden="1" xr:uid="{1D056F00-93E9-4388-B435-72F6EE7BCCB9}"/>
    <cellStyle name="Ausgabe" xfId="23566" hidden="1" xr:uid="{623DD278-FB98-441D-8D8E-86448889908C}"/>
    <cellStyle name="Ausgabe" xfId="23658" hidden="1" xr:uid="{92669B41-F770-45E4-9AB7-D9022778A8BE}"/>
    <cellStyle name="Ausgabe" xfId="22689" hidden="1" xr:uid="{507CAF08-36A4-46E8-942D-AC2C8AEF6211}"/>
    <cellStyle name="Ausgabe" xfId="23586" hidden="1" xr:uid="{42880AAA-279A-4A55-9FE5-EE273B9E9EC8}"/>
    <cellStyle name="Ausgabe" xfId="24097" hidden="1" xr:uid="{88804F1C-DCCD-4282-A521-B85DD4D6F496}"/>
    <cellStyle name="Ausgabe" xfId="23450" hidden="1" xr:uid="{3E18F465-0294-473D-A6DD-513E036D71E0}"/>
    <cellStyle name="Ausgabe" xfId="24145" hidden="1" xr:uid="{84865B54-8521-4E51-BDBE-D3C5A69678E3}"/>
    <cellStyle name="Ausgabe" xfId="24593" hidden="1" xr:uid="{32C43FE0-EFF7-45F5-B5A9-77972378B27E}"/>
    <cellStyle name="Ausgabe" xfId="25015" hidden="1" xr:uid="{8DC04658-98E8-40B8-BC0B-5D615CA7BED4}"/>
    <cellStyle name="Ausgabe" xfId="24340" hidden="1" xr:uid="{9FF377BB-48B9-441B-86D0-BA0BB8806330}"/>
    <cellStyle name="Ausgabe" xfId="25442" hidden="1" xr:uid="{4442BED7-D231-4690-A418-2A102811837D}"/>
    <cellStyle name="Ausgabe" xfId="25427" hidden="1" xr:uid="{14D0BE76-B7FE-4C38-BDAA-EA4EDD8480B2}"/>
    <cellStyle name="Ausgabe" xfId="24491" hidden="1" xr:uid="{93F283A9-074D-4E83-BDBA-C9E1914313B8}"/>
    <cellStyle name="Ausgabe" xfId="24101" hidden="1" xr:uid="{93854966-289B-4C9C-A02A-D4DBA890440A}"/>
    <cellStyle name="Ausgabe" xfId="26192" hidden="1" xr:uid="{0433E425-EA84-4426-9FD4-CAE1CDCAA38F}"/>
    <cellStyle name="Ausgabe" xfId="26692" hidden="1" xr:uid="{D3B2191F-D5F2-47FC-A732-3418A44E3091}"/>
    <cellStyle name="Ausgabe" xfId="25018" hidden="1" xr:uid="{BB906843-1346-4169-BDF8-A15E3D4114FE}"/>
    <cellStyle name="Ausgabe" xfId="26703" hidden="1" xr:uid="{16829B3D-2F3F-4C92-90EA-81A319311CE0}"/>
    <cellStyle name="Ausgabe" xfId="26627" hidden="1" xr:uid="{E1A116B5-21FD-4B32-B750-C1A0D55BCD00}"/>
    <cellStyle name="Ausgabe" xfId="26794" hidden="1" xr:uid="{CC0E0187-E097-4DC3-981D-A37FF235BB6A}"/>
    <cellStyle name="Ausgabe" xfId="27810" hidden="1" xr:uid="{105441A3-C721-4EF2-BCA6-9696397F70EE}"/>
    <cellStyle name="Ausgabe" xfId="27825" hidden="1" xr:uid="{F5F16424-9FDF-4752-A026-B35B5D23A5AE}"/>
    <cellStyle name="Ausgabe" xfId="27888" hidden="1" xr:uid="{F31827AF-C7F1-4F36-9970-9417E13B6EEB}"/>
    <cellStyle name="Ausgabe" xfId="27648" hidden="1" xr:uid="{A52CCD81-AB76-4E7D-BE15-FD9F49AD1C3C}"/>
    <cellStyle name="Ausgabe" xfId="27636" hidden="1" xr:uid="{BB897076-877F-4AE6-B58B-40F24F26B273}"/>
    <cellStyle name="Ausgabe" xfId="26637" hidden="1" xr:uid="{41BA2C60-5F8F-4FB1-9057-97BF340153D9}"/>
    <cellStyle name="Ausgabe" xfId="27935" hidden="1" xr:uid="{A1AC1B03-9805-42B1-8D03-4AE0DA58DA1A}"/>
    <cellStyle name="Ausgabe" xfId="28284" hidden="1" xr:uid="{487E7CBE-F54B-4589-AE0D-732E52ABA43D}"/>
    <cellStyle name="Ausgabe" xfId="28746" hidden="1" xr:uid="{8B9D2DAE-56CD-4B26-8DF1-FA1CE91735D5}"/>
    <cellStyle name="Ausgabe" xfId="29536" hidden="1" xr:uid="{E06A099D-D5E2-4D1C-95FE-9FC6078EED51}"/>
    <cellStyle name="Ausgabe" xfId="27943" hidden="1" xr:uid="{92F9A33A-EAB8-46E2-A65F-9632BA4A2841}"/>
    <cellStyle name="Ausgabe" xfId="27921" hidden="1" xr:uid="{A4033E64-C9E4-4E32-B59E-880518D16CE2}"/>
    <cellStyle name="Ausgabe" xfId="28026" hidden="1" xr:uid="{9A311BFA-B7E3-41AB-972D-8A7688C84348}"/>
    <cellStyle name="Ausgabe" xfId="28756" hidden="1" xr:uid="{D4A07903-9892-4978-A57D-C3EB7C641CF3}"/>
    <cellStyle name="Ausgabe" xfId="27987" hidden="1" xr:uid="{A09A369D-7D97-4555-8DAE-E9D9E06F1E42}"/>
    <cellStyle name="Ausgabe" xfId="30820" hidden="1" xr:uid="{A00ED415-9E38-4D6D-BE3A-900686691A9F}"/>
    <cellStyle name="Ausgabe" xfId="31456" hidden="1" xr:uid="{BFB6C504-1057-4120-BABE-2EA2C4F4A96D}"/>
    <cellStyle name="Ausgabe" xfId="31733" hidden="1" xr:uid="{7697F6FA-F560-494F-A473-A0CAE244291A}"/>
    <cellStyle name="Ausgabe" xfId="31626" hidden="1" xr:uid="{387B5718-A9B6-4FB4-815F-6BBEC2DDDA10}"/>
    <cellStyle name="Ausgabe" xfId="31577" hidden="1" xr:uid="{3B111A5F-B34D-40A1-8DA2-82E1DE6FCC1F}"/>
    <cellStyle name="Ausgabe" xfId="32262" hidden="1" xr:uid="{8755C066-863E-4C8F-8734-D9B0A9DAC90A}"/>
    <cellStyle name="Ausgabe" xfId="32277" hidden="1" xr:uid="{48BDD055-6040-48FB-9DCD-FFE0D8F5EDF5}"/>
    <cellStyle name="Ausgabe" xfId="17958" hidden="1" xr:uid="{3029B77E-6621-4715-B75D-FF1A1354688E}"/>
    <cellStyle name="Ausgabe" xfId="7800" hidden="1" xr:uid="{F844F6EB-9920-41D5-8B8B-9271A63BC447}"/>
    <cellStyle name="Ausgabe" xfId="8130" hidden="1" xr:uid="{4984D761-3411-43AD-9827-77C094ED05EE}"/>
    <cellStyle name="Ausgabe" xfId="8175" hidden="1" xr:uid="{8D3A8AE7-3FB1-4E7D-BF29-63AB62A64F58}"/>
    <cellStyle name="Ausgabe" xfId="8314" hidden="1" xr:uid="{DF52E2D8-87B5-4715-8AF4-4B2AF9439CB7}"/>
    <cellStyle name="Ausgabe" xfId="7617" hidden="1" xr:uid="{011CFE0F-E74F-428C-98AF-9CAF9FAE4768}"/>
    <cellStyle name="Ausgabe" xfId="8369" hidden="1" xr:uid="{406C33A1-5A33-43D5-94E5-7DE787EFA99E}"/>
    <cellStyle name="Ausgabe" xfId="7173" hidden="1" xr:uid="{29A2E93F-5EB9-4232-9250-336CECD7AEA5}"/>
    <cellStyle name="Ausgabe" xfId="7782" hidden="1" xr:uid="{254D13BE-103A-499B-B04E-7D3D6B058B25}"/>
    <cellStyle name="Ausgabe" xfId="7772" hidden="1" xr:uid="{0BF8EC09-7A17-472F-9308-AB8198C2A2B9}"/>
    <cellStyle name="Ausgabe" xfId="8890" hidden="1" xr:uid="{4ACB0F09-3BDB-44E2-B93E-62DF62E5DC61}"/>
    <cellStyle name="Ausgabe" xfId="8902" hidden="1" xr:uid="{F386BEF7-610D-4F53-9DBB-C94710517194}"/>
    <cellStyle name="Ausgabe" xfId="8347" hidden="1" xr:uid="{60F687DE-E436-4408-A07E-450FFEBD39F6}"/>
    <cellStyle name="Ausgabe" xfId="8187" hidden="1" xr:uid="{2E970F2D-953F-4B7F-9005-5938266B0F0B}"/>
    <cellStyle name="Ausgabe" xfId="8991" hidden="1" xr:uid="{1EC5DEE2-D173-4895-A9B5-65C42282C6FC}"/>
    <cellStyle name="Ausgabe" xfId="9369" hidden="1" xr:uid="{2BE28610-B7CA-4692-8E63-0E908E9CF5B9}"/>
    <cellStyle name="Ausgabe" xfId="10248" hidden="1" xr:uid="{26BD5DB0-BB88-4CE6-9BF8-0C2AC77457DF}"/>
    <cellStyle name="Ausgabe" xfId="10121" hidden="1" xr:uid="{945F1EBE-5BE3-4277-8FC7-C67FDBCFA013}"/>
    <cellStyle name="Ausgabe" xfId="10642" hidden="1" xr:uid="{D7AC2650-D796-4B74-91D5-B3896382C058}"/>
    <cellStyle name="Ausgabe" xfId="9055" hidden="1" xr:uid="{1E257225-98E6-4860-83F9-B63F177C85B0}"/>
    <cellStyle name="Ausgabe" xfId="10311" hidden="1" xr:uid="{15E26790-A880-4A6A-A99E-E51900EA0F1B}"/>
    <cellStyle name="Ausgabe" xfId="10997" hidden="1" xr:uid="{EA0C4FE9-66DA-4E1B-977E-A283F1272910}"/>
    <cellStyle name="Ausgabe" xfId="10112" hidden="1" xr:uid="{9651A9D5-2382-414E-A6AE-6FE89816F5CC}"/>
    <cellStyle name="Ausgabe" xfId="10327" hidden="1" xr:uid="{F358E395-E26B-4FC6-941C-CADD03B95FAD}"/>
    <cellStyle name="Ausgabe" xfId="10899" hidden="1" xr:uid="{23EA8766-79F1-49E3-8EAA-6D0B8EE621E4}"/>
    <cellStyle name="Ausgabe" xfId="11121" hidden="1" xr:uid="{4274EA21-2466-451A-8824-FC417975D5E2}"/>
    <cellStyle name="Ausgabe" xfId="11230" hidden="1" xr:uid="{826B6C82-D87E-4318-988F-DC783C159FD8}"/>
    <cellStyle name="Ausgabe" xfId="9112" hidden="1" xr:uid="{792C0270-65D0-445C-93EB-9EEE3283A0DC}"/>
    <cellStyle name="Ausgabe" xfId="10014" hidden="1" xr:uid="{8E20A016-9240-4EA7-B5F7-620350B54F50}"/>
    <cellStyle name="Ausgabe" xfId="11397" hidden="1" xr:uid="{6577A0B1-8345-43B8-922B-5C48BB4E4ED7}"/>
    <cellStyle name="Ausgabe" xfId="11782" hidden="1" xr:uid="{506EDF96-6895-43FD-957D-FFD0695C4995}"/>
    <cellStyle name="Ausgabe" xfId="12259" hidden="1" xr:uid="{FE2C417B-F06D-41A4-B44F-5BCF86FD6BAF}"/>
    <cellStyle name="Ausgabe" xfId="11365" hidden="1" xr:uid="{2C5B2EFD-F07B-4082-83B1-48B2A6120803}"/>
    <cellStyle name="Ausgabe" xfId="11353" hidden="1" xr:uid="{F0485CB2-0BB8-446C-A975-DB051E0BC884}"/>
    <cellStyle name="Ausgabe" xfId="13991" hidden="1" xr:uid="{9FDED3EE-BFCC-49F9-991E-1E51C8544659}"/>
    <cellStyle name="Ausgabe" xfId="11789" hidden="1" xr:uid="{06F7DF13-BA35-47A3-93BB-B6826E9FFA80}"/>
    <cellStyle name="Ausgabe" xfId="11709" hidden="1" xr:uid="{5199F416-9AB9-4D17-82FB-4E3C0EF7040F}"/>
    <cellStyle name="Ausgabe" xfId="14428" hidden="1" xr:uid="{3F2EF696-C674-40DA-8814-D3DD6FC22ED4}"/>
    <cellStyle name="Ausgabe" xfId="12284" hidden="1" xr:uid="{3494BC2A-4686-42E4-BB6C-D394EC2E80C9}"/>
    <cellStyle name="Ausgabe" xfId="13940" hidden="1" xr:uid="{384E2BB7-60B4-4DC8-B9C4-713FA335FFFB}"/>
    <cellStyle name="Ausgabe" xfId="14192" hidden="1" xr:uid="{D403F317-EA5E-405D-BE31-F0FC5D9C5B1A}"/>
    <cellStyle name="Ausgabe" xfId="14700" hidden="1" xr:uid="{1E712C2C-5575-47BD-BD1A-71A88D66F1E5}"/>
    <cellStyle name="Ausgabe" xfId="14884" hidden="1" xr:uid="{9DD01250-593B-4477-8B7F-2863C1FBC951}"/>
    <cellStyle name="Ausgabe" xfId="15308" hidden="1" xr:uid="{B923B511-F71D-4763-A25F-CAC655B44672}"/>
    <cellStyle name="Ausgabe" xfId="14989" hidden="1" xr:uid="{37A7B105-DD8F-4AE9-BF22-BF0048EC1C7F}"/>
    <cellStyle name="Ausgabe" xfId="15237" hidden="1" xr:uid="{8791FDA9-28DB-4F4C-BCF0-BC2DFBCEBAC9}"/>
    <cellStyle name="Ausgabe" xfId="14612" hidden="1" xr:uid="{AE209349-CFFD-4EDE-9D70-EA793E10DC60}"/>
    <cellStyle name="Ausgabe" xfId="15383" hidden="1" xr:uid="{C46DD41C-D9AC-4999-A915-65107BCEC94E}"/>
    <cellStyle name="Ausgabe" xfId="14942" hidden="1" xr:uid="{CDBBA867-1984-42A4-9980-A5153DD0CBD6}"/>
    <cellStyle name="Ausgabe" xfId="4659" hidden="1" xr:uid="{5B688A43-62AC-4BC9-A51A-32670D9D6AF3}"/>
    <cellStyle name="Ausgabe" xfId="5623" hidden="1" xr:uid="{965C575F-4A39-4D9E-97FD-1E65EBE1D1DA}"/>
    <cellStyle name="Ausgabe" xfId="5572" hidden="1" xr:uid="{D1775950-852E-41B9-9682-E0BAB4F3A904}"/>
    <cellStyle name="Ausgabe" xfId="2843" hidden="1" xr:uid="{E723574D-522E-4DDC-BE44-CFCD5F7F973C}"/>
    <cellStyle name="Ausgabe" xfId="6005" hidden="1" xr:uid="{FA9DF0FD-5174-40F3-BCDD-EB321A96E6FB}"/>
    <cellStyle name="Ausgabe" xfId="5751" hidden="1" xr:uid="{FA5F738C-D10B-4A40-AEDB-DB3A04C9775D}"/>
    <cellStyle name="Ausgabe" xfId="6244" hidden="1" xr:uid="{2669B157-459F-4A80-9F7F-1A3C1980FC7E}"/>
    <cellStyle name="Ausgabe" xfId="6190" hidden="1" xr:uid="{221883C3-79E5-434D-83CE-23F310DF1936}"/>
    <cellStyle name="Ausgabe" xfId="6347" hidden="1" xr:uid="{C2DAB6D0-B3DB-4D44-BF16-58A615A2D5F5}"/>
    <cellStyle name="Ausgabe" xfId="5113" hidden="1" xr:uid="{2DC41D7F-4BBF-4844-8457-7696D52277D7}"/>
    <cellStyle name="Ausgabe" xfId="5588" hidden="1" xr:uid="{6FCD2C6B-D0AC-43FE-891B-5F5C5F128D04}"/>
    <cellStyle name="Ausgabe" xfId="5916" hidden="1" xr:uid="{6F3855AC-84CC-4338-8405-6E98933722B1}"/>
    <cellStyle name="Ausgabe" xfId="6395" hidden="1" xr:uid="{243AE522-4504-4C37-9F8A-EE0BB0E22D61}"/>
    <cellStyle name="Ausgabe" xfId="6477" hidden="1" xr:uid="{677FC958-F96C-45CA-B1CF-A707E0AF5B46}"/>
    <cellStyle name="Ausgabe" xfId="6779" hidden="1" xr:uid="{B1DB8710-F640-46BA-844B-C0B1E72D8A45}"/>
    <cellStyle name="Ausgabe" xfId="7154" hidden="1" xr:uid="{4B1F4482-A5A8-4EF7-80B8-E974931C35F6}"/>
    <cellStyle name="Ausgabe" xfId="8028" hidden="1" xr:uid="{401DBA5C-76E2-490F-B0B2-706590D00DFF}"/>
    <cellStyle name="Ausgabe" xfId="7908" hidden="1" xr:uid="{F143C11A-60F2-4157-9623-A7812164DA17}"/>
    <cellStyle name="Ausgabe" xfId="8400" hidden="1" xr:uid="{43FCF87C-52BF-4C38-921A-32B3C8F4CE52}"/>
    <cellStyle name="Ausgabe" xfId="7861" hidden="1" xr:uid="{EA3EA032-0D89-4624-87E6-A63355284BD5}"/>
    <cellStyle name="Ausgabe" xfId="8149" hidden="1" xr:uid="{F37760ED-E39D-4FE3-A2FB-535284473D56}"/>
    <cellStyle name="Ausgabe" xfId="8152" hidden="1" xr:uid="{5F8D2B43-2522-446E-AFA4-E6B18ACBD8BC}"/>
    <cellStyle name="Ausgabe" xfId="8166" hidden="1" xr:uid="{7739B677-F2F2-4C17-BEB8-217FD8BCE5AE}"/>
    <cellStyle name="Ausgabe" xfId="6753" hidden="1" xr:uid="{1A277C71-00BC-47A9-93AD-C45FD011981A}"/>
    <cellStyle name="Ausgabe" xfId="3521" hidden="1" xr:uid="{897734D5-7431-4EBF-8F38-35620320E23D}"/>
    <cellStyle name="Ausgabe" xfId="3694" hidden="1" xr:uid="{C50B6F3E-2E43-4F6E-A3DC-7A721DDF83F3}"/>
    <cellStyle name="Ausgabe" xfId="3629" hidden="1" xr:uid="{783A5EC6-F034-4F6A-A606-7C35FCB71F2A}"/>
    <cellStyle name="Ausgabe" xfId="3340" hidden="1" xr:uid="{E82379B2-5A7C-4D6F-A19C-AF3E00CC7F4F}"/>
    <cellStyle name="Ausgabe" xfId="2132" hidden="1" xr:uid="{EE1C7EED-F0EC-4C26-A016-855C8C7F15E6}"/>
    <cellStyle name="Ausgabe" xfId="2233" hidden="1" xr:uid="{000B7211-E8D6-4137-9F74-AD30E8AC21EE}"/>
    <cellStyle name="Ausgabe" xfId="2979" hidden="1" xr:uid="{FB1AAEC0-E23C-4C35-9A2C-0207BCDFC60F}"/>
    <cellStyle name="Ausgabe" xfId="2878" hidden="1" xr:uid="{D1790A48-1706-45D7-A36D-954FD2E7892D}"/>
    <cellStyle name="Ausgabe" xfId="3332" hidden="1" xr:uid="{B126C77F-9671-4CDD-A56D-8C8B048A3CAD}"/>
    <cellStyle name="Ausgabe" xfId="4656" hidden="1" xr:uid="{B58EB8D4-EFAF-4FF7-AC97-789804C965A9}"/>
    <cellStyle name="Ausgabe" xfId="5135" hidden="1" xr:uid="{780FEA76-2984-4895-9E09-09457C8F2291}"/>
    <cellStyle name="Ausgabe" xfId="4708" hidden="1" xr:uid="{698F6670-0EDE-4C9F-A7B2-3FE495E053B0}"/>
    <cellStyle name="Ausgabe" xfId="1865" hidden="1" xr:uid="{15276360-B1E6-4B8F-9F40-4471E6DC0DB0}"/>
    <cellStyle name="Ausgabe" xfId="2170" hidden="1" xr:uid="{BDFE51A1-CB1D-4770-BAC9-01B1827C0234}"/>
    <cellStyle name="Ausgabe" xfId="3162" hidden="1" xr:uid="{E35E26A6-67C5-4386-B044-E2B0F989A980}"/>
    <cellStyle name="Ausgabe" xfId="2237" hidden="1" xr:uid="{32D1AD9C-50F7-4638-8F2D-C1AAFDA2B959}"/>
    <cellStyle name="Ausgabe" xfId="1868" hidden="1" xr:uid="{250A69BB-C19E-4A6E-9DD0-76E82B936F29}"/>
    <cellStyle name="Ausgabe" xfId="3638" hidden="1" xr:uid="{537BD786-EFB1-42DC-8CCE-7D40F00D6C5A}"/>
    <cellStyle name="Ausgabe" xfId="982" hidden="1" xr:uid="{1471E15B-AC21-41A1-BCB1-6E3F52DC6C0E}"/>
    <cellStyle name="Ausgabe" xfId="1386" hidden="1" xr:uid="{EE2ACA60-C54C-4DE5-A960-976B85832586}"/>
    <cellStyle name="Ausgabe" xfId="1415" hidden="1" xr:uid="{FE4EAA2B-65C9-44ED-9814-7CDE5A9244F7}"/>
    <cellStyle name="Ausgabe" xfId="892" hidden="1" xr:uid="{506C80CC-5E15-4C17-8C22-5823B624E1FC}"/>
    <cellStyle name="Ausgabe" xfId="45" hidden="1" xr:uid="{D12EBC69-D98C-408F-A7A0-296736AEE175}"/>
    <cellStyle name="Ausgabe 2" xfId="391" xr:uid="{DD8F03EF-71E3-4A75-9E7B-C490152F5AF6}"/>
    <cellStyle name="Ausgabe 2 10" xfId="4950" xr:uid="{788D23B8-0177-498C-8560-B63685C75186}"/>
    <cellStyle name="Ausgabe 2 11" xfId="2304" xr:uid="{07188E62-2592-4CB3-B186-98E7AFB2CC91}"/>
    <cellStyle name="Ausgabe 2 12" xfId="7118" xr:uid="{9A7AFE4E-DC6F-46C6-9CFD-86912E53A7E1}"/>
    <cellStyle name="Ausgabe 2 13" xfId="6959" xr:uid="{C5C7E86B-C7C8-45DE-85EA-6890B1B2C41F}"/>
    <cellStyle name="Ausgabe 2 14" xfId="8082" xr:uid="{A3ECFF6F-9087-49C2-A0EF-2878DC5AD3A2}"/>
    <cellStyle name="Ausgabe 2 15" xfId="9331" xr:uid="{32541002-88C2-4B01-9A0D-E1573C3BED59}"/>
    <cellStyle name="Ausgabe 2 16" xfId="9172" xr:uid="{3307EBB0-7951-427E-87D3-563BF35BA934}"/>
    <cellStyle name="Ausgabe 2 17" xfId="11745" xr:uid="{B9C3DB97-85C5-4EF0-8D72-215D4BEF09C4}"/>
    <cellStyle name="Ausgabe 2 18" xfId="11581" xr:uid="{1AF9732D-D387-4602-8BDC-695A4AD1BBBC}"/>
    <cellStyle name="Ausgabe 2 19" xfId="11548" xr:uid="{26A3A750-C6D0-4745-9AA6-ADB159273045}"/>
    <cellStyle name="Ausgabe 2 2" xfId="647" xr:uid="{E5EB5D54-6502-4711-AA70-54A709766EC8}"/>
    <cellStyle name="Ausgabe 2 2 10" xfId="4986" xr:uid="{D2758E4F-D4AE-444F-AD19-2F83F848451D}"/>
    <cellStyle name="Ausgabe 2 2 11" xfId="5295" xr:uid="{B90F7FD7-C32B-4847-908E-FE2DE2C24E8A}"/>
    <cellStyle name="Ausgabe 2 2 12" xfId="5653" xr:uid="{64E27DDD-A516-4098-BFAF-0A75FE7404FD}"/>
    <cellStyle name="Ausgabe 2 2 13" xfId="6162" xr:uid="{A76FB5FD-5A83-4A1D-B3D2-2521AE5589FC}"/>
    <cellStyle name="Ausgabe 2 2 14" xfId="6605" xr:uid="{C91DD8CA-80F9-4566-82A3-E21F7383403E}"/>
    <cellStyle name="Ausgabe 2 2 15" xfId="7367" xr:uid="{A234E0C4-F1D2-4318-B78E-F73DF81E380A}"/>
    <cellStyle name="Ausgabe 2 2 16" xfId="7054" xr:uid="{87788412-9DE2-4203-9CB8-03C9EEC9D6F4}"/>
    <cellStyle name="Ausgabe 2 2 17" xfId="8408" xr:uid="{38E16D82-5CA9-46DC-A8F2-94A1E5F4B14F}"/>
    <cellStyle name="Ausgabe 2 2 18" xfId="8738" xr:uid="{FDECBDBF-71A5-4EC9-BA7B-0019F2EF1DF6}"/>
    <cellStyle name="Ausgabe 2 2 19" xfId="9581" xr:uid="{A9FE5510-A277-4A83-B073-BD89BC02A511}"/>
    <cellStyle name="Ausgabe 2 2 2" xfId="862" xr:uid="{AE9939C0-08FD-45FC-BF16-AEC0E90FDDEC}"/>
    <cellStyle name="Ausgabe 2 2 2 10" xfId="5510" xr:uid="{69E71DA7-6686-481A-81C1-DDE61B9521ED}"/>
    <cellStyle name="Ausgabe 2 2 2 11" xfId="5932" xr:uid="{DFC4AB9E-79DF-45FB-99DB-364C7517CF86}"/>
    <cellStyle name="Ausgabe 2 2 2 12" xfId="5976" xr:uid="{25028DA2-C05F-4526-80BB-7C6EF37F28D4}"/>
    <cellStyle name="Ausgabe 2 2 2 13" xfId="6650" xr:uid="{6A74C8DE-5C87-4A24-8031-27E92C7D93CB}"/>
    <cellStyle name="Ausgabe 2 2 2 14" xfId="7582" xr:uid="{B9B8F956-72FB-4F8E-BE14-B80783861ED0}"/>
    <cellStyle name="Ausgabe 2 2 2 15" xfId="6746" xr:uid="{BA8909C4-F95B-4AFC-9C97-44E57CFDEE5C}"/>
    <cellStyle name="Ausgabe 2 2 2 16" xfId="6776" xr:uid="{B23DA034-0AEE-404E-AD4C-860FF4C6E756}"/>
    <cellStyle name="Ausgabe 2 2 2 17" xfId="8037" xr:uid="{35CB1670-830C-493F-BDE3-6C4653154E1E}"/>
    <cellStyle name="Ausgabe 2 2 2 18" xfId="9796" xr:uid="{3B1C12FE-200B-443C-A4FB-DC7896AFFB82}"/>
    <cellStyle name="Ausgabe 2 2 2 19" xfId="9356" xr:uid="{7D4DF7CC-8CFD-47F0-BEA7-A691DCC8ABE0}"/>
    <cellStyle name="Ausgabe 2 2 2 2" xfId="1336" xr:uid="{29997C74-988F-41AC-BAFF-5904DE074E96}"/>
    <cellStyle name="Ausgabe 2 2 2 20" xfId="10126" xr:uid="{8FEF8530-9A4B-424E-A6F8-182F0F7C51A5}"/>
    <cellStyle name="Ausgabe 2 2 2 21" xfId="10345" xr:uid="{C4A4BA3E-4D59-486C-B648-C2376F698C16}"/>
    <cellStyle name="Ausgabe 2 2 2 22" xfId="10786" xr:uid="{AA6896E2-C227-41D1-8EDD-5464F2561886}"/>
    <cellStyle name="Ausgabe 2 2 2 23" xfId="12215" xr:uid="{FFDAC45A-91B7-4A59-8731-60962894FEA8}"/>
    <cellStyle name="Ausgabe 2 2 2 24" xfId="12688" xr:uid="{20A77488-F9FC-4B89-A486-4850F0722313}"/>
    <cellStyle name="Ausgabe 2 2 2 25" xfId="13122" xr:uid="{8E10A56D-5575-4E6D-AD88-48E916025C6A}"/>
    <cellStyle name="Ausgabe 2 2 2 26" xfId="13559" xr:uid="{6E0496A8-0B09-4465-9E71-4F9CACC43C6D}"/>
    <cellStyle name="Ausgabe 2 2 2 27" xfId="13599" xr:uid="{C7162720-E2AE-4411-B9A5-E450B232F045}"/>
    <cellStyle name="Ausgabe 2 2 2 28" xfId="14478" xr:uid="{A9EC9BA2-F8F5-409B-88A7-418314BECEBC}"/>
    <cellStyle name="Ausgabe 2 2 2 29" xfId="13640" xr:uid="{FB207DD7-3B5F-401C-9784-AA0537A32B2D}"/>
    <cellStyle name="Ausgabe 2 2 2 3" xfId="1785" xr:uid="{9E024BA3-F386-48AF-A4F8-0B46D1C9408A}"/>
    <cellStyle name="Ausgabe 2 2 2 30" xfId="15091" xr:uid="{2FDA2523-23CA-495D-BA93-7A2CCAEF4020}"/>
    <cellStyle name="Ausgabe 2 2 2 31" xfId="11733" xr:uid="{CEBD8B89-1247-410E-A57E-17DE8F1D43B2}"/>
    <cellStyle name="Ausgabe 2 2 2 32" xfId="15451" xr:uid="{807243DC-AD50-4645-BF06-E55F43F21889}"/>
    <cellStyle name="Ausgabe 2 2 2 33" xfId="16907" xr:uid="{F35F5B7D-19E4-47D5-8DA5-BF271653F623}"/>
    <cellStyle name="Ausgabe 2 2 2 34" xfId="16055" xr:uid="{0C23902A-2121-4406-A973-EE977451CA71}"/>
    <cellStyle name="Ausgabe 2 2 2 35" xfId="17245" xr:uid="{ACAFC3B1-5774-4337-B5C2-7D10B668C784}"/>
    <cellStyle name="Ausgabe 2 2 2 36" xfId="16498" xr:uid="{CA8EF809-9530-4145-94EA-5A13B09FF69E}"/>
    <cellStyle name="Ausgabe 2 2 2 37" xfId="18725" xr:uid="{F7E55EC1-04E4-4C79-BBBB-ED1E4D2FCE14}"/>
    <cellStyle name="Ausgabe 2 2 2 38" xfId="19040" xr:uid="{27B18693-4349-457D-86CD-6ED732510D40}"/>
    <cellStyle name="Ausgabe 2 2 2 39" xfId="19162" xr:uid="{E03AC0F9-96AA-4400-8743-779FD1530F5E}"/>
    <cellStyle name="Ausgabe 2 2 2 4" xfId="2684" xr:uid="{5201C5A0-C413-4921-9DCD-5E5805427CD8}"/>
    <cellStyle name="Ausgabe 2 2 2 40" xfId="20244" xr:uid="{06793814-0F9F-4E5B-B751-2A246CC2DAD6}"/>
    <cellStyle name="Ausgabe 2 2 2 41" xfId="19890" xr:uid="{7982CCF8-E7ED-4846-953A-EAAD74186663}"/>
    <cellStyle name="Ausgabe 2 2 2 42" xfId="19812" xr:uid="{EBE3B168-B8AB-4BF3-8AD5-C706C8F70412}"/>
    <cellStyle name="Ausgabe 2 2 2 43" xfId="21491" xr:uid="{088A82CF-7A64-4828-BF3E-6E575B84176A}"/>
    <cellStyle name="Ausgabe 2 2 2 44" xfId="20815" xr:uid="{42160415-4816-4229-B4CB-6620C12DB751}"/>
    <cellStyle name="Ausgabe 2 2 2 45" xfId="22046" xr:uid="{BCC3D39D-1961-4BD3-902E-8C49391246CB}"/>
    <cellStyle name="Ausgabe 2 2 2 46" xfId="22608" xr:uid="{1D5683EE-BE79-4B2F-AE35-B6ADC0F71BF3}"/>
    <cellStyle name="Ausgabe 2 2 2 47" xfId="23317" xr:uid="{C85025A0-2B8C-44A7-B8B6-5BD65B63B9F6}"/>
    <cellStyle name="Ausgabe 2 2 2 48" xfId="23262" xr:uid="{6B515C33-6AC7-427A-9315-918ADCB0F898}"/>
    <cellStyle name="Ausgabe 2 2 2 49" xfId="24044" xr:uid="{1D53F36B-F140-4E86-82DF-5113ABE805FB}"/>
    <cellStyle name="Ausgabe 2 2 2 5" xfId="2765" xr:uid="{2B19EA6E-CD0A-4291-9BE3-212674D14B38}"/>
    <cellStyle name="Ausgabe 2 2 2 50" xfId="24952" xr:uid="{2D8529FB-BA43-4486-8F2D-F8F739DDA856}"/>
    <cellStyle name="Ausgabe 2 2 2 51" xfId="24330" xr:uid="{64FAE01F-14FF-4273-BE10-03D2A1137366}"/>
    <cellStyle name="Ausgabe 2 2 2 52" xfId="25868" xr:uid="{5EA1D378-E02D-40D9-9AFF-9E1A0F143AC0}"/>
    <cellStyle name="Ausgabe 2 2 2 53" xfId="25444" xr:uid="{2894210C-E8DE-4BD6-A04F-EE50D9A8EE67}"/>
    <cellStyle name="Ausgabe 2 2 2 54" xfId="26735" xr:uid="{60D2F4E6-41B6-4C5D-B088-2274D3DF703E}"/>
    <cellStyle name="Ausgabe 2 2 2 55" xfId="27156" xr:uid="{2474758C-75F1-4E8C-A64D-1A842B350DDA}"/>
    <cellStyle name="Ausgabe 2 2 2 56" xfId="27575" xr:uid="{02F61E1D-C030-48EF-8BF5-899C4150DE67}"/>
    <cellStyle name="Ausgabe 2 2 2 57" xfId="26500" xr:uid="{9927B4DB-434E-4495-90D6-9BB33D82E923}"/>
    <cellStyle name="Ausgabe 2 2 2 58" xfId="28702" xr:uid="{F1E9DE2E-115C-4273-8B6E-1EEA62CBDEF4}"/>
    <cellStyle name="Ausgabe 2 2 2 59" xfId="29169" xr:uid="{1A9B85FC-F011-4156-98DF-08590E4177A8}"/>
    <cellStyle name="Ausgabe 2 2 2 6" xfId="3575" xr:uid="{67B48994-4E50-4274-AA8A-FA157B5F68AD}"/>
    <cellStyle name="Ausgabe 2 2 2 60" xfId="27992" xr:uid="{7270CC2C-A2FA-45DD-B3F0-12CC796E2CEA}"/>
    <cellStyle name="Ausgabe 2 2 2 61" xfId="29958" xr:uid="{58F3B626-EAA3-4C1A-8906-2A0B776D1EB4}"/>
    <cellStyle name="Ausgabe 2 2 2 62" xfId="30364" xr:uid="{0EAB8E7C-259E-4F5A-AD0A-D501266BB093}"/>
    <cellStyle name="Ausgabe 2 2 2 63" xfId="30781" xr:uid="{73A26D48-D940-4979-BF61-C7A32F6504B8}"/>
    <cellStyle name="Ausgabe 2 2 2 64" xfId="31026" xr:uid="{537A6214-FE61-4CBC-A185-664609A5F41E}"/>
    <cellStyle name="Ausgabe 2 2 2 65" xfId="31397" xr:uid="{8DA2A690-648A-449C-88C8-AD0E9F0916B5}"/>
    <cellStyle name="Ausgabe 2 2 2 66" xfId="32088" xr:uid="{736F73EC-E3CB-4E49-9F32-D620595AD399}"/>
    <cellStyle name="Ausgabe 2 2 2 67" xfId="32202" xr:uid="{480B078C-CC29-4DE0-915E-B37304DC2283}"/>
    <cellStyle name="Ausgabe 2 2 2 7" xfId="4180" xr:uid="{49531435-FF9F-457A-8D25-8A30B639A66E}"/>
    <cellStyle name="Ausgabe 2 2 2 8" xfId="4617" xr:uid="{27B2FE97-11CC-4758-9B31-9EC083784B56}"/>
    <cellStyle name="Ausgabe 2 2 2 9" xfId="5063" xr:uid="{B4ACFA53-02B6-4B29-A341-EB551522FA74}"/>
    <cellStyle name="Ausgabe 2 2 20" xfId="9267" xr:uid="{4B21103C-CA9F-4E9F-8535-28D4FB12C68C}"/>
    <cellStyle name="Ausgabe 2 2 21" xfId="10048" xr:uid="{1264EC31-80AA-4346-8898-7F96BA6D5091}"/>
    <cellStyle name="Ausgabe 2 2 22" xfId="10800" xr:uid="{67F6346C-EEB3-4B6D-BAF1-FDA318B48A90}"/>
    <cellStyle name="Ausgabe 2 2 23" xfId="11105" xr:uid="{4C0E0D29-496E-4BEE-9D6C-40D78554C2FB}"/>
    <cellStyle name="Ausgabe 2 2 24" xfId="12000" xr:uid="{C94B5A08-C0E1-4ECE-AFE8-876C9FF4AF68}"/>
    <cellStyle name="Ausgabe 2 2 25" xfId="12473" xr:uid="{A2DDF696-6A01-4CF1-A2F6-CC9368817A48}"/>
    <cellStyle name="Ausgabe 2 2 26" xfId="12907" xr:uid="{6843A32B-069E-47CF-90C6-73B4E4727434}"/>
    <cellStyle name="Ausgabe 2 2 27" xfId="13344" xr:uid="{3545BBFA-7A48-40DD-8723-D85F4932535F}"/>
    <cellStyle name="Ausgabe 2 2 28" xfId="13757" xr:uid="{433DA52A-ABAC-428C-90DC-6C0E9CA4BC59}"/>
    <cellStyle name="Ausgabe 2 2 29" xfId="14201" xr:uid="{CBD8D953-1474-45BB-908F-2B93EA6BE22B}"/>
    <cellStyle name="Ausgabe 2 2 3" xfId="1130" xr:uid="{BBBD9DEE-CB1C-4212-B6A1-AFE8D21438E3}"/>
    <cellStyle name="Ausgabe 2 2 30" xfId="14381" xr:uid="{1C8E7C8C-0182-4BF6-B833-5787D05D43A3}"/>
    <cellStyle name="Ausgabe 2 2 31" xfId="14759" xr:uid="{A81BE383-86AE-4C60-8BFB-5E6C616E97C6}"/>
    <cellStyle name="Ausgabe 2 2 32" xfId="15042" xr:uid="{FA6E3CB1-A54E-47A3-8EF3-94661AD2E6BC}"/>
    <cellStyle name="Ausgabe 2 2 33" xfId="15776" xr:uid="{9946DD04-EDA9-4E07-ACA8-5C1208133CC1}"/>
    <cellStyle name="Ausgabe 2 2 34" xfId="16692" xr:uid="{A5BC8E8B-C490-4C1D-A1BC-6C5726327DCC}"/>
    <cellStyle name="Ausgabe 2 2 35" xfId="16376" xr:uid="{4013D57C-5825-44F8-BEC5-3370DD875043}"/>
    <cellStyle name="Ausgabe 2 2 36" xfId="17166" xr:uid="{B8CE8E3D-3046-4D2A-9547-922CC39F58C2}"/>
    <cellStyle name="Ausgabe 2 2 37" xfId="17538" xr:uid="{6625F7B4-9198-4BDA-82D1-81586B5360EF}"/>
    <cellStyle name="Ausgabe 2 2 38" xfId="18510" xr:uid="{3012A273-BE31-4DEA-B959-036551D3C0B0}"/>
    <cellStyle name="Ausgabe 2 2 39" xfId="18864" xr:uid="{481C670D-269C-42D4-8E4E-9919C2E07668}"/>
    <cellStyle name="Ausgabe 2 2 4" xfId="1602" xr:uid="{3A54F84A-A738-4D6D-8DD0-E29E1DE34995}"/>
    <cellStyle name="Ausgabe 2 2 40" xfId="19233" xr:uid="{A683F820-86AF-4086-BA04-1737F27C877F}"/>
    <cellStyle name="Ausgabe 2 2 41" xfId="20029" xr:uid="{3E214B86-A92D-47B0-998C-9D24127936A1}"/>
    <cellStyle name="Ausgabe 2 2 42" xfId="19710" xr:uid="{F0871D1C-C877-45D6-86FA-7116E09693FD}"/>
    <cellStyle name="Ausgabe 2 2 43" xfId="20537" xr:uid="{DF8BEAAA-D9E7-41EE-B64E-E4187454BA99}"/>
    <cellStyle name="Ausgabe 2 2 44" xfId="21175" xr:uid="{46A6B714-759C-49B9-B7F8-735855B8DB6A}"/>
    <cellStyle name="Ausgabe 2 2 45" xfId="20286" xr:uid="{9059E590-1DEE-455B-9F44-10A1BA4AD01F}"/>
    <cellStyle name="Ausgabe 2 2 46" xfId="21770" xr:uid="{7A69248A-5699-48EC-B28B-76827704534F}"/>
    <cellStyle name="Ausgabe 2 2 47" xfId="22752" xr:uid="{7E750AC2-2CB9-4F50-A154-87B81DF7C91A}"/>
    <cellStyle name="Ausgabe 2 2 48" xfId="23139" xr:uid="{A918665B-4485-4AE1-8DD5-2BF2CB6038A0}"/>
    <cellStyle name="Ausgabe 2 2 49" xfId="22652" xr:uid="{D2E8BF83-3417-4F4F-9114-6EC9F0B7E3F1}"/>
    <cellStyle name="Ausgabe 2 2 5" xfId="2469" xr:uid="{C5113F57-F30C-454B-B15B-4C26312CD60D}"/>
    <cellStyle name="Ausgabe 2 2 50" xfId="23838" xr:uid="{9ED8D5AD-9263-4876-AC61-A7B9A396D175}"/>
    <cellStyle name="Ausgabe 2 2 51" xfId="24737" xr:uid="{0E52175C-CF7C-469B-B9FC-F4851F98FBF0}"/>
    <cellStyle name="Ausgabe 2 2 52" xfId="24407" xr:uid="{7891C114-5941-4452-A954-5E9B41AE90F4}"/>
    <cellStyle name="Ausgabe 2 2 53" xfId="25655" xr:uid="{08136089-870D-44AC-B1D9-45AB00637BFB}"/>
    <cellStyle name="Ausgabe 2 2 54" xfId="26168" xr:uid="{75DF7378-D71E-4CBA-BEEB-11A3910F6B40}"/>
    <cellStyle name="Ausgabe 2 2 55" xfId="26012" xr:uid="{A152A752-8B0F-4C78-9890-953253B4A452}"/>
    <cellStyle name="Ausgabe 2 2 56" xfId="26945" xr:uid="{88A85E83-D72B-48D2-914A-20152BB46361}"/>
    <cellStyle name="Ausgabe 2 2 57" xfId="27364" xr:uid="{AED09B51-1803-4139-9B00-B6BCE3CCC736}"/>
    <cellStyle name="Ausgabe 2 2 58" xfId="27688" xr:uid="{93AAF157-F9A2-44C0-9F56-093EC7375A34}"/>
    <cellStyle name="Ausgabe 2 2 59" xfId="28487" xr:uid="{E00B0553-8145-496A-B4AC-F5CC13EAE811}"/>
    <cellStyle name="Ausgabe 2 2 6" xfId="2923" xr:uid="{D6D14993-CB34-4579-957A-A8D34FEF3002}"/>
    <cellStyle name="Ausgabe 2 2 60" xfId="28955" xr:uid="{0299CD5B-992A-4CDA-BB59-03A4234583EC}"/>
    <cellStyle name="Ausgabe 2 2 61" xfId="27998" xr:uid="{ED341B6E-52B2-48FF-B091-AFACAF138CC3}"/>
    <cellStyle name="Ausgabe 2 2 62" xfId="29745" xr:uid="{0610C3AE-BBAC-4D66-B80B-330DA6C0AD23}"/>
    <cellStyle name="Ausgabe 2 2 63" xfId="30153" xr:uid="{52840BFB-76ED-490E-8E5C-62B079C456EC}"/>
    <cellStyle name="Ausgabe 2 2 64" xfId="30567" xr:uid="{1EC95D07-44BE-4D59-A76D-26AE3E56C940}"/>
    <cellStyle name="Ausgabe 2 2 65" xfId="30428" xr:uid="{84B0EC5A-7BB7-4884-9EF0-3510AF59A0D3}"/>
    <cellStyle name="Ausgabe 2 2 66" xfId="31191" xr:uid="{60A7E369-040B-4A31-A054-4BF57A3667CC}"/>
    <cellStyle name="Ausgabe 2 2 67" xfId="31877" xr:uid="{5324B516-952D-407E-B920-3A2830B1E5BB}"/>
    <cellStyle name="Ausgabe 2 2 68" xfId="31691" xr:uid="{4A71B6E4-8880-4D2E-947D-92DBADCBFFC9}"/>
    <cellStyle name="Ausgabe 2 2 7" xfId="2207" xr:uid="{6E51F793-DDCD-4139-BB5F-6A51CF6E4501}"/>
    <cellStyle name="Ausgabe 2 2 8" xfId="3965" xr:uid="{3D46072E-8ECF-43A8-B29B-91C794AC1181}"/>
    <cellStyle name="Ausgabe 2 2 9" xfId="4403" xr:uid="{36E17A01-D891-4972-BE67-70E182801B19}"/>
    <cellStyle name="Ausgabe 2 20" xfId="16440" xr:uid="{07B05404-21D0-488B-8E08-94385A4C0960}"/>
    <cellStyle name="Ausgabe 2 21" xfId="16278" xr:uid="{FF184F3B-4709-4642-AD9F-F8030C943D27}"/>
    <cellStyle name="Ausgabe 2 22" xfId="16993" xr:uid="{9DEBA111-BB34-475C-9654-D3A3A8C66ED8}"/>
    <cellStyle name="Ausgabe 2 23" xfId="18360" xr:uid="{EAC4552B-3953-48BF-876D-2D4A46012378}"/>
    <cellStyle name="Ausgabe 2 24" xfId="19774" xr:uid="{48D7336E-5F61-4CF1-AFFD-C5E91B03F211}"/>
    <cellStyle name="Ausgabe 2 25" xfId="21325" xr:uid="{31D6E061-993F-422D-97B1-3CDCC392F720}"/>
    <cellStyle name="Ausgabe 2 26" xfId="23562" xr:uid="{C865BB9F-27CB-467A-A758-22E612ADA4E7}"/>
    <cellStyle name="Ausgabe 2 27" xfId="24485" xr:uid="{B686E72D-5EC9-44B1-BA9F-6588324A2798}"/>
    <cellStyle name="Ausgabe 2 28" xfId="24220" xr:uid="{149F0FB2-554F-488A-A338-0A3976C15364}"/>
    <cellStyle name="Ausgabe 2 29" xfId="25475" xr:uid="{A03A1BFB-3881-4B52-8258-FCA62F5664CC}"/>
    <cellStyle name="Ausgabe 2 3" xfId="532" xr:uid="{C9C478EB-BEF8-49BE-ADAC-009395D2FEAD}"/>
    <cellStyle name="Ausgabe 2 3 10" xfId="5028" xr:uid="{A6A41E25-E0B0-4F90-90E1-A5E29EFB1600}"/>
    <cellStyle name="Ausgabe 2 3 11" xfId="5180" xr:uid="{AEFB59F9-B3BA-45DA-B505-CF614B260517}"/>
    <cellStyle name="Ausgabe 2 3 12" xfId="5807" xr:uid="{77A383E3-91F0-4157-A7CD-0E9A597FF84C}"/>
    <cellStyle name="Ausgabe 2 3 13" xfId="5788" xr:uid="{273AC3EA-B12C-40B0-8082-13BA931C6A05}"/>
    <cellStyle name="Ausgabe 2 3 14" xfId="6652" xr:uid="{D64204C0-31BF-4833-BB39-7A72F27E3AF1}"/>
    <cellStyle name="Ausgabe 2 3 15" xfId="7252" xr:uid="{5D8C6068-517E-4FBC-9ACD-54041A065AFA}"/>
    <cellStyle name="Ausgabe 2 3 16" xfId="7727" xr:uid="{E8601BCC-6417-46AD-BAB4-CF94512EEDC2}"/>
    <cellStyle name="Ausgabe 2 3 17" xfId="8229" xr:uid="{F6A5F0E8-EFDF-405D-914C-66EF8A241571}"/>
    <cellStyle name="Ausgabe 2 3 18" xfId="6744" xr:uid="{0E3511BC-4156-463F-B203-127965F9B3E7}"/>
    <cellStyle name="Ausgabe 2 3 19" xfId="9466" xr:uid="{C16F6302-0284-4AD5-9260-4032C39EE2D2}"/>
    <cellStyle name="Ausgabe 2 3 2" xfId="747" xr:uid="{B2B66AD7-0476-4AF7-87D1-860AEBD36918}"/>
    <cellStyle name="Ausgabe 2 3 2 10" xfId="5395" xr:uid="{95A121F0-5343-4220-9E2D-CD39A6C823F5}"/>
    <cellStyle name="Ausgabe 2 3 2 11" xfId="3383" xr:uid="{FB787DB8-E2CB-47E5-9E6A-37BD940DB536}"/>
    <cellStyle name="Ausgabe 2 3 2 12" xfId="5671" xr:uid="{C898244B-9BAE-4F90-AAF6-E2976297CB42}"/>
    <cellStyle name="Ausgabe 2 3 2 13" xfId="6629" xr:uid="{699FD631-35F9-4072-BD89-1BB993EED188}"/>
    <cellStyle name="Ausgabe 2 3 2 14" xfId="7467" xr:uid="{E34EAA35-30D2-4E2C-B814-C92D163D2C45}"/>
    <cellStyle name="Ausgabe 2 3 2 15" xfId="7185" xr:uid="{DCA27590-7B58-431B-BD66-760ABAB701E4}"/>
    <cellStyle name="Ausgabe 2 3 2 16" xfId="7675" xr:uid="{8191F3B3-56DB-49B6-8A7D-AE49303BFBBE}"/>
    <cellStyle name="Ausgabe 2 3 2 17" xfId="6839" xr:uid="{3844AEF4-EBA2-4A75-BAB4-4CC4A272FE5D}"/>
    <cellStyle name="Ausgabe 2 3 2 18" xfId="9681" xr:uid="{FB834420-1350-42D6-912B-F18FF3AAA4DD}"/>
    <cellStyle name="Ausgabe 2 3 2 19" xfId="9398" xr:uid="{94CDD206-EF3D-413D-9217-1DA4E8A1293B}"/>
    <cellStyle name="Ausgabe 2 3 2 2" xfId="1221" xr:uid="{6651222E-D46D-4D59-851D-CBFACF5137D3}"/>
    <cellStyle name="Ausgabe 2 3 2 20" xfId="9909" xr:uid="{77DF7DC5-406B-4234-99AB-878BF28DEA51}"/>
    <cellStyle name="Ausgabe 2 3 2 21" xfId="9903" xr:uid="{3300622C-B4AC-45F7-927A-A317AAA6921F}"/>
    <cellStyle name="Ausgabe 2 3 2 22" xfId="9422" xr:uid="{A2A4B64F-1793-4B0B-B5BD-D37E78BC5E14}"/>
    <cellStyle name="Ausgabe 2 3 2 23" xfId="12100" xr:uid="{D9218027-17ED-471B-BD91-CC4E750AF3AB}"/>
    <cellStyle name="Ausgabe 2 3 2 24" xfId="12573" xr:uid="{B97C384D-8848-4893-AD20-B8891D955406}"/>
    <cellStyle name="Ausgabe 2 3 2 25" xfId="13007" xr:uid="{DC102946-4854-4C35-A19E-86EC78279DC1}"/>
    <cellStyle name="Ausgabe 2 3 2 26" xfId="13444" xr:uid="{9A895518-C152-4EC3-ADC4-D2747307DEA1}"/>
    <cellStyle name="Ausgabe 2 3 2 27" xfId="11657" xr:uid="{C6E942A8-A788-41FB-A46F-556D0A7E15C3}"/>
    <cellStyle name="Ausgabe 2 3 2 28" xfId="11391" xr:uid="{086227EB-2194-4EBA-A23B-2D845264236D}"/>
    <cellStyle name="Ausgabe 2 3 2 29" xfId="13828" xr:uid="{B539BFBB-4A04-4656-A336-F32FB988AE1E}"/>
    <cellStyle name="Ausgabe 2 3 2 3" xfId="1568" xr:uid="{49775AD2-65A0-4A8F-AB50-5A9BE2D8DB31}"/>
    <cellStyle name="Ausgabe 2 3 2 30" xfId="15205" xr:uid="{AF31980F-146C-4572-BFCC-21133371A2F9}"/>
    <cellStyle name="Ausgabe 2 3 2 31" xfId="15093" xr:uid="{09C1FE44-6461-4B44-960F-BBF9E12E9BF7}"/>
    <cellStyle name="Ausgabe 2 3 2 32" xfId="15485" xr:uid="{C6C067CC-9425-4A8E-8533-5A8B43616BCA}"/>
    <cellStyle name="Ausgabe 2 3 2 33" xfId="16792" xr:uid="{8E4CD01F-1488-4AC5-BDCB-3FAEFEE1AFDA}"/>
    <cellStyle name="Ausgabe 2 3 2 34" xfId="16507" xr:uid="{AAF127FB-2172-4ACA-A8CF-B4533DAA3545}"/>
    <cellStyle name="Ausgabe 2 3 2 35" xfId="17021" xr:uid="{1FD6E4ED-2531-4A61-A6A1-A86BFA8FF17E}"/>
    <cellStyle name="Ausgabe 2 3 2 36" xfId="17897" xr:uid="{B994B7A9-4929-493B-A41B-FAE8D03A688D}"/>
    <cellStyle name="Ausgabe 2 3 2 37" xfId="18610" xr:uid="{4BB3FB59-0CFA-4E14-9713-37B1C0906E65}"/>
    <cellStyle name="Ausgabe 2 3 2 38" xfId="17459" xr:uid="{B296EFA4-7F0D-4834-80AD-BBF0A2207DFA}"/>
    <cellStyle name="Ausgabe 2 3 2 39" xfId="18965" xr:uid="{41422115-D6D8-4F46-8817-12EF8BA379C5}"/>
    <cellStyle name="Ausgabe 2 3 2 4" xfId="2569" xr:uid="{8E04666A-E383-41CB-984D-BD1BC1774D71}"/>
    <cellStyle name="Ausgabe 2 3 2 40" xfId="20129" xr:uid="{74C4F188-9C35-46D0-B91D-F520C65F309E}"/>
    <cellStyle name="Ausgabe 2 3 2 41" xfId="19843" xr:uid="{D7EFB780-E0DE-4BAD-8E7D-D52C7CADC573}"/>
    <cellStyle name="Ausgabe 2 3 2 42" xfId="20725" xr:uid="{558968F8-025D-4457-BE9B-43E185E152A9}"/>
    <cellStyle name="Ausgabe 2 3 2 43" xfId="21243" xr:uid="{85536A01-6F69-41A9-A351-5D72873D1CB8}"/>
    <cellStyle name="Ausgabe 2 3 2 44" xfId="21509" xr:uid="{71586317-0354-48F2-84B8-C9C8056F6E45}"/>
    <cellStyle name="Ausgabe 2 3 2 45" xfId="21979" xr:uid="{8875C97A-0A42-4745-95A3-22D3757FA0FE}"/>
    <cellStyle name="Ausgabe 2 3 2 46" xfId="22314" xr:uid="{30D75B16-8CB9-4E47-927E-1F37124D981F}"/>
    <cellStyle name="Ausgabe 2 3 2 47" xfId="22985" xr:uid="{D6926552-9446-4063-B2EE-321D6274369B}"/>
    <cellStyle name="Ausgabe 2 3 2 48" xfId="23391" xr:uid="{E3CC8807-DDB5-4F2D-A8F6-DE871A440E2A}"/>
    <cellStyle name="Ausgabe 2 3 2 49" xfId="23929" xr:uid="{62E44032-45F3-4D70-B7E2-66A6CC8B0231}"/>
    <cellStyle name="Ausgabe 2 3 2 5" xfId="1972" xr:uid="{876FFC4A-7EAC-435E-8B72-5A5D8ED5B7A5}"/>
    <cellStyle name="Ausgabe 2 3 2 50" xfId="24837" xr:uid="{4287615B-FACD-4AFD-8C8C-C1C33CE952E8}"/>
    <cellStyle name="Ausgabe 2 3 2 51" xfId="24406" xr:uid="{741C235C-B0A2-4947-A1D1-8652351EAE09}"/>
    <cellStyle name="Ausgabe 2 3 2 52" xfId="25753" xr:uid="{6BB5EC5C-13BC-4C84-A5B3-E60144B3CA0D}"/>
    <cellStyle name="Ausgabe 2 3 2 53" xfId="24475" xr:uid="{524B22BB-C715-4B3D-9862-1A4C81C7B4B4}"/>
    <cellStyle name="Ausgabe 2 3 2 54" xfId="26552" xr:uid="{1E6967B3-1691-4157-9E0F-117A4A573D2C}"/>
    <cellStyle name="Ausgabe 2 3 2 55" xfId="27041" xr:uid="{E71F5A9E-795F-49AF-A0A6-DA1E9EDA94D4}"/>
    <cellStyle name="Ausgabe 2 3 2 56" xfId="27460" xr:uid="{37F282B2-50AA-40DB-8329-47870AFED086}"/>
    <cellStyle name="Ausgabe 2 3 2 57" xfId="26775" xr:uid="{E76F165D-E264-45AA-B00A-7A0E6CC56E0A}"/>
    <cellStyle name="Ausgabe 2 3 2 58" xfId="28587" xr:uid="{BD47F222-C5AB-4025-A7FB-A9113B7E27F2}"/>
    <cellStyle name="Ausgabe 2 3 2 59" xfId="29054" xr:uid="{F47FCB37-C860-4D1D-8BB0-E1E23B682EA7}"/>
    <cellStyle name="Ausgabe 2 3 2 6" xfId="3578" xr:uid="{88491C11-8791-4638-80BC-C60A8FCE50A9}"/>
    <cellStyle name="Ausgabe 2 3 2 60" xfId="28099" xr:uid="{B87A2FC7-13D5-4BB7-BA89-C9175287878A}"/>
    <cellStyle name="Ausgabe 2 3 2 61" xfId="29843" xr:uid="{D2F34C53-9083-4142-9BB8-DFEBBE73185F}"/>
    <cellStyle name="Ausgabe 2 3 2 62" xfId="30249" xr:uid="{C45A8121-2CAC-4C0E-8B1B-43318F04E874}"/>
    <cellStyle name="Ausgabe 2 3 2 63" xfId="30666" xr:uid="{6446FBA0-B62F-408C-8DD9-66AAAFA7A3DE}"/>
    <cellStyle name="Ausgabe 2 3 2 64" xfId="27901" xr:uid="{1683C10B-DF75-461E-A4B7-A74C3E760196}"/>
    <cellStyle name="Ausgabe 2 3 2 65" xfId="31282" xr:uid="{CF955AAB-822C-4456-9F05-3958CC9BD374}"/>
    <cellStyle name="Ausgabe 2 3 2 66" xfId="31973" xr:uid="{5E8116D5-2A43-444D-AF62-86D6E66A1F9E}"/>
    <cellStyle name="Ausgabe 2 3 2 67" xfId="32120" xr:uid="{A804495C-C981-4CC2-A4F6-335D89C62043}"/>
    <cellStyle name="Ausgabe 2 3 2 7" xfId="4065" xr:uid="{119A4943-56A8-413E-B49B-6C48943F65A2}"/>
    <cellStyle name="Ausgabe 2 3 2 8" xfId="4502" xr:uid="{D5D08BAC-449D-426D-AAA2-D407D7D80761}"/>
    <cellStyle name="Ausgabe 2 3 2 9" xfId="3647" xr:uid="{C6A313B7-0E56-4530-AF67-330957E491DC}"/>
    <cellStyle name="Ausgabe 2 3 20" xfId="9941" xr:uid="{9139BB7B-9148-4FC1-992E-DFCD5A4748F2}"/>
    <cellStyle name="Ausgabe 2 3 21" xfId="10372" xr:uid="{FDD99E55-B653-406B-85DA-9E89998E7E52}"/>
    <cellStyle name="Ausgabe 2 3 22" xfId="9015" xr:uid="{F3D59881-70E7-4A1B-BED5-13BB72E009C1}"/>
    <cellStyle name="Ausgabe 2 3 23" xfId="8987" xr:uid="{02373EDF-FED7-458E-A1F0-F605B57EF64A}"/>
    <cellStyle name="Ausgabe 2 3 24" xfId="11885" xr:uid="{9776D3E2-27A7-467B-92C5-F09E08CC3AEA}"/>
    <cellStyle name="Ausgabe 2 3 25" xfId="12358" xr:uid="{76BCA559-1C9D-4F9E-A755-27CD7C072A63}"/>
    <cellStyle name="Ausgabe 2 3 26" xfId="12792" xr:uid="{A0C02CA0-CE84-4F77-BA49-C5AE78B4534F}"/>
    <cellStyle name="Ausgabe 2 3 27" xfId="13229" xr:uid="{55B709C2-EE87-42BD-BEF8-4462B92AA248}"/>
    <cellStyle name="Ausgabe 2 3 28" xfId="13858" xr:uid="{C23CD973-3FE9-4C1B-B634-299907996AE7}"/>
    <cellStyle name="Ausgabe 2 3 29" xfId="14242" xr:uid="{6DC98ED9-B563-4F77-8A41-C5C3DE9F9BF5}"/>
    <cellStyle name="Ausgabe 2 3 3" xfId="1015" xr:uid="{3871F90F-F38C-4090-AA90-906209F593AA}"/>
    <cellStyle name="Ausgabe 2 3 30" xfId="14809" xr:uid="{53B206E7-2D52-4D30-9175-A99E3D7C176E}"/>
    <cellStyle name="Ausgabe 2 3 31" xfId="15274" xr:uid="{A7C3F5DC-E2F6-4CC0-B6FF-73E60DD745D3}"/>
    <cellStyle name="Ausgabe 2 3 32" xfId="15266" xr:uid="{0F7FB221-0C7F-494F-97DA-E855D461FA8F}"/>
    <cellStyle name="Ausgabe 2 3 33" xfId="15822" xr:uid="{3221D6E6-1D37-4B2A-B839-F5C5E733E7D4}"/>
    <cellStyle name="Ausgabe 2 3 34" xfId="16577" xr:uid="{C7217D7D-144D-4A9F-950F-D18D29F12B03}"/>
    <cellStyle name="Ausgabe 2 3 35" xfId="17055" xr:uid="{A075DDDD-31D7-43D8-A78E-ED467FD8F713}"/>
    <cellStyle name="Ausgabe 2 3 36" xfId="17502" xr:uid="{35BB8C45-B081-451F-8C62-559B0F54138B}"/>
    <cellStyle name="Ausgabe 2 3 37" xfId="18164" xr:uid="{86DED7C3-2A0A-4D9D-ACFD-B28CE64494FE}"/>
    <cellStyle name="Ausgabe 2 3 38" xfId="18395" xr:uid="{FC02E4A6-5CA9-432B-AB85-9B8B57790A42}"/>
    <cellStyle name="Ausgabe 2 3 39" xfId="19009" xr:uid="{A0DAE8FC-CBCB-4498-87E3-BA5ACE4FBAEF}"/>
    <cellStyle name="Ausgabe 2 3 4" xfId="1609" xr:uid="{442DD798-DE30-4238-A42B-E0B3AA0B1A15}"/>
    <cellStyle name="Ausgabe 2 3 40" xfId="19241" xr:uid="{2189D1BB-2984-4419-B754-B4C02062FDE9}"/>
    <cellStyle name="Ausgabe 2 3 41" xfId="19914" xr:uid="{18DB7CE8-BE00-4DCB-B61B-6A7B59A592AD}"/>
    <cellStyle name="Ausgabe 2 3 42" xfId="20407" xr:uid="{E82546C5-15D1-43FB-A604-368001A9ACFC}"/>
    <cellStyle name="Ausgabe 2 3 43" xfId="20860" xr:uid="{08AF3057-7843-49D3-8761-B7A17727BA96}"/>
    <cellStyle name="Ausgabe 2 3 44" xfId="20937" xr:uid="{3719E677-6778-46DF-A88A-8287D0B0EAED}"/>
    <cellStyle name="Ausgabe 2 3 45" xfId="21792" xr:uid="{794A7458-AF12-4576-A934-3AD458A50D91}"/>
    <cellStyle name="Ausgabe 2 3 46" xfId="22229" xr:uid="{72CADF42-925A-423B-9DAE-E6D57896D41D}"/>
    <cellStyle name="Ausgabe 2 3 47" xfId="22842" xr:uid="{4123BC49-B003-4AC4-943D-1148EE614D8E}"/>
    <cellStyle name="Ausgabe 2 3 48" xfId="23290" xr:uid="{004DB86E-1134-4E56-974C-1D0ED3FCEB3E}"/>
    <cellStyle name="Ausgabe 2 3 49" xfId="23071" xr:uid="{82D1D871-3C6B-4C88-987F-0606C5F76C00}"/>
    <cellStyle name="Ausgabe 2 3 5" xfId="2354" xr:uid="{A663B139-C371-430F-8802-F6C27A6394E8}"/>
    <cellStyle name="Ausgabe 2 3 50" xfId="23723" xr:uid="{0D528A06-03E7-42F9-A05A-390EA2660DC9}"/>
    <cellStyle name="Ausgabe 2 3 51" xfId="24622" xr:uid="{281691EC-390B-4477-A972-099B18A155A1}"/>
    <cellStyle name="Ausgabe 2 3 52" xfId="25115" xr:uid="{937B5C99-7444-449C-B794-69313573B4F2}"/>
    <cellStyle name="Ausgabe 2 3 53" xfId="25540" xr:uid="{D6B45416-AEE2-4D53-93CD-3D84BD54F277}"/>
    <cellStyle name="Ausgabe 2 3 54" xfId="26146" xr:uid="{C5082933-52E3-41EE-B1B8-12AFD575028F}"/>
    <cellStyle name="Ausgabe 2 3 55" xfId="26053" xr:uid="{9AAD4DD3-A74A-4900-8886-83EFF0AEE4A3}"/>
    <cellStyle name="Ausgabe 2 3 56" xfId="26830" xr:uid="{9DB38751-3C1A-4A8C-861E-D8E896C6ACFF}"/>
    <cellStyle name="Ausgabe 2 3 57" xfId="27249" xr:uid="{82164906-9D7E-4BE5-9850-04729BA89481}"/>
    <cellStyle name="Ausgabe 2 3 58" xfId="27191" xr:uid="{8C25680B-5784-4B9A-89A4-61000158F9DC}"/>
    <cellStyle name="Ausgabe 2 3 59" xfId="28372" xr:uid="{66CF7121-3A0D-4DBB-A309-37A67047AD91}"/>
    <cellStyle name="Ausgabe 2 3 6" xfId="3024" xr:uid="{04D257A6-9695-45A0-AFFE-8F0EA2182D5A}"/>
    <cellStyle name="Ausgabe 2 3 60" xfId="28840" xr:uid="{A1519913-0358-4900-A57A-8DCA53DDC5C4}"/>
    <cellStyle name="Ausgabe 2 3 61" xfId="29270" xr:uid="{90E87FDD-8660-4E1C-9903-E240621FBA12}"/>
    <cellStyle name="Ausgabe 2 3 62" xfId="29630" xr:uid="{8125B2F8-64E7-45FE-AE2E-1537A81FA814}"/>
    <cellStyle name="Ausgabe 2 3 63" xfId="30038" xr:uid="{862A32DB-3EC9-428B-8CD3-8EFD67D8AE7C}"/>
    <cellStyle name="Ausgabe 2 3 64" xfId="30452" xr:uid="{92B22E69-D829-4633-9068-8D9971F87D24}"/>
    <cellStyle name="Ausgabe 2 3 65" xfId="29993" xr:uid="{756F06CC-C01E-48BB-9131-4BF4EDDCFC6B}"/>
    <cellStyle name="Ausgabe 2 3 66" xfId="31076" xr:uid="{5CF84C6C-5C4D-41EB-8638-A1F046CF20D3}"/>
    <cellStyle name="Ausgabe 2 3 67" xfId="31762" xr:uid="{4F72EFE6-9D6E-4DDD-B9E8-E776941846B1}"/>
    <cellStyle name="Ausgabe 2 3 68" xfId="31668" xr:uid="{BC3D4722-12B5-4F7B-B02A-51B7ACD0487B}"/>
    <cellStyle name="Ausgabe 2 3 7" xfId="3422" xr:uid="{7A723930-5ABA-4304-9A5C-D72C0909ACE4}"/>
    <cellStyle name="Ausgabe 2 3 8" xfId="3850" xr:uid="{62CF8530-CF58-43CE-A0C3-EEC7105EE1EC}"/>
    <cellStyle name="Ausgabe 2 3 9" xfId="4288" xr:uid="{579B5987-DD15-4E2A-AF1A-8FCAD830CF30}"/>
    <cellStyle name="Ausgabe 2 30" xfId="26647" xr:uid="{D9433FF0-32A1-4F61-B392-33BEF7211D68}"/>
    <cellStyle name="Ausgabe 2 31" xfId="28248" xr:uid="{80A4E43E-E6EB-44E7-B9C7-3716D481A93F}"/>
    <cellStyle name="Ausgabe 2 32" xfId="28322" xr:uid="{4512026D-1460-45F8-9AEC-B6778AD6C943}"/>
    <cellStyle name="Ausgabe 2 33" xfId="30883" xr:uid="{859D8266-86E0-478F-ADDB-2AB5A230F536}"/>
    <cellStyle name="Ausgabe 2 34" xfId="31673" xr:uid="{A83C50BE-2175-44CA-B3EE-5FB639E8CB80}"/>
    <cellStyle name="Ausgabe 2 4" xfId="705" xr:uid="{CFDAE0CC-BF24-4652-A4FF-D85581D6B117}"/>
    <cellStyle name="Ausgabe 2 4 10" xfId="5353" xr:uid="{0AB37FE7-B6F3-4EC1-8695-462E19B55DA5}"/>
    <cellStyle name="Ausgabe 2 4 11" xfId="3472" xr:uid="{C3F09092-37EA-48F2-9376-AFBEC0C1CBFA}"/>
    <cellStyle name="Ausgabe 2 4 12" xfId="5764" xr:uid="{3699C7C1-72CB-4C7A-9638-5C3DD36FE0F6}"/>
    <cellStyle name="Ausgabe 2 4 13" xfId="6118" xr:uid="{9172AA2B-A348-4A91-8AEE-06D9D8AC1D44}"/>
    <cellStyle name="Ausgabe 2 4 14" xfId="7425" xr:uid="{6A37424F-06DD-4FAB-8839-078A6583B9FD}"/>
    <cellStyle name="Ausgabe 2 4 15" xfId="7123" xr:uid="{E8172936-40F7-44C1-9094-67AA8DC24DB3}"/>
    <cellStyle name="Ausgabe 2 4 16" xfId="7882" xr:uid="{D122380B-B34A-47E3-AE40-212F906924AA}"/>
    <cellStyle name="Ausgabe 2 4 17" xfId="8705" xr:uid="{E86C7902-9EF2-44C8-9EB3-9A21D208DCBC}"/>
    <cellStyle name="Ausgabe 2 4 18" xfId="9639" xr:uid="{F9529077-05EC-47F2-AFCE-CAF78E244B43}"/>
    <cellStyle name="Ausgabe 2 4 19" xfId="9336" xr:uid="{B2D63F36-5178-4412-88FA-51FA5F6BC294}"/>
    <cellStyle name="Ausgabe 2 4 2" xfId="1179" xr:uid="{FBC9FA43-3FA6-49E8-A2BD-950FD84CB227}"/>
    <cellStyle name="Ausgabe 2 4 20" xfId="9890" xr:uid="{7E94CA59-E3EE-492F-9976-E53CF4217B8F}"/>
    <cellStyle name="Ausgabe 2 4 21" xfId="9292" xr:uid="{D7250D0C-0968-46F8-84CA-D01914F7D15A}"/>
    <cellStyle name="Ausgabe 2 4 22" xfId="11266" xr:uid="{69F09AC7-7CCC-4919-BBAA-65A310EA2316}"/>
    <cellStyle name="Ausgabe 2 4 23" xfId="12058" xr:uid="{8C39E2E3-BAC9-4BE0-9E02-966A4AEF58F2}"/>
    <cellStyle name="Ausgabe 2 4 24" xfId="12531" xr:uid="{F080CD46-0220-4E83-9D74-182B0852CD3C}"/>
    <cellStyle name="Ausgabe 2 4 25" xfId="12965" xr:uid="{5861C48D-CD45-450A-9AC4-DAD42D79B2E8}"/>
    <cellStyle name="Ausgabe 2 4 26" xfId="13402" xr:uid="{D4AC0AE7-18DC-4449-AF28-C871EDBE8BF5}"/>
    <cellStyle name="Ausgabe 2 4 27" xfId="12282" xr:uid="{934BA73F-792C-43CD-8F52-399BDA15777F}"/>
    <cellStyle name="Ausgabe 2 4 28" xfId="14458" xr:uid="{08B67FD6-724D-44EF-A965-91EB6A5F37D1}"/>
    <cellStyle name="Ausgabe 2 4 29" xfId="13857" xr:uid="{9BABAE16-F9B5-432D-B951-F7F9DA978091}"/>
    <cellStyle name="Ausgabe 2 4 3" xfId="1450" xr:uid="{F574F49F-8219-47DC-99C2-0639387CD8C6}"/>
    <cellStyle name="Ausgabe 2 4 30" xfId="15272" xr:uid="{CCFF851F-C642-4E2E-892D-CC0DB948D2E5}"/>
    <cellStyle name="Ausgabe 2 4 31" xfId="15558" xr:uid="{1F5B4216-1F39-4904-BA89-EDC8CEC1E71F}"/>
    <cellStyle name="Ausgabe 2 4 32" xfId="15338" xr:uid="{EC812FCF-2C4E-4697-8F8E-17D47F51DE42}"/>
    <cellStyle name="Ausgabe 2 4 33" xfId="16750" xr:uid="{43BF910A-A24F-4055-A20C-2FB4E370283C}"/>
    <cellStyle name="Ausgabe 2 4 34" xfId="16445" xr:uid="{694A7B1C-729B-458C-8A03-D720FAD78F06}"/>
    <cellStyle name="Ausgabe 2 4 35" xfId="17004" xr:uid="{823415B5-E8C9-492F-BC6B-D37A8BE9E82D}"/>
    <cellStyle name="Ausgabe 2 4 36" xfId="18156" xr:uid="{C69B14AA-846E-4368-82CD-EB1DBDC19C7A}"/>
    <cellStyle name="Ausgabe 2 4 37" xfId="18568" xr:uid="{E124E7C4-DF4A-4807-935F-F056B2C71A30}"/>
    <cellStyle name="Ausgabe 2 4 38" xfId="18784" xr:uid="{0B269AEA-867F-4827-99F5-50292A346B63}"/>
    <cellStyle name="Ausgabe 2 4 39" xfId="18889" xr:uid="{B0E7596C-B3E4-4721-BFFE-3382D97898D1}"/>
    <cellStyle name="Ausgabe 2 4 4" xfId="2527" xr:uid="{C79FFD8A-378A-452B-B169-BD661A9C46C6}"/>
    <cellStyle name="Ausgabe 2 4 40" xfId="20087" xr:uid="{DB076AD6-0CE5-4326-9675-B032C33C7701}"/>
    <cellStyle name="Ausgabe 2 4 41" xfId="19779" xr:uid="{85F6A50B-A069-4AF0-B3A5-F43B87D75E16}"/>
    <cellStyle name="Ausgabe 2 4 42" xfId="19483" xr:uid="{6D56CFC3-EA6F-4492-8A68-2BED19A386EB}"/>
    <cellStyle name="Ausgabe 2 4 43" xfId="19641" xr:uid="{7717C56F-851E-4A9B-9201-0BF2F63CF2B1}"/>
    <cellStyle name="Ausgabe 2 4 44" xfId="21553" xr:uid="{ACD62E10-74EF-44E6-8DF7-EECD74D94F18}"/>
    <cellStyle name="Ausgabe 2 4 45" xfId="21740" xr:uid="{7BF6FC1B-8AA0-4142-B2C4-E3DB7A2D1431}"/>
    <cellStyle name="Ausgabe 2 4 46" xfId="22402" xr:uid="{362745EC-C027-40FC-B877-C3416783B06D}"/>
    <cellStyle name="Ausgabe 2 4 47" xfId="23056" xr:uid="{DD2B92D5-013A-48E7-801A-977FD7DB8E2A}"/>
    <cellStyle name="Ausgabe 2 4 48" xfId="23057" xr:uid="{40DF4832-5682-438B-B659-547F83FEC44D}"/>
    <cellStyle name="Ausgabe 2 4 49" xfId="23887" xr:uid="{8DFD0E02-DE89-4DFA-AEC0-28B5306E6AB2}"/>
    <cellStyle name="Ausgabe 2 4 5" xfId="2059" xr:uid="{6C430690-5B58-4358-A152-3BC5076878AE}"/>
    <cellStyle name="Ausgabe 2 4 50" xfId="24795" xr:uid="{94B96AB4-6BE0-4A98-849E-99E6498CF5B2}"/>
    <cellStyle name="Ausgabe 2 4 51" xfId="24490" xr:uid="{8C8FCFA5-B8C8-4F66-B52A-15D1C8502603}"/>
    <cellStyle name="Ausgabe 2 4 52" xfId="25711" xr:uid="{2D25AC10-FBB1-44E0-8144-17ADA2DF0B33}"/>
    <cellStyle name="Ausgabe 2 4 53" xfId="25358" xr:uid="{AE28F672-56E1-4651-B81F-47D8EAD250E8}"/>
    <cellStyle name="Ausgabe 2 4 54" xfId="25212" xr:uid="{1FA9E0A9-1ECA-427C-8E69-F6C314731B92}"/>
    <cellStyle name="Ausgabe 2 4 55" xfId="26999" xr:uid="{730FCCD8-8461-40BD-B2ED-4B233D654B31}"/>
    <cellStyle name="Ausgabe 2 4 56" xfId="27418" xr:uid="{ECE07C53-416E-415A-8584-F451CDF46DFB}"/>
    <cellStyle name="Ausgabe 2 4 57" xfId="27780" xr:uid="{0E76321B-9035-44BE-A6B2-17948429C417}"/>
    <cellStyle name="Ausgabe 2 4 58" xfId="28545" xr:uid="{BFD91686-D594-4394-9F59-0FB16350BBA5}"/>
    <cellStyle name="Ausgabe 2 4 59" xfId="29012" xr:uid="{0A15BC74-6136-43AB-9150-8A00A69D1AAD}"/>
    <cellStyle name="Ausgabe 2 4 6" xfId="3597" xr:uid="{436F1CE0-F264-4333-83DF-1BDAE6306F08}"/>
    <cellStyle name="Ausgabe 2 4 60" xfId="28256" xr:uid="{BDA42DC7-D444-4691-8601-C051CBA52721}"/>
    <cellStyle name="Ausgabe 2 4 61" xfId="29801" xr:uid="{DCF41421-848C-4EE8-A1F9-9D5F4B1B58F5}"/>
    <cellStyle name="Ausgabe 2 4 62" xfId="30207" xr:uid="{300336F8-E46C-44CB-91AA-4A350BF00776}"/>
    <cellStyle name="Ausgabe 2 4 63" xfId="30624" xr:uid="{05FAF536-BAAE-4E83-B656-9B278EDE5166}"/>
    <cellStyle name="Ausgabe 2 4 64" xfId="30977" xr:uid="{8A3FAD05-392F-4C4B-8819-E6CCDD5ADC8C}"/>
    <cellStyle name="Ausgabe 2 4 65" xfId="31240" xr:uid="{4E02ACCB-FC86-4ADD-B8A1-D9AE36A99ECC}"/>
    <cellStyle name="Ausgabe 2 4 66" xfId="31931" xr:uid="{A01DDFA9-037C-4F7E-B40B-9015188207D0}"/>
    <cellStyle name="Ausgabe 2 4 67" xfId="31719" xr:uid="{F5659416-D4AE-4BA4-BFB3-A6CE70011050}"/>
    <cellStyle name="Ausgabe 2 4 7" xfId="4023" xr:uid="{5E81376C-1786-4551-A439-07DAB958DAFD}"/>
    <cellStyle name="Ausgabe 2 4 8" xfId="4460" xr:uid="{86B45679-0FF2-4655-997E-8D59AA3725CB}"/>
    <cellStyle name="Ausgabe 2 4 9" xfId="3523" xr:uid="{00F71EE1-4562-4164-8CC9-D5C42530D3B7}"/>
    <cellStyle name="Ausgabe 2 5" xfId="977" xr:uid="{133F5395-6782-4CA8-B568-2313F7D3DBD8}"/>
    <cellStyle name="Ausgabe 2 6" xfId="2214" xr:uid="{513A204E-20DB-4D6F-BCB6-9800BDADD646}"/>
    <cellStyle name="Ausgabe 2 7" xfId="1928" xr:uid="{5AEFEE65-7B7D-4BF3-8FCB-28149B86D2F5}"/>
    <cellStyle name="Ausgabe 2 8" xfId="2828" xr:uid="{86749601-3C9E-4901-92D1-44452D7AC576}"/>
    <cellStyle name="Ausgabe 2 9" xfId="3599" xr:uid="{480C56CF-4315-4DEF-AEDF-5BB34F13DB1A}"/>
    <cellStyle name="Ausgabe 3" xfId="282" xr:uid="{13D55367-2784-494E-BDE6-101C40E485E6}"/>
    <cellStyle name="Ausgabe 3 10" xfId="4211" xr:uid="{EE3ECBD9-608A-49BA-9237-1EB936B90A16}"/>
    <cellStyle name="Ausgabe 3 11" xfId="4861" xr:uid="{59F35099-BC1D-4590-BE4E-A1C725FDD074}"/>
    <cellStyle name="Ausgabe 3 12" xfId="7012" xr:uid="{06E19AAD-38F4-4C35-91BB-2B1A21E8D482}"/>
    <cellStyle name="Ausgabe 3 13" xfId="7634" xr:uid="{C5508C5D-17EC-4B67-AF1D-D5553995C987}"/>
    <cellStyle name="Ausgabe 3 14" xfId="8525" xr:uid="{83B6A098-B287-46AD-9FDE-69A480224BAE}"/>
    <cellStyle name="Ausgabe 3 15" xfId="9225" xr:uid="{898E03ED-7C24-42F8-A20D-9FA6BCA4F94A}"/>
    <cellStyle name="Ausgabe 3 16" xfId="9844" xr:uid="{4CBF8DE1-7801-4B51-B8F8-5DECB20CF9AA}"/>
    <cellStyle name="Ausgabe 3 17" xfId="11638" xr:uid="{365F9A58-5C15-4874-AB13-6B0D506A24E8}"/>
    <cellStyle name="Ausgabe 3 18" xfId="11652" xr:uid="{C41F598E-C34C-4BCB-8264-89EDF4EA1F29}"/>
    <cellStyle name="Ausgabe 3 19" xfId="13784" xr:uid="{9A041FC2-5A4D-40EE-A765-DD46FE90CF68}"/>
    <cellStyle name="Ausgabe 3 2" xfId="619" xr:uid="{17DBB19A-A745-4446-9045-6224AD599911}"/>
    <cellStyle name="Ausgabe 3 2 10" xfId="4980" xr:uid="{60AE35B9-18B2-4FD5-AFB0-9741EDCB1F55}"/>
    <cellStyle name="Ausgabe 3 2 11" xfId="5267" xr:uid="{79154A66-5DF5-4912-87D0-CC519577C5D0}"/>
    <cellStyle name="Ausgabe 3 2 12" xfId="5961" xr:uid="{114F2166-7408-4E8C-A5AB-CF34B337A5E1}"/>
    <cellStyle name="Ausgabe 3 2 13" xfId="6232" xr:uid="{2423BDCC-9ED9-430E-B1E2-B5712A25EA3A}"/>
    <cellStyle name="Ausgabe 3 2 14" xfId="3702" xr:uid="{BDD39071-39D8-4301-9C32-4459512402CE}"/>
    <cellStyle name="Ausgabe 3 2 15" xfId="7339" xr:uid="{241BEF41-E5FC-4219-81F2-9C241E8C1AEA}"/>
    <cellStyle name="Ausgabe 3 2 16" xfId="6770" xr:uid="{3F8C7876-F3DB-4198-A210-7BCCAF7D3BFC}"/>
    <cellStyle name="Ausgabe 3 2 17" xfId="8199" xr:uid="{9ED38B01-1CFB-49BB-9383-88922B82805D}"/>
    <cellStyle name="Ausgabe 3 2 18" xfId="8418" xr:uid="{D85E75FC-566C-4C5C-93A1-BAA0AA1781D2}"/>
    <cellStyle name="Ausgabe 3 2 19" xfId="9553" xr:uid="{4B813A58-3907-46F7-B17D-3C090421F74F}"/>
    <cellStyle name="Ausgabe 3 2 2" xfId="834" xr:uid="{9E64FEE7-35FE-4C8C-8605-C006673F3B75}"/>
    <cellStyle name="Ausgabe 3 2 2 10" xfId="5482" xr:uid="{5D2A425D-0885-49B6-ABC7-31082659196C}"/>
    <cellStyle name="Ausgabe 3 2 2 11" xfId="4213" xr:uid="{8BAABCD7-86F6-49C1-BBF4-F36FD5BD74F0}"/>
    <cellStyle name="Ausgabe 3 2 2 12" xfId="6191" xr:uid="{29EC9C1A-3A48-4842-893A-87DEC9D9E9FF}"/>
    <cellStyle name="Ausgabe 3 2 2 13" xfId="6324" xr:uid="{5A188E9F-F89E-4A3F-90A2-33C970873D69}"/>
    <cellStyle name="Ausgabe 3 2 2 14" xfId="7554" xr:uid="{34C4CBC6-2F82-4973-834D-3A176FA10696}"/>
    <cellStyle name="Ausgabe 3 2 2 15" xfId="7813" xr:uid="{50338C84-63AB-45C4-ACAD-8E4FF5A8B0B7}"/>
    <cellStyle name="Ausgabe 3 2 2 16" xfId="6939" xr:uid="{382D720B-2317-4D2C-B76E-0935DE5138BA}"/>
    <cellStyle name="Ausgabe 3 2 2 17" xfId="8769" xr:uid="{E6C598CE-0B2E-4E19-8E1A-507C38B9450C}"/>
    <cellStyle name="Ausgabe 3 2 2 18" xfId="9768" xr:uid="{4ACAE39D-E509-45AB-AC49-6AED0CE77D87}"/>
    <cellStyle name="Ausgabe 3 2 2 19" xfId="10026" xr:uid="{4796313B-E2CA-4284-A164-AC548B2A5CB9}"/>
    <cellStyle name="Ausgabe 3 2 2 2" xfId="1308" xr:uid="{BCE54FB9-D31F-43A4-A7F4-F1EB2D6086D4}"/>
    <cellStyle name="Ausgabe 3 2 2 20" xfId="10446" xr:uid="{D748D8DB-EAE5-4ADD-BEB6-6A7247930781}"/>
    <cellStyle name="Ausgabe 3 2 2 21" xfId="10824" xr:uid="{2AA2CBE5-CB47-4B8E-A66F-1238F341E05F}"/>
    <cellStyle name="Ausgabe 3 2 2 22" xfId="10808" xr:uid="{B366F1DC-D9C3-443C-876B-BDD6FAEB2224}"/>
    <cellStyle name="Ausgabe 3 2 2 23" xfId="12187" xr:uid="{51B4A84B-D0DF-4B2C-A584-AD9BC75989B6}"/>
    <cellStyle name="Ausgabe 3 2 2 24" xfId="12660" xr:uid="{C75925BB-703B-4C89-A5A6-F6E38128D36B}"/>
    <cellStyle name="Ausgabe 3 2 2 25" xfId="13094" xr:uid="{38A6212B-19CF-4526-BCAC-5B139E794ED3}"/>
    <cellStyle name="Ausgabe 3 2 2 26" xfId="13531" xr:uid="{844A2E05-84F5-4405-8317-95755DCABA76}"/>
    <cellStyle name="Ausgabe 3 2 2 27" xfId="12746" xr:uid="{DF7AC2F0-1D7D-4D34-80D1-61470542321C}"/>
    <cellStyle name="Ausgabe 3 2 2 28" xfId="13764" xr:uid="{4CF75AF9-3A38-47A3-8F56-0D09D7B52E25}"/>
    <cellStyle name="Ausgabe 3 2 2 29" xfId="14680" xr:uid="{8C8C64F2-653A-4806-BAE1-DD9473B8C883}"/>
    <cellStyle name="Ausgabe 3 2 2 3" xfId="1551" xr:uid="{CE50FCBB-B2D8-4EA9-9E62-6C32065EE706}"/>
    <cellStyle name="Ausgabe 3 2 2 30" xfId="15012" xr:uid="{33582A3C-919A-40AC-AD5E-E66BAC69320F}"/>
    <cellStyle name="Ausgabe 3 2 2 31" xfId="15197" xr:uid="{ED348ACF-2B00-4FA2-AA23-188F56160407}"/>
    <cellStyle name="Ausgabe 3 2 2 32" xfId="15864" xr:uid="{3CF905B4-5370-4FE8-88B6-48103375337C}"/>
    <cellStyle name="Ausgabe 3 2 2 33" xfId="16879" xr:uid="{6A1254F3-EBE7-4B2F-8F7E-B5751E38B1A2}"/>
    <cellStyle name="Ausgabe 3 2 2 34" xfId="17143" xr:uid="{9419D815-74F4-4AEB-B599-8641E94DA17E}"/>
    <cellStyle name="Ausgabe 3 2 2 35" xfId="17590" xr:uid="{80E76088-F2BD-46AC-B09B-D576779650F5}"/>
    <cellStyle name="Ausgabe 3 2 2 36" xfId="17935" xr:uid="{1F41C718-6BA6-4DCF-937C-F79DE088FB23}"/>
    <cellStyle name="Ausgabe 3 2 2 37" xfId="18697" xr:uid="{D8472EEB-D261-4E50-9492-277C0782C308}"/>
    <cellStyle name="Ausgabe 3 2 2 38" xfId="18820" xr:uid="{571978AE-886D-4437-A214-38C12D275266}"/>
    <cellStyle name="Ausgabe 3 2 2 39" xfId="19243" xr:uid="{4699DDC5-E5FA-4486-A528-5A19454B303D}"/>
    <cellStyle name="Ausgabe 3 2 2 4" xfId="2656" xr:uid="{C7E44C16-D269-4D98-9141-919FAE75F0D1}"/>
    <cellStyle name="Ausgabe 3 2 2 40" xfId="20216" xr:uid="{AB01DAAF-2C12-43CE-96D0-78E978CBEFCD}"/>
    <cellStyle name="Ausgabe 3 2 2 41" xfId="20495" xr:uid="{531F8FB4-0872-4BE1-A372-6E5175F8074E}"/>
    <cellStyle name="Ausgabe 3 2 2 42" xfId="20950" xr:uid="{D0DF2DE0-DF8B-443C-BB8D-53B8ADA2AF76}"/>
    <cellStyle name="Ausgabe 3 2 2 43" xfId="21542" xr:uid="{8D94E1D4-D58F-4444-B8D8-3DA75E521E0A}"/>
    <cellStyle name="Ausgabe 3 2 2 44" xfId="21879" xr:uid="{88C83693-C6C2-459F-AECD-183EA4D299D2}"/>
    <cellStyle name="Ausgabe 3 2 2 45" xfId="22315" xr:uid="{E157890B-2F92-40B9-BF2E-F7E10299FFE8}"/>
    <cellStyle name="Ausgabe 3 2 2 46" xfId="21615" xr:uid="{F2C2751F-C806-4F15-BC7E-8EC1A36A5199}"/>
    <cellStyle name="Ausgabe 3 2 2 47" xfId="23092" xr:uid="{7E930A5B-DD0C-4BBC-9453-6FFC5EE55C9C}"/>
    <cellStyle name="Ausgabe 3 2 2 48" xfId="23624" xr:uid="{F04E0881-BF3B-44AE-90F1-5258004BDCF3}"/>
    <cellStyle name="Ausgabe 3 2 2 49" xfId="24016" xr:uid="{67D2DBC8-E866-4870-AF57-53A18CDA3620}"/>
    <cellStyle name="Ausgabe 3 2 2 5" xfId="2196" xr:uid="{84F140D1-B64A-4094-8259-F846FEEFB89E}"/>
    <cellStyle name="Ausgabe 3 2 2 50" xfId="24924" xr:uid="{BB353A26-8C23-4BA7-8D01-1E291B269D4C}"/>
    <cellStyle name="Ausgabe 3 2 2 51" xfId="25204" xr:uid="{3EF3C112-2B4F-4CC9-B3C1-B34589554770}"/>
    <cellStyle name="Ausgabe 3 2 2 52" xfId="25840" xr:uid="{F55A3553-CFAB-46B4-AFBA-03ADA2EC43BE}"/>
    <cellStyle name="Ausgabe 3 2 2 53" xfId="25353" xr:uid="{75DFD2CA-BA97-4E95-BB68-A4EAD44076C0}"/>
    <cellStyle name="Ausgabe 3 2 2 54" xfId="26518" xr:uid="{7D6801B3-28DE-49B5-81A9-16B8349D98DD}"/>
    <cellStyle name="Ausgabe 3 2 2 55" xfId="27128" xr:uid="{3B03B52D-872D-4415-B839-C80045EFAA8C}"/>
    <cellStyle name="Ausgabe 3 2 2 56" xfId="27547" xr:uid="{923739D5-5FAC-4F30-8C63-8C3144C5CF26}"/>
    <cellStyle name="Ausgabe 3 2 2 57" xfId="25504" xr:uid="{528BF6BF-A9F7-452F-9DD5-EA9AE3AA5186}"/>
    <cellStyle name="Ausgabe 3 2 2 58" xfId="28674" xr:uid="{ECF158A1-1CE5-436B-9EF7-A4173F990697}"/>
    <cellStyle name="Ausgabe 3 2 2 59" xfId="29141" xr:uid="{4075CB1C-9B50-4026-AAF7-81F95DEA715B}"/>
    <cellStyle name="Ausgabe 3 2 2 6" xfId="3531" xr:uid="{FD900EF8-E5D7-4659-BA3D-DA6DAA9A9EA7}"/>
    <cellStyle name="Ausgabe 3 2 2 60" xfId="29346" xr:uid="{C51484FE-A27F-40B8-BF3F-F9C512A56D7E}"/>
    <cellStyle name="Ausgabe 3 2 2 61" xfId="29930" xr:uid="{575ED761-98A1-4599-8CB2-17C308A145D8}"/>
    <cellStyle name="Ausgabe 3 2 2 62" xfId="30336" xr:uid="{95CCABB3-C79B-495E-A488-C9CB6710EFF3}"/>
    <cellStyle name="Ausgabe 3 2 2 63" xfId="30753" xr:uid="{29D3BEAD-215F-486B-B404-52726FE0DFE5}"/>
    <cellStyle name="Ausgabe 3 2 2 64" xfId="29296" xr:uid="{9431330E-D147-4816-8ABA-A72ECAB21215}"/>
    <cellStyle name="Ausgabe 3 2 2 65" xfId="31369" xr:uid="{8F3EDE67-CCAA-4273-85FE-918A8CD61D22}"/>
    <cellStyle name="Ausgabe 3 2 2 66" xfId="32060" xr:uid="{A9CD2888-E0C9-42CF-AE9A-D7F17A0EDBC0}"/>
    <cellStyle name="Ausgabe 3 2 2 67" xfId="31554" xr:uid="{37223104-4F9E-437E-9FCD-0E9A87B213E9}"/>
    <cellStyle name="Ausgabe 3 2 2 7" xfId="4152" xr:uid="{D040C83F-7885-485D-A2DC-2D8F8A37688D}"/>
    <cellStyle name="Ausgabe 3 2 2 8" xfId="4589" xr:uid="{5BEA17C1-B4F2-4C23-A3CA-AAB606D6E783}"/>
    <cellStyle name="Ausgabe 3 2 2 9" xfId="2167" xr:uid="{92B0EC10-8C3C-4B26-BC3B-A6A06932C74D}"/>
    <cellStyle name="Ausgabe 3 2 20" xfId="9629" xr:uid="{9192C89F-6A4D-4D58-BA59-1EE6249BFE52}"/>
    <cellStyle name="Ausgabe 3 2 21" xfId="9436" xr:uid="{E99F5414-09E5-44A5-9EB5-E7765844FB1B}"/>
    <cellStyle name="Ausgabe 3 2 22" xfId="10320" xr:uid="{22270372-F126-43B0-8FDE-12786CC1B245}"/>
    <cellStyle name="Ausgabe 3 2 23" xfId="11221" xr:uid="{BED39571-DD35-434A-A2BA-0A5EAF58B80B}"/>
    <cellStyle name="Ausgabe 3 2 24" xfId="11972" xr:uid="{DE0FEF07-9628-40F7-B12D-97C2E83FCC1E}"/>
    <cellStyle name="Ausgabe 3 2 25" xfId="12445" xr:uid="{1FE398C1-31DF-4009-941B-9A209408C60E}"/>
    <cellStyle name="Ausgabe 3 2 26" xfId="12879" xr:uid="{4195E69A-BFEE-4BB1-ADB9-126680837F17}"/>
    <cellStyle name="Ausgabe 3 2 27" xfId="13316" xr:uid="{1EDB6655-BEE2-45C8-BE66-31F0078A7E83}"/>
    <cellStyle name="Ausgabe 3 2 28" xfId="11359" xr:uid="{1840FEEB-8C85-46AE-8871-0C2D58683E6B}"/>
    <cellStyle name="Ausgabe 3 2 29" xfId="14195" xr:uid="{A7011452-A280-4F55-99C2-8EFDF94EB012}"/>
    <cellStyle name="Ausgabe 3 2 3" xfId="1102" xr:uid="{2510FD39-AF9D-4AED-AFB0-6893AC8CFA22}"/>
    <cellStyle name="Ausgabe 3 2 30" xfId="14159" xr:uid="{DF5A561B-EAF0-415E-9F8A-820243783276}"/>
    <cellStyle name="Ausgabe 3 2 31" xfId="15003" xr:uid="{EEB8A527-6590-4B1C-9375-DB1E200114C9}"/>
    <cellStyle name="Ausgabe 3 2 32" xfId="15475" xr:uid="{AC1D3CAC-2D5D-4EDF-9317-64C6D45DEC38}"/>
    <cellStyle name="Ausgabe 3 2 33" xfId="15582" xr:uid="{DA7D0EA7-33F2-43E2-BB84-3D6C9BF3A422}"/>
    <cellStyle name="Ausgabe 3 2 34" xfId="16664" xr:uid="{278AB694-9883-4AE7-BAD4-43F5CC7C45FC}"/>
    <cellStyle name="Ausgabe 3 2 35" xfId="16079" xr:uid="{3F2688F7-2070-4F27-9FB7-A2DB8FF03C75}"/>
    <cellStyle name="Ausgabe 3 2 36" xfId="17357" xr:uid="{45913F90-B707-4FD0-B08B-24CD206C58D1}"/>
    <cellStyle name="Ausgabe 3 2 37" xfId="18116" xr:uid="{380B69C2-C308-48A8-8A9D-851EBE7F0501}"/>
    <cellStyle name="Ausgabe 3 2 38" xfId="18482" xr:uid="{DFC50EB9-0BE1-46D5-8CD8-028A777DFC33}"/>
    <cellStyle name="Ausgabe 3 2 39" xfId="19041" xr:uid="{BBD62C65-01B0-42F1-9185-371D3A600195}"/>
    <cellStyle name="Ausgabe 3 2 4" xfId="1687" xr:uid="{ED686D21-CDE4-45C7-B807-24D2F2691CF3}"/>
    <cellStyle name="Ausgabe 3 2 40" xfId="19152" xr:uid="{33434A3C-F6FA-4D01-9454-BCB353B3E69A}"/>
    <cellStyle name="Ausgabe 3 2 41" xfId="20001" xr:uid="{1B83EB94-87B2-42FA-A9D4-581BA6AE5498}"/>
    <cellStyle name="Ausgabe 3 2 42" xfId="19462" xr:uid="{C4CECCFC-1C9D-4B9A-877B-0ED02C58B44A}"/>
    <cellStyle name="Ausgabe 3 2 43" xfId="20334" xr:uid="{F6248BF0-0B9F-44B8-AE80-6623CEACE77D}"/>
    <cellStyle name="Ausgabe 3 2 44" xfId="20989" xr:uid="{419D35BA-AD0F-4459-8115-9927E1807184}"/>
    <cellStyle name="Ausgabe 3 2 45" xfId="19673" xr:uid="{0F2661FC-585B-4B2F-A220-EA4C735E5BB8}"/>
    <cellStyle name="Ausgabe 3 2 46" xfId="21612" xr:uid="{31022351-7206-459D-956D-F5CEBB0EB3BF}"/>
    <cellStyle name="Ausgabe 3 2 47" xfId="22597" xr:uid="{E1E2B1D4-DF21-47B6-A3FF-4935DE45962B}"/>
    <cellStyle name="Ausgabe 3 2 48" xfId="23318" xr:uid="{1E22CC34-90DA-459B-B49C-516004B6A037}"/>
    <cellStyle name="Ausgabe 3 2 49" xfId="23217" xr:uid="{3E315CCE-E337-4888-B8EC-90BC87B34620}"/>
    <cellStyle name="Ausgabe 3 2 5" xfId="2441" xr:uid="{B27EAF82-BDDE-48B2-96BD-C8DB301E5809}"/>
    <cellStyle name="Ausgabe 3 2 50" xfId="23810" xr:uid="{CC62EBD3-A910-471F-8D2F-FC219F66B291}"/>
    <cellStyle name="Ausgabe 3 2 51" xfId="24709" xr:uid="{DC01F2D4-4A0B-4F2D-BBE1-EB951E604718}"/>
    <cellStyle name="Ausgabe 3 2 52" xfId="24501" xr:uid="{2E288049-E756-4817-9842-CA49DD989C0D}"/>
    <cellStyle name="Ausgabe 3 2 53" xfId="25627" xr:uid="{29CAD130-4778-4BD1-9807-D1CE0AFF40E4}"/>
    <cellStyle name="Ausgabe 3 2 54" xfId="24253" xr:uid="{F8EFD9A1-171C-4734-81DC-3E60602545DA}"/>
    <cellStyle name="Ausgabe 3 2 55" xfId="25489" xr:uid="{C201B418-AEB1-4B8A-A172-F7749C6C1372}"/>
    <cellStyle name="Ausgabe 3 2 56" xfId="26917" xr:uid="{13F488CC-5F51-43B0-ABDF-90DD52564AB0}"/>
    <cellStyle name="Ausgabe 3 2 57" xfId="27336" xr:uid="{A2CBD42B-5EC7-4DA2-8B35-B05F9B421ED1}"/>
    <cellStyle name="Ausgabe 3 2 58" xfId="26792" xr:uid="{26418C5B-8715-4758-93B3-B061D80E88FD}"/>
    <cellStyle name="Ausgabe 3 2 59" xfId="28459" xr:uid="{B46672FE-5ED3-4570-927C-1ACB3543096A}"/>
    <cellStyle name="Ausgabe 3 2 6" xfId="2754" xr:uid="{8D682D19-D8A9-42DE-A38E-444E0A1BE56E}"/>
    <cellStyle name="Ausgabe 3 2 60" xfId="28927" xr:uid="{1E9E8C8F-2E64-467C-95DE-C9FE7DC1A122}"/>
    <cellStyle name="Ausgabe 3 2 61" xfId="28293" xr:uid="{EEA6CC9B-D167-4B30-BA78-CCF6E1D47103}"/>
    <cellStyle name="Ausgabe 3 2 62" xfId="29717" xr:uid="{7BE01E81-1328-4190-BDD0-75E517E106AC}"/>
    <cellStyle name="Ausgabe 3 2 63" xfId="30125" xr:uid="{965C6569-470D-47FC-AA7F-103A68413754}"/>
    <cellStyle name="Ausgabe 3 2 64" xfId="30539" xr:uid="{8D1BADA2-4FD9-41A3-81BD-732DB1154FDF}"/>
    <cellStyle name="Ausgabe 3 2 65" xfId="30959" xr:uid="{8FB1E654-69FD-481D-885F-FDB64B02D7AF}"/>
    <cellStyle name="Ausgabe 3 2 66" xfId="31163" xr:uid="{369A2211-0AD0-4343-9ABA-DF48DFC801FD}"/>
    <cellStyle name="Ausgabe 3 2 67" xfId="31849" xr:uid="{4A9B7CB1-ABEB-4362-AD24-8E70890C860D}"/>
    <cellStyle name="Ausgabe 3 2 68" xfId="31527" xr:uid="{ACC65FE6-90EA-4C53-86C6-1E0626BECDB3}"/>
    <cellStyle name="Ausgabe 3 2 7" xfId="1971" xr:uid="{29152AA4-F277-4A94-8524-21CC91681DB9}"/>
    <cellStyle name="Ausgabe 3 2 8" xfId="3937" xr:uid="{06AC9C4C-5CA6-4A41-9EAD-A6C91FBB0A3E}"/>
    <cellStyle name="Ausgabe 3 2 9" xfId="4375" xr:uid="{FC306F33-AA9C-4DB6-AB71-1644E73B661F}"/>
    <cellStyle name="Ausgabe 3 20" xfId="16333" xr:uid="{7509B238-99FF-4469-9C40-F9C2DF2BB446}"/>
    <cellStyle name="Ausgabe 3 21" xfId="16960" xr:uid="{FE6A0151-D848-46AC-8F03-308B5393A8E9}"/>
    <cellStyle name="Ausgabe 3 22" xfId="17623" xr:uid="{42A97A4C-F184-4C93-9DC2-70BF6B152ADE}"/>
    <cellStyle name="Ausgabe 3 23" xfId="17909" xr:uid="{00153E39-6B5B-4B13-9917-2E24A061CA2B}"/>
    <cellStyle name="Ausgabe 3 24" xfId="19666" xr:uid="{9B5155F6-ED83-4EB6-BA30-10DBE7134159}"/>
    <cellStyle name="Ausgabe 3 25" xfId="22031" xr:uid="{383108C3-C5A1-4594-ACFB-FD8754FDDF9B}"/>
    <cellStyle name="Ausgabe 3 26" xfId="22604" xr:uid="{5B70E299-7D05-4739-87E4-A63BA5EA59E4}"/>
    <cellStyle name="Ausgabe 3 27" xfId="24386" xr:uid="{82F11DA9-31EE-4C22-942A-9AE0BF32F00E}"/>
    <cellStyle name="Ausgabe 3 28" xfId="24137" xr:uid="{186A12BA-CE58-4BF5-84B5-0C03D3747E16}"/>
    <cellStyle name="Ausgabe 3 29" xfId="26378" xr:uid="{877E7BE7-9DFB-4543-AC88-C26B2C51AC27}"/>
    <cellStyle name="Ausgabe 3 3" xfId="538" xr:uid="{0FF6753F-C23D-47F6-9905-B313FA0F33AA}"/>
    <cellStyle name="Ausgabe 3 3 10" xfId="4855" xr:uid="{91E731C4-3924-4BB6-8C7D-85BB48F8069F}"/>
    <cellStyle name="Ausgabe 3 3 11" xfId="5186" xr:uid="{1AEEB41C-A0DF-4215-B181-37DF378B14A9}"/>
    <cellStyle name="Ausgabe 3 3 12" xfId="5937" xr:uid="{7E3942A4-59AE-43C9-92F1-E3B3FA476A79}"/>
    <cellStyle name="Ausgabe 3 3 13" xfId="5982" xr:uid="{8D4EFA4F-40FB-4C58-82DB-21D4F1248964}"/>
    <cellStyle name="Ausgabe 3 3 14" xfId="6417" xr:uid="{FB2CE04B-283B-4FEB-B362-8BCCEC8922FC}"/>
    <cellStyle name="Ausgabe 3 3 15" xfId="7258" xr:uid="{5D99A220-8851-434E-8979-6F9241E62C6E}"/>
    <cellStyle name="Ausgabe 3 3 16" xfId="7993" xr:uid="{93FC93B9-E7E3-4587-BC3C-92AA40C3B244}"/>
    <cellStyle name="Ausgabe 3 3 17" xfId="8118" xr:uid="{6501EEA9-F1D1-4B32-ADF9-828205D70466}"/>
    <cellStyle name="Ausgabe 3 3 18" xfId="8394" xr:uid="{5D34F1CD-5397-4A4F-9E27-F1F5663FCECF}"/>
    <cellStyle name="Ausgabe 3 3 19" xfId="9472" xr:uid="{27F934CE-091D-4B15-9163-7885E554C2A7}"/>
    <cellStyle name="Ausgabe 3 3 2" xfId="753" xr:uid="{4218C6B3-B5F9-4F38-991F-D28585FFFC4A}"/>
    <cellStyle name="Ausgabe 3 3 2 10" xfId="5401" xr:uid="{095EF33A-40D8-459E-BCFC-E12D294E9DEF}"/>
    <cellStyle name="Ausgabe 3 3 2 11" xfId="5740" xr:uid="{9720DD89-E435-43AF-AF04-D8B5FECC764E}"/>
    <cellStyle name="Ausgabe 3 3 2 12" xfId="6039" xr:uid="{F6BC4798-818B-43E1-8DE8-69A929219579}"/>
    <cellStyle name="Ausgabe 3 3 2 13" xfId="6491" xr:uid="{E00C8EB5-0F89-4BB6-944D-B726C2C9DEC8}"/>
    <cellStyle name="Ausgabe 3 3 2 14" xfId="7473" xr:uid="{644AF8EB-F4B2-4376-90BC-7379222EC44F}"/>
    <cellStyle name="Ausgabe 3 3 2 15" xfId="6875" xr:uid="{D4491B9E-89EF-4D87-A008-E94ED26B56F8}"/>
    <cellStyle name="Ausgabe 3 3 2 16" xfId="8556" xr:uid="{C1FCE58C-4734-4139-83E4-1E472D47DBC8}"/>
    <cellStyle name="Ausgabe 3 3 2 17" xfId="8336" xr:uid="{8A4102A0-96B3-43CA-92BA-4CA8106F5EB4}"/>
    <cellStyle name="Ausgabe 3 3 2 18" xfId="9687" xr:uid="{7B8EB16B-4257-4FD8-8820-50BF2DF30C8D}"/>
    <cellStyle name="Ausgabe 3 3 2 19" xfId="9088" xr:uid="{E932FE8B-BFB8-4FE9-946E-A3F9DF296536}"/>
    <cellStyle name="Ausgabe 3 3 2 2" xfId="1227" xr:uid="{3B7EE23F-4BB7-4EC7-9C77-B69429BF9525}"/>
    <cellStyle name="Ausgabe 3 3 2 20" xfId="10058" xr:uid="{97FA6B46-DB87-40D2-9F63-D9144F9E2644}"/>
    <cellStyle name="Ausgabe 3 3 2 21" xfId="10690" xr:uid="{DDE56E58-9A22-40C2-A37B-5DDC9BE2BBB4}"/>
    <cellStyle name="Ausgabe 3 3 2 22" xfId="11234" xr:uid="{CBF2C181-AF53-4DB0-8CFF-134BD64BB128}"/>
    <cellStyle name="Ausgabe 3 3 2 23" xfId="12106" xr:uid="{B42B14AF-B2C8-4582-8705-12356643AC91}"/>
    <cellStyle name="Ausgabe 3 3 2 24" xfId="12579" xr:uid="{8F32700C-0121-42EE-9896-F0AEC978D1BB}"/>
    <cellStyle name="Ausgabe 3 3 2 25" xfId="13013" xr:uid="{38FD90E8-4D09-4A12-9B01-CD603D5BD0F6}"/>
    <cellStyle name="Ausgabe 3 3 2 26" xfId="13450" xr:uid="{485A0B71-53D2-4213-8626-81CF44E216E9}"/>
    <cellStyle name="Ausgabe 3 3 2 27" xfId="13608" xr:uid="{7FE3B868-91B3-493F-9959-5FE04932E55A}"/>
    <cellStyle name="Ausgabe 3 3 2 28" xfId="13734" xr:uid="{3494CBAC-1074-49CE-8932-788EC9966E6D}"/>
    <cellStyle name="Ausgabe 3 3 2 29" xfId="13789" xr:uid="{632A2FD4-6304-442A-9E15-4AB0E0267211}"/>
    <cellStyle name="Ausgabe 3 3 2 3" xfId="1565" xr:uid="{BB42E12C-4804-4214-88EC-5C729319237D}"/>
    <cellStyle name="Ausgabe 3 3 2 30" xfId="15298" xr:uid="{9697647B-E95A-4835-ABB2-CACB7B46C66C}"/>
    <cellStyle name="Ausgabe 3 3 2 31" xfId="15140" xr:uid="{EFC31769-0E74-4427-835D-6B4BB50ABD7F}"/>
    <cellStyle name="Ausgabe 3 3 2 32" xfId="15436" xr:uid="{1C7DA457-035F-4AA9-9F45-A598224453AD}"/>
    <cellStyle name="Ausgabe 3 3 2 33" xfId="16798" xr:uid="{18B666C4-C5D6-40DC-8566-7CB0A3DD38C2}"/>
    <cellStyle name="Ausgabe 3 3 2 34" xfId="16191" xr:uid="{FA397F03-5621-4FCA-BDA3-BBE0A85025E2}"/>
    <cellStyle name="Ausgabe 3 3 2 35" xfId="17176" xr:uid="{E7FBE8E0-C625-4CC9-B859-C5D4B31DBF46}"/>
    <cellStyle name="Ausgabe 3 3 2 36" xfId="18087" xr:uid="{4F4489F2-03DC-4EAF-89E0-6B0FA02F399E}"/>
    <cellStyle name="Ausgabe 3 3 2 37" xfId="18616" xr:uid="{491EFC1E-7B20-48C5-B7B3-79EDCBD84553}"/>
    <cellStyle name="Ausgabe 3 3 2 38" xfId="18919" xr:uid="{DF8A27A8-A475-4B7F-8C56-2D96CA0A9B20}"/>
    <cellStyle name="Ausgabe 3 3 2 39" xfId="19164" xr:uid="{C5B2642F-C11B-4EB7-842E-88ABDDBCF7BC}"/>
    <cellStyle name="Ausgabe 3 3 2 4" xfId="2575" xr:uid="{932A9F5A-379C-4CA4-A1DD-A4604C75CD8D}"/>
    <cellStyle name="Ausgabe 3 3 2 40" xfId="20135" xr:uid="{119EC6AB-A10E-4FF8-8316-496B65D4858C}"/>
    <cellStyle name="Ausgabe 3 3 2 41" xfId="19523" xr:uid="{F7038E56-3131-41F8-BE26-7A6524A0266C}"/>
    <cellStyle name="Ausgabe 3 3 2 42" xfId="20510" xr:uid="{B235642C-890E-4AFE-BC7E-22C1E6554CEF}"/>
    <cellStyle name="Ausgabe 3 3 2 43" xfId="21453" xr:uid="{51B79DAE-8C27-425F-9E27-4B6B9B59C99D}"/>
    <cellStyle name="Ausgabe 3 3 2 44" xfId="20867" xr:uid="{E705A622-319F-4269-A11A-170D42BB0362}"/>
    <cellStyle name="Ausgabe 3 3 2 45" xfId="20654" xr:uid="{6F390206-1C9A-4A2D-818D-0542D1059B4C}"/>
    <cellStyle name="Ausgabe 3 3 2 46" xfId="22617" xr:uid="{0A1B18D3-B17D-4909-ABE3-637DAC9DB051}"/>
    <cellStyle name="Ausgabe 3 3 2 47" xfId="23201" xr:uid="{23AFF001-D695-4D97-AA80-1C8BBBEF34B2}"/>
    <cellStyle name="Ausgabe 3 3 2 48" xfId="23434" xr:uid="{9502E868-1529-417B-AEFE-55A29871B62C}"/>
    <cellStyle name="Ausgabe 3 3 2 49" xfId="23935" xr:uid="{FEB358BD-149B-4381-8BA9-CD081611DB29}"/>
    <cellStyle name="Ausgabe 3 3 2 5" xfId="2775" xr:uid="{2E200637-31EA-4CD7-81FD-25E32C718747}"/>
    <cellStyle name="Ausgabe 3 3 2 50" xfId="24843" xr:uid="{4722E323-97B5-481F-A86A-67F07E6F3B1C}"/>
    <cellStyle name="Ausgabe 3 3 2 51" xfId="24331" xr:uid="{B4E06C22-DA47-46A2-B3A6-5EA5201BD901}"/>
    <cellStyle name="Ausgabe 3 3 2 52" xfId="25759" xr:uid="{B7465950-BA95-49EC-AC78-87A11027FC4C}"/>
    <cellStyle name="Ausgabe 3 3 2 53" xfId="25921" xr:uid="{1FE2DE91-3191-43DE-BDA4-ED5F127080E0}"/>
    <cellStyle name="Ausgabe 3 3 2 54" xfId="25396" xr:uid="{31181120-599D-4375-86F8-9122EFC096D7}"/>
    <cellStyle name="Ausgabe 3 3 2 55" xfId="27047" xr:uid="{8953CCF7-6546-42DF-8947-D02684D85CC6}"/>
    <cellStyle name="Ausgabe 3 3 2 56" xfId="27466" xr:uid="{45D46FD1-C6DE-4DD3-83C1-165DE9D5567E}"/>
    <cellStyle name="Ausgabe 3 3 2 57" xfId="26408" xr:uid="{E93F9CC0-30B0-4BFE-A02A-2173038DF719}"/>
    <cellStyle name="Ausgabe 3 3 2 58" xfId="28593" xr:uid="{97F97927-7AC6-4F9B-A39F-91CD9AF69923}"/>
    <cellStyle name="Ausgabe 3 3 2 59" xfId="29060" xr:uid="{0955264E-4FF6-444A-8151-C2C4AA19A209}"/>
    <cellStyle name="Ausgabe 3 3 2 6" xfId="3204" xr:uid="{6562020A-1F05-4386-978F-9836C58CD2CC}"/>
    <cellStyle name="Ausgabe 3 3 2 60" xfId="28303" xr:uid="{5C9DC392-7051-4F5D-9FFF-79A0100B15EE}"/>
    <cellStyle name="Ausgabe 3 3 2 61" xfId="29849" xr:uid="{B4DC14E3-9AF0-4D46-B3B6-96B63E659434}"/>
    <cellStyle name="Ausgabe 3 3 2 62" xfId="30255" xr:uid="{DAE21EC9-DA36-4787-8A4F-3DF22D34A641}"/>
    <cellStyle name="Ausgabe 3 3 2 63" xfId="30672" xr:uid="{CF1D892F-3FCD-4B73-8760-287A3C0AE117}"/>
    <cellStyle name="Ausgabe 3 3 2 64" xfId="28780" xr:uid="{F4CA9FA8-2F91-4B5B-AEE9-B74662D9C21F}"/>
    <cellStyle name="Ausgabe 3 3 2 65" xfId="31288" xr:uid="{A1B0BB87-39D7-4623-82AE-3AB467CC4A0B}"/>
    <cellStyle name="Ausgabe 3 3 2 66" xfId="31979" xr:uid="{E6410AF6-7756-47D6-9C1D-74767C45E77B}"/>
    <cellStyle name="Ausgabe 3 3 2 67" xfId="32244" xr:uid="{D60E8B3C-9C37-4C24-A925-589A7463B3CC}"/>
    <cellStyle name="Ausgabe 3 3 2 7" xfId="4071" xr:uid="{1EFC659F-578B-450D-8108-33145382EFAD}"/>
    <cellStyle name="Ausgabe 3 3 2 8" xfId="4508" xr:uid="{A40EF371-0711-4240-BC00-2D660CD8AD5B}"/>
    <cellStyle name="Ausgabe 3 3 2 9" xfId="3815" xr:uid="{2F357140-7A21-4447-A66E-F43AD614BEEA}"/>
    <cellStyle name="Ausgabe 3 3 20" xfId="10209" xr:uid="{EF7E5608-C226-470B-BCB7-4EECE2F1A806}"/>
    <cellStyle name="Ausgabe 3 3 21" xfId="10613" xr:uid="{16237D68-919C-4554-9840-46876362D99A}"/>
    <cellStyle name="Ausgabe 3 3 22" xfId="10739" xr:uid="{5810D5A9-1188-4176-8531-5841468053FF}"/>
    <cellStyle name="Ausgabe 3 3 23" xfId="11059" xr:uid="{04DBBB9B-FAA9-4DD3-97BA-9C3F071A3E12}"/>
    <cellStyle name="Ausgabe 3 3 24" xfId="11891" xr:uid="{F3916647-3571-48BA-8C7E-20C89E064527}"/>
    <cellStyle name="Ausgabe 3 3 25" xfId="12364" xr:uid="{F279DE17-78CA-4004-ADA2-F2DB659FD603}"/>
    <cellStyle name="Ausgabe 3 3 26" xfId="12798" xr:uid="{81C4C42D-40B9-469C-B35F-340603C0CE15}"/>
    <cellStyle name="Ausgabe 3 3 27" xfId="13235" xr:uid="{53510C6B-49EF-4448-88E4-52CA3DFDFE3D}"/>
    <cellStyle name="Ausgabe 3 3 28" xfId="11770" xr:uid="{2C786069-5760-4F39-BC58-0A3AF93B5AD2}"/>
    <cellStyle name="Ausgabe 3 3 29" xfId="14455" xr:uid="{89002A8D-4ABB-41C8-8F24-35081E07B793}"/>
    <cellStyle name="Ausgabe 3 3 3" xfId="1021" xr:uid="{588323ED-CE9B-46C9-BC0E-D56ACB28754D}"/>
    <cellStyle name="Ausgabe 3 3 30" xfId="14260" xr:uid="{6D2E2077-BD0A-44AC-9D66-AB097B4919E2}"/>
    <cellStyle name="Ausgabe 3 3 31" xfId="14665" xr:uid="{D336A61A-F3B8-4D00-B752-0597F1DA438D}"/>
    <cellStyle name="Ausgabe 3 3 32" xfId="15567" xr:uid="{CF7632B1-FBBE-4C41-A5A4-33A654234239}"/>
    <cellStyle name="Ausgabe 3 3 33" xfId="15972" xr:uid="{DA23EC1C-8374-436E-967F-76C1763A1CEF}"/>
    <cellStyle name="Ausgabe 3 3 34" xfId="16583" xr:uid="{C4C0E5E9-84C9-400C-AD35-FC310CF6D918}"/>
    <cellStyle name="Ausgabe 3 3 35" xfId="17330" xr:uid="{A06273B1-D883-40DB-9559-12A72B76D527}"/>
    <cellStyle name="Ausgabe 3 3 36" xfId="17773" xr:uid="{C70E5B54-8C95-4DDE-AE7B-957810770C9A}"/>
    <cellStyle name="Ausgabe 3 3 37" xfId="17028" xr:uid="{3684F679-2201-429C-8E9F-3E59B2F680B9}"/>
    <cellStyle name="Ausgabe 3 3 38" xfId="18401" xr:uid="{45FEFF26-A05B-4D8E-B4C5-444A15EEF40C}"/>
    <cellStyle name="Ausgabe 3 3 39" xfId="17788" xr:uid="{B296E306-AD75-43DD-803B-0B54267EF9C8}"/>
    <cellStyle name="Ausgabe 3 3 4" xfId="1529" xr:uid="{7D790019-C1EF-43F8-9779-AC6D6EA64A95}"/>
    <cellStyle name="Ausgabe 3 3 40" xfId="19322" xr:uid="{DC297DA2-817F-4F44-BB72-12A18C966FAF}"/>
    <cellStyle name="Ausgabe 3 3 41" xfId="19920" xr:uid="{1E787791-6447-49A9-BCE8-71B7CE3F4F99}"/>
    <cellStyle name="Ausgabe 3 3 42" xfId="20681" xr:uid="{4866C018-142D-42E4-80E2-86667A3DD4C5}"/>
    <cellStyle name="Ausgabe 3 3 43" xfId="21137" xr:uid="{D95BE756-C206-4C33-90F6-389EEBED9AC4}"/>
    <cellStyle name="Ausgabe 3 3 44" xfId="20955" xr:uid="{9CCFEA86-4A5F-4809-91BC-918462947BDF}"/>
    <cellStyle name="Ausgabe 3 3 45" xfId="22069" xr:uid="{FE97C665-3931-4858-8671-883A65B723BD}"/>
    <cellStyle name="Ausgabe 3 3 46" xfId="22497" xr:uid="{D99E8811-8F1E-4D3A-AE54-89A491094405}"/>
    <cellStyle name="Ausgabe 3 3 47" xfId="22307" xr:uid="{84A23A3E-A6B4-4F38-8A06-FEDB3B0F540D}"/>
    <cellStyle name="Ausgabe 3 3 48" xfId="22849" xr:uid="{57F632B6-F648-425A-898F-6EE06E7E40D7}"/>
    <cellStyle name="Ausgabe 3 3 49" xfId="23641" xr:uid="{1031FEF5-B5E3-4B1A-93F7-26EA55150EA1}"/>
    <cellStyle name="Ausgabe 3 3 5" xfId="2360" xr:uid="{2C8604FB-1FE5-4D2A-B0DB-B23959D764F8}"/>
    <cellStyle name="Ausgabe 3 3 50" xfId="23729" xr:uid="{E63B33FB-B5BA-4985-81EE-DC13D47ADB64}"/>
    <cellStyle name="Ausgabe 3 3 51" xfId="24628" xr:uid="{02344470-59EF-40F7-92F9-9EE9309729AE}"/>
    <cellStyle name="Ausgabe 3 3 52" xfId="25384" xr:uid="{A6CE59BF-CF44-49AF-BBD2-F625B25F6428}"/>
    <cellStyle name="Ausgabe 3 3 53" xfId="25546" xr:uid="{12DD9C19-C14A-4701-B1AF-F1A2F53907DE}"/>
    <cellStyle name="Ausgabe 3 3 54" xfId="24110" xr:uid="{FE81A867-7D44-4A23-A1F9-FFA4A48EE8E5}"/>
    <cellStyle name="Ausgabe 3 3 55" xfId="26280" xr:uid="{DA023404-DD0B-4D77-8DFF-7548E5915D02}"/>
    <cellStyle name="Ausgabe 3 3 56" xfId="26836" xr:uid="{343B51BD-B050-4942-994C-D697086A70E4}"/>
    <cellStyle name="Ausgabe 3 3 57" xfId="27255" xr:uid="{23AB576E-12CB-473E-A862-DAD9A6FB9D7F}"/>
    <cellStyle name="Ausgabe 3 3 58" xfId="27692" xr:uid="{133F6472-958F-48B9-9370-BF474CB2CD7A}"/>
    <cellStyle name="Ausgabe 3 3 59" xfId="28378" xr:uid="{EAD64453-7529-4971-8C7F-5FCB37626BCB}"/>
    <cellStyle name="Ausgabe 3 3 6" xfId="2222" xr:uid="{7930732B-3C54-42C5-ABDE-C8B45F0060C8}"/>
    <cellStyle name="Ausgabe 3 3 60" xfId="28846" xr:uid="{C2100A26-215E-4D25-B5AA-FB947670305F}"/>
    <cellStyle name="Ausgabe 3 3 61" xfId="29506" xr:uid="{B4238F1F-C98D-4826-8264-F6B0B644EE21}"/>
    <cellStyle name="Ausgabe 3 3 62" xfId="29636" xr:uid="{374AD260-3121-4F39-8637-FDA03DC41408}"/>
    <cellStyle name="Ausgabe 3 3 63" xfId="30044" xr:uid="{D02591AA-FA50-4DBF-844F-CA416E6DF22E}"/>
    <cellStyle name="Ausgabe 3 3 64" xfId="30458" xr:uid="{A1458B17-5969-4B3D-9EF1-A1BB986D1EAF}"/>
    <cellStyle name="Ausgabe 3 3 65" xfId="31010" xr:uid="{330DD9A5-270B-420A-89F3-557AE63ED549}"/>
    <cellStyle name="Ausgabe 3 3 66" xfId="31082" xr:uid="{94603E46-D1A1-4661-8D61-EE63ED651413}"/>
    <cellStyle name="Ausgabe 3 3 67" xfId="31768" xr:uid="{62D1EB4B-F57A-408A-A0F9-EB348BDB3AEB}"/>
    <cellStyle name="Ausgabe 3 3 68" xfId="32148" xr:uid="{8BBE968D-5E61-4C48-9C6A-687D46A6299D}"/>
    <cellStyle name="Ausgabe 3 3 7" xfId="3237" xr:uid="{26339C0C-F948-46B0-9758-89DCEA0DB589}"/>
    <cellStyle name="Ausgabe 3 3 8" xfId="3856" xr:uid="{2B1AB6F9-7EE3-4E14-9952-B7A18AE658FB}"/>
    <cellStyle name="Ausgabe 3 3 9" xfId="4294" xr:uid="{1B24E26E-5314-434D-9FA5-F812DA9A7382}"/>
    <cellStyle name="Ausgabe 3 30" xfId="26697" xr:uid="{0AB1340B-DAB2-4010-9149-A2145CAA7894}"/>
    <cellStyle name="Ausgabe 3 31" xfId="28157" xr:uid="{B837DD5E-9DE1-412D-989F-ABEDF4715CDE}"/>
    <cellStyle name="Ausgabe 3 32" xfId="29310" xr:uid="{037470D4-6F0E-4026-8A6F-0FA7031DE8A8}"/>
    <cellStyle name="Ausgabe 3 33" xfId="30614" xr:uid="{C891A5F1-7D5C-430B-81F3-8CC7E4F93FEF}"/>
    <cellStyle name="Ausgabe 3 34" xfId="31609" xr:uid="{4DEDCAFB-15B5-4DA5-8190-61410C2D3736}"/>
    <cellStyle name="Ausgabe 3 4" xfId="702" xr:uid="{AB9EF1A2-E152-4D94-A902-E9A5BD70B045}"/>
    <cellStyle name="Ausgabe 3 4 10" xfId="5350" xr:uid="{B93137BB-9DCF-4987-AE3B-2D0566104027}"/>
    <cellStyle name="Ausgabe 3 4 11" xfId="5943" xr:uid="{5399F8CE-3BE8-47CD-934D-74A2B452B248}"/>
    <cellStyle name="Ausgabe 3 4 12" xfId="5842" xr:uid="{884FA6AF-734F-4607-9359-599BF2AD396C}"/>
    <cellStyle name="Ausgabe 3 4 13" xfId="6054" xr:uid="{2AE5E3A3-3D49-44B4-95E6-4C45C1AB4A9D}"/>
    <cellStyle name="Ausgabe 3 4 14" xfId="7422" xr:uid="{CFFB5F58-45CC-4211-9B3D-97464BB9A3E8}"/>
    <cellStyle name="Ausgabe 3 4 15" xfId="7778" xr:uid="{BDE51A18-AE40-42F0-A00B-B44BBC73F1B4}"/>
    <cellStyle name="Ausgabe 3 4 16" xfId="8095" xr:uid="{C6DA4020-AF86-4CD3-929D-AE8E49938ADC}"/>
    <cellStyle name="Ausgabe 3 4 17" xfId="8899" xr:uid="{3E92489C-1D96-4C1A-9402-6EDE39FEBFA9}"/>
    <cellStyle name="Ausgabe 3 4 18" xfId="9636" xr:uid="{88FB521B-4D52-48E3-85E8-2C85CD58EA56}"/>
    <cellStyle name="Ausgabe 3 4 19" xfId="9991" xr:uid="{FAF3BC2B-6B7B-4D35-A6C5-CCBC87E0CFD5}"/>
    <cellStyle name="Ausgabe 3 4 2" xfId="1177" xr:uid="{1DC266F3-410A-44FA-ACF3-395E8074CC76}"/>
    <cellStyle name="Ausgabe 3 4 20" xfId="10416" xr:uid="{3DF5205B-E6AC-4135-AAFD-1EF139D8C6F0}"/>
    <cellStyle name="Ausgabe 3 4 21" xfId="10482" xr:uid="{578F766B-B9EF-4580-8C05-F0306672E0A1}"/>
    <cellStyle name="Ausgabe 3 4 22" xfId="11125" xr:uid="{4337876C-2622-41FA-9F1B-A6D5DD32843D}"/>
    <cellStyle name="Ausgabe 3 4 23" xfId="12055" xr:uid="{020A2B59-344D-40B5-9F2F-B86805C877E2}"/>
    <cellStyle name="Ausgabe 3 4 24" xfId="12528" xr:uid="{9D08F7ED-A717-422F-B16F-8EF9560FC8F9}"/>
    <cellStyle name="Ausgabe 3 4 25" xfId="12962" xr:uid="{F17D7151-4033-4206-8C0B-6F88F196CDC2}"/>
    <cellStyle name="Ausgabe 3 4 26" xfId="13399" xr:uid="{3CB5A0C3-D79C-4A8C-810A-3AA4E18A95E2}"/>
    <cellStyle name="Ausgabe 3 4 27" xfId="13658" xr:uid="{14A404A2-6135-42F6-A376-703FA7ED6E34}"/>
    <cellStyle name="Ausgabe 3 4 28" xfId="14328" xr:uid="{184199AF-0354-4BA7-B832-740D42B5C12B}"/>
    <cellStyle name="Ausgabe 3 4 29" xfId="14645" xr:uid="{4C02632E-1004-43D8-9036-386107358CFC}"/>
    <cellStyle name="Ausgabe 3 4 3" xfId="1366" xr:uid="{0F7FDD95-8394-4D27-A119-297F3067A016}"/>
    <cellStyle name="Ausgabe 3 4 30" xfId="15297" xr:uid="{B27F334C-31BB-492C-A8E3-CA99C3CC03CB}"/>
    <cellStyle name="Ausgabe 3 4 31" xfId="14560" xr:uid="{0583D93D-5C91-404B-973A-787E8E30B376}"/>
    <cellStyle name="Ausgabe 3 4 32" xfId="15847" xr:uid="{FE7D15DB-D619-49BC-8980-DC44CB6921C8}"/>
    <cellStyle name="Ausgabe 3 4 33" xfId="16747" xr:uid="{015E8E38-54B2-400C-9120-431F6EDA12AB}"/>
    <cellStyle name="Ausgabe 3 4 34" xfId="17107" xr:uid="{04A322E1-820D-452E-8399-CC89F468244A}"/>
    <cellStyle name="Ausgabe 3 4 35" xfId="17554" xr:uid="{040E5BA1-C078-4930-9CBA-0886EF5C5E1D}"/>
    <cellStyle name="Ausgabe 3 4 36" xfId="16252" xr:uid="{579BB4EB-F627-4BDC-871A-BFE835C4DB23}"/>
    <cellStyle name="Ausgabe 3 4 37" xfId="18565" xr:uid="{1192FF7F-81C8-4BCA-A5E6-136F790ED14E}"/>
    <cellStyle name="Ausgabe 3 4 38" xfId="18341" xr:uid="{30940BFE-DD55-4F24-9091-DEBA0E2166F2}"/>
    <cellStyle name="Ausgabe 3 4 39" xfId="19106" xr:uid="{11FE77E2-A4A4-4ADB-9D9C-85CEFF9050D8}"/>
    <cellStyle name="Ausgabe 3 4 4" xfId="2524" xr:uid="{12C411E1-7C00-4011-8EC9-0735C0A58375}"/>
    <cellStyle name="Ausgabe 3 4 40" xfId="20084" xr:uid="{0F6B9064-871D-429B-9464-BB402A586C17}"/>
    <cellStyle name="Ausgabe 3 4 41" xfId="20460" xr:uid="{4F2B40C2-853A-4A3F-908B-D2C3AAFF9541}"/>
    <cellStyle name="Ausgabe 3 4 42" xfId="20913" xr:uid="{8613C90D-AF7E-49C0-8278-ED13863FE14B}"/>
    <cellStyle name="Ausgabe 3 4 43" xfId="21416" xr:uid="{DE294266-CB0B-4C81-9DBB-D966EE4C42D1}"/>
    <cellStyle name="Ausgabe 3 4 44" xfId="21842" xr:uid="{0D51346A-B5B1-4BC6-8243-BD9D071355B4}"/>
    <cellStyle name="Ausgabe 3 4 45" xfId="22279" xr:uid="{B3C40B36-0DF0-49E1-BB6D-CDFDA217765F}"/>
    <cellStyle name="Ausgabe 3 4 46" xfId="22661" xr:uid="{C90B2C94-6285-4636-ACF6-8D151313A912}"/>
    <cellStyle name="Ausgabe 3 4 47" xfId="23005" xr:uid="{10A3D513-F99E-48A6-B67B-64D28641368E}"/>
    <cellStyle name="Ausgabe 3 4 48" xfId="23551" xr:uid="{E547EF28-5F9E-4187-8C3F-A2C963230E70}"/>
    <cellStyle name="Ausgabe 3 4 49" xfId="23885" xr:uid="{0E6FD4B1-2BBC-4562-BB5B-7EE239BCEC95}"/>
    <cellStyle name="Ausgabe 3 4 5" xfId="2824" xr:uid="{F15602F6-C4D3-439F-ABB4-E1D831C4FF5A}"/>
    <cellStyle name="Ausgabe 3 4 50" xfId="24792" xr:uid="{F1C7619C-BF02-4265-A61E-D3D2A85DDE2C}"/>
    <cellStyle name="Ausgabe 3 4 51" xfId="25168" xr:uid="{4A77853F-6A2F-4FBD-A9DA-D1FB875D5AB3}"/>
    <cellStyle name="Ausgabe 3 4 52" xfId="25708" xr:uid="{BED834F8-ABA0-471B-A057-49C1B56F56E5}"/>
    <cellStyle name="Ausgabe 3 4 53" xfId="25964" xr:uid="{9EAFD07E-ACC7-4288-B38F-E8675E6F446A}"/>
    <cellStyle name="Ausgabe 3 4 54" xfId="26296" xr:uid="{3E088D52-3BE2-4229-B15F-74CBD3DA0532}"/>
    <cellStyle name="Ausgabe 3 4 55" xfId="26996" xr:uid="{474AA66B-B194-463A-B0BB-D06839C3CA61}"/>
    <cellStyle name="Ausgabe 3 4 56" xfId="27415" xr:uid="{258B79FB-BBDB-4425-AE4E-F30B3A12B91A}"/>
    <cellStyle name="Ausgabe 3 4 57" xfId="27675" xr:uid="{04305081-0A76-4713-92A4-570FEE03516D}"/>
    <cellStyle name="Ausgabe 3 4 58" xfId="28542" xr:uid="{2DDEED14-AEFC-4FC8-9E8C-6C1170E11063}"/>
    <cellStyle name="Ausgabe 3 4 59" xfId="29009" xr:uid="{81C1175C-0C1E-4924-B6F3-AFB824C2D1CA}"/>
    <cellStyle name="Ausgabe 3 4 6" xfId="3026" xr:uid="{BC558930-0150-43FB-8793-33C5D39D7D40}"/>
    <cellStyle name="Ausgabe 3 4 60" xfId="29315" xr:uid="{A1FB059F-AEEB-4E46-8A93-D7E59C8F1004}"/>
    <cellStyle name="Ausgabe 3 4 61" xfId="29799" xr:uid="{FF0CFD9B-8A95-4C64-BDA3-F7828B134984}"/>
    <cellStyle name="Ausgabe 3 4 62" xfId="30205" xr:uid="{35797489-ADE1-4A06-92B9-FF436B859E5A}"/>
    <cellStyle name="Ausgabe 3 4 63" xfId="30621" xr:uid="{EF70BFA5-76AF-45CB-BB04-D870618DE1EB}"/>
    <cellStyle name="Ausgabe 3 4 64" xfId="30882" xr:uid="{0B0457F0-8C5C-41E0-B4D7-57FDDA16B648}"/>
    <cellStyle name="Ausgabe 3 4 65" xfId="31238" xr:uid="{5337D6AB-FF57-4718-A710-5A55E8967375}"/>
    <cellStyle name="Ausgabe 3 4 66" xfId="31929" xr:uid="{F5A13BCE-3872-4F8D-8970-D71FCAF488E0}"/>
    <cellStyle name="Ausgabe 3 4 67" xfId="32349" xr:uid="{AAD3DB1B-89FA-41D0-9447-03374D91805E}"/>
    <cellStyle name="Ausgabe 3 4 7" xfId="4020" xr:uid="{9A3AD752-5151-4D64-956B-D271DDBF43A7}"/>
    <cellStyle name="Ausgabe 3 4 8" xfId="4457" xr:uid="{63C451AC-43CE-4452-9B14-4C36723AEA80}"/>
    <cellStyle name="Ausgabe 3 4 9" xfId="4886" xr:uid="{F5694821-C13B-4E5F-B9D4-9AC4D6783181}"/>
    <cellStyle name="Ausgabe 3 5" xfId="957" xr:uid="{43695D05-0ECB-4FF6-95FA-F30D403D53EA}"/>
    <cellStyle name="Ausgabe 3 6" xfId="2106" xr:uid="{F833F242-7F1D-4A5F-97B6-710DAB5E7F53}"/>
    <cellStyle name="Ausgabe 3 7" xfId="2951" xr:uid="{1B359591-B0B2-41F7-8FF3-4B586E29D3A1}"/>
    <cellStyle name="Ausgabe 3 8" xfId="1931" xr:uid="{4D27FEE0-E532-4BBD-89A6-02F0764AD9EB}"/>
    <cellStyle name="Ausgabe 3 9" xfId="3406" xr:uid="{248C9BE4-5861-400A-9139-E05681314160}"/>
    <cellStyle name="Ausgabe 4" xfId="543" xr:uid="{E62A1933-D046-4FB4-AFC9-5D7954E4636B}"/>
    <cellStyle name="Ausgabe 4 10" xfId="4879" xr:uid="{B67DAED9-7E19-4A8C-AB11-72E5D467A08D}"/>
    <cellStyle name="Ausgabe 4 11" xfId="5191" xr:uid="{60B1D90C-5AF0-49E3-B661-C9E7B784274F}"/>
    <cellStyle name="Ausgabe 4 12" xfId="5711" xr:uid="{78AA1795-9193-49F1-983A-EE60763617E2}"/>
    <cellStyle name="Ausgabe 4 13" xfId="6126" xr:uid="{D63B2D92-C45B-4D29-A072-2197BE036EEB}"/>
    <cellStyle name="Ausgabe 4 14" xfId="6582" xr:uid="{184A1BA4-987A-4129-A339-01DEB3A856B3}"/>
    <cellStyle name="Ausgabe 4 15" xfId="7263" xr:uid="{AFD0B7BF-70CE-4019-82FE-7FFC8C2AA864}"/>
    <cellStyle name="Ausgabe 4 16" xfId="7750" xr:uid="{6A3B1AE8-89D4-4D13-A262-9F5C8A6817EA}"/>
    <cellStyle name="Ausgabe 4 17" xfId="8580" xr:uid="{1ED82B86-4B02-463D-8201-DBAE34DB874F}"/>
    <cellStyle name="Ausgabe 4 18" xfId="8751" xr:uid="{7FCE9047-B1AF-4078-B9DF-09CB9A70D728}"/>
    <cellStyle name="Ausgabe 4 19" xfId="9477" xr:uid="{C5777C0F-BD65-4EBC-853C-4C3C83738DC2}"/>
    <cellStyle name="Ausgabe 4 2" xfId="758" xr:uid="{0CB58EB2-2250-4817-AB36-177B219E3AFD}"/>
    <cellStyle name="Ausgabe 4 2 10" xfId="5406" xr:uid="{BD566FE0-4F51-494E-8C71-D4C165B5070B}"/>
    <cellStyle name="Ausgabe 4 2 11" xfId="2841" xr:uid="{928A7BD8-E6E4-40C8-90E6-9D97597E79C4}"/>
    <cellStyle name="Ausgabe 4 2 12" xfId="4707" xr:uid="{48AB0A7E-6D09-4CA3-BCAF-6F4D1A7D0924}"/>
    <cellStyle name="Ausgabe 4 2 13" xfId="6396" xr:uid="{5A6FE049-8D2F-460C-9791-3D2F4E1579E6}"/>
    <cellStyle name="Ausgabe 4 2 14" xfId="7478" xr:uid="{8B145B02-B694-4569-BD32-7A0307FECAD8}"/>
    <cellStyle name="Ausgabe 4 2 15" xfId="6986" xr:uid="{5B0B7DCE-8074-4F72-9356-58134862237A}"/>
    <cellStyle name="Ausgabe 4 2 16" xfId="8115" xr:uid="{7489DAF6-4CE1-4657-BB52-73E5275A5C4F}"/>
    <cellStyle name="Ausgabe 4 2 17" xfId="6934" xr:uid="{E0227A6C-944E-4466-9628-1B33377A13F0}"/>
    <cellStyle name="Ausgabe 4 2 18" xfId="9692" xr:uid="{F4914008-B27F-4FE2-81AC-F6C52ED8D13E}"/>
    <cellStyle name="Ausgabe 4 2 19" xfId="9327" xr:uid="{52E0AB6B-9050-4BBA-8D42-F7DEF2B011C1}"/>
    <cellStyle name="Ausgabe 4 2 2" xfId="1232" xr:uid="{F38B7453-28B5-446E-AE98-28DE58721883}"/>
    <cellStyle name="Ausgabe 4 2 20" xfId="9330" xr:uid="{47639CE4-838F-4ECD-B8CF-CAB966E7AE7D}"/>
    <cellStyle name="Ausgabe 4 2 21" xfId="10153" xr:uid="{0A5AA2CE-297D-4059-8FF6-59CEB45145B0}"/>
    <cellStyle name="Ausgabe 4 2 22" xfId="10792" xr:uid="{7CDAC425-10E3-4983-BE4A-B9BE76BBEA4E}"/>
    <cellStyle name="Ausgabe 4 2 23" xfId="12111" xr:uid="{A3E70F01-B5BC-4CF3-841C-5D2F37BBD9CA}"/>
    <cellStyle name="Ausgabe 4 2 24" xfId="12584" xr:uid="{8C141B5D-1128-4A7A-9FFF-8F8C8EB3B685}"/>
    <cellStyle name="Ausgabe 4 2 25" xfId="13018" xr:uid="{4E6881B9-05FD-4B83-A1D8-14EAF887B647}"/>
    <cellStyle name="Ausgabe 4 2 26" xfId="13455" xr:uid="{7A9F2547-EEA1-456A-B8D8-77C559DB4DA4}"/>
    <cellStyle name="Ausgabe 4 2 27" xfId="11385" xr:uid="{599C1A70-FF21-496F-A24F-DF6AA1200A23}"/>
    <cellStyle name="Ausgabe 4 2 28" xfId="13691" xr:uid="{36FB21C5-D82D-4426-A9E8-BA4E0C5C9417}"/>
    <cellStyle name="Ausgabe 4 2 29" xfId="14076" xr:uid="{C842C140-AB37-4E85-8201-EC78973A4548}"/>
    <cellStyle name="Ausgabe 4 2 3" xfId="1471" xr:uid="{414140AC-26B7-491D-BD15-FABD305DEAE1}"/>
    <cellStyle name="Ausgabe 4 2 30" xfId="15178" xr:uid="{80AE05B6-49E0-4D66-8699-60417377F82E}"/>
    <cellStyle name="Ausgabe 4 2 31" xfId="14885" xr:uid="{E06DF1B4-24CB-46CA-B40A-C1E79678F4E8}"/>
    <cellStyle name="Ausgabe 4 2 32" xfId="14373" xr:uid="{F64E34C3-109D-4DE9-BC66-6580A2615951}"/>
    <cellStyle name="Ausgabe 4 2 33" xfId="16803" xr:uid="{CFD43733-018E-426B-971E-FC71174124CE}"/>
    <cellStyle name="Ausgabe 4 2 34" xfId="16306" xr:uid="{592EAEA2-AEE2-4BF5-90C8-46A38AF058BA}"/>
    <cellStyle name="Ausgabe 4 2 35" xfId="16990" xr:uid="{F5A1F404-B833-44F9-B3F2-EE9EFF16C295}"/>
    <cellStyle name="Ausgabe 4 2 36" xfId="17878" xr:uid="{2720F3E9-DB4E-4CEA-B431-08D4AA5D771B}"/>
    <cellStyle name="Ausgabe 4 2 37" xfId="18621" xr:uid="{9E896FF7-2C91-4B14-AF68-1D16322539E2}"/>
    <cellStyle name="Ausgabe 4 2 38" xfId="18373" xr:uid="{49674CCE-96E0-4C4D-8BBB-35C5EA2756B5}"/>
    <cellStyle name="Ausgabe 4 2 39" xfId="18759" xr:uid="{96DCFE24-BDBF-4432-A3BA-1E923F68085B}"/>
    <cellStyle name="Ausgabe 4 2 4" xfId="2580" xr:uid="{59AF8D22-2AAE-4E98-93EF-4010A4E27131}"/>
    <cellStyle name="Ausgabe 4 2 40" xfId="20140" xr:uid="{BD376B3C-F165-40D7-B5ED-95BFC70915AE}"/>
    <cellStyle name="Ausgabe 4 2 41" xfId="19784" xr:uid="{350EC6F1-B284-4F0B-8276-D9EF400386EB}"/>
    <cellStyle name="Ausgabe 4 2 42" xfId="19487" xr:uid="{D4A460EA-F8E1-4987-AD2A-A51C2805DE8E}"/>
    <cellStyle name="Ausgabe 4 2 43" xfId="20822" xr:uid="{BF0CEEC1-C7DB-47B4-BFD5-8FDA2EA04B6B}"/>
    <cellStyle name="Ausgabe 4 2 44" xfId="21443" xr:uid="{D1A6DECF-4886-4784-9119-21E7E976D8FC}"/>
    <cellStyle name="Ausgabe 4 2 45" xfId="21673" xr:uid="{727C4154-8C92-456B-8333-84244220302C}"/>
    <cellStyle name="Ausgabe 4 2 46" xfId="22176" xr:uid="{A447D13D-6CBA-4096-AEE2-DE3F3B2C8FEA}"/>
    <cellStyle name="Ausgabe 4 2 47" xfId="22840" xr:uid="{9D9286C6-5D14-4CCF-832C-65E196D6A2A2}"/>
    <cellStyle name="Ausgabe 4 2 48" xfId="22812" xr:uid="{841309E3-29D1-4AE9-B673-493520E35103}"/>
    <cellStyle name="Ausgabe 4 2 49" xfId="23940" xr:uid="{10165E29-8CEA-4513-B913-008DDE227CA1}"/>
    <cellStyle name="Ausgabe 4 2 5" xfId="2065" xr:uid="{1E308235-0F51-40EF-97B4-43B165BBA182}"/>
    <cellStyle name="Ausgabe 4 2 50" xfId="24848" xr:uid="{9E2543E3-BF6E-48E9-81D2-1FBB17812227}"/>
    <cellStyle name="Ausgabe 4 2 51" xfId="24197" xr:uid="{0F2491D5-1DBA-441E-8680-10291A7C50CB}"/>
    <cellStyle name="Ausgabe 4 2 52" xfId="25764" xr:uid="{A9D2172F-D689-4721-ACE5-F9012F1E86A9}"/>
    <cellStyle name="Ausgabe 4 2 53" xfId="25293" xr:uid="{60A77C6A-174B-47D8-A4DC-08507E16E740}"/>
    <cellStyle name="Ausgabe 4 2 54" xfId="26650" xr:uid="{4201B68F-2A44-4EEC-A5D4-AD1FF3F8942C}"/>
    <cellStyle name="Ausgabe 4 2 55" xfId="27052" xr:uid="{C1DE8A4F-CECC-4A6A-B441-C99FFC3F26E6}"/>
    <cellStyle name="Ausgabe 4 2 56" xfId="27471" xr:uid="{034F4133-16E5-40FF-889C-3EBDD1AC8060}"/>
    <cellStyle name="Ausgabe 4 2 57" xfId="24195" xr:uid="{4607BC47-F750-4A38-A8BE-F83EDF02131E}"/>
    <cellStyle name="Ausgabe 4 2 58" xfId="28598" xr:uid="{CB6F34FD-50AF-481C-AA89-1CFD1884FEC9}"/>
    <cellStyle name="Ausgabe 4 2 59" xfId="29065" xr:uid="{5063F546-EF77-4208-B804-E93807B93D95}"/>
    <cellStyle name="Ausgabe 4 2 6" xfId="3545" xr:uid="{AF793221-8A8D-4C01-98CB-2E269A2F1081}"/>
    <cellStyle name="Ausgabe 4 2 60" xfId="28165" xr:uid="{F7FE4D04-3A5C-4DF7-90CE-11EB9CFD819F}"/>
    <cellStyle name="Ausgabe 4 2 61" xfId="29854" xr:uid="{CC3C1DD7-1B2D-428D-87EC-A2D42FDD173D}"/>
    <cellStyle name="Ausgabe 4 2 62" xfId="30260" xr:uid="{911B11CD-D05C-442E-987F-80D0CC2A8846}"/>
    <cellStyle name="Ausgabe 4 2 63" xfId="30677" xr:uid="{5A875583-4CA3-4DC4-9382-21EC9323D9DB}"/>
    <cellStyle name="Ausgabe 4 2 64" xfId="29597" xr:uid="{A3484F23-23D4-4A81-A407-50FF136E0B1A}"/>
    <cellStyle name="Ausgabe 4 2 65" xfId="31293" xr:uid="{8066A950-4BFD-4094-A456-9DE9C529E3A2}"/>
    <cellStyle name="Ausgabe 4 2 66" xfId="31984" xr:uid="{F45AAE30-1C73-4E00-8870-AA8B45AEF9D8}"/>
    <cellStyle name="Ausgabe 4 2 67" xfId="32314" xr:uid="{9461933A-79BB-4171-AC4E-EF38747A0672}"/>
    <cellStyle name="Ausgabe 4 2 7" xfId="4076" xr:uid="{A621A6DC-D60C-439F-A77D-6C9A0AD22B08}"/>
    <cellStyle name="Ausgabe 4 2 8" xfId="4513" xr:uid="{CBB67C7C-8927-4682-95BE-D215BC9143EC}"/>
    <cellStyle name="Ausgabe 4 2 9" xfId="2116" xr:uid="{1CA05AD2-5302-4CBC-97A6-C61EA9FFD38A}"/>
    <cellStyle name="Ausgabe 4 20" xfId="9964" xr:uid="{0ABAA406-7E13-442E-BBA7-A06C0760A656}"/>
    <cellStyle name="Ausgabe 4 21" xfId="10392" xr:uid="{4F5FB523-8FC4-4C1F-9D5F-D42A274D1FAF}"/>
    <cellStyle name="Ausgabe 4 22" xfId="10468" xr:uid="{B9094E3F-F7FB-49C7-A94B-B89414862363}"/>
    <cellStyle name="Ausgabe 4 23" xfId="10659" xr:uid="{300BFB63-47F1-4D1C-B8B8-4367804202F9}"/>
    <cellStyle name="Ausgabe 4 24" xfId="11896" xr:uid="{86926618-BFB5-4A56-83B4-AA40B9374033}"/>
    <cellStyle name="Ausgabe 4 25" xfId="12369" xr:uid="{680C18F2-1038-45E6-82BE-D1EBE6F3B3BC}"/>
    <cellStyle name="Ausgabe 4 26" xfId="12803" xr:uid="{D6A0F0C0-F2C2-463F-8444-0F9EAFDCDE4F}"/>
    <cellStyle name="Ausgabe 4 27" xfId="13240" xr:uid="{C423FE56-FDB0-4F6A-BE23-2373B45BAD58}"/>
    <cellStyle name="Ausgabe 4 28" xfId="11781" xr:uid="{6513170D-332B-4A82-8304-01D6581121A3}"/>
    <cellStyle name="Ausgabe 4 29" xfId="14337" xr:uid="{04774C0E-F195-4B75-93BF-5B5E45729CE0}"/>
    <cellStyle name="Ausgabe 4 3" xfId="1026" xr:uid="{F7424BFD-7F0C-429C-A2B1-B5802F2E3337}"/>
    <cellStyle name="Ausgabe 4 30" xfId="14563" xr:uid="{50C0F4E3-D3D0-473D-8877-BFBD99D04C6A}"/>
    <cellStyle name="Ausgabe 4 31" xfId="15041" xr:uid="{020BD062-DD66-43CD-9BE3-54BAC86E1DDF}"/>
    <cellStyle name="Ausgabe 4 32" xfId="14545" xr:uid="{09BC62E4-8059-46A0-87A9-803CC57733EB}"/>
    <cellStyle name="Ausgabe 4 33" xfId="15834" xr:uid="{3096F0AF-A15C-49BB-BC97-970FE9282F08}"/>
    <cellStyle name="Ausgabe 4 34" xfId="16588" xr:uid="{A04361CF-9ED9-4633-A2FE-4C928217B882}"/>
    <cellStyle name="Ausgabe 4 35" xfId="17079" xr:uid="{9F630D8F-BC28-4AB7-9454-2946F8BF5032}"/>
    <cellStyle name="Ausgabe 4 36" xfId="17526" xr:uid="{A081F38B-5969-4C19-A7FB-BB3583DAAD1A}"/>
    <cellStyle name="Ausgabe 4 37" xfId="18237" xr:uid="{31F0A267-071D-47FF-93C6-1E649CBC154C}"/>
    <cellStyle name="Ausgabe 4 38" xfId="18406" xr:uid="{EBD44400-23BE-488D-A32A-01B34B3E2C2E}"/>
    <cellStyle name="Ausgabe 4 39" xfId="18849" xr:uid="{4A1FDCEF-350B-4E2A-B4A8-BF0B5E54EFDE}"/>
    <cellStyle name="Ausgabe 4 4" xfId="1655" xr:uid="{7D5FAF7A-F043-446C-8248-6B5D14403C25}"/>
    <cellStyle name="Ausgabe 4 40" xfId="19118" xr:uid="{A9AD91E1-4A83-4E58-A8C1-0056CE17487B}"/>
    <cellStyle name="Ausgabe 4 41" xfId="19925" xr:uid="{38AAF8EC-02B2-4384-AAED-BCFB1AE2C2E7}"/>
    <cellStyle name="Ausgabe 4 42" xfId="20432" xr:uid="{05A7C5B8-0155-43F9-83B8-CC0F3DB1453A}"/>
    <cellStyle name="Ausgabe 4 43" xfId="20884" xr:uid="{F6C62526-8AAE-455E-A40E-8A4C67EA11E8}"/>
    <cellStyle name="Ausgabe 4 44" xfId="21552" xr:uid="{FA48DD0D-8107-4E44-B0BA-9821C124EF3C}"/>
    <cellStyle name="Ausgabe 4 45" xfId="21816" xr:uid="{CDA5FA90-8667-451E-A664-99ADE9045E69}"/>
    <cellStyle name="Ausgabe 4 46" xfId="22250" xr:uid="{F7477013-8E99-488A-9CB5-6BF1D1898805}"/>
    <cellStyle name="Ausgabe 4 47" xfId="21846" xr:uid="{1F506E92-47A1-43CC-A06C-980C7D4881B6}"/>
    <cellStyle name="Ausgabe 4 48" xfId="23125" xr:uid="{69AACF2D-9011-4630-9650-EE6BEDED037C}"/>
    <cellStyle name="Ausgabe 4 49" xfId="23392" xr:uid="{5C513B7A-6510-447D-BC6E-7C88A2D194BB}"/>
    <cellStyle name="Ausgabe 4 5" xfId="2365" xr:uid="{B8A5E1D8-6B35-4814-BC95-060CD8CA6106}"/>
    <cellStyle name="Ausgabe 4 50" xfId="23734" xr:uid="{19C8D605-30D2-4110-893C-E548D335D63C}"/>
    <cellStyle name="Ausgabe 4 51" xfId="24633" xr:uid="{3744AA99-368D-4E00-A9F2-E417CFE517D2}"/>
    <cellStyle name="Ausgabe 4 52" xfId="25139" xr:uid="{28F454AC-30DB-4F28-82D4-E98B0B5249C9}"/>
    <cellStyle name="Ausgabe 4 53" xfId="25551" xr:uid="{CE825238-B686-49A4-B02A-D4A4C26C4A20}"/>
    <cellStyle name="Ausgabe 4 54" xfId="25195" xr:uid="{030D1F45-3D36-43C1-BEBD-ACB00919D36B}"/>
    <cellStyle name="Ausgabe 4 55" xfId="24275" xr:uid="{78055E89-2CA8-49F6-BC47-C22B6192F369}"/>
    <cellStyle name="Ausgabe 4 56" xfId="26841" xr:uid="{B362C731-D966-4EE8-A840-A923F22CC3E6}"/>
    <cellStyle name="Ausgabe 4 57" xfId="27260" xr:uid="{9325848F-C01C-40A4-9AF7-F260B2791FE6}"/>
    <cellStyle name="Ausgabe 4 58" xfId="27637" xr:uid="{7597C637-CEB5-4F7F-AFD2-7924B3704731}"/>
    <cellStyle name="Ausgabe 4 59" xfId="28383" xr:uid="{BB59A458-0092-4035-BB1B-B90B83C30B18}"/>
    <cellStyle name="Ausgabe 4 6" xfId="2282" xr:uid="{0B76BEC0-3DF0-4745-951C-BE7D55FF5E20}"/>
    <cellStyle name="Ausgabe 4 60" xfId="28851" xr:uid="{033B3D9F-89DB-425E-8932-AC23C17D1E7E}"/>
    <cellStyle name="Ausgabe 4 61" xfId="29291" xr:uid="{50906CAC-F5E7-417C-B6FA-81FC582432E7}"/>
    <cellStyle name="Ausgabe 4 62" xfId="29641" xr:uid="{4D5F7FA2-CC2C-44C2-8F01-C5F8FB57CEA8}"/>
    <cellStyle name="Ausgabe 4 63" xfId="30049" xr:uid="{06504880-C3B8-4DEF-84DF-D7B45DF6D94B}"/>
    <cellStyle name="Ausgabe 4 64" xfId="30463" xr:uid="{13CBBD06-FE61-4BEF-A9B9-6CAA64D21767}"/>
    <cellStyle name="Ausgabe 4 65" xfId="29011" xr:uid="{69A76D6B-20FF-4B6A-8672-D43EF0672652}"/>
    <cellStyle name="Ausgabe 4 66" xfId="31087" xr:uid="{CFCEC94D-4E58-4E47-A510-F6BA9E46A22C}"/>
    <cellStyle name="Ausgabe 4 67" xfId="31773" xr:uid="{B3F69BD0-C65D-4499-9831-2634B4BB9457}"/>
    <cellStyle name="Ausgabe 4 68" xfId="31633" xr:uid="{36F0FF3B-8144-442B-BAAF-6AB5A7D7E482}"/>
    <cellStyle name="Ausgabe 4 7" xfId="2955" xr:uid="{51D5341E-8BD5-415D-B952-DD8895145A79}"/>
    <cellStyle name="Ausgabe 4 8" xfId="3861" xr:uid="{279919B5-98AA-4EB0-A1BA-F661F82C30F0}"/>
    <cellStyle name="Ausgabe 4 9" xfId="4299" xr:uid="{ECFAB046-FA36-493C-86BF-2F1D3BF9EAEF}"/>
    <cellStyle name="Ausgabe 5" xfId="662" xr:uid="{D12FAF26-20F4-4038-8544-F5116A0CF33C}"/>
    <cellStyle name="Ausgabe 5 10" xfId="4915" xr:uid="{90B18884-E152-4867-BA49-08F6912D71FC}"/>
    <cellStyle name="Ausgabe 5 11" xfId="5310" xr:uid="{38C0C900-9B34-49BF-B134-3F00935F2731}"/>
    <cellStyle name="Ausgabe 5 12" xfId="4869" xr:uid="{D6ABBB0D-7E57-4C07-8191-CDAD164188DE}"/>
    <cellStyle name="Ausgabe 5 13" xfId="6115" xr:uid="{49EF77E1-DE80-4062-A157-CE0922F2441F}"/>
    <cellStyle name="Ausgabe 5 14" xfId="6453" xr:uid="{A75BB2F9-7EF4-4C2B-90B0-5D4CF2261894}"/>
    <cellStyle name="Ausgabe 5 15" xfId="7382" xr:uid="{ABFDDDA0-948B-49D1-87F0-AEE4B0DBAB19}"/>
    <cellStyle name="Ausgabe 5 16" xfId="7783" xr:uid="{0E0D0BB8-8829-4B37-A9A5-241385181F5C}"/>
    <cellStyle name="Ausgabe 5 17" xfId="8499" xr:uid="{7A11B35C-0FF1-48F3-802C-8C8CA3306E22}"/>
    <cellStyle name="Ausgabe 5 18" xfId="8739" xr:uid="{BF56C97F-8100-4943-B816-05A3107B2274}"/>
    <cellStyle name="Ausgabe 5 19" xfId="9596" xr:uid="{E860EF54-6747-464B-A00E-D2F9B51F0567}"/>
    <cellStyle name="Ausgabe 5 2" xfId="877" xr:uid="{07A57343-F369-48A6-B15A-A7988BEFFF07}"/>
    <cellStyle name="Ausgabe 5 2 10" xfId="5525" xr:uid="{2AB5F647-4FDB-47F2-8BCC-91A093FB313F}"/>
    <cellStyle name="Ausgabe 5 2 11" xfId="6019" xr:uid="{F39D4475-1B47-4DC8-AEAA-535B7E428BA6}"/>
    <cellStyle name="Ausgabe 5 2 12" xfId="6378" xr:uid="{5EB4B2EA-E960-4C27-84F5-26B8C75FCE2C}"/>
    <cellStyle name="Ausgabe 5 2 13" xfId="6716" xr:uid="{16DF99D6-7893-42ED-A601-09291350FD5C}"/>
    <cellStyle name="Ausgabe 5 2 14" xfId="7597" xr:uid="{1B6F06DD-A173-49A7-B279-F1287F066BE6}"/>
    <cellStyle name="Ausgabe 5 2 15" xfId="8061" xr:uid="{2E830411-B4DE-45C3-9147-1603C6EAB1F7}"/>
    <cellStyle name="Ausgabe 5 2 16" xfId="8670" xr:uid="{DA8A2B3D-96AA-42CA-A2F0-0DCA6990251F}"/>
    <cellStyle name="Ausgabe 5 2 17" xfId="8929" xr:uid="{25A1A942-D47D-49D9-A918-FAE237E81406}"/>
    <cellStyle name="Ausgabe 5 2 18" xfId="9811" xr:uid="{D25E87F3-C711-4138-AEFD-CD54D454C09E}"/>
    <cellStyle name="Ausgabe 5 2 19" xfId="10280" xr:uid="{A5F7068E-4510-4CD1-B9D9-0A5D1EB27972}"/>
    <cellStyle name="Ausgabe 5 2 2" xfId="1351" xr:uid="{96641EB0-FA0D-4371-B82A-507110893D99}"/>
    <cellStyle name="Ausgabe 5 2 20" xfId="10674" xr:uid="{89D1E755-80FE-419D-95DC-1EF4237888C2}"/>
    <cellStyle name="Ausgabe 5 2 21" xfId="11023" xr:uid="{84B31813-CFA5-44CE-B20F-8CAC737253F8}"/>
    <cellStyle name="Ausgabe 5 2 22" xfId="11333" xr:uid="{91403CDF-64EF-4C80-901A-484BAF68FFEA}"/>
    <cellStyle name="Ausgabe 5 2 23" xfId="12230" xr:uid="{FA3F9DD1-2ACE-4B43-8787-123D1E57372E}"/>
    <cellStyle name="Ausgabe 5 2 24" xfId="12703" xr:uid="{1953E4B3-7705-492C-A721-078B22FCFFDD}"/>
    <cellStyle name="Ausgabe 5 2 25" xfId="13137" xr:uid="{FD11D385-6482-4C60-B242-31B796DDC245}"/>
    <cellStyle name="Ausgabe 5 2 26" xfId="13574" xr:uid="{71E34DD9-EF22-41F7-AB39-4AFEED1C4C2C}"/>
    <cellStyle name="Ausgabe 5 2 27" xfId="14046" xr:uid="{40936F49-3A32-4F2F-92FF-2F0C8E7D7E1A}"/>
    <cellStyle name="Ausgabe 5 2 28" xfId="14493" xr:uid="{2BDCCF1C-5C39-41CD-9977-6463AA82C58B}"/>
    <cellStyle name="Ausgabe 5 2 29" xfId="14927" xr:uid="{0C255E66-8E9E-451D-81D9-CAE00A3E4DE0}"/>
    <cellStyle name="Ausgabe 5 2 3" xfId="1800" xr:uid="{A708605B-6813-4C9D-B8C8-8A9061933EEE}"/>
    <cellStyle name="Ausgabe 5 2 30" xfId="15397" xr:uid="{6F056063-A656-4A2F-91D8-31379057AE65}"/>
    <cellStyle name="Ausgabe 5 2 31" xfId="15787" xr:uid="{A5925178-C47C-4FD7-BB90-A88D23B8D1AC}"/>
    <cellStyle name="Ausgabe 5 2 32" xfId="16009" xr:uid="{CC0AF1E4-EC9C-4972-AA0D-A6540FCCCF6F}"/>
    <cellStyle name="Ausgabe 5 2 33" xfId="16922" xr:uid="{A58ABC03-C970-43F4-A9D5-25D64FED60AE}"/>
    <cellStyle name="Ausgabe 5 2 34" xfId="17403" xr:uid="{C7873092-954D-4C76-B154-C06F1C9CA2FD}"/>
    <cellStyle name="Ausgabe 5 2 35" xfId="17844" xr:uid="{5E5CA810-F1ED-4E3F-BFAF-2E6FC13D2CE0}"/>
    <cellStyle name="Ausgabe 5 2 36" xfId="18319" xr:uid="{11789421-8558-4ACB-B614-8519428B8255}"/>
    <cellStyle name="Ausgabe 5 2 37" xfId="18740" xr:uid="{CC9A760B-719E-4EFC-81ED-6F97800FFEB5}"/>
    <cellStyle name="Ausgabe 5 2 38" xfId="19127" xr:uid="{A35DCCB0-C846-4A04-A090-270B5593D734}"/>
    <cellStyle name="Ausgabe 5 2 39" xfId="19357" xr:uid="{85FE04D5-096E-475D-9474-F64AD3960C90}"/>
    <cellStyle name="Ausgabe 5 2 4" xfId="2699" xr:uid="{D15324AC-7E5C-4FD2-B8C3-C000795ACC34}"/>
    <cellStyle name="Ausgabe 5 2 40" xfId="20259" xr:uid="{3E551529-FCD0-4CDF-8ABD-7B0978E60898}"/>
    <cellStyle name="Ausgabe 5 2 41" xfId="20752" xr:uid="{DF099DF0-ACA4-4915-B1D4-C4C77193AE3E}"/>
    <cellStyle name="Ausgabe 5 2 42" xfId="21211" xr:uid="{646119BB-AE54-4877-916C-FAC7F5A27985}"/>
    <cellStyle name="Ausgabe 5 2 43" xfId="21703" xr:uid="{2775DB91-8D71-4F9C-B315-F23A34691F9E}"/>
    <cellStyle name="Ausgabe 5 2 44" xfId="22142" xr:uid="{D1EBBC12-A7A9-49F5-B7E8-1E74385356FE}"/>
    <cellStyle name="Ausgabe 5 2 45" xfId="22569" xr:uid="{F8A738B9-1B0A-4EB0-B9E0-A8D5E434A66D}"/>
    <cellStyle name="Ausgabe 5 2 46" xfId="23014" xr:uid="{AA29DF6D-9792-4B15-BCE3-5CCB02704400}"/>
    <cellStyle name="Ausgabe 5 2 47" xfId="23416" xr:uid="{CED7B965-AED0-4F85-8501-152DEF8B0CD8}"/>
    <cellStyle name="Ausgabe 5 2 48" xfId="23679" xr:uid="{0FBBF4F0-F7E2-4762-9E02-2C823E48A68F}"/>
    <cellStyle name="Ausgabe 5 2 49" xfId="24059" xr:uid="{7D027C66-918D-4281-9521-EC7E9A3BA334}"/>
    <cellStyle name="Ausgabe 5 2 5" xfId="3219" xr:uid="{F0C18DFB-4EF0-49F2-93B5-067DBCA33B89}"/>
    <cellStyle name="Ausgabe 5 2 50" xfId="24967" xr:uid="{20F40023-725D-4354-B302-AD798BAD5B84}"/>
    <cellStyle name="Ausgabe 5 2 51" xfId="25455" xr:uid="{5658734B-F6D8-4663-AA3C-9753862086A7}"/>
    <cellStyle name="Ausgabe 5 2 52" xfId="25883" xr:uid="{2FE65F44-67CD-4720-A011-562E9980162B}"/>
    <cellStyle name="Ausgabe 5 2 53" xfId="26321" xr:uid="{E6BD1B2E-CA1F-4C0F-85A6-A279076CCFE0}"/>
    <cellStyle name="Ausgabe 5 2 54" xfId="26750" xr:uid="{D8721392-16B9-4053-AB5E-9CF7C93EA527}"/>
    <cellStyle name="Ausgabe 5 2 55" xfId="27171" xr:uid="{C2638677-D9FC-4427-8E2C-B64790043ED1}"/>
    <cellStyle name="Ausgabe 5 2 56" xfId="27590" xr:uid="{19049F6B-B23E-487E-8AA3-78A101EB5108}"/>
    <cellStyle name="Ausgabe 5 2 57" xfId="27828" xr:uid="{E5A810FD-AD8F-4D14-9658-1B132D95B85C}"/>
    <cellStyle name="Ausgabe 5 2 58" xfId="28717" xr:uid="{C68AD107-E726-4721-98A6-9E44A050B6E9}"/>
    <cellStyle name="Ausgabe 5 2 59" xfId="29184" xr:uid="{5586229C-63D3-4D1F-90F2-F82D29141FFD}"/>
    <cellStyle name="Ausgabe 5 2 6" xfId="3774" xr:uid="{344C9357-6294-48E1-BAC9-4A21C9D0343F}"/>
    <cellStyle name="Ausgabe 5 2 60" xfId="29566" xr:uid="{18BA2571-C19E-4835-834D-BC15D5AA5662}"/>
    <cellStyle name="Ausgabe 5 2 61" xfId="29973" xr:uid="{EB85217C-323D-4EDD-9B65-E056FC2C9B79}"/>
    <cellStyle name="Ausgabe 5 2 62" xfId="30379" xr:uid="{F8F0D90E-BA71-40D0-8656-76EE4F2B90C6}"/>
    <cellStyle name="Ausgabe 5 2 63" xfId="30796" xr:uid="{91068579-69ED-4C32-B346-4FF94D7DD4BA}"/>
    <cellStyle name="Ausgabe 5 2 64" xfId="31041" xr:uid="{1AC02FF1-0DA5-4FC2-8E16-E4057F91037F}"/>
    <cellStyle name="Ausgabe 5 2 65" xfId="31412" xr:uid="{910417C2-3F17-4DA7-B9C5-28B74A7FD4FB}"/>
    <cellStyle name="Ausgabe 5 2 66" xfId="32103" xr:uid="{EC9FE94C-DB4B-4C94-A90F-E426FA090A95}"/>
    <cellStyle name="Ausgabe 5 2 67" xfId="32390" xr:uid="{9A681764-CA3B-4D66-8024-B0F2B33003E7}"/>
    <cellStyle name="Ausgabe 5 2 7" xfId="4195" xr:uid="{CF273494-2435-4B24-A8AB-909D1AB20CED}"/>
    <cellStyle name="Ausgabe 5 2 8" xfId="4632" xr:uid="{7374ACA2-E087-4733-920F-12935DEE34FA}"/>
    <cellStyle name="Ausgabe 5 2 9" xfId="5078" xr:uid="{5306BA00-B49C-4EB2-9D09-2F7463D08895}"/>
    <cellStyle name="Ausgabe 5 20" xfId="9996" xr:uid="{0B42642E-C1EC-481B-9BDE-5B10BB2EB54F}"/>
    <cellStyle name="Ausgabe 5 21" xfId="10421" xr:uid="{611B16DF-3388-4161-869F-B118C81B392A}"/>
    <cellStyle name="Ausgabe 5 22" xfId="10751" xr:uid="{5DD93A8A-F2D6-408C-95BD-1236C0048827}"/>
    <cellStyle name="Ausgabe 5 23" xfId="11205" xr:uid="{AA41EC81-4153-488E-B5E2-7656CE5F15F7}"/>
    <cellStyle name="Ausgabe 5 24" xfId="12015" xr:uid="{39A0D9EF-B9FA-46BA-A0BD-A6BE577DE9C7}"/>
    <cellStyle name="Ausgabe 5 25" xfId="12488" xr:uid="{AE60FBFA-6C74-4B1F-B2DA-47CFE57C9AAE}"/>
    <cellStyle name="Ausgabe 5 26" xfId="12922" xr:uid="{AD7EA286-F228-4523-8275-4294BC2A0C28}"/>
    <cellStyle name="Ausgabe 5 27" xfId="13359" xr:uid="{B491EA1A-D8E3-4E91-8776-730D20BE09B5}"/>
    <cellStyle name="Ausgabe 5 28" xfId="13823" xr:uid="{1C935FBA-6A4D-4DBF-A770-F891E5952675}"/>
    <cellStyle name="Ausgabe 5 29" xfId="14130" xr:uid="{9E75E649-2182-4C13-9C54-B65E34A5ED4D}"/>
    <cellStyle name="Ausgabe 5 3" xfId="1145" xr:uid="{15FFED2D-2C45-4C20-9AEB-AB0E3DB13F0B}"/>
    <cellStyle name="Ausgabe 5 30" xfId="14650" xr:uid="{AF5CE735-39CA-4C85-978C-27879554CC9B}"/>
    <cellStyle name="Ausgabe 5 31" xfId="14810" xr:uid="{BC4A1C3B-5B32-400B-B337-A663335ADDC3}"/>
    <cellStyle name="Ausgabe 5 32" xfId="15503" xr:uid="{DE225B42-BDE8-42C2-970E-236EA059EC26}"/>
    <cellStyle name="Ausgabe 5 33" xfId="15851" xr:uid="{27C9A6E4-2130-497D-88C5-49EA63BC3899}"/>
    <cellStyle name="Ausgabe 5 34" xfId="16707" xr:uid="{34EBAC76-69FB-470A-8106-B39255A96B54}"/>
    <cellStyle name="Ausgabe 5 35" xfId="17112" xr:uid="{CBE95D53-7BDB-4EE9-A093-EAA549834C6B}"/>
    <cellStyle name="Ausgabe 5 36" xfId="17559" xr:uid="{1E52B86B-DC6B-41BB-9642-C3B62B8C7BDA}"/>
    <cellStyle name="Ausgabe 5 37" xfId="17803" xr:uid="{3A80B21C-59D5-4449-9B91-5BAE2EB573AC}"/>
    <cellStyle name="Ausgabe 5 38" xfId="18525" xr:uid="{D5C13203-DFD0-4DD0-A875-5752FB4815FA}"/>
    <cellStyle name="Ausgabe 5 39" xfId="19056" xr:uid="{B78240EE-7B10-4F35-84F6-71637D694628}"/>
    <cellStyle name="Ausgabe 5 4" xfId="1574" xr:uid="{7239B96F-FAAF-47A3-A9AC-936B20884404}"/>
    <cellStyle name="Ausgabe 5 40" xfId="19194" xr:uid="{07055788-BF65-4764-8940-21B4D83C8AE3}"/>
    <cellStyle name="Ausgabe 5 41" xfId="20044" xr:uid="{0299D8C7-6342-4559-B260-4531BD80E206}"/>
    <cellStyle name="Ausgabe 5 42" xfId="20465" xr:uid="{3C04083F-0DB3-4195-BB7F-966CA69C82FC}"/>
    <cellStyle name="Ausgabe 5 43" xfId="20918" xr:uid="{6825BC91-E964-4B1B-B168-8EE32C3CA231}"/>
    <cellStyle name="Ausgabe 5 44" xfId="21359" xr:uid="{A775AA06-6B89-4D92-ABA5-0F60DE05DF11}"/>
    <cellStyle name="Ausgabe 5 45" xfId="21847" xr:uid="{0C3E3A4E-D234-4779-B99A-D3283325253A}"/>
    <cellStyle name="Ausgabe 5 46" xfId="22284" xr:uid="{67167694-1222-44A7-8CCD-5258A3E3AF70}"/>
    <cellStyle name="Ausgabe 5 47" xfId="22811" xr:uid="{1C75226E-351E-4038-A9C2-AE51B11ED103}"/>
    <cellStyle name="Ausgabe 5 48" xfId="23333" xr:uid="{CD719864-747C-4F5C-9C30-5329CD52BD29}"/>
    <cellStyle name="Ausgabe 5 49" xfId="23625" xr:uid="{C77D4B56-9D82-4629-9F0C-DFDBFE1397A4}"/>
    <cellStyle name="Ausgabe 5 5" xfId="2484" xr:uid="{0CCA0AC7-F537-41D1-A7D6-BA4B4E034FF8}"/>
    <cellStyle name="Ausgabe 5 50" xfId="23853" xr:uid="{241B048D-E526-401D-873D-20D31DC23F28}"/>
    <cellStyle name="Ausgabe 5 51" xfId="24752" xr:uid="{792E0092-A5F6-47DF-A425-051211238306}"/>
    <cellStyle name="Ausgabe 5 52" xfId="25173" xr:uid="{94629B45-948E-4322-91B8-16046FA49601}"/>
    <cellStyle name="Ausgabe 5 53" xfId="25670" xr:uid="{3F5BAE58-FEB9-4B46-8005-F99B4AA39D2D}"/>
    <cellStyle name="Ausgabe 5 54" xfId="26113" xr:uid="{7DD5A208-EE5F-4EDB-96C3-3E2247DF2B9D}"/>
    <cellStyle name="Ausgabe 5 55" xfId="25096" xr:uid="{B3E025CD-107D-40C0-A930-64D6DE478092}"/>
    <cellStyle name="Ausgabe 5 56" xfId="26960" xr:uid="{C811E8EC-A19E-45B4-A495-69A0A0306DAC}"/>
    <cellStyle name="Ausgabe 5 57" xfId="27379" xr:uid="{96C8B477-EB37-4E4D-A6D6-8BC670260B68}"/>
    <cellStyle name="Ausgabe 5 58" xfId="26043" xr:uid="{C985611B-3FD7-47C1-B274-06FCD0728A6E}"/>
    <cellStyle name="Ausgabe 5 59" xfId="28502" xr:uid="{4093A3B7-967F-4240-8AC8-523BE7FDD685}"/>
    <cellStyle name="Ausgabe 5 6" xfId="2989" xr:uid="{1ABE19FC-8ABA-4E9D-A172-2D5DC731249C}"/>
    <cellStyle name="Ausgabe 5 60" xfId="28970" xr:uid="{859B402D-82CB-4D5D-BFF7-D325801F387D}"/>
    <cellStyle name="Ausgabe 5 61" xfId="29320" xr:uid="{AC02AC78-DDDF-4E5B-9A00-656781131BD5}"/>
    <cellStyle name="Ausgabe 5 62" xfId="29760" xr:uid="{8B03A6A9-FA05-40A2-ADAD-CE1812F92452}"/>
    <cellStyle name="Ausgabe 5 63" xfId="30168" xr:uid="{138F8C3A-57D5-429D-A608-D88A987648E0}"/>
    <cellStyle name="Ausgabe 5 64" xfId="30582" xr:uid="{72EBDC1E-0710-4C2D-91F1-4672CAA2B3BB}"/>
    <cellStyle name="Ausgabe 5 65" xfId="30937" xr:uid="{25B23578-7A62-4060-9F01-3BE865055827}"/>
    <cellStyle name="Ausgabe 5 66" xfId="31206" xr:uid="{C9CCF884-962C-4194-8F78-885717551E7B}"/>
    <cellStyle name="Ausgabe 5 67" xfId="31892" xr:uid="{ED8C272E-C909-4837-A8D6-C3A565207738}"/>
    <cellStyle name="Ausgabe 5 68" xfId="31446" xr:uid="{799F8D66-1057-48A5-8033-8237CCFC4438}"/>
    <cellStyle name="Ausgabe 5 7" xfId="2267" xr:uid="{33F2998C-9B7A-4F71-BAB6-FA2D921C1843}"/>
    <cellStyle name="Ausgabe 5 8" xfId="3980" xr:uid="{9518E388-3A2E-4F16-AB26-A808F0BF43B4}"/>
    <cellStyle name="Ausgabe 5 9" xfId="4418" xr:uid="{BC05966B-B070-4515-895C-A2E4048CDCD7}"/>
    <cellStyle name="Ausgabe 6" xfId="678" xr:uid="{0881752B-D25E-4D20-9591-AD9BC776CDAB}"/>
    <cellStyle name="Ausgabe 6 10" xfId="5326" xr:uid="{5E0CEC75-7774-4994-A0F4-7F0904527F3D}"/>
    <cellStyle name="Ausgabe 6 11" xfId="5649" xr:uid="{71D74FB0-0AC9-4819-BE08-FE846E1EE8BC}"/>
    <cellStyle name="Ausgabe 6 12" xfId="6313" xr:uid="{BE13F99E-967E-4094-8B0E-D5D6AD294E79}"/>
    <cellStyle name="Ausgabe 6 13" xfId="6170" xr:uid="{FEAC7603-ED7C-4391-9083-6B1B466161E3}"/>
    <cellStyle name="Ausgabe 6 14" xfId="7398" xr:uid="{8601ABEE-9ED2-430A-8704-4874C34DE8D9}"/>
    <cellStyle name="Ausgabe 6 15" xfId="7104" xr:uid="{9710A66B-E824-4FAE-BB4D-F0056BBC00A9}"/>
    <cellStyle name="Ausgabe 6 16" xfId="8328" xr:uid="{D89795D1-86F6-4632-A22E-A243122D690E}"/>
    <cellStyle name="Ausgabe 6 17" xfId="8135" xr:uid="{F039564C-047C-4517-809C-343F1E125039}"/>
    <cellStyle name="Ausgabe 6 18" xfId="9612" xr:uid="{20316378-09A7-4403-A5A2-9ED2062FB821}"/>
    <cellStyle name="Ausgabe 6 19" xfId="9190" xr:uid="{536BD9F8-9EA9-409D-A6E6-EDBDA7CBB124}"/>
    <cellStyle name="Ausgabe 6 2" xfId="1160" xr:uid="{1947C82B-924E-4939-AF30-F50387D1B7CE}"/>
    <cellStyle name="Ausgabe 6 20" xfId="9982" xr:uid="{F4D264D7-0E5C-4B39-9AF6-DE55550B36B7}"/>
    <cellStyle name="Ausgabe 6 21" xfId="10381" xr:uid="{4626D096-38C5-4E95-8653-E74B03473837}"/>
    <cellStyle name="Ausgabe 6 22" xfId="10491" xr:uid="{2A63789F-F508-4D7E-A412-51C4A42BC603}"/>
    <cellStyle name="Ausgabe 6 23" xfId="12031" xr:uid="{A5299ABA-620E-4402-8FB7-AC6F03F9A487}"/>
    <cellStyle name="Ausgabe 6 24" xfId="12504" xr:uid="{3A86B798-29AC-474D-BC4F-E9D2BCDDB6DE}"/>
    <cellStyle name="Ausgabe 6 25" xfId="12938" xr:uid="{E72F8972-5CF5-432E-BACE-94AB1DCB459A}"/>
    <cellStyle name="Ausgabe 6 26" xfId="13375" xr:uid="{1ECC5EAF-C483-4289-9FCB-DAF9DC16EF6E}"/>
    <cellStyle name="Ausgabe 6 27" xfId="13880" xr:uid="{8D2B145D-FA89-4A79-BDE5-651B9DAA918A}"/>
    <cellStyle name="Ausgabe 6 28" xfId="14426" xr:uid="{0F86B7EC-2619-4FCF-85B4-F31D248E85CC}"/>
    <cellStyle name="Ausgabe 6 29" xfId="11695" xr:uid="{735275F3-4C6D-4454-81D4-1353889D1616}"/>
    <cellStyle name="Ausgabe 6 3" xfId="1738" xr:uid="{6C86E101-090A-40D9-8E68-A37B2FD61718}"/>
    <cellStyle name="Ausgabe 6 30" xfId="15222" xr:uid="{6742C3C0-E703-48C8-9502-F71555E1AE3A}"/>
    <cellStyle name="Ausgabe 6 31" xfId="13629" xr:uid="{EAC961FE-F98C-40A6-8975-94B703F79849}"/>
    <cellStyle name="Ausgabe 6 32" xfId="15763" xr:uid="{BF1F1AA2-A722-42B2-946D-BE1803B0CA7E}"/>
    <cellStyle name="Ausgabe 6 33" xfId="16723" xr:uid="{10D083CB-914E-4711-9AF6-6AA38E79055C}"/>
    <cellStyle name="Ausgabe 6 34" xfId="16426" xr:uid="{682E7946-1EEF-4B04-9924-C0CE8E9939D1}"/>
    <cellStyle name="Ausgabe 6 35" xfId="16158" xr:uid="{0DDE4F7C-519A-4F0A-B10C-D13CD0403BEF}"/>
    <cellStyle name="Ausgabe 6 36" xfId="16531" xr:uid="{86307DAB-8185-4535-B063-8F482CA43990}"/>
    <cellStyle name="Ausgabe 6 37" xfId="18541" xr:uid="{07DCD1FF-B079-4F43-9CF7-D2F43017CF1A}"/>
    <cellStyle name="Ausgabe 6 38" xfId="17884" xr:uid="{D8FFBFCB-3E41-4686-AB17-72395C6959ED}"/>
    <cellStyle name="Ausgabe 6 39" xfId="19230" xr:uid="{A5135F69-76F1-4F65-B3EB-89720F8B74F7}"/>
    <cellStyle name="Ausgabe 6 4" xfId="2500" xr:uid="{88B3A2F1-0A3E-4C2D-94E3-3C0F286576BD}"/>
    <cellStyle name="Ausgabe 6 40" xfId="20060" xr:uid="{CB3D04AA-F0A7-458A-AD05-DFB39B83E2E6}"/>
    <cellStyle name="Ausgabe 6 41" xfId="19758" xr:uid="{DBD9841C-9A1A-46AC-8D63-739B8B7FEE05}"/>
    <cellStyle name="Ausgabe 6 42" xfId="19610" xr:uid="{6C6890EA-CE4A-4C36-8CD7-CA5E61F813C9}"/>
    <cellStyle name="Ausgabe 6 43" xfId="21011" xr:uid="{1FF9FB7F-61B3-4E10-B4D8-8E694971FA7F}"/>
    <cellStyle name="Ausgabe 6 44" xfId="21611" xr:uid="{D5EF6CEE-9F26-405F-A3FB-95169062BDDD}"/>
    <cellStyle name="Ausgabe 6 45" xfId="21741" xr:uid="{0FD85A71-1B30-4829-9472-80360BDCCCCF}"/>
    <cellStyle name="Ausgabe 6 46" xfId="22862" xr:uid="{4FADDBC4-880A-4BCE-BBFB-3DD0FB5894FF}"/>
    <cellStyle name="Ausgabe 6 47" xfId="22648" xr:uid="{82BEEE97-73C0-4D19-AEF2-1B66BA8A38C1}"/>
    <cellStyle name="Ausgabe 6 48" xfId="23558" xr:uid="{A653B929-2A99-4188-8A63-DA0082069CDE}"/>
    <cellStyle name="Ausgabe 6 49" xfId="23868" xr:uid="{F1ECDEE8-5194-4B06-93CD-2D0AE9312E16}"/>
    <cellStyle name="Ausgabe 6 5" xfId="3048" xr:uid="{C1EEE96C-03CF-485C-A073-B683803E2551}"/>
    <cellStyle name="Ausgabe 6 50" xfId="24768" xr:uid="{B9EEB87F-3677-407A-8AA8-514E49AC59EA}"/>
    <cellStyle name="Ausgabe 6 51" xfId="24986" xr:uid="{60318A71-9BEE-46FF-8424-76A8449C9F16}"/>
    <cellStyle name="Ausgabe 6 52" xfId="25686" xr:uid="{80292B43-F96F-40D8-B9CD-17473FA635DC}"/>
    <cellStyle name="Ausgabe 6 53" xfId="26166" xr:uid="{94832F37-2471-4258-B2F1-E45D2C9CD13A}"/>
    <cellStyle name="Ausgabe 6 54" xfId="26097" xr:uid="{CA640AA1-29FF-4AAB-9073-04E1B87CFC76}"/>
    <cellStyle name="Ausgabe 6 55" xfId="26976" xr:uid="{AACCFBCA-E24A-450A-9FD5-B046F2A2C088}"/>
    <cellStyle name="Ausgabe 6 56" xfId="27395" xr:uid="{494AA28B-ED4C-4918-963D-14A951BAF8FC}"/>
    <cellStyle name="Ausgabe 6 57" xfId="27735" xr:uid="{0F2448D4-C770-445E-AA6E-E2836DB22E62}"/>
    <cellStyle name="Ausgabe 6 58" xfId="28518" xr:uid="{2DDA6F40-226F-4EBB-B57B-1C0B642136D8}"/>
    <cellStyle name="Ausgabe 6 59" xfId="28986" xr:uid="{E39D9A77-F000-49D4-9D73-4B4623DCB65E}"/>
    <cellStyle name="Ausgabe 6 6" xfId="2050" xr:uid="{BD93266A-9ED0-45EA-B526-9555097F3B0D}"/>
    <cellStyle name="Ausgabe 6 60" xfId="28198" xr:uid="{C308FB0D-4EA7-4364-871E-CD9EDF78D43B}"/>
    <cellStyle name="Ausgabe 6 61" xfId="29776" xr:uid="{C758D6BE-DAC8-4B08-A039-0345C0C24738}"/>
    <cellStyle name="Ausgabe 6 62" xfId="30183" xr:uid="{CBBF2CA7-6859-4270-937A-0689DD98750C}"/>
    <cellStyle name="Ausgabe 6 63" xfId="30598" xr:uid="{616DB909-C7A0-4FD7-8BA1-65220875C458}"/>
    <cellStyle name="Ausgabe 6 64" xfId="30979" xr:uid="{9488C6A6-717B-4746-80A7-57B5A7703E5F}"/>
    <cellStyle name="Ausgabe 6 65" xfId="31221" xr:uid="{785EE318-C9C6-46C3-AA19-43199302E6D3}"/>
    <cellStyle name="Ausgabe 6 66" xfId="31907" xr:uid="{9056AC9D-2318-4651-A511-1C563420B91C}"/>
    <cellStyle name="Ausgabe 6 67" xfId="32307" xr:uid="{47B03DDE-CA06-4DCB-842E-9131D3541EE8}"/>
    <cellStyle name="Ausgabe 6 7" xfId="3996" xr:uid="{E91ABED4-BF34-4D2E-A70B-DDFBA7469DC2}"/>
    <cellStyle name="Ausgabe 6 8" xfId="4434" xr:uid="{5386A7A0-5A20-4AAD-926D-6F1AF482F2BE}"/>
    <cellStyle name="Ausgabe 6 9" xfId="3488" xr:uid="{679A3F3E-A16E-44A2-9CF5-E9EE54B344B7}"/>
    <cellStyle name="Bad 2" xfId="126" xr:uid="{E795ACEF-84E8-4B12-8182-40F007156AD7}"/>
    <cellStyle name="Bad 3" xfId="223" xr:uid="{8F49BADF-D1CC-4865-B61B-9E2F452073DC}"/>
    <cellStyle name="Bad 4" xfId="363" xr:uid="{8EA983CD-CCA2-4DFA-AF61-A9E1D4E2E737}"/>
    <cellStyle name="Berechnung" xfId="16353" hidden="1" xr:uid="{E3E461AB-9DC3-4D95-A861-5C64A4E67063}"/>
    <cellStyle name="Berechnung" xfId="18029" hidden="1" xr:uid="{92CFB8BA-196D-454F-8AA0-CE3528E7A265}"/>
    <cellStyle name="Berechnung" xfId="17810" hidden="1" xr:uid="{7D5755DD-1224-49E4-8380-C18DA0F3C903}"/>
    <cellStyle name="Berechnung" xfId="17063" hidden="1" xr:uid="{A3CDDB9A-3E53-484D-B81E-D9A4819AB5E7}"/>
    <cellStyle name="Berechnung" xfId="16957" hidden="1" xr:uid="{A53E7744-EB94-4921-AA81-81274CFD9B0D}"/>
    <cellStyle name="Berechnung" xfId="16235" hidden="1" xr:uid="{0285EB3F-BD97-43E1-8DB0-B5FB7E1F4145}"/>
    <cellStyle name="Berechnung" xfId="16253" hidden="1" xr:uid="{E760F7E1-5A2E-4831-8D1A-10D2A35898EF}"/>
    <cellStyle name="Berechnung" xfId="18905" hidden="1" xr:uid="{349A7271-79F7-4ED1-A93F-196D5D4B8BB6}"/>
    <cellStyle name="Berechnung" xfId="18165" hidden="1" xr:uid="{64F418E6-7C9E-457B-AE13-32B3CED0A99D}"/>
    <cellStyle name="Berechnung" xfId="17129" hidden="1" xr:uid="{59BFE47C-6455-45C5-87B4-B483E0BA3CC2}"/>
    <cellStyle name="Berechnung" xfId="18931" hidden="1" xr:uid="{E05A76D7-02F3-4CAF-B8BD-DCA997ACE9D2}"/>
    <cellStyle name="Berechnung" xfId="19242" hidden="1" xr:uid="{73F8D6B8-AAAA-4DEA-B666-D7908E287C15}"/>
    <cellStyle name="Berechnung" xfId="18755" hidden="1" xr:uid="{8778A86F-D92D-42DB-9656-36C4A9FA0185}"/>
    <cellStyle name="Berechnung" xfId="19422" hidden="1" xr:uid="{042A4B00-B9E6-4210-9B3C-58834D68FF50}"/>
    <cellStyle name="Berechnung" xfId="19619" hidden="1" xr:uid="{BA1AF86C-2527-4880-A25F-6553309CBBD4}"/>
    <cellStyle name="Berechnung" xfId="20511" hidden="1" xr:uid="{1818065C-66CF-4D19-8421-4919A1776B37}"/>
    <cellStyle name="Berechnung" xfId="19372" hidden="1" xr:uid="{337F8DEA-1C0A-4925-A59E-05BE9370440B}"/>
    <cellStyle name="Berechnung" xfId="20964" hidden="1" xr:uid="{2739EFC6-0AD9-4FF4-BB93-647BF8D2C77C}"/>
    <cellStyle name="Berechnung" xfId="19599" hidden="1" xr:uid="{245D11B4-BB71-4D45-9036-7114D705B92D}"/>
    <cellStyle name="Berechnung" xfId="21492" hidden="1" xr:uid="{9FB24F5B-2F2F-4E96-B5F3-FE3A5579F659}"/>
    <cellStyle name="Berechnung" xfId="20738" hidden="1" xr:uid="{6BD1A4BA-8B30-49D1-A404-D68DA0C48725}"/>
    <cellStyle name="Berechnung" xfId="21383" hidden="1" xr:uid="{1AA3FF7A-C14B-4490-B94D-DB9E88A28BB7}"/>
    <cellStyle name="Berechnung" xfId="21413" hidden="1" xr:uid="{38F2CA7F-74E8-4205-A316-60959E0F52C4}"/>
    <cellStyle name="Berechnung" xfId="21895" hidden="1" xr:uid="{E93E54A6-11F4-4E52-B295-BB327810F4F3}"/>
    <cellStyle name="Berechnung" xfId="21406" hidden="1" xr:uid="{CC5CA311-0168-498D-89C6-8D7D6B2A1AAC}"/>
    <cellStyle name="Berechnung" xfId="22331" hidden="1" xr:uid="{608E24B3-3D27-40DE-8811-D82E87EC5BD7}"/>
    <cellStyle name="Berechnung" xfId="21752" hidden="1" xr:uid="{5C1D745A-B0C0-4991-B624-FE8A6194BDA3}"/>
    <cellStyle name="Berechnung" xfId="22773" hidden="1" xr:uid="{4052F172-7EE0-4CF8-959D-3706B5248DB8}"/>
    <cellStyle name="Berechnung" xfId="22506" hidden="1" xr:uid="{C51EBFEA-7EA2-4E24-A4FE-CA16AB8EF40E}"/>
    <cellStyle name="Berechnung" xfId="22009" hidden="1" xr:uid="{32EFE059-DE88-478F-AE56-04C13D3096F7}"/>
    <cellStyle name="Berechnung" xfId="23181" hidden="1" xr:uid="{916763CD-2B97-4380-8A34-67A6E255EE6C}"/>
    <cellStyle name="Berechnung" xfId="22775" hidden="1" xr:uid="{2AEFF6B0-8D91-44A8-B862-6B17E0460305}"/>
    <cellStyle name="Berechnung" xfId="20946" hidden="1" xr:uid="{7E2DA94A-9869-4D81-8624-A45EF653781F}"/>
    <cellStyle name="Berechnung" xfId="23370" hidden="1" xr:uid="{0B0D3C13-A40C-4DCB-84F7-695F4AAFB514}"/>
    <cellStyle name="Berechnung" xfId="23575" hidden="1" xr:uid="{B6969091-546E-4249-8918-DAA6FBFA26A8}"/>
    <cellStyle name="Berechnung" xfId="20871" hidden="1" xr:uid="{5091ACDB-FA2C-49A6-802C-60E6499FEC61}"/>
    <cellStyle name="Berechnung" xfId="22511" hidden="1" xr:uid="{2B4BA507-7298-46F3-816E-24A9129BC72A}"/>
    <cellStyle name="Berechnung" xfId="24083" hidden="1" xr:uid="{1D722739-7C54-472F-89D4-4A0290B62FF5}"/>
    <cellStyle name="Berechnung" xfId="22787" hidden="1" xr:uid="{D754DE65-7A50-4BD2-8091-C33263D4F78E}"/>
    <cellStyle name="Berechnung" xfId="24146" hidden="1" xr:uid="{E5DD111D-34BA-4C24-B994-88D1D05F8888}"/>
    <cellStyle name="Berechnung" xfId="24440" hidden="1" xr:uid="{0CE3D405-3C23-4B7E-A284-8935743C9499}"/>
    <cellStyle name="Berechnung" xfId="24760" hidden="1" xr:uid="{6D364F7B-FCB3-483C-8269-BC05CA5CCFB8}"/>
    <cellStyle name="Berechnung" xfId="25300" hidden="1" xr:uid="{17D9E497-6DE7-40B8-800E-815641F43F34}"/>
    <cellStyle name="Berechnung" xfId="25091" hidden="1" xr:uid="{FDBCC3AD-D9E7-4C2C-9BC7-5EBF7C9D0BDA}"/>
    <cellStyle name="Berechnung" xfId="24117" hidden="1" xr:uid="{E6FA30F5-8C3B-4314-A253-788BAD5E3BA6}"/>
    <cellStyle name="Berechnung" xfId="25342" hidden="1" xr:uid="{9CCF4F0A-048A-4354-9C2F-F4BF06F28626}"/>
    <cellStyle name="Berechnung" xfId="25078" hidden="1" xr:uid="{41F4335B-DBE3-4886-B7BF-F13A71D97199}"/>
    <cellStyle name="Berechnung" xfId="26110" hidden="1" xr:uid="{D42717B7-F61F-4F06-AF8C-D0453129A70D}"/>
    <cellStyle name="Berechnung" xfId="25919" hidden="1" xr:uid="{A2EEAB67-52C8-496E-B720-6D8C1002344A}"/>
    <cellStyle name="Berechnung" xfId="26358" hidden="1" xr:uid="{D08AF6F6-6595-4857-BB0A-AC63417BBDF4}"/>
    <cellStyle name="Berechnung" xfId="26681" hidden="1" xr:uid="{76AEE02A-F68B-47DC-90FF-65141868CC1E}"/>
    <cellStyle name="Berechnung" xfId="26384" hidden="1" xr:uid="{C84FB0FE-068E-438A-96D2-1FE500EDDB56}"/>
    <cellStyle name="Berechnung" xfId="26095" hidden="1" xr:uid="{BAED71E5-C2F5-4BE8-92D9-22068BE31F6E}"/>
    <cellStyle name="Berechnung" xfId="27687" hidden="1" xr:uid="{35F7592C-511E-4529-A7BD-C204CE82A551}"/>
    <cellStyle name="Berechnung" xfId="24533" hidden="1" xr:uid="{FDC4D210-C9F4-43D8-B863-3144252BD0A0}"/>
    <cellStyle name="Berechnung" xfId="27865" hidden="1" xr:uid="{D52FA5BE-A5B5-42C7-B617-F5685C874913}"/>
    <cellStyle name="Berechnung" xfId="27708" hidden="1" xr:uid="{141C4E81-AD96-4E49-B598-7AF2869D3B61}"/>
    <cellStyle name="Berechnung" xfId="27802" hidden="1" xr:uid="{B4E42A74-D797-43EE-9D94-D3158F3D9DBC}"/>
    <cellStyle name="Berechnung" xfId="27843" hidden="1" xr:uid="{0851F422-6A23-42B2-ADE8-C85FD0D1C8B2}"/>
    <cellStyle name="Berechnung" xfId="27936" hidden="1" xr:uid="{9DC7C2D7-BCEE-4D35-8E4F-E4753B80388B}"/>
    <cellStyle name="Berechnung" xfId="28113" hidden="1" xr:uid="{224E27C3-44E8-4F84-9A28-2FDED325C5E5}"/>
    <cellStyle name="Berechnung" xfId="27928" hidden="1" xr:uid="{A770EE61-57B1-4F64-AAAD-8474A1FC393A}"/>
    <cellStyle name="Berechnung" xfId="29361" hidden="1" xr:uid="{EDFC6502-F1E0-4360-9D4E-2C9F94BD460C}"/>
    <cellStyle name="Berechnung" xfId="27988" hidden="1" xr:uid="{807C3F71-4945-4563-B93A-FA8DD430A963}"/>
    <cellStyle name="Berechnung" xfId="28086" hidden="1" xr:uid="{B77AAB35-88B2-471F-88C1-FCEB9B295A70}"/>
    <cellStyle name="Berechnung" xfId="28125" hidden="1" xr:uid="{AC57E3D2-F6DD-4CF5-9CDB-4DC229B2EFDE}"/>
    <cellStyle name="Berechnung" xfId="29792" hidden="1" xr:uid="{22C4B2C8-BB65-4F74-B7D0-0B92B85573AA}"/>
    <cellStyle name="Berechnung" xfId="28240" hidden="1" xr:uid="{147877F6-B086-43FC-BD5E-079913DDB494}"/>
    <cellStyle name="Berechnung" xfId="30853" hidden="1" xr:uid="{7E1F11AF-D28E-4037-8EB0-250B971602EA}"/>
    <cellStyle name="Berechnung" xfId="31457" hidden="1" xr:uid="{A1B363A7-F5E0-4EB7-8D93-DD3A7E3A4907}"/>
    <cellStyle name="Berechnung" xfId="31734" hidden="1" xr:uid="{D745648E-B1BC-41AC-91F0-A3EC19D106C3}"/>
    <cellStyle name="Berechnung" xfId="32130" hidden="1" xr:uid="{0DE75114-059D-4610-A379-C15FAE772BB5}"/>
    <cellStyle name="Berechnung" xfId="31682" hidden="1" xr:uid="{E67420AB-F711-48FB-A217-D3DEAB1B3007}"/>
    <cellStyle name="Berechnung" xfId="31623" hidden="1" xr:uid="{F4F28525-7C3E-4454-AF14-E0CCF5962BE2}"/>
    <cellStyle name="Berechnung" xfId="31630" hidden="1" xr:uid="{3DA52AAC-93F5-4263-85B7-D4C1395937E5}"/>
    <cellStyle name="Berechnung" xfId="22594" hidden="1" xr:uid="{B5F60B4B-2764-4C16-A32D-E5664D569A19}"/>
    <cellStyle name="Berechnung" xfId="7162" hidden="1" xr:uid="{E431E2FB-DF00-4AB0-98F4-EC9B7222D8DD}"/>
    <cellStyle name="Berechnung" xfId="8266" hidden="1" xr:uid="{A7AC1E01-B4B4-42DB-AE0E-88E584866AD0}"/>
    <cellStyle name="Berechnung" xfId="6842" hidden="1" xr:uid="{8B67DE6C-305C-4976-8092-A5726D571BFF}"/>
    <cellStyle name="Berechnung" xfId="8346" hidden="1" xr:uid="{AF9507EE-85FD-40BE-A308-6E7686D15B38}"/>
    <cellStyle name="Berechnung" xfId="8782" hidden="1" xr:uid="{77276156-0C3D-434C-B9A3-464FBC6E94B3}"/>
    <cellStyle name="Berechnung" xfId="8344" hidden="1" xr:uid="{48CF0C8E-427B-469E-87C3-0C882BE61C59}"/>
    <cellStyle name="Berechnung" xfId="8626" hidden="1" xr:uid="{09BE001D-0971-44FA-9530-3601EE0B8778}"/>
    <cellStyle name="Berechnung" xfId="7860" hidden="1" xr:uid="{6E93F209-4C63-4CD9-8CCB-C6AE052BC577}"/>
    <cellStyle name="Berechnung" xfId="8992" hidden="1" xr:uid="{9CC70427-41D7-42FE-8769-4D941454F4EB}"/>
    <cellStyle name="Berechnung" xfId="9179" hidden="1" xr:uid="{26CF811C-1627-482B-B2EA-7B8C244E0F11}"/>
    <cellStyle name="Berechnung" xfId="10041" hidden="1" xr:uid="{197C3AF5-FD2D-4CE9-891C-C1DDBA83CD5A}"/>
    <cellStyle name="Berechnung" xfId="9202" hidden="1" xr:uid="{B7B656E0-7B53-4FFA-8444-D9CC3332D099}"/>
    <cellStyle name="Berechnung" xfId="10461" hidden="1" xr:uid="{27B21218-35D3-4591-9169-D644FE86FD2B}"/>
    <cellStyle name="Berechnung" xfId="9243" hidden="1" xr:uid="{3A05CA0A-990A-4449-A36C-9D6511157FBE}"/>
    <cellStyle name="Berechnung" xfId="10877" hidden="1" xr:uid="{03D61462-32F0-41D1-8E04-2CFEFB30F27A}"/>
    <cellStyle name="Berechnung" xfId="10324" hidden="1" xr:uid="{469FAF15-D46E-464E-B4A7-467D2C25FF70}"/>
    <cellStyle name="Berechnung" xfId="10410" hidden="1" xr:uid="{0D258545-928D-4F30-A20A-F924238D5C5A}"/>
    <cellStyle name="Berechnung" xfId="10730" hidden="1" xr:uid="{33333911-93F1-4EC7-98FD-570C10CE84C9}"/>
    <cellStyle name="Berechnung" xfId="10328" hidden="1" xr:uid="{AC481525-303F-4483-960A-654E32F7BE54}"/>
    <cellStyle name="Berechnung" xfId="10949" hidden="1" xr:uid="{DC7D9A25-7D6D-438B-A8D0-5C4AD501F848}"/>
    <cellStyle name="Berechnung" xfId="11116" hidden="1" xr:uid="{436ADA11-6166-4C7F-A618-ED1360675108}"/>
    <cellStyle name="Berechnung" xfId="10013" hidden="1" xr:uid="{A84BF15D-72E4-4CC0-B2B6-3C80534A2D85}"/>
    <cellStyle name="Berechnung" xfId="11248" hidden="1" xr:uid="{10585D83-B8D2-46ED-AF1B-52B6045FABA4}"/>
    <cellStyle name="Berechnung" xfId="11398" hidden="1" xr:uid="{9470EA61-398A-4CD8-9156-2E5C4AC6730C}"/>
    <cellStyle name="Berechnung" xfId="11591" hidden="1" xr:uid="{85494830-CA6F-4BAC-88F0-FE0E75D285BE}"/>
    <cellStyle name="Berechnung" xfId="11389" hidden="1" xr:uid="{16A8F53A-C725-42F5-9AB7-925B94FBD497}"/>
    <cellStyle name="Berechnung" xfId="12278" hidden="1" xr:uid="{79948EC5-BAF6-4AB7-9C03-8B0E64523C18}"/>
    <cellStyle name="Berechnung" xfId="11557" hidden="1" xr:uid="{11C58AFB-3D16-4E15-A16D-46186A222361}"/>
    <cellStyle name="Berechnung" xfId="13781" hidden="1" xr:uid="{44F0414E-300E-40DB-AB7B-1DDD2EE4A81E}"/>
    <cellStyle name="Berechnung" xfId="12275" hidden="1" xr:uid="{C2DEACF1-6A24-4C78-93EE-DC1B9B56C7B6}"/>
    <cellStyle name="Berechnung" xfId="13849" hidden="1" xr:uid="{5392D919-0177-4A2C-8D73-A1E17762D176}"/>
    <cellStyle name="Berechnung" xfId="14228" hidden="1" xr:uid="{019AA88B-E796-4FCB-846E-C2039D0242B8}"/>
    <cellStyle name="Berechnung" xfId="14447" hidden="1" xr:uid="{30D16EF1-10B4-497A-A735-870768A2A706}"/>
    <cellStyle name="Berechnung" xfId="12283" hidden="1" xr:uid="{99A6A1AE-9180-4647-A10A-1EA63C367B6C}"/>
    <cellStyle name="Berechnung" xfId="14553" hidden="1" xr:uid="{5C60F783-19C5-4E59-A21E-99AD1C2C57C4}"/>
    <cellStyle name="Berechnung" xfId="14536" hidden="1" xr:uid="{1549A8FE-B94C-478E-A88F-649070F2199A}"/>
    <cellStyle name="Berechnung" xfId="14977" hidden="1" xr:uid="{00E1CAF3-2BE6-456A-BA06-B17DF976FE11}"/>
    <cellStyle name="Berechnung" xfId="15202" hidden="1" xr:uid="{50B84054-33DE-4EA5-924B-E936EA4D138B}"/>
    <cellStyle name="Berechnung" xfId="15159" hidden="1" xr:uid="{BF99D336-29E2-40AE-A258-ADBBA9491A2F}"/>
    <cellStyle name="Berechnung" xfId="14673" hidden="1" xr:uid="{8D716651-09B4-4EF3-9E67-3CA530F35F1A}"/>
    <cellStyle name="Berechnung" xfId="14100" hidden="1" xr:uid="{10A30DFF-EC4E-4BEF-AD01-0915AF1EF1CC}"/>
    <cellStyle name="Berechnung" xfId="15223" hidden="1" xr:uid="{E3F4CE9D-4385-4764-97CB-3115F094DADB}"/>
    <cellStyle name="Berechnung" xfId="15547" hidden="1" xr:uid="{D90A2DEB-FE25-4498-B5E5-842039865DC3}"/>
    <cellStyle name="Berechnung" xfId="15545" hidden="1" xr:uid="{5F4645F0-DB7A-43A5-9EBB-9649788C7F47}"/>
    <cellStyle name="Berechnung" xfId="15479" hidden="1" xr:uid="{A582A9C5-0EB7-4999-A430-94FF706F0882}"/>
    <cellStyle name="Berechnung" xfId="15760" hidden="1" xr:uid="{72E9A40C-25CE-4A38-80A3-54DAC109E252}"/>
    <cellStyle name="Berechnung" xfId="15920" hidden="1" xr:uid="{A75FDE87-D1F9-412C-84C3-3DC298EA775A}"/>
    <cellStyle name="Berechnung" xfId="15165" hidden="1" xr:uid="{BE178834-6B60-4926-9A96-8A7021770322}"/>
    <cellStyle name="Berechnung" xfId="16089" hidden="1" xr:uid="{59BC1914-F365-41E5-A8BF-34E3AE0F87DE}"/>
    <cellStyle name="Berechnung" xfId="16286" hidden="1" xr:uid="{E23C5F9E-EE07-4657-A390-337D09278E9F}"/>
    <cellStyle name="Berechnung" xfId="17159" hidden="1" xr:uid="{3717E60C-A27C-46DA-BCC5-0CE0E8205CB8}"/>
    <cellStyle name="Berechnung" xfId="16438" hidden="1" xr:uid="{7F6EC770-76C6-4082-A9A7-F48A78224109}"/>
    <cellStyle name="Berechnung" xfId="17604" hidden="1" xr:uid="{F9230860-3CBC-4D60-A192-2F2771C6A075}"/>
    <cellStyle name="Berechnung" xfId="3486" hidden="1" xr:uid="{C5F21F9A-F00A-4F01-96F1-520F7353863C}"/>
    <cellStyle name="Berechnung" xfId="5655" hidden="1" xr:uid="{DBC9679D-0720-48D6-B1D7-4DFE0AF0A7B3}"/>
    <cellStyle name="Berechnung" xfId="5607" hidden="1" xr:uid="{8DB2CF7E-FB55-4942-8A3C-48CAAF94AFCB}"/>
    <cellStyle name="Berechnung" xfId="4677" hidden="1" xr:uid="{E7BC3F50-B9DE-49CD-9572-FC5FEDBB3CCC}"/>
    <cellStyle name="Berechnung" xfId="2876" hidden="1" xr:uid="{139E8892-5464-458F-99B9-F7D1B16C312D}"/>
    <cellStyle name="Berechnung" xfId="6291" hidden="1" xr:uid="{854D8AA4-27B3-44AF-929E-E82E755629B9}"/>
    <cellStyle name="Berechnung" xfId="6416" hidden="1" xr:uid="{A69EAD62-5B92-4F18-8512-17150AF59B2E}"/>
    <cellStyle name="Berechnung" xfId="6202" hidden="1" xr:uid="{EE6F8A2A-5AEB-4C1B-9882-03C66B3BBD45}"/>
    <cellStyle name="Berechnung" xfId="6461" hidden="1" xr:uid="{1D43CBFC-E29E-49C6-AB8F-3D3F7B22D93E}"/>
    <cellStyle name="Berechnung" xfId="6596" hidden="1" xr:uid="{9BCCA3E3-B760-41B6-8BCA-27DABE4FEEAB}"/>
    <cellStyle name="Berechnung" xfId="6340" hidden="1" xr:uid="{37BD99B3-CC47-40AF-B7A0-2251CA2A4C7F}"/>
    <cellStyle name="Berechnung" xfId="6780" hidden="1" xr:uid="{AFC1587F-9965-4EA7-A009-47CE313C9E61}"/>
    <cellStyle name="Berechnung" xfId="6966" hidden="1" xr:uid="{8E139EB5-2E6D-434A-8384-9C0D5D299DDA}"/>
    <cellStyle name="Berechnung" xfId="7829" hidden="1" xr:uid="{5529C3CF-E7FD-46A4-A2C2-34B5A26F8E31}"/>
    <cellStyle name="Berechnung" xfId="7116" hidden="1" xr:uid="{3E6FD26D-FBEB-4150-ADCC-6940931D359D}"/>
    <cellStyle name="Berechnung" xfId="8227" hidden="1" xr:uid="{259D1B0C-3F0B-47C1-9148-1FDBBB8DE757}"/>
    <cellStyle name="Berechnung" xfId="8301" hidden="1" xr:uid="{E2727EB8-5706-4BDA-BC6E-1EAFC9554300}"/>
    <cellStyle name="Berechnung" xfId="6764" hidden="1" xr:uid="{4134CFFC-E608-4AAF-B4D8-AEED65ABCDDE}"/>
    <cellStyle name="Berechnung" xfId="8183" hidden="1" xr:uid="{31259500-B57F-41E5-8091-CCD2491D1A42}"/>
    <cellStyle name="Berechnung" xfId="7660" hidden="1" xr:uid="{662312CD-6B6E-4590-9841-6F41A5D20DF8}"/>
    <cellStyle name="Berechnung" xfId="8076" hidden="1" xr:uid="{F1968CF8-C3CD-489F-A036-105A018D88EC}"/>
    <cellStyle name="Berechnung" xfId="6883" hidden="1" xr:uid="{034671E2-61BD-41C4-810A-65E6A002A15B}"/>
    <cellStyle name="Berechnung" xfId="7133" hidden="1" xr:uid="{C33A40EA-DEA8-4EA3-8152-D650CD71CF37}"/>
    <cellStyle name="Berechnung" xfId="6834" hidden="1" xr:uid="{D28D324A-E327-4BEB-BC31-58181EC10437}"/>
    <cellStyle name="Berechnung" xfId="7895" hidden="1" xr:uid="{69483116-191A-4F1A-B6B2-62F96D06BF15}"/>
    <cellStyle name="Berechnung" xfId="8334" hidden="1" xr:uid="{4A4536C4-DD5A-4DD9-BB1E-9BDBAF985D75}"/>
    <cellStyle name="Berechnung" xfId="3380" hidden="1" xr:uid="{BAF2543F-CCD3-4B23-9C54-FD4DBC02D035}"/>
    <cellStyle name="Berechnung" xfId="3285" hidden="1" xr:uid="{529367F3-89DF-4C1B-B90B-8F06F31AC50F}"/>
    <cellStyle name="Berechnung" xfId="2874" hidden="1" xr:uid="{B07B6B88-FD55-4E95-8A27-B1F0434066A3}"/>
    <cellStyle name="Berechnung" xfId="3515" hidden="1" xr:uid="{A36C795C-D3E6-4652-9B23-01CCF976BF0E}"/>
    <cellStyle name="Berechnung" xfId="3503" hidden="1" xr:uid="{99231275-0A71-4666-BC37-308FE3B8681B}"/>
    <cellStyle name="Berechnung" xfId="5013" hidden="1" xr:uid="{7E09C788-BEDE-4129-A56C-9EA07D582A8B}"/>
    <cellStyle name="Berechnung" xfId="4222" hidden="1" xr:uid="{74BFE6AB-A224-46BB-BD38-9AAFD683FC63}"/>
    <cellStyle name="Berechnung" xfId="3708" hidden="1" xr:uid="{CC0B5AB2-B75E-4A51-BEBA-08ACDF6EDE73}"/>
    <cellStyle name="Berechnung" xfId="5556" hidden="1" xr:uid="{32A94C38-C2CB-4B2F-874E-FC875E0D3405}"/>
    <cellStyle name="Berechnung" xfId="2930" hidden="1" xr:uid="{0847434C-06D0-410B-8973-AE4338245655}"/>
    <cellStyle name="Berechnung" xfId="5565" hidden="1" xr:uid="{E1D1E286-9D8A-4A20-BC6F-F50206F4047B}"/>
    <cellStyle name="Berechnung" xfId="3250" hidden="1" xr:uid="{2E20E1F9-BFED-40A7-B3C9-63ADB7F96F0B}"/>
    <cellStyle name="Berechnung" xfId="5749" hidden="1" xr:uid="{B0AAC20B-7955-4ECF-9B46-2E988F3B537E}"/>
    <cellStyle name="Berechnung" xfId="2326" hidden="1" xr:uid="{AF742827-9BED-4813-A0FB-728BE87721F9}"/>
    <cellStyle name="Berechnung" xfId="2948" hidden="1" xr:uid="{F1559AA3-D0FE-4048-A0A7-7E3776A7504A}"/>
    <cellStyle name="Berechnung" xfId="1837" hidden="1" xr:uid="{B14F42C5-20C5-43C4-A446-6C2CB444C138}"/>
    <cellStyle name="Berechnung" xfId="3015" hidden="1" xr:uid="{CF0A0FC1-D64D-4714-B9D2-19F88A330FBB}"/>
    <cellStyle name="Berechnung" xfId="3430" hidden="1" xr:uid="{D0E33A64-7662-41FF-AB18-4BD7C26221AB}"/>
    <cellStyle name="Berechnung" xfId="3175" hidden="1" xr:uid="{920A3389-87B8-4D85-A2D0-46FEBF7A9ADF}"/>
    <cellStyle name="Berechnung" xfId="2732" hidden="1" xr:uid="{FBE2082C-B653-4CB7-9BC3-4B679C78AC80}"/>
    <cellStyle name="Berechnung" xfId="1387" hidden="1" xr:uid="{444B4FF5-BBAF-4307-80EB-77AA9DA586EC}"/>
    <cellStyle name="Berechnung" xfId="1586" hidden="1" xr:uid="{1B9FE06E-D242-465D-B740-E610A225C1F7}"/>
    <cellStyle name="Berechnung" xfId="1866" hidden="1" xr:uid="{31A27EF9-0B7A-467D-AF8B-9CB855E2493A}"/>
    <cellStyle name="Berechnung" xfId="893" hidden="1" xr:uid="{EBF317E1-F533-4E61-88B7-6897DF89ADA0}"/>
    <cellStyle name="Berechnung" xfId="933" hidden="1" xr:uid="{CF79168A-8902-4F65-8DB0-10D89E2D909A}"/>
    <cellStyle name="Berechnung" xfId="46" hidden="1" xr:uid="{61F364C9-48AE-426A-A8B9-42EF1AC38363}"/>
    <cellStyle name="Berechnung 2" xfId="392" xr:uid="{97EB10F2-13BA-4AA7-8DFB-092C1A9A365D}"/>
    <cellStyle name="Berechnung 2 10" xfId="4022" xr:uid="{7FB12F25-48F0-44B6-B50D-6556751D2802}"/>
    <cellStyle name="Berechnung 2 11" xfId="4749" xr:uid="{0C0552D0-526E-4760-8287-4607E10417AB}"/>
    <cellStyle name="Berechnung 2 12" xfId="3759" xr:uid="{35ECE05B-0961-41C9-9530-90B6C59BCD9B}"/>
    <cellStyle name="Berechnung 2 13" xfId="5903" xr:uid="{0B92ADB5-1B98-4BC3-B4E8-7301FF6CF29A}"/>
    <cellStyle name="Berechnung 2 14" xfId="6478" xr:uid="{A7648A4E-1DC1-4988-8604-A3D66916C3E5}"/>
    <cellStyle name="Berechnung 2 15" xfId="7119" xr:uid="{E1A78999-56CD-436C-9920-FCE0FC0FFD42}"/>
    <cellStyle name="Berechnung 2 16" xfId="7042" xr:uid="{1C8D17E3-6493-4747-9CE4-0E0D3C7CC6CB}"/>
    <cellStyle name="Berechnung 2 17" xfId="8623" xr:uid="{19BC5578-57D3-483B-B4B9-89792A1CED29}"/>
    <cellStyle name="Berechnung 2 18" xfId="8507" xr:uid="{51B8B900-47B9-4930-B4D4-74F530734AD4}"/>
    <cellStyle name="Berechnung 2 19" xfId="9332" xr:uid="{7AF4D403-D7A1-4D9D-9219-CD52DDD077D2}"/>
    <cellStyle name="Berechnung 2 2" xfId="648" xr:uid="{3E64EDC9-3380-4ACA-A783-0C55A4A09C0F}"/>
    <cellStyle name="Berechnung 2 2 10" xfId="4784" xr:uid="{68542044-B534-42E1-B4C4-2131ABFFD40A}"/>
    <cellStyle name="Berechnung 2 2 11" xfId="5296" xr:uid="{40CCA216-FB8B-4F7F-80A6-ADB5301EB00A}"/>
    <cellStyle name="Berechnung 2 2 12" xfId="3276" xr:uid="{41239D66-5686-45B7-9A78-DD9B561D6B40}"/>
    <cellStyle name="Berechnung 2 2 13" xfId="6268" xr:uid="{06844E3A-1FB8-4036-AFC5-B2B615AE4E23}"/>
    <cellStyle name="Berechnung 2 2 14" xfId="4704" xr:uid="{47E65A23-C555-4EA7-9A27-1CB709F95AD9}"/>
    <cellStyle name="Berechnung 2 2 15" xfId="7368" xr:uid="{39DA47C3-9885-448F-A521-B591FF5ABD9A}"/>
    <cellStyle name="Berechnung 2 2 16" xfId="7097" xr:uid="{FB6DEFDB-D6A3-47B0-9737-CB53BAFBE471}"/>
    <cellStyle name="Berechnung 2 2 17" xfId="7849" xr:uid="{9E227B49-A0F1-445F-9B8C-C99E79DB2591}"/>
    <cellStyle name="Berechnung 2 2 18" xfId="8293" xr:uid="{D0CC09E8-A363-438F-BC73-4F7E2DFF0A83}"/>
    <cellStyle name="Berechnung 2 2 19" xfId="9582" xr:uid="{BE057358-36FF-4753-9795-5C4ABB0F6044}"/>
    <cellStyle name="Berechnung 2 2 2" xfId="863" xr:uid="{50620EDC-2C69-4CDA-ABC3-D385E01FAA69}"/>
    <cellStyle name="Berechnung 2 2 2 10" xfId="5511" xr:uid="{8CCB0176-9123-4285-A502-77655D4C98B4}"/>
    <cellStyle name="Berechnung 2 2 2 11" xfId="5620" xr:uid="{2839615F-2A97-401F-91A6-85136CF12613}"/>
    <cellStyle name="Berechnung 2 2 2 12" xfId="5154" xr:uid="{9823312E-9356-4205-908D-A12A65CBE170}"/>
    <cellStyle name="Berechnung 2 2 2 13" xfId="6556" xr:uid="{653271B3-0E5D-4879-BAC9-1F1E4813BEA0}"/>
    <cellStyle name="Berechnung 2 2 2 14" xfId="7583" xr:uid="{9DE5B563-0999-4E5E-9620-849A29480B0D}"/>
    <cellStyle name="Berechnung 2 2 2 15" xfId="6984" xr:uid="{0BCFEEE4-0B2D-4384-B608-B378408F5944}"/>
    <cellStyle name="Berechnung 2 2 2 16" xfId="6887" xr:uid="{AE7076B1-B234-41AF-B8BD-0C70D5B9130A}"/>
    <cellStyle name="Berechnung 2 2 2 17" xfId="8781" xr:uid="{04E7B7C6-A3EC-4A31-BB11-698DFD7093D1}"/>
    <cellStyle name="Berechnung 2 2 2 18" xfId="9797" xr:uid="{E2107511-9FCA-48A5-B7AB-9A428116A6A5}"/>
    <cellStyle name="Berechnung 2 2 2 19" xfId="9043" xr:uid="{10085795-D763-482A-9825-CF341A5025B1}"/>
    <cellStyle name="Berechnung 2 2 2 2" xfId="1337" xr:uid="{2BD0A075-DBA3-491D-B351-6675DF73C4B5}"/>
    <cellStyle name="Berechnung 2 2 2 20" xfId="9162" xr:uid="{07D0C760-6877-4A5B-9C4D-E9887990898C}"/>
    <cellStyle name="Berechnung 2 2 2 21" xfId="9372" xr:uid="{1780DF61-3DF7-403D-8997-D879A3280D1C}"/>
    <cellStyle name="Berechnung 2 2 2 22" xfId="11193" xr:uid="{CE435F81-EC14-4497-A4DB-7C43E8E220A5}"/>
    <cellStyle name="Berechnung 2 2 2 23" xfId="12216" xr:uid="{56146DA8-5034-49EF-A4DB-BECE4FAE2D66}"/>
    <cellStyle name="Berechnung 2 2 2 24" xfId="12689" xr:uid="{2F3C4097-B5D6-481E-BEC5-822CD7C391F7}"/>
    <cellStyle name="Berechnung 2 2 2 25" xfId="13123" xr:uid="{9EED300A-5B39-4A60-8F8C-5DB35BC431DD}"/>
    <cellStyle name="Berechnung 2 2 2 26" xfId="13560" xr:uid="{C12EED49-D73C-48A2-A6EE-42F7320D6E4D}"/>
    <cellStyle name="Berechnung 2 2 2 27" xfId="11608" xr:uid="{DAA68B86-E534-4170-903E-181810F1F67B}"/>
    <cellStyle name="Berechnung 2 2 2 28" xfId="14479" xr:uid="{97517CE9-C041-430D-B11D-0223298ABED3}"/>
    <cellStyle name="Berechnung 2 2 2 29" xfId="14079" xr:uid="{42F854FF-2262-4A19-87FD-FE7885200C48}"/>
    <cellStyle name="Berechnung 2 2 2 3" xfId="1786" xr:uid="{2F2FD79B-1BBF-41BC-A390-D0205FF9DB3C}"/>
    <cellStyle name="Berechnung 2 2 2 30" xfId="15335" xr:uid="{E1F28859-9D82-473D-AE4F-ED85D35BFD36}"/>
    <cellStyle name="Berechnung 2 2 2 31" xfId="15677" xr:uid="{A67EBB91-F1E5-4EDC-A7CA-C379A386258D}"/>
    <cellStyle name="Berechnung 2 2 2 32" xfId="15566" xr:uid="{768CD51F-BA7C-4461-9B64-910F80A324FB}"/>
    <cellStyle name="Berechnung 2 2 2 33" xfId="16908" xr:uid="{4C5F6F03-6CD4-4F0E-9F06-D4C7325F252C}"/>
    <cellStyle name="Berechnung 2 2 2 34" xfId="16304" xr:uid="{5ABA0F64-A4A6-4D16-A4C5-7015B2E61F3F}"/>
    <cellStyle name="Berechnung 2 2 2 35" xfId="16208" xr:uid="{183CBC52-626C-45CA-8181-9ED18F1F5465}"/>
    <cellStyle name="Berechnung 2 2 2 36" xfId="17635" xr:uid="{C412F555-6861-4DE5-8483-9F5A7DF86582}"/>
    <cellStyle name="Berechnung 2 2 2 37" xfId="18726" xr:uid="{8BE59750-69F2-43F1-8F11-4D0C88A99B5C}"/>
    <cellStyle name="Berechnung 2 2 2 38" xfId="18904" xr:uid="{1217D2BB-D31B-4A05-847D-B2143D674E12}"/>
    <cellStyle name="Berechnung 2 2 2 39" xfId="18938" xr:uid="{0BF256DA-7789-4570-8D76-67C6DCB980C2}"/>
    <cellStyle name="Berechnung 2 2 2 4" xfId="2685" xr:uid="{63361C3A-E921-4AE7-87B2-54A2469B2106}"/>
    <cellStyle name="Berechnung 2 2 2 40" xfId="20245" xr:uid="{08138554-3795-4789-991F-B36121D6AA7E}"/>
    <cellStyle name="Berechnung 2 2 2 41" xfId="19634" xr:uid="{052C89E6-B233-4F26-B950-DCA4AB9FFA38}"/>
    <cellStyle name="Berechnung 2 2 2 42" xfId="20321" xr:uid="{3EA0754A-5BA3-45BE-98C4-EC259C56EBEC}"/>
    <cellStyle name="Berechnung 2 2 2 43" xfId="21479" xr:uid="{FAC13CF9-5151-4214-98EC-8ACA01BD5AB0}"/>
    <cellStyle name="Berechnung 2 2 2 44" xfId="21409" xr:uid="{DDB50A64-2DB8-4474-BC17-CE0B97FFF19D}"/>
    <cellStyle name="Berechnung 2 2 2 45" xfId="21727" xr:uid="{EDCAE9B8-AED8-41FC-86DB-D4AA7A77B50B}"/>
    <cellStyle name="Berechnung 2 2 2 46" xfId="22191" xr:uid="{5C4955BA-B54D-4314-83F9-654CE2D01A7C}"/>
    <cellStyle name="Berechnung 2 2 2 47" xfId="23180" xr:uid="{869F3273-DB89-4B47-925B-99389BDCAAF5}"/>
    <cellStyle name="Berechnung 2 2 2 48" xfId="23212" xr:uid="{7AB960E8-AB59-4055-AD4B-53B5110A6910}"/>
    <cellStyle name="Berechnung 2 2 2 49" xfId="24045" xr:uid="{7E8F4771-E6D5-4D6E-B025-59534D3D2A61}"/>
    <cellStyle name="Berechnung 2 2 2 5" xfId="2252" xr:uid="{C55552EF-02E8-4628-87A1-7446A2615B13}"/>
    <cellStyle name="Berechnung 2 2 2 50" xfId="24953" xr:uid="{D06B7878-30C6-42C0-822D-D1F15DBDE602}"/>
    <cellStyle name="Berechnung 2 2 2 51" xfId="24192" xr:uid="{B49A0C75-CA8D-4FDE-8186-69148C8C8AE7}"/>
    <cellStyle name="Berechnung 2 2 2 52" xfId="25869" xr:uid="{B45EBAF3-666B-4C45-B530-A8D83991DE4B}"/>
    <cellStyle name="Berechnung 2 2 2 53" xfId="25268" xr:uid="{8B5E8D77-7AB5-4514-B1A9-F9867AD7BB00}"/>
    <cellStyle name="Berechnung 2 2 2 54" xfId="26736" xr:uid="{ABE008AB-9898-4C9F-B54F-B04886140E85}"/>
    <cellStyle name="Berechnung 2 2 2 55" xfId="27157" xr:uid="{47EC868D-02AA-4259-AC34-7262245BA87A}"/>
    <cellStyle name="Berechnung 2 2 2 56" xfId="27576" xr:uid="{7A5B3A81-ABA3-4289-B106-4BD3BFACB480}"/>
    <cellStyle name="Berechnung 2 2 2 57" xfId="27213" xr:uid="{241AB238-DCEC-4321-A368-F84DDC8DC36E}"/>
    <cellStyle name="Berechnung 2 2 2 58" xfId="28703" xr:uid="{B0137AF3-A214-4D6E-908D-FDC46E89726D}"/>
    <cellStyle name="Berechnung 2 2 2 59" xfId="29170" xr:uid="{E340DBD4-AD92-4F9C-A4B8-832D0AD1798E}"/>
    <cellStyle name="Berechnung 2 2 2 6" xfId="2863" xr:uid="{ED73F821-4F2A-4F1E-B2A0-F86932EC8D04}"/>
    <cellStyle name="Berechnung 2 2 2 60" xfId="28110" xr:uid="{0B13BE5A-BB92-4198-96E3-5342BE6C0C1B}"/>
    <cellStyle name="Berechnung 2 2 2 61" xfId="29959" xr:uid="{55AD198B-A4E1-421C-8B02-F75F315AA170}"/>
    <cellStyle name="Berechnung 2 2 2 62" xfId="30365" xr:uid="{A376FBD2-DCA9-4C4A-9856-94A4713DE218}"/>
    <cellStyle name="Berechnung 2 2 2 63" xfId="30782" xr:uid="{7820B3E8-E50D-4967-880B-BD3C421202F1}"/>
    <cellStyle name="Berechnung 2 2 2 64" xfId="31027" xr:uid="{F51A5239-AD89-4D6B-8ACA-9A689D69C446}"/>
    <cellStyle name="Berechnung 2 2 2 65" xfId="31398" xr:uid="{C69B505B-D98F-46B9-9C69-6B01258484E4}"/>
    <cellStyle name="Berechnung 2 2 2 66" xfId="32089" xr:uid="{5FB6491F-BF65-43E6-95F6-C71EA228E237}"/>
    <cellStyle name="Berechnung 2 2 2 67" xfId="31427" xr:uid="{A76CE840-8456-4B7E-8AFC-59FFA381DA5C}"/>
    <cellStyle name="Berechnung 2 2 2 7" xfId="4181" xr:uid="{4F2D4531-51FF-4488-9100-FD1B05AAE3B4}"/>
    <cellStyle name="Berechnung 2 2 2 8" xfId="4618" xr:uid="{1090D5D7-809B-4CC9-9278-A1761D3CC51C}"/>
    <cellStyle name="Berechnung 2 2 2 9" xfId="5064" xr:uid="{B0788538-4F6E-4FB4-9EE1-9DE67C03D3CA}"/>
    <cellStyle name="Berechnung 2 2 20" xfId="9310" xr:uid="{7FA12F4E-459E-4171-B87E-60E8412C7B0D}"/>
    <cellStyle name="Berechnung 2 2 21" xfId="8956" xr:uid="{7968D057-26C9-4012-A5BB-DFE325B0A373}"/>
    <cellStyle name="Berechnung 2 2 22" xfId="9387" xr:uid="{27ECC778-3E79-4336-A3ED-CD814F0D9E42}"/>
    <cellStyle name="Berechnung 2 2 23" xfId="11072" xr:uid="{421CD460-2338-4DD1-B63A-1BC7811855AF}"/>
    <cellStyle name="Berechnung 2 2 24" xfId="12001" xr:uid="{4BF1B7A6-3B58-41B1-8CD5-E311F0B893D2}"/>
    <cellStyle name="Berechnung 2 2 25" xfId="12474" xr:uid="{CA422DAD-2EB5-4D49-955D-6E51DBD1F56C}"/>
    <cellStyle name="Berechnung 2 2 26" xfId="12908" xr:uid="{65CBC7AA-B489-401A-A5EE-17BCCC79A81F}"/>
    <cellStyle name="Berechnung 2 2 27" xfId="13345" xr:uid="{F095F4CC-C271-4B46-8C68-8EBC58BD1555}"/>
    <cellStyle name="Berechnung 2 2 28" xfId="12310" xr:uid="{B8FDD43F-0E1C-4FF9-B492-AB11183B0422}"/>
    <cellStyle name="Berechnung 2 2 29" xfId="13188" xr:uid="{D59A60E4-EADF-43A2-8FAC-3C3B9D87CC28}"/>
    <cellStyle name="Berechnung 2 2 3" xfId="1131" xr:uid="{5E4ABF1D-2BC1-413A-AD16-833D9A58F8FB}"/>
    <cellStyle name="Berechnung 2 2 30" xfId="14098" xr:uid="{016066BF-2902-40CA-A29A-B880433D46CB}"/>
    <cellStyle name="Berechnung 2 2 31" xfId="14943" xr:uid="{56CF7C85-D9AB-486A-8DE6-5F642EB81726}"/>
    <cellStyle name="Berechnung 2 2 32" xfId="15695" xr:uid="{868E9F75-9A26-447C-9B95-F67ABA89C54D}"/>
    <cellStyle name="Berechnung 2 2 33" xfId="15219" xr:uid="{62086CE3-CA9F-45FB-A398-B3958D3299B8}"/>
    <cellStyle name="Berechnung 2 2 34" xfId="16693" xr:uid="{D5C54DA4-32A5-48EA-869B-D3B9B6EC7336}"/>
    <cellStyle name="Berechnung 2 2 35" xfId="16419" xr:uid="{CB9C0D3A-1164-4EC2-B981-A3AFD8198E4E}"/>
    <cellStyle name="Berechnung 2 2 36" xfId="16066" xr:uid="{7F41ED23-2CFD-4008-A276-F798A1BC4FE8}"/>
    <cellStyle name="Berechnung 2 2 37" xfId="17511" xr:uid="{AB3197E3-E9F2-4899-A0B6-FEBBB42DF7B3}"/>
    <cellStyle name="Berechnung 2 2 38" xfId="18511" xr:uid="{DE5D8519-5F08-469D-ADB1-654211528418}"/>
    <cellStyle name="Berechnung 2 2 39" xfId="17726" xr:uid="{C8478FCD-AF85-4361-A9A4-8E2DC98D6B6D}"/>
    <cellStyle name="Berechnung 2 2 4" xfId="1577" xr:uid="{18E33D8C-4554-4777-9AAD-551BF7C3E36B}"/>
    <cellStyle name="Berechnung 2 2 40" xfId="17007" xr:uid="{AE8732E1-6931-4008-8D16-10A033031428}"/>
    <cellStyle name="Berechnung 2 2 41" xfId="20030" xr:uid="{BA7EF49B-D03B-4044-9935-30F9524B67A9}"/>
    <cellStyle name="Berechnung 2 2 42" xfId="19754" xr:uid="{2FCBEA8A-153F-4270-8D7F-2DF2792F241C}"/>
    <cellStyle name="Berechnung 2 2 43" xfId="20353" xr:uid="{A5DF8F82-69E9-400D-A7F8-9EC063CFEED9}"/>
    <cellStyle name="Berechnung 2 2 44" xfId="19804" xr:uid="{78665E40-556E-4303-8DE5-04A7DA2A2A9E}"/>
    <cellStyle name="Berechnung 2 2 45" xfId="19540" xr:uid="{2F6D6736-CA24-45FD-897B-AEB768022C0A}"/>
    <cellStyle name="Berechnung 2 2 46" xfId="20899" xr:uid="{2FD56EF0-E252-47E0-A0CE-7F8C6551CD43}"/>
    <cellStyle name="Berechnung 2 2 47" xfId="21997" xr:uid="{F138E5C0-A096-4205-BA8B-FE885AB8CDC0}"/>
    <cellStyle name="Berechnung 2 2 48" xfId="22978" xr:uid="{D21CB933-BBD2-4B3A-AA2E-71AB6F845C81}"/>
    <cellStyle name="Berechnung 2 2 49" xfId="22765" xr:uid="{40C19B56-87F5-4C23-A217-B9CA5F14C5AE}"/>
    <cellStyle name="Berechnung 2 2 5" xfId="2470" xr:uid="{6ABE94BC-2ED6-490E-86F4-0ADCA5015FE7}"/>
    <cellStyle name="Berechnung 2 2 50" xfId="23839" xr:uid="{6AC9E2E0-7708-46F6-ABCD-32E2C74B25F6}"/>
    <cellStyle name="Berechnung 2 2 51" xfId="24738" xr:uid="{6F74EC4A-FAB8-4711-972B-CBA9FAEE7AA1}"/>
    <cellStyle name="Berechnung 2 2 52" xfId="24468" xr:uid="{7772E2DC-D1EE-4BBB-8CFC-38796E61CF09}"/>
    <cellStyle name="Berechnung 2 2 53" xfId="25656" xr:uid="{8B81BDF2-C13A-451D-BEE7-4B6DD563FF51}"/>
    <cellStyle name="Berechnung 2 2 54" xfId="25352" xr:uid="{8E9F48AE-A72E-49F5-AB91-576E0BECF772}"/>
    <cellStyle name="Berechnung 2 2 55" xfId="26628" xr:uid="{3CAD3EBB-5893-4E65-B9A7-2704EB9D6319}"/>
    <cellStyle name="Berechnung 2 2 56" xfId="26946" xr:uid="{9F955B9E-8BAA-4608-BE7F-850224CF3639}"/>
    <cellStyle name="Berechnung 2 2 57" xfId="27365" xr:uid="{98758A5D-A501-4008-A149-1A979766B1AF}"/>
    <cellStyle name="Berechnung 2 2 58" xfId="27784" xr:uid="{BA55A803-3A0A-4E67-90FC-85F1C883B767}"/>
    <cellStyle name="Berechnung 2 2 59" xfId="28488" xr:uid="{29DECD31-8532-4A73-BB53-8A21ADE711DB}"/>
    <cellStyle name="Berechnung 2 2 6" xfId="2010" xr:uid="{3605784D-230F-4EF2-A48F-178082AAE935}"/>
    <cellStyle name="Berechnung 2 2 60" xfId="28956" xr:uid="{34F44169-BFEC-45BF-8F43-DB7D6543A670}"/>
    <cellStyle name="Berechnung 2 2 61" xfId="28069" xr:uid="{55865BF8-4F15-471B-BD76-757CDEF15778}"/>
    <cellStyle name="Berechnung 2 2 62" xfId="29746" xr:uid="{66D561B0-D386-4323-A388-9E88821EB28F}"/>
    <cellStyle name="Berechnung 2 2 63" xfId="30154" xr:uid="{1656A5EF-A672-4280-A739-4CB8EE794E58}"/>
    <cellStyle name="Berechnung 2 2 64" xfId="30568" xr:uid="{DFFA80F2-1618-40ED-95A1-2EA38844F04D}"/>
    <cellStyle name="Berechnung 2 2 65" xfId="30420" xr:uid="{79B1CCD9-B3E6-4DB6-9A1D-496C0FE23D42}"/>
    <cellStyle name="Berechnung 2 2 66" xfId="31192" xr:uid="{FBAF633F-59B4-4480-A0D0-CCC0D74EAC42}"/>
    <cellStyle name="Berechnung 2 2 67" xfId="31878" xr:uid="{EEFA7DB7-C173-46CD-8AC5-F37060B05EDC}"/>
    <cellStyle name="Berechnung 2 2 68" xfId="31625" xr:uid="{90BD5239-6FC7-45C0-AAFD-99B67D11B12A}"/>
    <cellStyle name="Berechnung 2 2 7" xfId="3645" xr:uid="{5C7F2024-8836-4AA5-98F2-C29BF309A5AB}"/>
    <cellStyle name="Berechnung 2 2 8" xfId="3966" xr:uid="{DC734890-28EF-4014-890E-754FAB94969A}"/>
    <cellStyle name="Berechnung 2 2 9" xfId="4404" xr:uid="{82754044-0580-4F88-8945-B6DD9A89DCF4}"/>
    <cellStyle name="Berechnung 2 20" xfId="9255" xr:uid="{B28240D6-C311-4174-9A4E-943981A0783A}"/>
    <cellStyle name="Berechnung 2 21" xfId="11280" xr:uid="{BC77D581-6943-4F03-A565-7E59E20C0292}"/>
    <cellStyle name="Berechnung 2 22" xfId="11746" xr:uid="{FD15A90F-8CAF-41D9-AB33-EB9039412DD0}"/>
    <cellStyle name="Berechnung 2 23" xfId="11355" xr:uid="{AA41F32D-D343-455E-982A-FCEFB5838D04}"/>
    <cellStyle name="Berechnung 2 24" xfId="11604" xr:uid="{8AFA0AC0-6A47-418D-8DF3-2EA462D920BA}"/>
    <cellStyle name="Berechnung 2 25" xfId="12964" xr:uid="{59A3780A-2FE8-404D-9C18-07E73687C5C1}"/>
    <cellStyle name="Berechnung 2 26" xfId="13867" xr:uid="{FCA3DF2C-5A48-4525-932A-6A5C5815A45C}"/>
    <cellStyle name="Berechnung 2 27" xfId="11673" xr:uid="{F18DADB2-70A8-46EE-A2F9-6817F7094084}"/>
    <cellStyle name="Berechnung 2 28" xfId="15723" xr:uid="{811AB283-9A7D-408A-8D12-9BDC4F895D6D}"/>
    <cellStyle name="Berechnung 2 29" xfId="16441" xr:uid="{B90634AF-D6FC-4901-BB80-FB9DEC7CD97A}"/>
    <cellStyle name="Berechnung 2 3" xfId="513" xr:uid="{C0D6F65E-7FCD-44E4-9012-6DEFC3996611}"/>
    <cellStyle name="Berechnung 2 3 10" xfId="5051" xr:uid="{36088080-86A5-403F-8F82-0263E043B81B}"/>
    <cellStyle name="Berechnung 2 3 11" xfId="5161" xr:uid="{3443303C-C009-4DEE-B90E-3995820A62FC}"/>
    <cellStyle name="Berechnung 2 3 12" xfId="5140" xr:uid="{2211FBC7-F9D7-48B7-8C64-AA590BAF455C}"/>
    <cellStyle name="Berechnung 2 3 13" xfId="5808" xr:uid="{B92DB558-954E-4D75-9F26-0FA76DDC6766}"/>
    <cellStyle name="Berechnung 2 3 14" xfId="6674" xr:uid="{7EF94B82-56FD-4F49-BC45-F569326BC38F}"/>
    <cellStyle name="Berechnung 2 3 15" xfId="7233" xr:uid="{4F65E832-5618-42CC-976A-911076F0EE8D}"/>
    <cellStyle name="Berechnung 2 3 16" xfId="7752" xr:uid="{9A027672-80F1-49F4-810B-2C2C1D83FF5E}"/>
    <cellStyle name="Berechnung 2 3 17" xfId="7175" xr:uid="{A2F0DBF6-E507-49BE-A6FE-5168D5F5AA73}"/>
    <cellStyle name="Berechnung 2 3 18" xfId="8815" xr:uid="{B9D9BCFB-5C3E-4394-980A-5999E376579C}"/>
    <cellStyle name="Berechnung 2 3 19" xfId="9447" xr:uid="{C969CDE3-2F13-45DA-975E-98F370F03389}"/>
    <cellStyle name="Berechnung 2 3 2" xfId="728" xr:uid="{A9EEB3AD-7486-41BA-A022-F2DBAD0431E2}"/>
    <cellStyle name="Berechnung 2 3 2 10" xfId="5376" xr:uid="{789892A6-AF3C-4644-9F28-3F39F4A3D26A}"/>
    <cellStyle name="Berechnung 2 3 2 11" xfId="5930" xr:uid="{5A0CE63E-5BF6-4A34-9432-50F22DCC5950}"/>
    <cellStyle name="Berechnung 2 3 2 12" xfId="6281" xr:uid="{F59F6635-130E-4EF9-B9A5-82067E6BB207}"/>
    <cellStyle name="Berechnung 2 3 2 13" xfId="6673" xr:uid="{A2C60E39-3040-4A1E-B1F7-16C13E6174E2}"/>
    <cellStyle name="Berechnung 2 3 2 14" xfId="7448" xr:uid="{668D09F5-F62D-4A13-9CE9-5B96EB0D662D}"/>
    <cellStyle name="Berechnung 2 3 2 15" xfId="7965" xr:uid="{1BF7727E-8652-492B-916B-2651A693D4DB}"/>
    <cellStyle name="Berechnung 2 3 2 16" xfId="8365" xr:uid="{9CCC4EFB-0D61-449E-BC5F-12A3D0FAA668}"/>
    <cellStyle name="Berechnung 2 3 2 17" xfId="7942" xr:uid="{53187699-29C8-4F9A-9133-B16D69F42326}"/>
    <cellStyle name="Berechnung 2 3 2 18" xfId="9662" xr:uid="{0559FC01-0764-4EF8-9192-F968E9CB4BE2}"/>
    <cellStyle name="Berechnung 2 3 2 19" xfId="10180" xr:uid="{D136BFAE-65D8-456C-A0A5-345FE0D84D9B}"/>
    <cellStyle name="Berechnung 2 3 2 2" xfId="1202" xr:uid="{02957A43-5883-4AE2-997E-6686A3F59A18}"/>
    <cellStyle name="Berechnung 2 3 2 20" xfId="10586" xr:uid="{3717BA2E-EBA5-4CBA-A735-48CD6611BB0C}"/>
    <cellStyle name="Berechnung 2 3 2 21" xfId="9888" xr:uid="{E57FD0C6-B8C7-4AC7-B8AB-73BC8E5BC177}"/>
    <cellStyle name="Berechnung 2 3 2 22" xfId="11290" xr:uid="{5478EC92-C4FA-4E36-99DE-9030CD924D5B}"/>
    <cellStyle name="Berechnung 2 3 2 23" xfId="12081" xr:uid="{B3122828-1142-4CEE-B98E-8011CD346E9F}"/>
    <cellStyle name="Berechnung 2 3 2 24" xfId="12554" xr:uid="{BE7A1506-FFBC-49D7-A6D4-0991FC89AF9F}"/>
    <cellStyle name="Berechnung 2 3 2 25" xfId="12988" xr:uid="{0A313994-DE9C-4189-A6F5-936A452F7BCB}"/>
    <cellStyle name="Berechnung 2 3 2 26" xfId="13425" xr:uid="{A4F5867A-A81D-4F0D-8F80-458757A70A86}"/>
    <cellStyle name="Berechnung 2 3 2 27" xfId="13926" xr:uid="{9678A8FE-7690-46FB-94D4-2C750925DA97}"/>
    <cellStyle name="Berechnung 2 3 2 28" xfId="13912" xr:uid="{AF56A16D-C99C-452E-A555-04C163D17F5B}"/>
    <cellStyle name="Berechnung 2 3 2 29" xfId="14829" xr:uid="{B2702719-64C1-4BC7-B51A-B72ACA539524}"/>
    <cellStyle name="Berechnung 2 3 2 3" xfId="1543" xr:uid="{AAB45A16-3FF3-4E44-B33A-87C38D7A7F6B}"/>
    <cellStyle name="Berechnung 2 3 2 30" xfId="14552" xr:uid="{18ACFACB-B1BC-479C-A690-6130FB882F53}"/>
    <cellStyle name="Berechnung 2 3 2 31" xfId="15589" xr:uid="{DBE073BC-F654-43A9-ADC6-BCEDC25D5F6C}"/>
    <cellStyle name="Berechnung 2 3 2 32" xfId="15950" xr:uid="{A9D942B5-FE6C-473C-A112-73927866DA74}"/>
    <cellStyle name="Berechnung 2 3 2 33" xfId="16773" xr:uid="{783E660F-BA17-4845-B523-00CE3396FBA5}"/>
    <cellStyle name="Berechnung 2 3 2 34" xfId="17300" xr:uid="{694E3837-0702-499B-A284-257AE60E7ED3}"/>
    <cellStyle name="Berechnung 2 3 2 35" xfId="17743" xr:uid="{4D313A8A-8CA8-49C7-AA13-F1E4B80955CA}"/>
    <cellStyle name="Berechnung 2 3 2 36" xfId="18239" xr:uid="{F0397424-7395-4C3A-B88F-DD79B557088D}"/>
    <cellStyle name="Berechnung 2 3 2 37" xfId="18591" xr:uid="{5C064CB5-9EB9-4C9A-9DAD-4F8413B6420B}"/>
    <cellStyle name="Berechnung 2 3 2 38" xfId="18891" xr:uid="{7D667FC2-AE20-4CDB-996A-7E5FDF36D778}"/>
    <cellStyle name="Berechnung 2 3 2 39" xfId="18897" xr:uid="{7C767EDC-B23F-4D49-9E48-4F486011F33A}"/>
    <cellStyle name="Berechnung 2 3 2 4" xfId="2550" xr:uid="{6EA4EA1E-EAEA-4061-B7F6-BD0EEC963AAC}"/>
    <cellStyle name="Berechnung 2 3 2 40" xfId="20110" xr:uid="{5C340032-64FB-4178-85B0-B0C184514FC5}"/>
    <cellStyle name="Berechnung 2 3 2 41" xfId="20650" xr:uid="{D645B714-9E16-46A8-AB9E-4CB64F9507E7}"/>
    <cellStyle name="Berechnung 2 3 2 42" xfId="21107" xr:uid="{29631F1D-F9AA-4BDA-8B8D-4C6F06BE14A0}"/>
    <cellStyle name="Berechnung 2 3 2 43" xfId="21138" xr:uid="{5EB0ABEA-D8DB-488E-BB52-197FD68E79B4}"/>
    <cellStyle name="Berechnung 2 3 2 44" xfId="22038" xr:uid="{21FBCEE8-B158-488B-9C8A-7F77C78D94E2}"/>
    <cellStyle name="Berechnung 2 3 2 45" xfId="22467" xr:uid="{F2909D04-B27C-459E-B811-FD4A3EAA30CA}"/>
    <cellStyle name="Berechnung 2 3 2 46" xfId="22902" xr:uid="{74837A68-66E4-48D1-BE1C-F3727045E89A}"/>
    <cellStyle name="Berechnung 2 3 2 47" xfId="23167" xr:uid="{81EE0156-3485-4389-8F3B-9D8787BBA83E}"/>
    <cellStyle name="Berechnung 2 3 2 48" xfId="22508" xr:uid="{01155A86-73B4-4F2D-9661-44784ECE26AB}"/>
    <cellStyle name="Berechnung 2 3 2 49" xfId="23910" xr:uid="{372A955C-7D28-42C5-834F-3585AAB9C308}"/>
    <cellStyle name="Berechnung 2 3 2 5" xfId="3094" xr:uid="{C727194F-E899-45FA-8168-85DE444CDB24}"/>
    <cellStyle name="Berechnung 2 3 2 50" xfId="24818" xr:uid="{D5F15653-9101-47D5-B28B-13FC39BDCBBD}"/>
    <cellStyle name="Berechnung 2 3 2 51" xfId="25354" xr:uid="{C5107536-6F16-46D3-852B-AEC76D4F9D0E}"/>
    <cellStyle name="Berechnung 2 3 2 52" xfId="25734" xr:uid="{511D424C-C29E-473A-9AFD-15560604089E}"/>
    <cellStyle name="Berechnung 2 3 2 53" xfId="26207" xr:uid="{18984787-BEE8-4D98-8C61-5134629320D1}"/>
    <cellStyle name="Berechnung 2 3 2 54" xfId="26671" xr:uid="{1BC46A09-7174-4647-BCA9-7161E27A139D}"/>
    <cellStyle name="Berechnung 2 3 2 55" xfId="27022" xr:uid="{EC1F8B6E-BAD0-4136-8513-50B22923CC71}"/>
    <cellStyle name="Berechnung 2 3 2 56" xfId="27441" xr:uid="{2ACA414F-EC9C-4FEB-B07B-AAE5D8C433D4}"/>
    <cellStyle name="Berechnung 2 3 2 57" xfId="27820" xr:uid="{93814C5F-0704-4094-B862-3A2AF1AC5B5A}"/>
    <cellStyle name="Berechnung 2 3 2 58" xfId="28568" xr:uid="{1B867A86-81E8-4442-B98D-BC088697E57B}"/>
    <cellStyle name="Berechnung 2 3 2 59" xfId="29035" xr:uid="{6CC67769-4CA2-4396-90E3-F1C547AADB15}"/>
    <cellStyle name="Berechnung 2 3 2 6" xfId="2007" xr:uid="{9301F129-FC71-4EBC-94E0-D65FE17C0D1C}"/>
    <cellStyle name="Berechnung 2 3 2 60" xfId="29478" xr:uid="{5D56F3AE-103E-4262-BEA6-57A4EF373C45}"/>
    <cellStyle name="Berechnung 2 3 2 61" xfId="29824" xr:uid="{5392B12A-8AF6-478F-A915-51F47A12A2BC}"/>
    <cellStyle name="Berechnung 2 3 2 62" xfId="30230" xr:uid="{0C50212B-C52E-47DD-8F62-9AFB2DA2BAC6}"/>
    <cellStyle name="Berechnung 2 3 2 63" xfId="30647" xr:uid="{46F25F91-9669-4860-9169-CC40CA2EE4DA}"/>
    <cellStyle name="Berechnung 2 3 2 64" xfId="30397" xr:uid="{B401182F-B5E6-4371-A58B-1183CF27C10B}"/>
    <cellStyle name="Berechnung 2 3 2 65" xfId="31263" xr:uid="{23E2AF34-15B4-4556-AEDA-F95DECA8113D}"/>
    <cellStyle name="Berechnung 2 3 2 66" xfId="31954" xr:uid="{908D8A69-42C5-4C06-B87D-9F675430019A}"/>
    <cellStyle name="Berechnung 2 3 2 67" xfId="32171" xr:uid="{95BEBF8D-293F-4F1D-89F1-B6DF56A3F4DC}"/>
    <cellStyle name="Berechnung 2 3 2 7" xfId="4046" xr:uid="{5438B44F-B8A8-4666-B003-6F6567ADC004}"/>
    <cellStyle name="Berechnung 2 3 2 8" xfId="4483" xr:uid="{C9D1053F-567B-4F3B-A790-90FDCBF4C4CF}"/>
    <cellStyle name="Berechnung 2 3 2 9" xfId="3371" xr:uid="{AB11C7D0-BD7B-47AA-9E77-9D6B5079AFF7}"/>
    <cellStyle name="Berechnung 2 3 20" xfId="9966" xr:uid="{1098744F-7AD7-475E-A25F-07B4683053D9}"/>
    <cellStyle name="Berechnung 2 3 21" xfId="10394" xr:uid="{D8C64D50-AC56-4D3D-831A-911A5CF4204F}"/>
    <cellStyle name="Berechnung 2 3 22" xfId="8983" xr:uid="{3469967E-D3C5-457A-800E-C928FEBB2008}"/>
    <cellStyle name="Berechnung 2 3 23" xfId="11291" xr:uid="{056A4ECC-7125-41C5-B5FD-3786BB782700}"/>
    <cellStyle name="Berechnung 2 3 24" xfId="11866" xr:uid="{D7A16070-05D6-423D-AF0B-50207ABBF149}"/>
    <cellStyle name="Berechnung 2 3 25" xfId="12339" xr:uid="{1D716E20-A38B-4960-A71C-213AF5F62E3B}"/>
    <cellStyle name="Berechnung 2 3 26" xfId="12773" xr:uid="{C7B39161-EE8D-45A8-B2D1-323BDC453B0F}"/>
    <cellStyle name="Berechnung 2 3 27" xfId="13210" xr:uid="{1FF4E265-988F-40E6-96DE-8797002CCD06}"/>
    <cellStyle name="Berechnung 2 3 28" xfId="13161" xr:uid="{1B85C1DF-6D4B-4482-BE1F-C177F7C82E34}"/>
    <cellStyle name="Berechnung 2 3 29" xfId="14265" xr:uid="{AFDE68A1-9400-4882-B121-E5B612F6AD6D}"/>
    <cellStyle name="Berechnung 2 3 3" xfId="996" xr:uid="{E821A119-69CA-4B27-A944-0F18736BADCD}"/>
    <cellStyle name="Berechnung 2 3 30" xfId="14632" xr:uid="{4723C7FC-F095-46E3-BF54-374305792AAB}"/>
    <cellStyle name="Berechnung 2 3 31" xfId="14309" xr:uid="{31739ED3-07C9-4C42-9B36-86296DA9C24D}"/>
    <cellStyle name="Berechnung 2 3 32" xfId="15538" xr:uid="{0A4F8B87-175A-4F24-80E8-9DE68E57B058}"/>
    <cellStyle name="Berechnung 2 3 33" xfId="15836" xr:uid="{88A69FB1-FF5D-49BC-9FAA-38B79984DBBA}"/>
    <cellStyle name="Berechnung 2 3 34" xfId="16558" xr:uid="{A2EC0670-A24D-4CF3-9A04-3C63A32F23E1}"/>
    <cellStyle name="Berechnung 2 3 35" xfId="17081" xr:uid="{B4CBC7CA-B0AA-44DA-BACB-B13FEE2AC005}"/>
    <cellStyle name="Berechnung 2 3 36" xfId="17528" xr:uid="{F946D8AF-C6DE-43CA-ABC5-41791C5BF1F0}"/>
    <cellStyle name="Berechnung 2 3 37" xfId="18242" xr:uid="{E80F4FAB-B0FC-4D3F-AE70-42169B3295E5}"/>
    <cellStyle name="Berechnung 2 3 38" xfId="18376" xr:uid="{A7026313-7BA1-473F-BB65-2F9FEE043962}"/>
    <cellStyle name="Berechnung 2 3 39" xfId="18949" xr:uid="{A945B15D-839D-4686-9F6D-10D7BF58945A}"/>
    <cellStyle name="Berechnung 2 3 4" xfId="1610" xr:uid="{36139460-E443-4DE5-A109-D7C82F11DE1B}"/>
    <cellStyle name="Berechnung 2 3 40" xfId="19090" xr:uid="{628CF037-0EA9-4C8A-ACEC-F336DD8DD958}"/>
    <cellStyle name="Berechnung 2 3 41" xfId="19895" xr:uid="{1258B58D-55D8-4C8F-8289-0C8B1A261FE1}"/>
    <cellStyle name="Berechnung 2 3 42" xfId="20434" xr:uid="{60878D1E-4D8A-45F8-8D01-77D9F88064ED}"/>
    <cellStyle name="Berechnung 2 3 43" xfId="20886" xr:uid="{F995117E-EC3C-41E2-9681-196BE9B65923}"/>
    <cellStyle name="Berechnung 2 3 44" xfId="21527" xr:uid="{CBCA85BF-1B28-4C9C-B5BA-DCB66206C3CE}"/>
    <cellStyle name="Berechnung 2 3 45" xfId="21818" xr:uid="{8DC0D8F2-F205-4884-BE52-9E749F9DA029}"/>
    <cellStyle name="Berechnung 2 3 46" xfId="22252" xr:uid="{2237BBD8-983F-4A07-A190-B76FBA04A363}"/>
    <cellStyle name="Berechnung 2 3 47" xfId="19702" xr:uid="{4EA4B4CF-447D-4982-840C-53AF1B9E0DBF}"/>
    <cellStyle name="Berechnung 2 3 48" xfId="23235" xr:uid="{A30C59E0-0D1C-400E-8636-77AF453AFF0A}"/>
    <cellStyle name="Berechnung 2 3 49" xfId="23254" xr:uid="{F5FB2881-5610-489A-AEB6-43DC17BBF7AF}"/>
    <cellStyle name="Berechnung 2 3 5" xfId="2335" xr:uid="{EDCF7913-47AE-4893-81FB-A3B55761D92F}"/>
    <cellStyle name="Berechnung 2 3 50" xfId="23704" xr:uid="{94CEEF87-C6D3-4913-8244-672267F20E08}"/>
    <cellStyle name="Berechnung 2 3 51" xfId="24603" xr:uid="{33A9C7B5-7D76-4B00-9444-8D8E8DFAF82E}"/>
    <cellStyle name="Berechnung 2 3 52" xfId="25141" xr:uid="{F3D42930-0B79-4C67-84D4-54D211C126C5}"/>
    <cellStyle name="Berechnung 2 3 53" xfId="25521" xr:uid="{F8BBC406-6C5D-41A9-9F8C-7E8D06A91465}"/>
    <cellStyle name="Berechnung 2 3 54" xfId="25399" xr:uid="{85E3E96B-E868-4B73-A383-11C6DE04737E}"/>
    <cellStyle name="Berechnung 2 3 55" xfId="26726" xr:uid="{8DEC5F0D-9B61-414E-9669-50B267E9A185}"/>
    <cellStyle name="Berechnung 2 3 56" xfId="26811" xr:uid="{731D3481-D53E-4B81-9CD3-3DFFD6B34493}"/>
    <cellStyle name="Berechnung 2 3 57" xfId="27230" xr:uid="{9F59977E-C5B4-4C47-91FF-A142F90C29A1}"/>
    <cellStyle name="Berechnung 2 3 58" xfId="27189" xr:uid="{96BBBFAC-9F09-4359-B6E7-C1040C685366}"/>
    <cellStyle name="Berechnung 2 3 59" xfId="28353" xr:uid="{AB195179-FB92-4B99-87A2-820C102B2F44}"/>
    <cellStyle name="Berechnung 2 3 6" xfId="2114" xr:uid="{6EB92B0F-7797-4B89-99BB-A34BAE0D846C}"/>
    <cellStyle name="Berechnung 2 3 60" xfId="28821" xr:uid="{0DAB1C22-C838-4EAE-89E7-C4714752658B}"/>
    <cellStyle name="Berechnung 2 3 61" xfId="29293" xr:uid="{0FE2406B-68B2-4151-840B-7198092E472D}"/>
    <cellStyle name="Berechnung 2 3 62" xfId="29611" xr:uid="{3CF6AB27-A7B2-4EE4-B4B8-6793E03FA7BF}"/>
    <cellStyle name="Berechnung 2 3 63" xfId="30019" xr:uid="{D90C1C3C-2588-4781-B889-173B91F92187}"/>
    <cellStyle name="Berechnung 2 3 64" xfId="30433" xr:uid="{6022F4EF-5AB0-417D-AEEB-7E36CE2884C8}"/>
    <cellStyle name="Berechnung 2 3 65" xfId="30880" xr:uid="{10CB6313-DCAB-4E3F-86A5-8DA4FD65AE36}"/>
    <cellStyle name="Berechnung 2 3 66" xfId="31057" xr:uid="{79145AA5-3BA4-40AE-962A-44128B347EED}"/>
    <cellStyle name="Berechnung 2 3 67" xfId="31743" xr:uid="{57337DE3-9A00-4400-A362-0292A34B85DB}"/>
    <cellStyle name="Berechnung 2 3 68" xfId="32185" xr:uid="{F3FFE775-187D-4C71-8B7E-D434B6F68F98}"/>
    <cellStyle name="Berechnung 2 3 7" xfId="3317" xr:uid="{E0CB249C-F689-4CD4-B3D1-8DAE11FF043E}"/>
    <cellStyle name="Berechnung 2 3 8" xfId="3831" xr:uid="{B5DF59D5-2C72-4433-B248-A8B92DC5BAF8}"/>
    <cellStyle name="Berechnung 2 3 9" xfId="4269" xr:uid="{DAD3D4EA-43AE-4160-9FA6-76B6D9D32AAA}"/>
    <cellStyle name="Berechnung 2 30" xfId="16365" xr:uid="{E6B98430-51E5-4A35-9483-01877194B4A4}"/>
    <cellStyle name="Berechnung 2 31" xfId="18196" xr:uid="{78368DA5-C2D8-46F2-8B73-8930C6421BAC}"/>
    <cellStyle name="Berechnung 2 32" xfId="18204" xr:uid="{ABF6D725-7F47-497E-AABB-69CBCF2D6ABA}"/>
    <cellStyle name="Berechnung 2 33" xfId="17690" xr:uid="{D3D2ADB9-77BE-4F39-8D89-6B6BF27E1169}"/>
    <cellStyle name="Berechnung 2 34" xfId="19775" xr:uid="{C11871F9-71A3-42F9-AE61-73043E23A50B}"/>
    <cellStyle name="Berechnung 2 35" xfId="19698" xr:uid="{DEC52CF3-954A-4D79-B711-015A88799336}"/>
    <cellStyle name="Berechnung 2 36" xfId="22071" xr:uid="{9550E9FD-5B43-499E-BC10-4FB715C4D15B}"/>
    <cellStyle name="Berechnung 2 37" xfId="22851" xr:uid="{586FF3D9-8E8D-4265-84BD-E3EEF3F82F61}"/>
    <cellStyle name="Berechnung 2 38" xfId="23036" xr:uid="{179E6DB3-5D42-44C1-9E63-A41EBE72902E}"/>
    <cellStyle name="Berechnung 2 39" xfId="24486" xr:uid="{583242A5-1469-4079-BA68-6178CD4A140A}"/>
    <cellStyle name="Berechnung 2 4" xfId="569" xr:uid="{16ACFD70-3424-4579-9DD0-CE07C5B27CF6}"/>
    <cellStyle name="Berechnung 2 4 10" xfId="4790" xr:uid="{1604E277-FEF3-4062-8C7D-5D3136C7B1F2}"/>
    <cellStyle name="Berechnung 2 4 11" xfId="5217" xr:uid="{81A82AA5-49F7-4846-BFE2-60865AAA3FC6}"/>
    <cellStyle name="Berechnung 2 4 12" xfId="5554" xr:uid="{4F1B9377-D2FF-4B3A-A9FD-5E058586F3B8}"/>
    <cellStyle name="Berechnung 2 4 13" xfId="6262" xr:uid="{0BDA4BCB-A2D3-4146-B8BA-0316ED40F630}"/>
    <cellStyle name="Berechnung 2 4 14" xfId="6177" xr:uid="{5BF3FE8A-BCD7-43F6-BC74-D77B426916EE}"/>
    <cellStyle name="Berechnung 2 4 15" xfId="7289" xr:uid="{BA933841-AD34-4D15-928B-B7FCBAB16BA0}"/>
    <cellStyle name="Berechnung 2 4 16" xfId="7034" xr:uid="{5B4941CF-8B6F-4640-8547-A5E18C5BB411}"/>
    <cellStyle name="Berechnung 2 4 17" xfId="8616" xr:uid="{ACF00F66-6973-4788-95C3-EBFA5CC422AC}"/>
    <cellStyle name="Berechnung 2 4 18" xfId="8886" xr:uid="{D4A40190-605D-47D5-B9B8-DD64CEB7BF98}"/>
    <cellStyle name="Berechnung 2 4 19" xfId="9503" xr:uid="{5EE982BA-35DA-477E-9065-B6695DFBD412}"/>
    <cellStyle name="Berechnung 2 4 2" xfId="784" xr:uid="{73A672B7-CA9D-4EC8-B780-245AE464444A}"/>
    <cellStyle name="Berechnung 2 4 2 10" xfId="5432" xr:uid="{82CB8643-AB95-45C9-8D49-5E4353B3240F}"/>
    <cellStyle name="Berechnung 2 4 2 11" xfId="5795" xr:uid="{FB5E0C10-F5D2-4319-A700-8E0631D27882}"/>
    <cellStyle name="Berechnung 2 4 2 12" xfId="3651" xr:uid="{724CC8FA-0B60-4EE7-8B9A-676F4644EFC1}"/>
    <cellStyle name="Berechnung 2 4 2 13" xfId="6404" xr:uid="{7D8EF2D8-6436-429A-8C12-2CE653E3AEED}"/>
    <cellStyle name="Berechnung 2 4 2 14" xfId="7504" xr:uid="{9AAE209B-3C3D-4068-966B-6F71BECD0202}"/>
    <cellStyle name="Berechnung 2 4 2 15" xfId="6826" xr:uid="{D062F8A8-7F2F-4977-821A-7FAFFEC5C2BF}"/>
    <cellStyle name="Berechnung 2 4 2 16" xfId="8110" xr:uid="{4C07F1D8-C59E-4440-B79F-88BCB8CB83B9}"/>
    <cellStyle name="Berechnung 2 4 2 17" xfId="7809" xr:uid="{F1DFD533-9345-4859-8904-626292A2A230}"/>
    <cellStyle name="Berechnung 2 4 2 18" xfId="9718" xr:uid="{27F7E3B7-8A38-4756-8780-51225877E5E8}"/>
    <cellStyle name="Berechnung 2 4 2 19" xfId="9340" xr:uid="{B92F6B79-00A0-4FF4-ADF8-99D906AE48D6}"/>
    <cellStyle name="Berechnung 2 4 2 2" xfId="1258" xr:uid="{F9630687-4FC0-4BED-A424-E6C4B8848749}"/>
    <cellStyle name="Berechnung 2 4 2 20" xfId="9157" xr:uid="{C2CC8AAD-7FA3-4DFF-8AAD-F1B45B25DD06}"/>
    <cellStyle name="Berechnung 2 4 2 21" xfId="10614" xr:uid="{84E640C0-33C5-472C-8E0A-47FE795E8DF4}"/>
    <cellStyle name="Berechnung 2 4 2 22" xfId="11211" xr:uid="{3B27FE96-D9F8-48FE-B5F7-12D61B38EB2A}"/>
    <cellStyle name="Berechnung 2 4 2 23" xfId="12137" xr:uid="{C8D63A1A-C442-4EE4-BFA8-836CD93ECA3E}"/>
    <cellStyle name="Berechnung 2 4 2 24" xfId="12610" xr:uid="{2FE094FB-6F23-4DD9-8AA1-F4823AC7FE00}"/>
    <cellStyle name="Berechnung 2 4 2 25" xfId="13044" xr:uid="{B795AF25-88C9-4EF0-A44E-D82D8A84745A}"/>
    <cellStyle name="Berechnung 2 4 2 26" xfId="13481" xr:uid="{D2F54F54-F4D8-4436-BE65-F7A561598460}"/>
    <cellStyle name="Berechnung 2 4 2 27" xfId="11833" xr:uid="{F9AE1083-0EA5-4BB1-948F-DB40A70CA655}"/>
    <cellStyle name="Berechnung 2 4 2 28" xfId="11772" xr:uid="{8B8094F7-9685-432F-8660-F51988DFA599}"/>
    <cellStyle name="Berechnung 2 4 2 29" xfId="14351" xr:uid="{5222F100-2CA1-42A9-B350-E6A22989B695}"/>
    <cellStyle name="Berechnung 2 4 2 3" xfId="1510" xr:uid="{996C5EC5-1598-4E48-A01A-9A0C775273B5}"/>
    <cellStyle name="Berechnung 2 4 2 30" xfId="15169" xr:uid="{12DD99C7-D70C-48F2-862F-DB559CF14B2C}"/>
    <cellStyle name="Berechnung 2 4 2 31" xfId="15700" xr:uid="{9701CE9E-46C8-4662-8555-6779066892ED}"/>
    <cellStyle name="Berechnung 2 4 2 32" xfId="15099" xr:uid="{91068233-7BDF-42E1-B0B0-8178FAC4E624}"/>
    <cellStyle name="Berechnung 2 4 2 33" xfId="16829" xr:uid="{2C6BCD5D-D292-4EE4-ADBC-FB739C02BD32}"/>
    <cellStyle name="Berechnung 2 4 2 34" xfId="16139" xr:uid="{07326CB9-052B-4C6A-9169-FCA4F2D04764}"/>
    <cellStyle name="Berechnung 2 4 2 35" xfId="16945" xr:uid="{3C941C56-AC4D-42D7-88A4-36A7525BC554}"/>
    <cellStyle name="Berechnung 2 4 2 36" xfId="18102" xr:uid="{A468937F-F752-4522-B187-A81010E9FD52}"/>
    <cellStyle name="Berechnung 2 4 2 37" xfId="18647" xr:uid="{C817B85D-BF9E-48A7-AF1B-2ACB6391F94D}"/>
    <cellStyle name="Berechnung 2 4 2 38" xfId="16153" xr:uid="{10809EC3-D1F5-40BB-9D6A-07E100A5FA90}"/>
    <cellStyle name="Berechnung 2 4 2 39" xfId="18951" xr:uid="{E4756FA0-DEED-4E5A-A131-F7946E8D7ECB}"/>
    <cellStyle name="Berechnung 2 4 2 4" xfId="2606" xr:uid="{E58BF64C-D952-490A-834A-A4DF44E5DC1E}"/>
    <cellStyle name="Berechnung 2 4 2 40" xfId="20166" xr:uid="{A3FEC490-B60C-48F5-A7CE-7D47273E0271}"/>
    <cellStyle name="Berechnung 2 4 2 41" xfId="19587" xr:uid="{559041A6-2CD1-4A69-8926-5DFEFADB7DE3}"/>
    <cellStyle name="Berechnung 2 4 2 42" xfId="19848" xr:uid="{55439D7C-69EA-4520-A6B2-F59F3CDCC776}"/>
    <cellStyle name="Berechnung 2 4 2 43" xfId="21636" xr:uid="{0ECAADF9-391D-4D8D-A36A-48D80D3A4F64}"/>
    <cellStyle name="Berechnung 2 4 2 44" xfId="21016" xr:uid="{E0526E7F-CF2F-443F-9F12-0D63F460A7E9}"/>
    <cellStyle name="Berechnung 2 4 2 45" xfId="21354" xr:uid="{CA6AD3BE-98EE-4109-BA5F-8EF0D393FF95}"/>
    <cellStyle name="Berechnung 2 4 2 46" xfId="22375" xr:uid="{1CA3C832-D023-4D14-98C7-D60E0DF68E0F}"/>
    <cellStyle name="Berechnung 2 4 2 47" xfId="22678" xr:uid="{4AAC5A98-C0A6-4E1B-BE39-6FA160815E7B}"/>
    <cellStyle name="Berechnung 2 4 2 48" xfId="23222" xr:uid="{368B09C8-8525-49F1-9FF5-1F40F7345DAD}"/>
    <cellStyle name="Berechnung 2 4 2 49" xfId="23966" xr:uid="{937578C8-430C-4BE0-B176-798D8A046B1E}"/>
    <cellStyle name="Berechnung 2 4 2 5" xfId="2277" xr:uid="{3F8DE6F0-A959-4AAF-94B7-A0FC8B9DC8F1}"/>
    <cellStyle name="Berechnung 2 4 2 50" xfId="24874" xr:uid="{332538EF-55BA-4157-BB00-F5DD67322BB9}"/>
    <cellStyle name="Berechnung 2 4 2 51" xfId="24304" xr:uid="{5FE73F51-9865-4962-9EF1-BA49E37D1140}"/>
    <cellStyle name="Berechnung 2 4 2 52" xfId="25790" xr:uid="{74AF3432-CE89-4E66-A5D2-2A13278BDA4F}"/>
    <cellStyle name="Berechnung 2 4 2 53" xfId="25187" xr:uid="{0D11921F-38D6-46C8-8BDA-EB3477CEF46D}"/>
    <cellStyle name="Berechnung 2 4 2 54" xfId="26702" xr:uid="{5FA459A5-4FE4-4429-9B08-5056DFCAB88D}"/>
    <cellStyle name="Berechnung 2 4 2 55" xfId="27078" xr:uid="{DD05AEA7-5BCE-4010-ACE5-5EDB1F4D044B}"/>
    <cellStyle name="Berechnung 2 4 2 56" xfId="27497" xr:uid="{ED26EA61-C094-42AC-9BCE-FB2F8B339B7C}"/>
    <cellStyle name="Berechnung 2 4 2 57" xfId="27206" xr:uid="{9656DF24-C619-4B59-A315-934FF43A7054}"/>
    <cellStyle name="Berechnung 2 4 2 58" xfId="28624" xr:uid="{5F5ED414-F8CA-4B66-8A17-D9FF6B4A74BE}"/>
    <cellStyle name="Berechnung 2 4 2 59" xfId="29091" xr:uid="{1B373773-01BA-4B5E-8C28-1D1EDAFC1B99}"/>
    <cellStyle name="Berechnung 2 4 2 6" xfId="3627" xr:uid="{3F938D96-31D8-4FD9-BB8D-605C717007D3}"/>
    <cellStyle name="Berechnung 2 4 2 60" xfId="27896" xr:uid="{1A75CEF0-B27D-47AD-844E-10D963684524}"/>
    <cellStyle name="Berechnung 2 4 2 61" xfId="29880" xr:uid="{308DAA93-A7CD-49A8-AE69-BF8B1D988477}"/>
    <cellStyle name="Berechnung 2 4 2 62" xfId="30286" xr:uid="{71FA6314-23BF-491A-A608-713CEB4D6BAB}"/>
    <cellStyle name="Berechnung 2 4 2 63" xfId="30703" xr:uid="{AFD7FDD3-D949-4754-9081-1A512EFC3B14}"/>
    <cellStyle name="Berechnung 2 4 2 64" xfId="30921" xr:uid="{6C5AE437-7854-4E9B-96FB-D7D5B51AE6F8}"/>
    <cellStyle name="Berechnung 2 4 2 65" xfId="31319" xr:uid="{6123AA8B-A549-452C-9568-4A420AEA07A4}"/>
    <cellStyle name="Berechnung 2 4 2 66" xfId="32010" xr:uid="{7126A07E-9C92-42E8-B4C5-B7F2F370B9CE}"/>
    <cellStyle name="Berechnung 2 4 2 67" xfId="32161" xr:uid="{C339579B-0641-4342-BA63-ADD4759BD6F7}"/>
    <cellStyle name="Berechnung 2 4 2 7" xfId="4102" xr:uid="{3812D842-0964-4054-8A97-E9B417FDF5B2}"/>
    <cellStyle name="Berechnung 2 4 2 8" xfId="4539" xr:uid="{10A531E1-367C-4F09-B1A8-2D24220E1D80}"/>
    <cellStyle name="Berechnung 2 4 2 9" xfId="4814" xr:uid="{B2B6E689-22B1-480A-A3B3-0AED963D7B61}"/>
    <cellStyle name="Berechnung 2 4 20" xfId="9247" xr:uid="{A7B2D472-FBE4-4E38-8A28-0A145D26A515}"/>
    <cellStyle name="Berechnung 2 4 21" xfId="10271" xr:uid="{F7C59FE0-7C67-4E9D-B8FD-B6620E5D364B}"/>
    <cellStyle name="Berechnung 2 4 22" xfId="10755" xr:uid="{696B51F1-1950-4A68-B2E1-FE2AF26E857D}"/>
    <cellStyle name="Berechnung 2 4 23" xfId="11039" xr:uid="{FD467E40-83FF-4FD7-AD6C-03E0B93ED291}"/>
    <cellStyle name="Berechnung 2 4 24" xfId="11922" xr:uid="{9B8569AF-A55F-4D58-9D42-811697FF3773}"/>
    <cellStyle name="Berechnung 2 4 25" xfId="12395" xr:uid="{6AA583BD-2EEF-4681-9FF3-6F0BA39799A7}"/>
    <cellStyle name="Berechnung 2 4 26" xfId="12829" xr:uid="{E886611D-C68A-4EFA-899C-E4ECC5CAA41D}"/>
    <cellStyle name="Berechnung 2 4 27" xfId="13266" xr:uid="{19BCCB96-6CDD-40D7-B2B1-6C0ACCEB66F3}"/>
    <cellStyle name="Berechnung 2 4 28" xfId="13710" xr:uid="{D74EFE96-B6BB-4219-9F0D-23EE01E96E8D}"/>
    <cellStyle name="Berechnung 2 4 29" xfId="13207" xr:uid="{53EBF0BA-4467-427C-9498-4F0F1007E539}"/>
    <cellStyle name="Berechnung 2 4 3" xfId="1052" xr:uid="{65DBEF45-526E-4721-9EAE-8D29AA19B60A}"/>
    <cellStyle name="Berechnung 2 4 30" xfId="12721" xr:uid="{FE69454A-9794-4C73-BBBC-AB9AA0141825}"/>
    <cellStyle name="Berechnung 2 4 31" xfId="14953" xr:uid="{05C443E7-2BFA-463C-B969-9677BF324EEB}"/>
    <cellStyle name="Berechnung 2 4 32" xfId="15742" xr:uid="{7886E870-313D-403F-88DD-57C691ED4834}"/>
    <cellStyle name="Berechnung 2 4 33" xfId="15627" xr:uid="{AC603720-2964-461D-999A-F413434E5D81}"/>
    <cellStyle name="Berechnung 2 4 34" xfId="16614" xr:uid="{36EC60A3-6491-46F3-B280-A1D810B219B7}"/>
    <cellStyle name="Berechnung 2 4 35" xfId="16357" xr:uid="{847274C8-99DE-4595-B741-6B975C200AAE}"/>
    <cellStyle name="Berechnung 2 4 36" xfId="17394" xr:uid="{3894F57E-60F2-4451-B3B0-048643E5C547}"/>
    <cellStyle name="Berechnung 2 4 37" xfId="18258" xr:uid="{D5D5E5E5-24F9-4009-9836-8720449C8937}"/>
    <cellStyle name="Berechnung 2 4 38" xfId="18432" xr:uid="{6B87A8F9-C42F-476D-9997-555A937322E9}"/>
    <cellStyle name="Berechnung 2 4 39" xfId="19082" xr:uid="{334ECB6C-55E8-4A8E-96C5-7893BFD91819}"/>
    <cellStyle name="Berechnung 2 4 4" xfId="1623" xr:uid="{C523D438-4C6E-4921-A12F-8009EBA5F2E7}"/>
    <cellStyle name="Berechnung 2 4 40" xfId="19210" xr:uid="{53570B6C-2EB7-4C04-BEB7-73AE7DD778DB}"/>
    <cellStyle name="Berechnung 2 4 41" xfId="19951" xr:uid="{FE893709-5B69-45C1-BB86-BC878ACA8561}"/>
    <cellStyle name="Berechnung 2 4 42" xfId="19690" xr:uid="{804EA0A6-A0D9-4299-8F22-54D217812998}"/>
    <cellStyle name="Berechnung 2 4 43" xfId="20423" xr:uid="{6913DDCA-CE78-4933-975D-154892BC8E86}"/>
    <cellStyle name="Berechnung 2 4 44" xfId="21364" xr:uid="{C7F8ECA2-C482-4FFA-96F5-E97DB8F2448F}"/>
    <cellStyle name="Berechnung 2 4 45" xfId="21571" xr:uid="{39207DE2-BBF8-46B2-B545-93886B4E338B}"/>
    <cellStyle name="Berechnung 2 4 46" xfId="21568" xr:uid="{FEFBFFBD-94A4-4C02-B722-37178ECA8B58}"/>
    <cellStyle name="Berechnung 2 4 47" xfId="22706" xr:uid="{99C8AE49-98F5-40D1-A6C6-E6A7913E0A41}"/>
    <cellStyle name="Berechnung 2 4 48" xfId="23360" xr:uid="{ABC3163F-8E7F-465C-B165-6C09EE171452}"/>
    <cellStyle name="Berechnung 2 4 49" xfId="23615" xr:uid="{0A4A6D74-C505-44DF-82BB-B87F9EF52F81}"/>
    <cellStyle name="Berechnung 2 4 5" xfId="2391" xr:uid="{6BF43F34-1087-456F-945B-7DB9EE61977A}"/>
    <cellStyle name="Berechnung 2 4 50" xfId="23760" xr:uid="{5972278E-2CCD-4A19-A57A-589549085024}"/>
    <cellStyle name="Berechnung 2 4 51" xfId="24659" xr:uid="{7CDA187E-57BA-4BD8-BE18-76297F67B3EF}"/>
    <cellStyle name="Berechnung 2 4 52" xfId="24535" xr:uid="{D13A31F0-DC3C-4A17-BBE9-B2C77474B22F}"/>
    <cellStyle name="Berechnung 2 4 53" xfId="25577" xr:uid="{810181E7-4A4A-414A-BB96-7F1AAAD4B905}"/>
    <cellStyle name="Berechnung 2 4 54" xfId="25305" xr:uid="{E6CE6343-FDBC-45A4-B776-B6B56AD6DDF2}"/>
    <cellStyle name="Berechnung 2 4 55" xfId="26174" xr:uid="{D0BE762D-BF9D-4C7A-8A53-40C64C5392F7}"/>
    <cellStyle name="Berechnung 2 4 56" xfId="26867" xr:uid="{3EE646E3-AD35-4742-AD86-DBD102E8B1A7}"/>
    <cellStyle name="Berechnung 2 4 57" xfId="27286" xr:uid="{32767128-4F8F-470F-B47C-6345171CB852}"/>
    <cellStyle name="Berechnung 2 4 58" xfId="27671" xr:uid="{80D06507-A31D-4E17-843A-30644AE4490C}"/>
    <cellStyle name="Berechnung 2 4 59" xfId="28409" xr:uid="{45084618-D983-4680-9850-A93EF39FE911}"/>
    <cellStyle name="Berechnung 2 4 6" xfId="2875" xr:uid="{4C455730-4D5A-4AE3-96D7-73BAFC67ACB7}"/>
    <cellStyle name="Berechnung 2 4 60" xfId="28877" xr:uid="{5F739B93-2D48-483D-9169-4D3D61B8E253}"/>
    <cellStyle name="Berechnung 2 4 61" xfId="28778" xr:uid="{F253C21B-E3A0-467D-82CA-5059F8948F2F}"/>
    <cellStyle name="Berechnung 2 4 62" xfId="29667" xr:uid="{597CDC4B-DAAA-4929-91D5-E88294BEB573}"/>
    <cellStyle name="Berechnung 2 4 63" xfId="30075" xr:uid="{A6070E2B-751B-4EB4-9656-A0DED117364E}"/>
    <cellStyle name="Berechnung 2 4 64" xfId="30489" xr:uid="{5C7A4064-D971-4E63-85E5-7EFF889DC39C}"/>
    <cellStyle name="Berechnung 2 4 65" xfId="30917" xr:uid="{03F5DDCD-4783-40B7-9DBF-257D068A74D1}"/>
    <cellStyle name="Berechnung 2 4 66" xfId="31113" xr:uid="{8E1A9B4B-F403-4130-AAD3-AB55134E754B}"/>
    <cellStyle name="Berechnung 2 4 67" xfId="31799" xr:uid="{CC860460-A088-4370-A8C3-0890153F9372}"/>
    <cellStyle name="Berechnung 2 4 68" xfId="32284" xr:uid="{91C4E85B-1C0C-4D19-9583-FC441FEE3E38}"/>
    <cellStyle name="Berechnung 2 4 7" xfId="3710" xr:uid="{CC819FE3-8368-43EC-AB11-4D8AE56C7159}"/>
    <cellStyle name="Berechnung 2 4 8" xfId="3887" xr:uid="{AD227AC6-5077-45DB-ACE5-F1327BEA6821}"/>
    <cellStyle name="Berechnung 2 4 9" xfId="4325" xr:uid="{5BD25815-6715-4E82-8410-2EDFAB99D640}"/>
    <cellStyle name="Berechnung 2 40" xfId="24543" xr:uid="{8C6CA147-1B7D-47F4-B925-CAA6BC9E9F7B}"/>
    <cellStyle name="Berechnung 2 41" xfId="24478" xr:uid="{0E74AA40-E7A6-4F56-B7A7-BC8881F0137D}"/>
    <cellStyle name="Berechnung 2 42" xfId="25962" xr:uid="{07BAF1A0-75B8-4CC2-A62B-03678CAE9A0B}"/>
    <cellStyle name="Berechnung 2 43" xfId="26164" xr:uid="{4AAA9F98-E08A-4784-B96D-500070B47A22}"/>
    <cellStyle name="Berechnung 2 44" xfId="26462" xr:uid="{80FA3724-D00A-4B34-961D-5DDE81D9320E}"/>
    <cellStyle name="Berechnung 2 45" xfId="26165" xr:uid="{351D31E6-5AB6-41C1-A0DC-1F0720DD774B}"/>
    <cellStyle name="Berechnung 2 46" xfId="28249" xr:uid="{E4230BEA-A9DA-47F8-AD69-2597C132E0AD}"/>
    <cellStyle name="Berechnung 2 47" xfId="27981" xr:uid="{78FB5871-D3FF-4ECF-AD03-4AE662A22AA9}"/>
    <cellStyle name="Berechnung 2 48" xfId="28008" xr:uid="{41160E8B-BFAD-41B9-99DA-E85874448336}"/>
    <cellStyle name="Berechnung 2 49" xfId="29287" xr:uid="{F70ABCA1-AC7F-4582-A7EE-57C86F520D6E}"/>
    <cellStyle name="Berechnung 2 5" xfId="706" xr:uid="{50A91F01-78A2-4962-9510-0CD73E73B1CA}"/>
    <cellStyle name="Berechnung 2 5 10" xfId="5354" xr:uid="{233D89BF-3EAB-457C-A986-62375DC69EBE}"/>
    <cellStyle name="Berechnung 2 5 11" xfId="5934" xr:uid="{46A9BFF8-8141-43F8-ADB0-41E06F175118}"/>
    <cellStyle name="Berechnung 2 5 12" xfId="5678" xr:uid="{312C809A-D441-42D5-B0F7-4D1DAF7E9A66}"/>
    <cellStyle name="Berechnung 2 5 13" xfId="6146" xr:uid="{864B209F-E8D9-4D49-AAF1-4134C4E490D3}"/>
    <cellStyle name="Berechnung 2 5 14" xfId="7426" xr:uid="{AF858DB4-6E15-49DC-A9EF-465D990A340F}"/>
    <cellStyle name="Berechnung 2 5 15" xfId="6916" xr:uid="{A31CB017-ED4C-49FA-9CEA-DEC8FD6AE1B7}"/>
    <cellStyle name="Berechnung 2 5 16" xfId="8603" xr:uid="{2FAA0103-BB95-4DB7-9A66-A20E4C0148C1}"/>
    <cellStyle name="Berechnung 2 5 17" xfId="7934" xr:uid="{E2BDA536-FD15-445B-BED7-50F73C5BA26B}"/>
    <cellStyle name="Berechnung 2 5 18" xfId="9640" xr:uid="{A2180C44-7966-4A7B-A7A0-2C1DABBB5DC5}"/>
    <cellStyle name="Berechnung 2 5 19" xfId="9129" xr:uid="{5A37DD38-449E-49D5-9694-76B7E5D35EE2}"/>
    <cellStyle name="Berechnung 2 5 2" xfId="1180" xr:uid="{73D726A5-3BA7-418B-91C7-E5CA9B88F858}"/>
    <cellStyle name="Berechnung 2 5 20" xfId="9053" xr:uid="{28626E44-967D-4A37-BE19-C0DA7E63AA91}"/>
    <cellStyle name="Berechnung 2 5 21" xfId="9986" xr:uid="{008A5DD6-20AC-4AC9-990D-35948281089F}"/>
    <cellStyle name="Berechnung 2 5 22" xfId="10827" xr:uid="{1E4E86C0-38C4-4956-B15B-AC68CE76736B}"/>
    <cellStyle name="Berechnung 2 5 23" xfId="12059" xr:uid="{AD3A0D9E-5A41-4074-954E-B43FA5628DDC}"/>
    <cellStyle name="Berechnung 2 5 24" xfId="12532" xr:uid="{DD452574-4CAA-472A-88BC-7D03F6BD6580}"/>
    <cellStyle name="Berechnung 2 5 25" xfId="12966" xr:uid="{919CD6D6-E703-4C8E-B2E2-37A38F125FDA}"/>
    <cellStyle name="Berechnung 2 5 26" xfId="13403" xr:uid="{7A54A58E-F232-4F82-A4EC-3AE5B79A7213}"/>
    <cellStyle name="Berechnung 2 5 27" xfId="11387" xr:uid="{0AD0F6E7-58CB-4BA8-AACA-2E700795AC8B}"/>
    <cellStyle name="Berechnung 2 5 28" xfId="14257" xr:uid="{EFF91759-F9A6-4A30-A4C6-81ACFBFD6FCC}"/>
    <cellStyle name="Berechnung 2 5 29" xfId="14093" xr:uid="{CF57A23C-20FA-4DDF-99D5-A950891247AF}"/>
    <cellStyle name="Berechnung 2 5 3" xfId="1368" xr:uid="{B316B70C-B2D7-4742-BFE9-92480501AD57}"/>
    <cellStyle name="Berechnung 2 5 30" xfId="15119" xr:uid="{9FD73396-4188-4045-8AFA-A922A21DB788}"/>
    <cellStyle name="Berechnung 2 5 31" xfId="15559" xr:uid="{E3D7885F-D898-47B1-AB68-4390DCAF61F4}"/>
    <cellStyle name="Berechnung 2 5 32" xfId="15225" xr:uid="{8AD82CEF-AF0C-4FA5-875F-F511E00E5598}"/>
    <cellStyle name="Berechnung 2 5 33" xfId="16751" xr:uid="{44A1F58A-EFF1-4AF0-903E-1D09D50440C5}"/>
    <cellStyle name="Berechnung 2 5 34" xfId="16233" xr:uid="{F4A59035-1D7B-48D8-A16B-9C19F6846C02}"/>
    <cellStyle name="Berechnung 2 5 35" xfId="16264" xr:uid="{7A8F9BAB-972E-460C-A4A3-7C788B0C151A}"/>
    <cellStyle name="Berechnung 2 5 36" xfId="17913" xr:uid="{E427723E-0883-4ADB-B721-FFDB5DB65801}"/>
    <cellStyle name="Berechnung 2 5 37" xfId="18569" xr:uid="{E08F4264-F43C-4470-A8CA-7B3AD943A167}"/>
    <cellStyle name="Berechnung 2 5 38" xfId="17936" xr:uid="{08A3FEA2-15EE-404F-B1F8-BFC06B4741BE}"/>
    <cellStyle name="Berechnung 2 5 39" xfId="17912" xr:uid="{5AAD515A-330B-4393-AC8C-EFBDDDDACCEE}"/>
    <cellStyle name="Berechnung 2 5 4" xfId="2528" xr:uid="{BDE29DE5-8954-4C72-8601-CF987FFB8BF2}"/>
    <cellStyle name="Berechnung 2 5 40" xfId="20088" xr:uid="{7823D5A1-510E-4468-81D3-F03DC9139870}"/>
    <cellStyle name="Berechnung 2 5 41" xfId="19566" xr:uid="{B77E1F62-B873-478B-A494-E5B56FEB2711}"/>
    <cellStyle name="Berechnung 2 5 42" xfId="19637" xr:uid="{82CE004C-B88B-4030-8C15-B3C3208BEAFE}"/>
    <cellStyle name="Berechnung 2 5 43" xfId="21249" xr:uid="{E7F08D3B-B5EE-4A40-A6A9-99FEB3537FF5}"/>
    <cellStyle name="Berechnung 2 5 44" xfId="21629" xr:uid="{F8B9C68F-6C73-4973-819C-2A666CDA6113}"/>
    <cellStyle name="Berechnung 2 5 45" xfId="21378" xr:uid="{581719EB-BB02-459B-99A9-42BDAE6A3B5D}"/>
    <cellStyle name="Berechnung 2 5 46" xfId="20480" xr:uid="{1D953099-11BA-4B65-B4DB-E46E50C2CFA0}"/>
    <cellStyle name="Berechnung 2 5 47" xfId="22925" xr:uid="{4718B8D3-EAA3-45B1-9C5B-6BD2D24D671B}"/>
    <cellStyle name="Berechnung 2 5 48" xfId="22514" xr:uid="{28AB75EA-2BF1-4ADD-B2C3-9F74C0802A98}"/>
    <cellStyle name="Berechnung 2 5 49" xfId="23888" xr:uid="{A64314A5-410D-49BB-A6AC-03A225D7C0A9}"/>
    <cellStyle name="Berechnung 2 5 5" xfId="1977" xr:uid="{64B517B7-D2A2-4225-AD18-0A9794718E35}"/>
    <cellStyle name="Berechnung 2 5 50" xfId="24796" xr:uid="{B8CA6515-B07D-41C1-9C23-78B73D640CBC}"/>
    <cellStyle name="Berechnung 2 5 51" xfId="24287" xr:uid="{473657A5-5F3E-462C-9D11-A62E788429BF}"/>
    <cellStyle name="Berechnung 2 5 52" xfId="25712" xr:uid="{91EC6FD2-C597-4953-8C58-48DABF24E51F}"/>
    <cellStyle name="Berechnung 2 5 53" xfId="25008" xr:uid="{5655354B-8FC3-42A9-86D1-20AC8A5A9402}"/>
    <cellStyle name="Berechnung 2 5 54" xfId="26719" xr:uid="{55EDD6D3-218B-44F1-AB2B-B621A33512AD}"/>
    <cellStyle name="Berechnung 2 5 55" xfId="27000" xr:uid="{76496681-02F1-4BE1-A774-A07B416FC821}"/>
    <cellStyle name="Berechnung 2 5 56" xfId="27419" xr:uid="{7C388898-EC53-45BE-B70C-1187BE900854}"/>
    <cellStyle name="Berechnung 2 5 57" xfId="27660" xr:uid="{7E47C996-4BF4-4023-A712-2165C0F98111}"/>
    <cellStyle name="Berechnung 2 5 58" xfId="28546" xr:uid="{85530D9B-F2D2-4EF1-BE5F-E5C1D8A71BD2}"/>
    <cellStyle name="Berechnung 2 5 59" xfId="29013" xr:uid="{7F838C25-3C6A-4007-8FF7-C058FDAF497F}"/>
    <cellStyle name="Berechnung 2 5 6" xfId="3047" xr:uid="{3799513F-C32C-45B7-861B-5A266DF225D0}"/>
    <cellStyle name="Berechnung 2 5 60" xfId="28350" xr:uid="{B2916D56-F6A4-45A6-BF95-FDE98CFD174D}"/>
    <cellStyle name="Berechnung 2 5 61" xfId="29802" xr:uid="{A0CF5C02-90FD-4D0F-9065-329883030046}"/>
    <cellStyle name="Berechnung 2 5 62" xfId="30208" xr:uid="{9B2B24C6-3D46-4CDC-9BDD-63B5DBCFD02B}"/>
    <cellStyle name="Berechnung 2 5 63" xfId="30625" xr:uid="{3A1AFF54-C5A4-47A9-9B49-3B03B10BC635}"/>
    <cellStyle name="Berechnung 2 5 64" xfId="30864" xr:uid="{2338D5D3-2C16-4DFA-8167-C345DABF8649}"/>
    <cellStyle name="Berechnung 2 5 65" xfId="31241" xr:uid="{B932C64B-768E-4FE4-9266-4A3ED994583D}"/>
    <cellStyle name="Berechnung 2 5 66" xfId="31932" xr:uid="{15350859-45D0-4339-BF2B-0A3F8AD6F1DC}"/>
    <cellStyle name="Berechnung 2 5 67" xfId="32344" xr:uid="{1C67A942-423D-49F8-9121-E7E7E4EEFF10}"/>
    <cellStyle name="Berechnung 2 5 7" xfId="4024" xr:uid="{8B2F2380-7C27-46F7-87FC-053E4BBB9B17}"/>
    <cellStyle name="Berechnung 2 5 8" xfId="4461" xr:uid="{BE4CA050-5687-4085-A186-736AAC4BBEB3}"/>
    <cellStyle name="Berechnung 2 5 9" xfId="5044" xr:uid="{A908A5DA-D5E6-41B0-9DC5-54772CAAF917}"/>
    <cellStyle name="Berechnung 2 50" xfId="30995" xr:uid="{6B9B4246-A520-41D9-AA94-6C38F42F1626}"/>
    <cellStyle name="Berechnung 2 51" xfId="29244" xr:uid="{E40DD193-87CD-4D52-8116-207926CF7FB9}"/>
    <cellStyle name="Berechnung 2 52" xfId="31674" xr:uid="{A3E5F2BB-F7DA-40D6-96B2-CCEEB1B344E5}"/>
    <cellStyle name="Berechnung 2 53" xfId="32339" xr:uid="{DBA846A0-6345-47B4-BB63-5726A56A767B}"/>
    <cellStyle name="Berechnung 2 6" xfId="978" xr:uid="{5A666C2A-DAED-4D1A-B389-D4EC602156F8}"/>
    <cellStyle name="Berechnung 2 7" xfId="2215" xr:uid="{65843D1D-A47A-478B-995D-E2A88A066C36}"/>
    <cellStyle name="Berechnung 2 8" xfId="3034" xr:uid="{8C4A3712-A2F5-4EC2-81C6-ABCB652FA9EE}"/>
    <cellStyle name="Berechnung 2 9" xfId="3619" xr:uid="{DF3D1674-2F79-4094-B91E-0850B9C1E9E6}"/>
    <cellStyle name="Berechnung 3" xfId="272" xr:uid="{2DCEF2AD-BFA2-483A-B01C-3D916A1E5870}"/>
    <cellStyle name="Berechnung 3 10" xfId="3546" xr:uid="{0A9CE81F-7CBD-4EDA-B2CD-69EC52B3B3E7}"/>
    <cellStyle name="Berechnung 3 11" xfId="2798" xr:uid="{B8381031-4E81-4E73-BBDB-C202D13FD117}"/>
    <cellStyle name="Berechnung 3 12" xfId="3721" xr:uid="{F9A5B05B-A57C-4004-B0C4-F95BEEFE85A7}"/>
    <cellStyle name="Berechnung 3 13" xfId="4943" xr:uid="{2BE18E7D-B3E1-41DE-A05E-93874EB8263F}"/>
    <cellStyle name="Berechnung 3 14" xfId="6690" xr:uid="{8850FCCA-20E8-40CE-86C6-173FF62DF365}"/>
    <cellStyle name="Berechnung 3 15" xfId="7002" xr:uid="{8EEEFE93-19DE-4D4A-970E-BC49503AAC21}"/>
    <cellStyle name="Berechnung 3 16" xfId="7131" xr:uid="{CF3ADBAB-9A46-4BB7-B51E-B2F6A0081C00}"/>
    <cellStyle name="Berechnung 3 17" xfId="8625" xr:uid="{E3B7E5CA-C5F0-4292-B764-030E8BE96B94}"/>
    <cellStyle name="Berechnung 3 18" xfId="8628" xr:uid="{55302BB9-C766-4A81-A77D-CA0B52E7E1CE}"/>
    <cellStyle name="Berechnung 3 19" xfId="9216" xr:uid="{02FF68E7-B8D2-4BA1-A5F4-D5634B7C5FD5}"/>
    <cellStyle name="Berechnung 3 2" xfId="611" xr:uid="{55E93862-58E0-4505-A481-6298BC58A9FF}"/>
    <cellStyle name="Berechnung 3 2 10" xfId="4979" xr:uid="{54823E94-FEEF-4057-8426-272DDA16D5C8}"/>
    <cellStyle name="Berechnung 3 2 11" xfId="5259" xr:uid="{53708524-EA3F-48CF-95EE-BB7B800F8A2B}"/>
    <cellStyle name="Berechnung 3 2 12" xfId="5776" xr:uid="{5766FAB4-219B-4D78-9330-EAE4BBA5A89C}"/>
    <cellStyle name="Berechnung 3 2 13" xfId="5617" xr:uid="{2F83BEF8-B123-4B16-B71F-3CF4EC6CFD2D}"/>
    <cellStyle name="Berechnung 3 2 14" xfId="6597" xr:uid="{4FA1F3A2-37C7-4C20-B28C-55D8D95B3603}"/>
    <cellStyle name="Berechnung 3 2 15" xfId="7331" xr:uid="{50A700A9-C0C7-4D54-9C5B-71BC23AD655D}"/>
    <cellStyle name="Berechnung 3 2 16" xfId="6975" xr:uid="{DB7A635C-2C26-443D-BA4B-4B93384FB159}"/>
    <cellStyle name="Berechnung 3 2 17" xfId="8019" xr:uid="{A1E18C51-7A95-41BA-800B-BC21E5C9BD68}"/>
    <cellStyle name="Berechnung 3 2 18" xfId="8862" xr:uid="{5987D8FF-6552-47C7-8FAB-C2CBD1EAD8C6}"/>
    <cellStyle name="Berechnung 3 2 19" xfId="9545" xr:uid="{E7ABF40E-0C89-4C2A-B7FF-869577B3DAD2}"/>
    <cellStyle name="Berechnung 3 2 2" xfId="826" xr:uid="{9E5C2D6F-401B-464D-8901-2CEDFD95405E}"/>
    <cellStyle name="Berechnung 3 2 2 10" xfId="5474" xr:uid="{DE7FB0B1-E610-457C-A966-53C4CB05ECA5}"/>
    <cellStyle name="Berechnung 3 2 2 11" xfId="2047" xr:uid="{6CC02224-BE19-4652-9463-84694951A11E}"/>
    <cellStyle name="Berechnung 3 2 2 12" xfId="5107" xr:uid="{9A70A092-E7DE-4297-A1E5-0E0BCABDC527}"/>
    <cellStyle name="Berechnung 3 2 2 13" xfId="6285" xr:uid="{4BB14AD8-27E7-4E6E-AFDF-02BE8B2B2359}"/>
    <cellStyle name="Berechnung 3 2 2 14" xfId="7546" xr:uid="{F764D1B8-A885-4072-9DA4-0E1C2FD8E556}"/>
    <cellStyle name="Berechnung 3 2 2 15" xfId="7109" xr:uid="{55A17CA7-BD69-44F7-B5F6-AAE358BD08A0}"/>
    <cellStyle name="Berechnung 3 2 2 16" xfId="6830" xr:uid="{E0EB2839-8844-4A07-87D1-BDEB164F91C8}"/>
    <cellStyle name="Berechnung 3 2 2 17" xfId="8898" xr:uid="{CF064098-C0D8-4844-A8FE-056BDE0CB8E7}"/>
    <cellStyle name="Berechnung 3 2 2 18" xfId="9760" xr:uid="{8CE5635E-6BEE-4DAA-9C58-8DA0928E3833}"/>
    <cellStyle name="Berechnung 3 2 2 19" xfId="9195" xr:uid="{47A0A5B0-17F5-4DAC-9660-85FACB12D467}"/>
    <cellStyle name="Berechnung 3 2 2 2" xfId="1300" xr:uid="{94447EBB-7AFD-4211-BA6B-6DB1686A621D}"/>
    <cellStyle name="Berechnung 3 2 2 20" xfId="9325" xr:uid="{B3E2FBF5-97AD-4F94-AE1C-7A4D99BA5160}"/>
    <cellStyle name="Berechnung 3 2 2 21" xfId="9314" xr:uid="{18C3C1C6-87E8-4202-B80E-EDAA7D99731D}"/>
    <cellStyle name="Berechnung 3 2 2 22" xfId="10871" xr:uid="{DFFE7A1C-00C1-44EA-84E1-E9E1F47559AD}"/>
    <cellStyle name="Berechnung 3 2 2 23" xfId="12179" xr:uid="{BFAF8102-E73D-41E1-8C68-C0B3D879BE9A}"/>
    <cellStyle name="Berechnung 3 2 2 24" xfId="12652" xr:uid="{AF3FE886-EE45-4DBC-A5E3-DE647FA06B54}"/>
    <cellStyle name="Berechnung 3 2 2 25" xfId="13086" xr:uid="{275150AA-E102-4F50-9262-FC7F22B28F79}"/>
    <cellStyle name="Berechnung 3 2 2 26" xfId="13523" xr:uid="{92A9CF90-9DBA-4FE7-B5CC-B4F8CF55C7E2}"/>
    <cellStyle name="Berechnung 3 2 2 27" xfId="11731" xr:uid="{77E0E301-252E-48E9-8F6E-6F8C15BDC821}"/>
    <cellStyle name="Berechnung 3 2 2 28" xfId="12309" xr:uid="{F40D127F-6358-4158-99FF-9149B553DE70}"/>
    <cellStyle name="Berechnung 3 2 2 29" xfId="12317" xr:uid="{3599394A-FB9E-4028-A149-D2CA0191F3C3}"/>
    <cellStyle name="Berechnung 3 2 2 3" xfId="1555" xr:uid="{17D1DF98-F3C6-4E4A-AB3E-E4DE8815102D}"/>
    <cellStyle name="Berechnung 3 2 2 30" xfId="15019" xr:uid="{F0B78727-DE4A-40B6-9687-8EEB293EEC37}"/>
    <cellStyle name="Berechnung 3 2 2 31" xfId="15666" xr:uid="{755D199F-1AC5-4326-BE96-D6F4309261B6}"/>
    <cellStyle name="Berechnung 3 2 2 32" xfId="14861" xr:uid="{A05F2280-B7BC-49AD-A6CA-9C864FEB68A2}"/>
    <cellStyle name="Berechnung 3 2 2 33" xfId="16871" xr:uid="{EFB61E12-CB7F-40FE-B09E-523556E7EB57}"/>
    <cellStyle name="Berechnung 3 2 2 34" xfId="16431" xr:uid="{6719E1EE-56B0-4FE7-9529-44470C665DB3}"/>
    <cellStyle name="Berechnung 3 2 2 35" xfId="16450" xr:uid="{F507EF1E-2C02-4FB3-BA30-15266EDE356B}"/>
    <cellStyle name="Berechnung 3 2 2 36" xfId="17298" xr:uid="{4D85866A-B677-4F9B-B3E6-B524DB14ED5D}"/>
    <cellStyle name="Berechnung 3 2 2 37" xfId="18689" xr:uid="{F14AC921-162C-4811-BF78-76388B4182C8}"/>
    <cellStyle name="Berechnung 3 2 2 38" xfId="17814" xr:uid="{6212BD27-A1B6-422C-B55B-152A6B9AFA48}"/>
    <cellStyle name="Berechnung 3 2 2 39" xfId="19077" xr:uid="{CBD73CE1-16EC-4CC0-AE16-67295B96EC52}"/>
    <cellStyle name="Berechnung 3 2 2 4" xfId="2648" xr:uid="{349134FC-BAD4-408D-A271-430C4AD54ABB}"/>
    <cellStyle name="Berechnung 3 2 2 40" xfId="20208" xr:uid="{33C189A6-A741-4AF5-8EBE-1D2AB4E373F2}"/>
    <cellStyle name="Berechnung 3 2 2 41" xfId="19763" xr:uid="{32691DB1-6190-4E91-9323-9D7520C44203}"/>
    <cellStyle name="Berechnung 3 2 2 42" xfId="19839" xr:uid="{25C6E1A8-5D4E-458C-9AA0-0DD158D5292F}"/>
    <cellStyle name="Berechnung 3 2 2 43" xfId="21415" xr:uid="{C55A22B4-FC86-4DA0-9A51-EAC6205322C0}"/>
    <cellStyle name="Berechnung 3 2 2 44" xfId="19539" xr:uid="{CF028D82-CE9A-4FB3-8E60-21EAFBB1B452}"/>
    <cellStyle name="Berechnung 3 2 2 45" xfId="20851" xr:uid="{A75206A8-A416-411F-ACC1-7A549B2950EA}"/>
    <cellStyle name="Berechnung 3 2 2 46" xfId="21202" xr:uid="{0137D445-3696-4457-B75C-5BDDD2960E1D}"/>
    <cellStyle name="Berechnung 3 2 2 47" xfId="22400" xr:uid="{33080886-9DC6-46B9-A1A4-26A2F0BF5208}"/>
    <cellStyle name="Berechnung 3 2 2 48" xfId="22413" xr:uid="{BF0AF993-930E-4EF3-89CF-3E66CF32A33E}"/>
    <cellStyle name="Berechnung 3 2 2 49" xfId="24008" xr:uid="{9BD58D7A-203A-480E-9617-5A6943FC861E}"/>
    <cellStyle name="Berechnung 3 2 2 5" xfId="2031" xr:uid="{FBFB1C46-C1F9-421F-AA3C-5F5B4B413E31}"/>
    <cellStyle name="Berechnung 3 2 2 50" xfId="24916" xr:uid="{8B80C622-59F3-4155-892F-EADBC6E1A7D9}"/>
    <cellStyle name="Berechnung 3 2 2 51" xfId="24308" xr:uid="{D785E901-61D3-4F23-9412-9FA41A4EDE0D}"/>
    <cellStyle name="Berechnung 3 2 2 52" xfId="25832" xr:uid="{64F8E570-602A-41EE-8C3B-CBE7CE61BA27}"/>
    <cellStyle name="Berechnung 3 2 2 53" xfId="25266" xr:uid="{075A3CB7-9832-445F-A85E-6A9F5A8057FF}"/>
    <cellStyle name="Berechnung 3 2 2 54" xfId="26405" xr:uid="{3B149A5E-1BA5-4AA1-9120-BFBF1AB9D802}"/>
    <cellStyle name="Berechnung 3 2 2 55" xfId="27120" xr:uid="{1E75B7E1-1581-42E6-9A3E-EB4B2B4D6B7E}"/>
    <cellStyle name="Berechnung 3 2 2 56" xfId="27539" xr:uid="{F08D7098-AED9-4D98-A2EF-EBB7FE61856A}"/>
    <cellStyle name="Berechnung 3 2 2 57" xfId="26788" xr:uid="{BE15A7EF-BB3A-4216-AE64-5A0A76F192F6}"/>
    <cellStyle name="Berechnung 3 2 2 58" xfId="28666" xr:uid="{74E57A30-8B26-40EB-91AD-B36D49FE333D}"/>
    <cellStyle name="Berechnung 3 2 2 59" xfId="29133" xr:uid="{D9014671-C929-403B-8788-50630E963F4F}"/>
    <cellStyle name="Berechnung 3 2 2 6" xfId="3652" xr:uid="{428A2FB3-7811-47D7-A84A-8144BF65E95D}"/>
    <cellStyle name="Berechnung 3 2 2 60" xfId="28320" xr:uid="{53296711-86E0-4155-8F73-67DCB8CF9801}"/>
    <cellStyle name="Berechnung 3 2 2 61" xfId="29922" xr:uid="{95C709B3-D66F-41DB-888D-EA8569BE896C}"/>
    <cellStyle name="Berechnung 3 2 2 62" xfId="30328" xr:uid="{2B4EDB06-72F5-425A-A4EE-E5495004BD21}"/>
    <cellStyle name="Berechnung 3 2 2 63" xfId="30745" xr:uid="{C294F702-37C2-4D53-8F59-D97AC0DB006A}"/>
    <cellStyle name="Berechnung 3 2 2 64" xfId="30884" xr:uid="{A2E996A3-5DCD-4A27-A7B8-DBC017086577}"/>
    <cellStyle name="Berechnung 3 2 2 65" xfId="31361" xr:uid="{5726FE96-6867-4556-9FC0-FFDADA74C75E}"/>
    <cellStyle name="Berechnung 3 2 2 66" xfId="32052" xr:uid="{A96B1BF4-E1C5-4C8F-AD60-CB4AA6674759}"/>
    <cellStyle name="Berechnung 3 2 2 67" xfId="32172" xr:uid="{582142CA-B341-40B3-8598-E931B63C071B}"/>
    <cellStyle name="Berechnung 3 2 2 7" xfId="4144" xr:uid="{BBD95AAB-8A24-40EB-BC75-470B2F2E827A}"/>
    <cellStyle name="Berechnung 3 2 2 8" xfId="4581" xr:uid="{A1F2DB16-5ADC-4B0A-9C2E-564086B14CD5}"/>
    <cellStyle name="Berechnung 3 2 2 9" xfId="2188" xr:uid="{7C6549E3-AFE3-496F-9A50-E3ACBFC3E0E4}"/>
    <cellStyle name="Berechnung 3 2 20" xfId="9316" xr:uid="{DB63810B-D627-4614-B7E1-DDF6CBA4B500}"/>
    <cellStyle name="Berechnung 3 2 21" xfId="9860" xr:uid="{D813DE0D-B736-4952-B789-EBD73BBA1552}"/>
    <cellStyle name="Berechnung 3 2 22" xfId="10767" xr:uid="{9686F80A-F89A-41AD-91EF-6F8BA70C6CB1}"/>
    <cellStyle name="Berechnung 3 2 23" xfId="11107" xr:uid="{79D58825-DA0E-48C3-92C9-E717994E6419}"/>
    <cellStyle name="Berechnung 3 2 24" xfId="11964" xr:uid="{76F23F98-7A4B-44A6-B30C-EB80D7285857}"/>
    <cellStyle name="Berechnung 3 2 25" xfId="12437" xr:uid="{811D1CE2-2C53-419F-A500-007A59941CDC}"/>
    <cellStyle name="Berechnung 3 2 26" xfId="12871" xr:uid="{FE0F9E59-13FD-414F-8213-D0B067E1BF54}"/>
    <cellStyle name="Berechnung 3 2 27" xfId="13308" xr:uid="{3754A2BC-8B10-4B3B-8B57-B86BD2FE8138}"/>
    <cellStyle name="Berechnung 3 2 28" xfId="13754" xr:uid="{0B5DB14B-FDBD-4069-B744-ACF4D625680D}"/>
    <cellStyle name="Berechnung 3 2 29" xfId="14194" xr:uid="{FF3B2A3B-77EE-469F-951B-0FC471894FBB}"/>
    <cellStyle name="Berechnung 3 2 3" xfId="1094" xr:uid="{4621763C-8669-4E44-9AA6-C40678BA2205}"/>
    <cellStyle name="Berechnung 3 2 30" xfId="14823" xr:uid="{6C40974B-ABB1-43B4-89B5-BDA9AB9B160A}"/>
    <cellStyle name="Berechnung 3 2 31" xfId="14469" xr:uid="{4B81923B-0F47-406C-BE70-74168654FE11}"/>
    <cellStyle name="Berechnung 3 2 32" xfId="15381" xr:uid="{492BC5CC-ED65-40A7-8F59-1E2AEA1C36F8}"/>
    <cellStyle name="Berechnung 3 2 33" xfId="15001" xr:uid="{7EF0D8F8-4101-4F19-9B22-2888D68CA531}"/>
    <cellStyle name="Berechnung 3 2 34" xfId="16656" xr:uid="{AD01CCB1-482A-492D-8533-BE60DBC752C2}"/>
    <cellStyle name="Berechnung 3 2 35" xfId="16295" xr:uid="{D18D9B06-F82E-4930-9599-E7C2A8353207}"/>
    <cellStyle name="Berechnung 3 2 36" xfId="16277" xr:uid="{EC980DAE-E863-4998-AB79-D616F69ADDA0}"/>
    <cellStyle name="Berechnung 3 2 37" xfId="17979" xr:uid="{97B40FC0-59AC-434B-9209-7ED75BD1C5A5}"/>
    <cellStyle name="Berechnung 3 2 38" xfId="18474" xr:uid="{748040DD-BEE1-4EF6-A23F-13E177424974}"/>
    <cellStyle name="Berechnung 3 2 39" xfId="18370" xr:uid="{7E76BAF2-B0FC-4F4A-8680-F4D5EC16E807}"/>
    <cellStyle name="Berechnung 3 2 4" xfId="1578" xr:uid="{6E6C6742-9590-4009-893A-2A7DE44FF636}"/>
    <cellStyle name="Berechnung 3 2 40" xfId="19298" xr:uid="{9FE7189A-FD9A-452E-893A-4403CA1DD9E8}"/>
    <cellStyle name="Berechnung 3 2 41" xfId="19993" xr:uid="{0662D544-A230-43C7-A464-E0F00E1DB45C}"/>
    <cellStyle name="Berechnung 3 2 42" xfId="19406" xr:uid="{BC5E5EF2-A0AF-426F-A09C-647F3EAFE523}"/>
    <cellStyle name="Berechnung 3 2 43" xfId="19395" xr:uid="{210AA064-DB20-4B64-BB47-BD6746695C6E}"/>
    <cellStyle name="Berechnung 3 2 44" xfId="21307" xr:uid="{A53CDD0F-B0BC-4427-9B53-922B9E2ADFB6}"/>
    <cellStyle name="Berechnung 3 2 45" xfId="19429" xr:uid="{73316212-5FF9-471B-9A4F-0375305C16EF}"/>
    <cellStyle name="Berechnung 3 2 46" xfId="22019" xr:uid="{DCEE9786-76A2-4CC4-8023-105FDAF20530}"/>
    <cellStyle name="Berechnung 3 2 47" xfId="22749" xr:uid="{46602B3F-234D-4D80-845A-09F4CAC4877C}"/>
    <cellStyle name="Berechnung 3 2 48" xfId="22792" xr:uid="{E6517C2C-452F-420F-B1BF-C8AFDCFAD7C0}"/>
    <cellStyle name="Berechnung 3 2 49" xfId="23614" xr:uid="{FACD509D-464C-496F-BF67-6E4B8A7007B4}"/>
    <cellStyle name="Berechnung 3 2 5" xfId="2433" xr:uid="{0E767EB1-B1FE-4481-956B-96244FEDD48D}"/>
    <cellStyle name="Berechnung 3 2 50" xfId="23802" xr:uid="{6CD2C2B8-0878-4FA1-BF33-79A6016CF2FD}"/>
    <cellStyle name="Berechnung 3 2 51" xfId="24701" xr:uid="{6D30E2F4-DA7A-43E2-8C85-FECAB7C3429F}"/>
    <cellStyle name="Berechnung 3 2 52" xfId="24989" xr:uid="{E687EC9F-050A-4045-B022-38A409CB781A}"/>
    <cellStyle name="Berechnung 3 2 53" xfId="25619" xr:uid="{4B198E66-8F6F-4753-97FB-06EB006B5A2C}"/>
    <cellStyle name="Berechnung 3 2 54" xfId="26052" xr:uid="{88718CE5-C106-42A0-BB0E-7F8C05989D50}"/>
    <cellStyle name="Berechnung 3 2 55" xfId="25937" xr:uid="{B9D63E7D-7124-44D9-8EBB-68507193D88E}"/>
    <cellStyle name="Berechnung 3 2 56" xfId="26909" xr:uid="{E6F3CF7E-3556-4D7D-B472-F114AF03255B}"/>
    <cellStyle name="Berechnung 3 2 57" xfId="27328" xr:uid="{E0EFDA2E-86C0-4D55-B219-7EA4994D7CBC}"/>
    <cellStyle name="Berechnung 3 2 58" xfId="27711" xr:uid="{2E4437E7-948F-45AA-99B7-CB72F92BA56A}"/>
    <cellStyle name="Berechnung 3 2 59" xfId="28451" xr:uid="{1B5E7946-3E99-415C-AAAF-87702255108B}"/>
    <cellStyle name="Berechnung 3 2 6" xfId="2920" xr:uid="{ED3B8B27-0141-4B4D-9D6B-17D575239404}"/>
    <cellStyle name="Berechnung 3 2 60" xfId="28919" xr:uid="{0C2403FF-ED49-4B41-BA39-B6F02D128E6A}"/>
    <cellStyle name="Berechnung 3 2 61" xfId="28211" xr:uid="{DA439EF2-E8E5-451C-9019-C93C69F9701E}"/>
    <cellStyle name="Berechnung 3 2 62" xfId="29709" xr:uid="{502C4F8A-5782-4E67-A555-69A2281B976D}"/>
    <cellStyle name="Berechnung 3 2 63" xfId="30117" xr:uid="{2301267A-84D6-458C-AF7B-9F17870C49A2}"/>
    <cellStyle name="Berechnung 3 2 64" xfId="30531" xr:uid="{0B7A8A23-7706-4DC0-8AEB-DF10997DE32C}"/>
    <cellStyle name="Berechnung 3 2 65" xfId="29539" xr:uid="{ED60FA33-8A04-4F31-B9F9-A78A316B90CA}"/>
    <cellStyle name="Berechnung 3 2 66" xfId="31155" xr:uid="{699E8F42-7683-458E-9F58-42CC8AA001BD}"/>
    <cellStyle name="Berechnung 3 2 67" xfId="31841" xr:uid="{4C93A99D-24CA-4630-AF5F-657FA9C9A330}"/>
    <cellStyle name="Berechnung 3 2 68" xfId="32154" xr:uid="{6CD4CA52-5D12-4E46-9AF4-90BD7958DAF6}"/>
    <cellStyle name="Berechnung 3 2 7" xfId="3139" xr:uid="{BFA07039-E9E8-40B6-BD1B-441996C4AC1E}"/>
    <cellStyle name="Berechnung 3 2 8" xfId="3929" xr:uid="{BA583215-1FE1-4ABF-885B-CC971E4AD452}"/>
    <cellStyle name="Berechnung 3 2 9" xfId="4367" xr:uid="{CAE82019-B209-4D26-8069-7A596E4C0010}"/>
    <cellStyle name="Berechnung 3 20" xfId="9344" xr:uid="{FE7F7047-9D4B-4C60-957C-C07C398A666D}"/>
    <cellStyle name="Berechnung 3 21" xfId="11307" xr:uid="{A1E03E84-F3EE-4872-B2C5-5803EC9545FC}"/>
    <cellStyle name="Berechnung 3 22" xfId="11628" xr:uid="{B85A5380-FF6F-4C2A-9380-BBB8839DAB87}"/>
    <cellStyle name="Berechnung 3 23" xfId="12049" xr:uid="{2D6DC2EF-7E91-44C6-8DA4-161EC5624D02}"/>
    <cellStyle name="Berechnung 3 24" xfId="11636" xr:uid="{BD500035-538D-45C0-8FD3-FC24189C858B}"/>
    <cellStyle name="Berechnung 3 25" xfId="11465" xr:uid="{8D8F287D-D9E8-4D08-B08E-5DEAF0C9DF13}"/>
    <cellStyle name="Berechnung 3 26" xfId="11732" xr:uid="{9A7A65D2-A1B9-4912-B563-E3F95AB518B0}"/>
    <cellStyle name="Berechnung 3 27" xfId="14423" xr:uid="{F1BB2FA1-E7CA-4512-9DF7-FDBFD64F5EDA}"/>
    <cellStyle name="Berechnung 3 28" xfId="14983" xr:uid="{0AD41AB3-C211-488F-976A-896F3707EA6A}"/>
    <cellStyle name="Berechnung 3 29" xfId="16323" xr:uid="{B36BE999-B06C-4190-A597-78D52BAC5241}"/>
    <cellStyle name="Berechnung 3 3" xfId="547" xr:uid="{B776F746-ACC5-4854-BE6F-557A6FF621D5}"/>
    <cellStyle name="Berechnung 3 3 10" xfId="4800" xr:uid="{E25AE639-47A6-4112-A266-6D9496675383}"/>
    <cellStyle name="Berechnung 3 3 11" xfId="5195" xr:uid="{75F84347-251F-4D95-8308-C3F5A3BFE9B6}"/>
    <cellStyle name="Berechnung 3 3 12" xfId="3560" xr:uid="{82CFBB17-3E7A-419C-8A22-E94DD6DE3A55}"/>
    <cellStyle name="Berechnung 3 3 13" xfId="6128" xr:uid="{D91D9D67-F5F8-439A-8B21-1A6E66B01EC1}"/>
    <cellStyle name="Berechnung 3 3 14" xfId="6527" xr:uid="{3613C7BA-E783-4658-B551-D41D6E5A2254}"/>
    <cellStyle name="Berechnung 3 3 15" xfId="7267" xr:uid="{4955E68A-BCE3-4B45-966F-AE193582AC72}"/>
    <cellStyle name="Berechnung 3 3 16" xfId="7826" xr:uid="{24B3A430-9883-4D09-83FC-51E60CB86F42}"/>
    <cellStyle name="Berechnung 3 3 17" xfId="8262" xr:uid="{2AD735C5-D511-4EEE-818B-9D90335CD3DC}"/>
    <cellStyle name="Berechnung 3 3 18" xfId="8002" xr:uid="{16799687-FCA1-47DF-AC41-25E00F125324}"/>
    <cellStyle name="Berechnung 3 3 19" xfId="9481" xr:uid="{E1C1D74D-AD60-4208-A1DB-09CCB2183C8E}"/>
    <cellStyle name="Berechnung 3 3 2" xfId="762" xr:uid="{EB9C7A1D-27C8-49DE-ACA9-2B9169EADB3C}"/>
    <cellStyle name="Berechnung 3 3 2 10" xfId="5410" xr:uid="{50A72964-A266-48A3-99A2-6A9D08990E00}"/>
    <cellStyle name="Berechnung 3 3 2 11" xfId="5699" xr:uid="{A54BE201-93B0-4A2E-8C33-262D8F08562D}"/>
    <cellStyle name="Berechnung 3 3 2 12" xfId="5774" xr:uid="{AE419294-681C-47BD-8481-10C9CAF20BE1}"/>
    <cellStyle name="Berechnung 3 3 2 13" xfId="5663" xr:uid="{618DAB0D-5DAA-4E39-AD2A-B28C68D3DB50}"/>
    <cellStyle name="Berechnung 3 3 2 14" xfId="7482" xr:uid="{B88DFB2A-FC91-4722-B2E5-7090310824C3}"/>
    <cellStyle name="Berechnung 3 3 2 15" xfId="6876" xr:uid="{B4665CF0-AA70-415C-ABE8-D5D22DA86D5E}"/>
    <cellStyle name="Berechnung 3 3 2 16" xfId="8083" xr:uid="{5265C18D-2E77-4648-BE14-96DA4F46273D}"/>
    <cellStyle name="Berechnung 3 3 2 17" xfId="8892" xr:uid="{63E0F082-BC12-413F-8B77-9665A6F47BC3}"/>
    <cellStyle name="Berechnung 3 3 2 18" xfId="9696" xr:uid="{5CB76FB8-B978-44D0-821B-AD6DE8E62244}"/>
    <cellStyle name="Berechnung 3 3 2 19" xfId="9089" xr:uid="{BAD07F62-E3F2-4EAB-8D4C-08CEBE9CBA92}"/>
    <cellStyle name="Berechnung 3 3 2 2" xfId="1236" xr:uid="{37048000-1C30-4635-B99B-BAFD29AB1BC9}"/>
    <cellStyle name="Berechnung 3 3 2 20" xfId="8986" xr:uid="{4F6EAF60-2FEE-4E87-A8C0-B237A2C4D670}"/>
    <cellStyle name="Berechnung 3 3 2 21" xfId="10695" xr:uid="{96C0B6B0-0A81-493D-A8FE-2DA80BD009FC}"/>
    <cellStyle name="Berechnung 3 3 2 22" xfId="11000" xr:uid="{5C9B41BA-77DF-41F4-A186-3C84850C2AF4}"/>
    <cellStyle name="Berechnung 3 3 2 23" xfId="12115" xr:uid="{40247BAA-A2EE-4C94-8146-5B6FD1D67B0D}"/>
    <cellStyle name="Berechnung 3 3 2 24" xfId="12588" xr:uid="{00330717-8DBD-4A06-AC15-B248145727A1}"/>
    <cellStyle name="Berechnung 3 3 2 25" xfId="13022" xr:uid="{52E05DE6-4FDF-441E-9824-10A25739ED9C}"/>
    <cellStyle name="Berechnung 3 3 2 26" xfId="13459" xr:uid="{8BFC68BD-C98A-43A6-9DDB-F38CEBB2FAE9}"/>
    <cellStyle name="Berechnung 3 3 2 27" xfId="13603" xr:uid="{1E193FB2-02BA-4231-BFDC-A737ACDCD842}"/>
    <cellStyle name="Berechnung 3 3 2 28" xfId="12745" xr:uid="{06A22E05-326D-4856-9909-7601BA2A0A71}"/>
    <cellStyle name="Berechnung 3 3 2 29" xfId="14108" xr:uid="{D945FB47-049C-4BCE-9E8D-372F9513CD21}"/>
    <cellStyle name="Berechnung 3 3 2 3" xfId="1715" xr:uid="{4DD4BA5D-F829-4867-AB89-9604811079EB}"/>
    <cellStyle name="Berechnung 3 3 2 30" xfId="14017" xr:uid="{9B451CA8-E1B6-424B-9045-49F378634CB7}"/>
    <cellStyle name="Berechnung 3 3 2 31" xfId="15422" xr:uid="{CED0B0D3-1050-466F-AA75-8C43E03D6CC1}"/>
    <cellStyle name="Berechnung 3 3 2 32" xfId="13808" xr:uid="{70156A08-697D-4FD5-9B89-D103413EB8A2}"/>
    <cellStyle name="Berechnung 3 3 2 33" xfId="16807" xr:uid="{730713CE-0154-4915-ACBB-7BDD60D9C50B}"/>
    <cellStyle name="Berechnung 3 3 2 34" xfId="16192" xr:uid="{887E0AD6-AF32-434E-B258-724A16A6F920}"/>
    <cellStyle name="Berechnung 3 3 2 35" xfId="16083" xr:uid="{BD2343CF-46B6-4584-B452-4A38ED30C7B3}"/>
    <cellStyle name="Berechnung 3 3 2 36" xfId="17628" xr:uid="{DC36F2F0-B1CF-40F5-9CFB-F6A8C8FA104A}"/>
    <cellStyle name="Berechnung 3 3 2 37" xfId="18625" xr:uid="{CB51F00A-EA4A-44FC-9F26-C5597DFA8F73}"/>
    <cellStyle name="Berechnung 3 3 2 38" xfId="18961" xr:uid="{9484DD7C-2807-4C38-8419-06EA081FC0B6}"/>
    <cellStyle name="Berechnung 3 3 2 39" xfId="19163" xr:uid="{D45E4589-FD0B-4DC1-8B42-B5A39708EA78}"/>
    <cellStyle name="Berechnung 3 3 2 4" xfId="2584" xr:uid="{D6E3223F-2615-47CB-9C6B-8C8106C1C70E}"/>
    <cellStyle name="Berechnung 3 3 2 40" xfId="20144" xr:uid="{2D34E154-E082-4E1A-8CA1-A1570922F01F}"/>
    <cellStyle name="Berechnung 3 3 2 41" xfId="19524" xr:uid="{87C4A6E8-5366-41A8-90A3-B233456E830E}"/>
    <cellStyle name="Berechnung 3 3 2 42" xfId="20735" xr:uid="{1D925637-A16D-4A65-A30D-B82BEC8DB9E0}"/>
    <cellStyle name="Berechnung 3 3 2 43" xfId="21430" xr:uid="{2901953E-4622-4C25-A49F-1480DF0DC29F}"/>
    <cellStyle name="Berechnung 3 3 2 44" xfId="21411" xr:uid="{D39B9FC1-2BF1-4722-9D07-CE91BE82D05F}"/>
    <cellStyle name="Berechnung 3 3 2 45" xfId="20790" xr:uid="{0B805833-A05C-4830-9B75-98184FDC6380}"/>
    <cellStyle name="Berechnung 3 3 2 46" xfId="22613" xr:uid="{18E2DE55-44BD-44D6-B761-D6F4C5C3812B}"/>
    <cellStyle name="Berechnung 3 3 2 47" xfId="23249" xr:uid="{A275B054-C854-4755-BAFC-E0266843301E}"/>
    <cellStyle name="Berechnung 3 3 2 48" xfId="23377" xr:uid="{18BF395E-B538-46B6-9ECE-F87652D0FEF5}"/>
    <cellStyle name="Berechnung 3 3 2 49" xfId="23944" xr:uid="{C111AB79-5537-4C54-BDCF-CC5BB818E8DD}"/>
    <cellStyle name="Berechnung 3 3 2 5" xfId="2770" xr:uid="{F967278F-14F3-4DDF-AAE2-5028FAE2FB9F}"/>
    <cellStyle name="Berechnung 3 3 2 50" xfId="24852" xr:uid="{C6F8CE6F-F938-4490-8F0C-AE32446C5241}"/>
    <cellStyle name="Berechnung 3 3 2 51" xfId="24454" xr:uid="{1104EF43-7F3E-4271-96EB-90CC25DF4711}"/>
    <cellStyle name="Berechnung 3 3 2 52" xfId="25768" xr:uid="{FA3543BC-1A22-4550-A1C2-19765CEDE2AF}"/>
    <cellStyle name="Berechnung 3 3 2 53" xfId="25922" xr:uid="{D0AB5A3B-381F-4A80-AAAE-C55FDF23B982}"/>
    <cellStyle name="Berechnung 3 3 2 54" xfId="24211" xr:uid="{A5AC57BF-E603-4BF7-A02F-ACCA502FBFEE}"/>
    <cellStyle name="Berechnung 3 3 2 55" xfId="27056" xr:uid="{B91E10BB-35DF-40CA-883C-FE6849F1B2CC}"/>
    <cellStyle name="Berechnung 3 3 2 56" xfId="27475" xr:uid="{DE01DD8E-89C0-4891-AB85-74C6E43B93A6}"/>
    <cellStyle name="Berechnung 3 3 2 57" xfId="26240" xr:uid="{1B8BE034-5C45-4623-84EE-6AEF88DC136D}"/>
    <cellStyle name="Berechnung 3 3 2 58" xfId="28602" xr:uid="{96F90930-B233-43AF-A6C9-43A94969BB02}"/>
    <cellStyle name="Berechnung 3 3 2 59" xfId="29069" xr:uid="{FFEFEB3A-1851-4214-84DF-04D589A6B472}"/>
    <cellStyle name="Berechnung 3 3 2 6" xfId="3077" xr:uid="{EE2C6283-460E-4BB1-95F4-A1C3606BEA0D}"/>
    <cellStyle name="Berechnung 3 3 2 60" xfId="27918" xr:uid="{A7BE1F32-EBFD-4FCA-A379-311305AE9F96}"/>
    <cellStyle name="Berechnung 3 3 2 61" xfId="29858" xr:uid="{F9A205BA-B49A-498C-85F2-6C6B7B622000}"/>
    <cellStyle name="Berechnung 3 3 2 62" xfId="30264" xr:uid="{685A62DB-03AD-47E1-9A29-DE024792A71D}"/>
    <cellStyle name="Berechnung 3 3 2 63" xfId="30681" xr:uid="{3DFFBF4B-8A0E-4184-BE09-C82120CDD170}"/>
    <cellStyle name="Berechnung 3 3 2 64" xfId="30405" xr:uid="{E5220B2B-233A-4947-B973-E0AA49E782E9}"/>
    <cellStyle name="Berechnung 3 3 2 65" xfId="31297" xr:uid="{09DEDBF2-1D15-421C-A4C5-DB76F694270E}"/>
    <cellStyle name="Berechnung 3 3 2 66" xfId="31988" xr:uid="{766E6D7D-0453-40FE-B409-69C5A0E700CD}"/>
    <cellStyle name="Berechnung 3 3 2 67" xfId="31536" xr:uid="{83B680DB-A92E-4334-A9AE-01516D362C80}"/>
    <cellStyle name="Berechnung 3 3 2 7" xfId="4080" xr:uid="{EF217147-9024-43C9-961B-8E84ADC0BD8B}"/>
    <cellStyle name="Berechnung 3 3 2 8" xfId="4517" xr:uid="{D22E9271-2994-4F67-8413-32CFB353C5B3}"/>
    <cellStyle name="Berechnung 3 3 2 9" xfId="4235" xr:uid="{405FC2A0-5606-4504-AA0D-82DD33F12C14}"/>
    <cellStyle name="Berechnung 3 3 20" xfId="10038" xr:uid="{F817AD96-D8FC-4F34-9F2A-6C9378041F92}"/>
    <cellStyle name="Berechnung 3 3 21" xfId="10459" xr:uid="{0305B444-635F-4224-AB34-6D0B94DE6E58}"/>
    <cellStyle name="Berechnung 3 3 22" xfId="10163" xr:uid="{7A368A56-4E57-4FCC-BBA0-E91D95C95F40}"/>
    <cellStyle name="Berechnung 3 3 23" xfId="10387" xr:uid="{9FBEBE4A-FCB6-477B-A7A5-4B45DC3D151C}"/>
    <cellStyle name="Berechnung 3 3 24" xfId="11900" xr:uid="{38B70CC8-C8C5-4778-A57C-4F397C001135}"/>
    <cellStyle name="Berechnung 3 3 25" xfId="12373" xr:uid="{DF08A0EA-D6C0-4BD5-8BC1-CCCDE0ECE153}"/>
    <cellStyle name="Berechnung 3 3 26" xfId="12807" xr:uid="{8936AE0F-415A-46DE-9408-744837359C70}"/>
    <cellStyle name="Berechnung 3 3 27" xfId="13244" xr:uid="{04B83BDE-0F84-4C01-A6ED-11AED4ABB145}"/>
    <cellStyle name="Berechnung 3 3 28" xfId="11802" xr:uid="{E8AEB410-A2D6-4FC9-8350-1B33BDAC06ED}"/>
    <cellStyle name="Berechnung 3 3 29" xfId="14007" xr:uid="{9288E7D0-33A0-469F-88AC-908F57FA9B12}"/>
    <cellStyle name="Berechnung 3 3 3" xfId="1030" xr:uid="{E4F51C73-09EB-45C0-B21D-32183475DCD2}"/>
    <cellStyle name="Berechnung 3 3 30" xfId="12754" xr:uid="{3B2D4EAC-C483-49FA-BB6E-67399F77778B}"/>
    <cellStyle name="Berechnung 3 3 31" xfId="14918" xr:uid="{16B30FF4-F95F-4BA0-A76D-D921BD0ACDAD}"/>
    <cellStyle name="Berechnung 3 3 32" xfId="14979" xr:uid="{F30DA624-30A9-4628-8B0F-6B9B550D21EB}"/>
    <cellStyle name="Berechnung 3 3 33" xfId="15873" xr:uid="{4EA2060E-48AC-40E4-9A7B-41524AE5FBB4}"/>
    <cellStyle name="Berechnung 3 3 34" xfId="16592" xr:uid="{0B7746AA-CF55-448E-A7AE-8C7EBD55BE40}"/>
    <cellStyle name="Berechnung 3 3 35" xfId="17156" xr:uid="{9182B09A-CFDF-42F8-B74B-B9630B8DED05}"/>
    <cellStyle name="Berechnung 3 3 36" xfId="17601" xr:uid="{4451B3E7-007A-46AB-A0C5-B1A273479673}"/>
    <cellStyle name="Berechnung 3 3 37" xfId="17721" xr:uid="{7FD98BC2-3AED-4009-8189-F3F043D37072}"/>
    <cellStyle name="Berechnung 3 3 38" xfId="18410" xr:uid="{5BAA45DD-E32B-4DB0-AA63-0BD56AE80461}"/>
    <cellStyle name="Berechnung 3 3 39" xfId="18284" xr:uid="{C93226C7-E6DA-4048-B0D6-A0546A561EA9}"/>
    <cellStyle name="Berechnung 3 3 4" xfId="1459" xr:uid="{34C49356-3A1C-4D18-A3EA-F2565E186B0F}"/>
    <cellStyle name="Berechnung 3 3 40" xfId="18948" xr:uid="{B3E1BA3E-43B3-4D3D-BC93-D4D49997A2EF}"/>
    <cellStyle name="Berechnung 3 3 41" xfId="19929" xr:uid="{AE7CEC5E-AA1E-4F55-8E66-F3D01C5C42B3}"/>
    <cellStyle name="Berechnung 3 3 42" xfId="20508" xr:uid="{B57E5147-839A-40FA-A2F6-E1DC0DB13A42}"/>
    <cellStyle name="Berechnung 3 3 43" xfId="20962" xr:uid="{E1EDA885-BEF8-4FC1-BC01-C4F686ADD79F}"/>
    <cellStyle name="Berechnung 3 3 44" xfId="20894" xr:uid="{65AE845E-9B30-4151-8A91-06D6C9295850}"/>
    <cellStyle name="Berechnung 3 3 45" xfId="21892" xr:uid="{D66D65AF-667F-4D0D-A94D-6980372336EF}"/>
    <cellStyle name="Berechnung 3 3 46" xfId="22328" xr:uid="{53BC9556-243F-4F53-954C-B0BC390413D1}"/>
    <cellStyle name="Berechnung 3 3 47" xfId="21565" xr:uid="{12421319-C909-4B35-AB11-9BF08ABD5085}"/>
    <cellStyle name="Berechnung 3 3 48" xfId="20996" xr:uid="{9B988BA0-C2E4-435C-85C7-96F8B4C5B1AB}"/>
    <cellStyle name="Berechnung 3 3 49" xfId="22871" xr:uid="{C463B8A5-FBAA-45C4-9DAA-5ED6F9E34C09}"/>
    <cellStyle name="Berechnung 3 3 5" xfId="2369" xr:uid="{5F91AE57-F171-46B3-B75C-407AC6C516B7}"/>
    <cellStyle name="Berechnung 3 3 50" xfId="23738" xr:uid="{76A7D659-08E5-4FDC-A8BE-32BDC60640AC}"/>
    <cellStyle name="Berechnung 3 3 51" xfId="24637" xr:uid="{7FAA1C7E-CDF6-4055-A80A-4042BC39EBEB}"/>
    <cellStyle name="Berechnung 3 3 52" xfId="25217" xr:uid="{3CCFBCDB-2E91-4627-8CBF-F8BB074F2E05}"/>
    <cellStyle name="Berechnung 3 3 53" xfId="25555" xr:uid="{248B1F6B-99A6-4944-A218-C2B87A7AF960}"/>
    <cellStyle name="Berechnung 3 3 54" xfId="24213" xr:uid="{2FD42300-ED18-4CD0-8067-8B29D7FC24CA}"/>
    <cellStyle name="Berechnung 3 3 55" xfId="26235" xr:uid="{D13643E0-BD37-4A26-BCBB-438D6BAB094E}"/>
    <cellStyle name="Berechnung 3 3 56" xfId="26845" xr:uid="{EE6D727F-D990-433E-9928-A37EBF71FBB9}"/>
    <cellStyle name="Berechnung 3 3 57" xfId="27264" xr:uid="{67EA0549-366F-4762-8F18-D8564B1F6EC2}"/>
    <cellStyle name="Berechnung 3 3 58" xfId="27668" xr:uid="{0979887D-D5B7-4334-B57C-0FC840047745}"/>
    <cellStyle name="Berechnung 3 3 59" xfId="28387" xr:uid="{A7EC1DE1-04A4-44DF-8639-7101DB3DF286}"/>
    <cellStyle name="Berechnung 3 3 6" xfId="2193" xr:uid="{70B60FA3-220F-4E3A-A2E0-B20B4EF837A7}"/>
    <cellStyle name="Berechnung 3 3 60" xfId="28855" xr:uid="{14EEBFE7-7396-4704-8AE3-BC79EB88B9D2}"/>
    <cellStyle name="Berechnung 3 3 61" xfId="29358" xr:uid="{08D0A09A-E884-4B66-AEAC-D53ED9622744}"/>
    <cellStyle name="Berechnung 3 3 62" xfId="29645" xr:uid="{A3770A4C-C4E6-4F7C-A776-E042BA150614}"/>
    <cellStyle name="Berechnung 3 3 63" xfId="30053" xr:uid="{DB4AE745-A98B-443A-AF7B-866409287DC1}"/>
    <cellStyle name="Berechnung 3 3 64" xfId="30467" xr:uid="{FFFE0D3D-0441-454B-8AF0-AB47FBF1799A}"/>
    <cellStyle name="Berechnung 3 3 65" xfId="30953" xr:uid="{63D021C6-E8B6-4423-86A6-D8769FB56332}"/>
    <cellStyle name="Berechnung 3 3 66" xfId="31091" xr:uid="{56F87840-F2E1-49B5-AAFE-5B40CE7A6171}"/>
    <cellStyle name="Berechnung 3 3 67" xfId="31777" xr:uid="{0CBCE519-8D9E-4994-9DFA-F088AC091F75}"/>
    <cellStyle name="Berechnung 3 3 68" xfId="32236" xr:uid="{D77CA00C-EA30-4756-9526-581811564491}"/>
    <cellStyle name="Berechnung 3 3 7" xfId="2797" xr:uid="{A6BBB81D-5F6D-4CA7-BF86-97F183885721}"/>
    <cellStyle name="Berechnung 3 3 8" xfId="3865" xr:uid="{77E4BA57-D9E6-4C70-BE2E-00E85D42177A}"/>
    <cellStyle name="Berechnung 3 3 9" xfId="4303" xr:uid="{F93B15A4-CB3F-43C4-B329-DD5308776ADB}"/>
    <cellStyle name="Berechnung 3 30" xfId="16454" xr:uid="{5174851A-72BD-466F-BADB-C4376EAE9B7E}"/>
    <cellStyle name="Berechnung 3 31" xfId="17570" xr:uid="{3983B6A8-9016-4A29-BEED-C4BE78C40423}"/>
    <cellStyle name="Berechnung 3 32" xfId="18213" xr:uid="{2F59B3E0-B08A-4D47-A17D-6541B8E804BC}"/>
    <cellStyle name="Berechnung 3 33" xfId="17739" xr:uid="{878E7CB8-AD75-4CA6-AC35-0692D1D09332}"/>
    <cellStyle name="Berechnung 3 34" xfId="19656" xr:uid="{29A37209-DF69-42C7-9C08-9BF26BFDB08C}"/>
    <cellStyle name="Berechnung 3 35" xfId="19498" xr:uid="{1D8B5C7F-A908-45A8-83DD-51511837B134}"/>
    <cellStyle name="Berechnung 3 36" xfId="21656" xr:uid="{75904D85-4FD7-4092-B1A1-A2351F052A2D}"/>
    <cellStyle name="Berechnung 3 37" xfId="22528" xr:uid="{EE103CD1-0D51-46D1-96B7-BC4959B7A4FF}"/>
    <cellStyle name="Berechnung 3 38" xfId="23527" xr:uid="{76E4D82E-57A9-49E8-B8B3-89355DF2B5D3}"/>
    <cellStyle name="Berechnung 3 39" xfId="24376" xr:uid="{F39E6BA7-004C-442B-B9A1-85880493831E}"/>
    <cellStyle name="Berechnung 3 4" xfId="559" xr:uid="{C1D579DD-4BDD-4624-A99F-B70BA3BFD76A}"/>
    <cellStyle name="Berechnung 3 4 10" xfId="4014" xr:uid="{92D13A47-00AC-4D23-96BC-02A0F0A82552}"/>
    <cellStyle name="Berechnung 3 4 11" xfId="5207" xr:uid="{AE2A8888-E34B-4967-A653-CACAE597E70A}"/>
    <cellStyle name="Berechnung 3 4 12" xfId="5945" xr:uid="{F1217142-6F2B-4B37-960D-9B4F6380C61C}"/>
    <cellStyle name="Berechnung 3 4 13" xfId="5118" xr:uid="{08BE2C2E-9679-4CFE-BBD2-F7B50574D573}"/>
    <cellStyle name="Berechnung 3 4 14" xfId="6069" xr:uid="{C120D1D7-965B-40BC-9818-72BD726819E8}"/>
    <cellStyle name="Berechnung 3 4 15" xfId="7279" xr:uid="{935307DD-2CD2-4BDB-8857-737E7E23FBDE}"/>
    <cellStyle name="Berechnung 3 4 16" xfId="7721" xr:uid="{29DC1871-D866-43FC-BE46-7C79B2645656}"/>
    <cellStyle name="Berechnung 3 4 17" xfId="8313" xr:uid="{E6E4806D-469F-417F-8A72-EA441510BD0F}"/>
    <cellStyle name="Berechnung 3 4 18" xfId="8885" xr:uid="{F12F3595-9BF0-4022-895C-9E000B61DAC8}"/>
    <cellStyle name="Berechnung 3 4 19" xfId="9493" xr:uid="{D57DDED0-54E0-448E-9A13-BA18380B5558}"/>
    <cellStyle name="Berechnung 3 4 2" xfId="774" xr:uid="{BE8FA274-9556-468A-ABB6-CAAE53D4C79A}"/>
    <cellStyle name="Berechnung 3 4 2 10" xfId="5422" xr:uid="{333572F0-5215-4EFE-A831-5000D3A68A8D}"/>
    <cellStyle name="Berechnung 3 4 2 11" xfId="3415" xr:uid="{9036BA21-9D40-471F-A6FE-363987AB9687}"/>
    <cellStyle name="Berechnung 3 4 2 12" xfId="3589" xr:uid="{BAC2F362-8211-454A-A541-29A57C0D2D49}"/>
    <cellStyle name="Berechnung 3 4 2 13" xfId="6501" xr:uid="{5AB98D69-1044-4868-B15C-135D69314E65}"/>
    <cellStyle name="Berechnung 3 4 2 14" xfId="7494" xr:uid="{DD8C31D4-D26B-4D8C-BA1D-B3E1EB4D1FFD}"/>
    <cellStyle name="Berechnung 3 4 2 15" xfId="7058" xr:uid="{012B6D57-A3D3-4B5D-A07C-16350EDB2E6E}"/>
    <cellStyle name="Berechnung 3 4 2 16" xfId="8105" xr:uid="{09ADFB47-40E4-43F7-9C37-7CE0CB024A35}"/>
    <cellStyle name="Berechnung 3 4 2 17" xfId="8861" xr:uid="{BD6E87D2-C3ED-47C7-859B-2B68D0CB1703}"/>
    <cellStyle name="Berechnung 3 4 2 18" xfId="9708" xr:uid="{BB603393-F193-483E-87A2-EB68BE0DFA8A}"/>
    <cellStyle name="Berechnung 3 4 2 19" xfId="9271" xr:uid="{E7DFFA81-A13F-44CE-9C32-D1662898A686}"/>
    <cellStyle name="Berechnung 3 4 2 2" xfId="1248" xr:uid="{FA1F8FF4-5367-4983-89E7-253C28EA72D9}"/>
    <cellStyle name="Berechnung 3 4 2 20" xfId="10160" xr:uid="{015D5D7F-3BDD-4CC9-98E1-12718427BCB3}"/>
    <cellStyle name="Berechnung 3 4 2 21" xfId="9281" xr:uid="{4BA91515-A21F-4660-892C-E95A4C929143}"/>
    <cellStyle name="Berechnung 3 4 2 22" xfId="11179" xr:uid="{F7805FDD-11DF-45BD-9BB0-A6CAEA85386C}"/>
    <cellStyle name="Berechnung 3 4 2 23" xfId="12127" xr:uid="{1BDE5163-8032-4377-BEE8-F44AAEE7CBA0}"/>
    <cellStyle name="Berechnung 3 4 2 24" xfId="12600" xr:uid="{125F0DEC-C4B5-41C4-8193-B55ABEE473CB}"/>
    <cellStyle name="Berechnung 3 4 2 25" xfId="13034" xr:uid="{406CEC9E-E922-42A4-8764-F1558A176BE9}"/>
    <cellStyle name="Berechnung 3 4 2 26" xfId="13471" xr:uid="{37686588-F259-4E59-8E72-F987E3A8EC0F}"/>
    <cellStyle name="Berechnung 3 4 2 27" xfId="13203" xr:uid="{F3A6236C-B2AD-4F67-968D-928C77DBF1BD}"/>
    <cellStyle name="Berechnung 3 4 2 28" xfId="11818" xr:uid="{46983D8F-C69B-4A7B-81D4-0DB52E86760F}"/>
    <cellStyle name="Berechnung 3 4 2 29" xfId="14372" xr:uid="{793D7B3B-178D-435F-AE70-2E7A52889AFA}"/>
    <cellStyle name="Berechnung 3 4 2 3" xfId="1483" xr:uid="{12F8FCEE-4196-4D38-A72A-CBD9D4879901}"/>
    <cellStyle name="Berechnung 3 4 2 30" xfId="15208" xr:uid="{1F417EFA-D72A-457A-9925-E6D7AED133A7}"/>
    <cellStyle name="Berechnung 3 4 2 31" xfId="15600" xr:uid="{51B337AD-153B-4D46-A14D-2AB629DE6882}"/>
    <cellStyle name="Berechnung 3 4 2 32" xfId="15539" xr:uid="{AE0DC160-34A1-436F-AD58-302A76A1C09A}"/>
    <cellStyle name="Berechnung 3 4 2 33" xfId="16819" xr:uid="{B9294706-A894-4E15-B92C-13382A2BD8A5}"/>
    <cellStyle name="Berechnung 3 4 2 34" xfId="16380" xr:uid="{E3571D9E-8508-4D2E-BFA7-4354C02C12BF}"/>
    <cellStyle name="Berechnung 3 4 2 35" xfId="17279" xr:uid="{172EEE14-284E-4C1B-96E8-9EE9458FB2F6}"/>
    <cellStyle name="Berechnung 3 4 2 36" xfId="17794" xr:uid="{AEFC9788-2BFB-4E8A-B771-87D19B423ABA}"/>
    <cellStyle name="Berechnung 3 4 2 37" xfId="18637" xr:uid="{9677A649-8160-4A47-8731-1C313FBEEEE2}"/>
    <cellStyle name="Berechnung 3 4 2 38" xfId="19024" xr:uid="{D2AE496E-5134-4684-8273-195C55EBF10A}"/>
    <cellStyle name="Berechnung 3 4 2 39" xfId="18966" xr:uid="{50614B60-FF13-4E51-B5F1-92C8DB62303C}"/>
    <cellStyle name="Berechnung 3 4 2 4" xfId="2596" xr:uid="{781A29AA-205D-4B8E-82B3-42E37AEB5552}"/>
    <cellStyle name="Berechnung 3 4 2 40" xfId="20156" xr:uid="{E1F374CC-8C7B-4B4F-8143-9155109604EF}"/>
    <cellStyle name="Berechnung 3 4 2 41" xfId="19714" xr:uid="{3140356C-9AF9-491C-BF2C-A08E0EDC6A5E}"/>
    <cellStyle name="Berechnung 3 4 2 42" xfId="20285" xr:uid="{586628E2-06CC-4879-BE40-4F1C7B697E24}"/>
    <cellStyle name="Berechnung 3 4 2 43" xfId="21348" xr:uid="{65555056-B963-46A8-AC0C-340532B3E22A}"/>
    <cellStyle name="Berechnung 3 4 2 44" xfId="20425" xr:uid="{F096740F-A63E-4025-B74F-A06C5C91203A}"/>
    <cellStyle name="Berechnung 3 4 2 45" xfId="22003" xr:uid="{E9180248-9D11-4D83-8A3B-E003A7ED3CD5}"/>
    <cellStyle name="Berechnung 3 4 2 46" xfId="22178" xr:uid="{A91F8B97-C679-4938-9EBD-233BCF4C0806}"/>
    <cellStyle name="Berechnung 3 4 2 47" xfId="23303" xr:uid="{E86D5846-6D0B-4B49-B318-82308B592BF8}"/>
    <cellStyle name="Berechnung 3 4 2 48" xfId="23069" xr:uid="{960B3D15-F309-4CDB-A109-40A6DC37AAAE}"/>
    <cellStyle name="Berechnung 3 4 2 49" xfId="23956" xr:uid="{E8AFC3DD-4503-451A-9F83-618AD46F6FF9}"/>
    <cellStyle name="Berechnung 3 4 2 5" xfId="1853" xr:uid="{4713FC94-9F9D-4F81-A8C7-E0E13D0C9E62}"/>
    <cellStyle name="Berechnung 3 4 2 50" xfId="24864" xr:uid="{B4BE8747-AE17-4E69-80A1-6F7551BABBC6}"/>
    <cellStyle name="Berechnung 3 4 2 51" xfId="24409" xr:uid="{053F7EA5-111C-4082-A4DC-CB9168EE00B5}"/>
    <cellStyle name="Berechnung 3 4 2 52" xfId="25780" xr:uid="{B9C509C7-8C4C-4227-86C3-71B03DF1F133}"/>
    <cellStyle name="Berechnung 3 4 2 53" xfId="25255" xr:uid="{7E1D09E6-B0B3-4B46-AB9C-3A312F435A35}"/>
    <cellStyle name="Berechnung 3 4 2 54" xfId="26685" xr:uid="{76518305-3499-45C3-AA79-A25D31DC175D}"/>
    <cellStyle name="Berechnung 3 4 2 55" xfId="27068" xr:uid="{5D8FF144-B54C-48CC-B4E0-695E5B41FCF1}"/>
    <cellStyle name="Berechnung 3 4 2 56" xfId="27487" xr:uid="{7EBF81DD-B8BE-4D2C-83A7-5BFAE6333B6B}"/>
    <cellStyle name="Berechnung 3 4 2 57" xfId="26569" xr:uid="{6A2864DF-30D7-450C-85FA-A34698558AE0}"/>
    <cellStyle name="Berechnung 3 4 2 58" xfId="28614" xr:uid="{42F8E483-BAE8-4AB6-9D2D-20F0B0454C73}"/>
    <cellStyle name="Berechnung 3 4 2 59" xfId="29081" xr:uid="{A663BDE3-9A53-421C-85E6-839B03E908A9}"/>
    <cellStyle name="Berechnung 3 4 2 6" xfId="2808" xr:uid="{3D021570-3E3C-4EA0-AD15-1FC93CB59D50}"/>
    <cellStyle name="Berechnung 3 4 2 60" xfId="28075" xr:uid="{D208F471-0B25-40A4-B446-A5666411C89A}"/>
    <cellStyle name="Berechnung 3 4 2 61" xfId="29870" xr:uid="{68018692-AC8B-4E2A-BF10-C622D0B26AEB}"/>
    <cellStyle name="Berechnung 3 4 2 62" xfId="30276" xr:uid="{5D2F998B-B8B8-4B22-9998-155A1B377946}"/>
    <cellStyle name="Berechnung 3 4 2 63" xfId="30693" xr:uid="{C0E50C31-27A2-4864-96DB-ED584A5010D6}"/>
    <cellStyle name="Berechnung 3 4 2 64" xfId="28329" xr:uid="{7C9A0F66-45DE-4B03-A947-599B7D065A18}"/>
    <cellStyle name="Berechnung 3 4 2 65" xfId="31309" xr:uid="{1D97D91B-B4C4-4E33-BC3E-6D28F15D1E66}"/>
    <cellStyle name="Berechnung 3 4 2 66" xfId="32000" xr:uid="{CA6D1976-9E85-4F47-83E1-B76BBFA6C089}"/>
    <cellStyle name="Berechnung 3 4 2 67" xfId="31555" xr:uid="{280818E3-5703-4667-953D-756CBB82B774}"/>
    <cellStyle name="Berechnung 3 4 2 7" xfId="4092" xr:uid="{AE46D27F-7CA6-4B13-8D6B-F85B216EE4DE}"/>
    <cellStyle name="Berechnung 3 4 2 8" xfId="4529" xr:uid="{1E6AA222-A52B-4951-BFA4-E7A01E1B078B}"/>
    <cellStyle name="Berechnung 3 4 2 9" xfId="3443" xr:uid="{DC5AAAA1-D531-426A-B8AD-DE01495B1E40}"/>
    <cellStyle name="Berechnung 3 4 20" xfId="9935" xr:uid="{097E5BFF-830C-4ABE-8753-9506D0555FBC}"/>
    <cellStyle name="Berechnung 3 4 21" xfId="10366" xr:uid="{8E544647-FBE4-40BA-9B47-8F9F6355E390}"/>
    <cellStyle name="Berechnung 3 4 22" xfId="10918" xr:uid="{FE9DF2EF-1C55-4727-9907-F61BD95DE379}"/>
    <cellStyle name="Berechnung 3 4 23" xfId="11208" xr:uid="{78ED283C-33DE-4BD2-AAC6-7E122852AB0A}"/>
    <cellStyle name="Berechnung 3 4 24" xfId="11912" xr:uid="{AC277389-1CFD-44C0-A1BB-5064B59489FB}"/>
    <cellStyle name="Berechnung 3 4 25" xfId="12385" xr:uid="{EB5B120B-99C7-40CC-96C0-73C784BEFB39}"/>
    <cellStyle name="Berechnung 3 4 26" xfId="12819" xr:uid="{DFD21FDD-C3A8-48AC-8554-DCD8E4286896}"/>
    <cellStyle name="Berechnung 3 4 27" xfId="13256" xr:uid="{BE2FDC0F-154D-40D4-8B3A-87D1514E6019}"/>
    <cellStyle name="Berechnung 3 4 28" xfId="13953" xr:uid="{68D83CDF-87A9-42BA-BED8-C72A4A0A41D2}"/>
    <cellStyle name="Berechnung 3 4 29" xfId="11384" xr:uid="{4C6533B4-725F-4766-A3E3-F34A677AF24E}"/>
    <cellStyle name="Berechnung 3 4 3" xfId="1042" xr:uid="{5EE0B672-A8BF-4216-8D37-C0A0A9D1A063}"/>
    <cellStyle name="Berechnung 3 4 30" xfId="14666" xr:uid="{C75C905A-D496-4799-95E6-121F77D98FB6}"/>
    <cellStyle name="Berechnung 3 4 31" xfId="15319" xr:uid="{DE813FF2-5680-48D5-9F44-D26DBFF0F368}"/>
    <cellStyle name="Berechnung 3 4 32" xfId="13788" xr:uid="{30B6806A-3F4D-405E-981B-70C0FE8B86AC}"/>
    <cellStyle name="Berechnung 3 4 33" xfId="15820" xr:uid="{1BCDEEC9-0A9B-48F2-BAEA-1BA5FEC10B8A}"/>
    <cellStyle name="Berechnung 3 4 34" xfId="16604" xr:uid="{CB3AC010-30DE-47B3-81E6-AC5F9262627A}"/>
    <cellStyle name="Berechnung 3 4 35" xfId="17049" xr:uid="{D8EF1906-6114-4F56-826F-748C05ECB439}"/>
    <cellStyle name="Berechnung 3 4 36" xfId="17496" xr:uid="{F6C11542-965D-466D-9C11-2443C407DF2A}"/>
    <cellStyle name="Berechnung 3 4 37" xfId="16421" xr:uid="{343A87A5-87D1-425F-A765-41188756C96A}"/>
    <cellStyle name="Berechnung 3 4 38" xfId="18422" xr:uid="{D45B250E-C77F-4F5A-8117-273A897E7AB7}"/>
    <cellStyle name="Berechnung 3 4 39" xfId="18254" xr:uid="{ED55D96F-ECC1-4994-84D5-3D3B8C7FA06A}"/>
    <cellStyle name="Berechnung 3 4 4" xfId="1639" xr:uid="{57BEEC52-F235-4EF0-BC96-90205EB6FE69}"/>
    <cellStyle name="Berechnung 3 4 40" xfId="19263" xr:uid="{C2B55B87-258A-44E1-A71A-EC49BC1872AF}"/>
    <cellStyle name="Berechnung 3 4 41" xfId="19941" xr:uid="{8185CC9E-0475-41AE-890D-901AAD3BF3F4}"/>
    <cellStyle name="Berechnung 3 4 42" xfId="20401" xr:uid="{DF9295C5-7138-4B25-AC01-A881225B59A7}"/>
    <cellStyle name="Berechnung 3 4 43" xfId="20854" xr:uid="{E95194A7-18EA-4BDB-B304-6A00DA972983}"/>
    <cellStyle name="Berechnung 3 4 44" xfId="21606" xr:uid="{75E1F7DE-C01E-4E8D-A634-0813ABFF7630}"/>
    <cellStyle name="Berechnung 3 4 45" xfId="21787" xr:uid="{E2E6F635-14D4-4598-A07D-AEE6DE843074}"/>
    <cellStyle name="Berechnung 3 4 46" xfId="22223" xr:uid="{0DBA8148-B920-4EDD-A494-8061356D43D3}"/>
    <cellStyle name="Berechnung 3 4 47" xfId="22927" xr:uid="{919F1A68-FDF2-45DA-ACF6-FAE737C02327}"/>
    <cellStyle name="Berechnung 3 4 48" xfId="22637" xr:uid="{2E4FD890-E070-499D-B7A7-C9F42CCC5CC2}"/>
    <cellStyle name="Berechnung 3 4 49" xfId="23486" xr:uid="{5F3CB1A0-4323-47CA-9F70-2820E5E3009E}"/>
    <cellStyle name="Berechnung 3 4 5" xfId="2381" xr:uid="{84C148A7-7B48-46EC-A08A-ADEF7435DE68}"/>
    <cellStyle name="Berechnung 3 4 50" xfId="23750" xr:uid="{34FDFCB0-48C0-439D-8315-041FF27A75A9}"/>
    <cellStyle name="Berechnung 3 4 51" xfId="24649" xr:uid="{F18CFB88-3606-4292-A47C-A0EEE6E38805}"/>
    <cellStyle name="Berechnung 3 4 52" xfId="25110" xr:uid="{DF9CEC5C-41CF-4AF1-ABB4-8A7C90153A35}"/>
    <cellStyle name="Berechnung 3 4 53" xfId="25567" xr:uid="{2F1CB0D2-E6FE-41EF-9C39-CD69C9CA7181}"/>
    <cellStyle name="Berechnung 3 4 54" xfId="26234" xr:uid="{9A7D3D60-B06C-4669-B62E-ABCCF784BE32}"/>
    <cellStyle name="Berechnung 3 4 55" xfId="26281" xr:uid="{EDCA5700-E178-4607-8471-7F8538AC4572}"/>
    <cellStyle name="Berechnung 3 4 56" xfId="26857" xr:uid="{64D09157-2B45-43B8-980E-80ED2940A972}"/>
    <cellStyle name="Berechnung 3 4 57" xfId="27276" xr:uid="{658CC3AB-2194-4CA1-A4D5-44B0AEC07204}"/>
    <cellStyle name="Berechnung 3 4 58" xfId="27192" xr:uid="{314E8BCF-8546-4341-B0E4-6A8090613C45}"/>
    <cellStyle name="Berechnung 3 4 59" xfId="28399" xr:uid="{713E4536-205E-4E24-875E-9A1484351FF2}"/>
    <cellStyle name="Berechnung 3 4 6" xfId="3122" xr:uid="{2C6C422B-EF79-40DA-B85A-EBDF8B36AEEF}"/>
    <cellStyle name="Berechnung 3 4 60" xfId="28867" xr:uid="{6C3C105A-6079-441A-81D5-E28B1DB24B87}"/>
    <cellStyle name="Berechnung 3 4 61" xfId="29264" xr:uid="{4CD1617E-2D0E-40EA-A5C1-DE6D1D8A2304}"/>
    <cellStyle name="Berechnung 3 4 62" xfId="29657" xr:uid="{B7B2AE76-1EA3-4FA9-88BB-AB5E331BC2A2}"/>
    <cellStyle name="Berechnung 3 4 63" xfId="30065" xr:uid="{28F83520-8745-4F46-B8A8-7D5067C8436C}"/>
    <cellStyle name="Berechnung 3 4 64" xfId="30479" xr:uid="{ABD7EC83-D787-4405-ADD5-10DE79F0C1D1}"/>
    <cellStyle name="Berechnung 3 4 65" xfId="30893" xr:uid="{44A92C49-5693-464F-8E23-BF6FEDD7CC2B}"/>
    <cellStyle name="Berechnung 3 4 66" xfId="31103" xr:uid="{C6AA036E-7EB7-4338-A9C9-CBEE6A9F0C06}"/>
    <cellStyle name="Berechnung 3 4 67" xfId="31789" xr:uid="{B1B36AC0-5EEE-47C9-99F2-F9C39454BB55}"/>
    <cellStyle name="Berechnung 3 4 68" xfId="31581" xr:uid="{A4A83D7A-3283-4ED9-AE9E-DD64DC009CE5}"/>
    <cellStyle name="Berechnung 3 4 7" xfId="3362" xr:uid="{F9BBAEC4-4DB9-4A50-9BC8-BB5FA642673E}"/>
    <cellStyle name="Berechnung 3 4 8" xfId="3877" xr:uid="{EE52A98C-54D9-4A3E-85D2-BFFA0D64A81D}"/>
    <cellStyle name="Berechnung 3 4 9" xfId="4315" xr:uid="{72E22797-1192-401B-872C-57F2A4DC6445}"/>
    <cellStyle name="Berechnung 3 40" xfId="25021" xr:uid="{2C34B52D-F832-419F-90DD-CCC524E60B50}"/>
    <cellStyle name="Berechnung 3 41" xfId="25208" xr:uid="{CC72D203-F639-4BF2-8510-DD97A505573C}"/>
    <cellStyle name="Berechnung 3 42" xfId="26272" xr:uid="{9144F923-A98E-4218-9176-BE4047D20E58}"/>
    <cellStyle name="Berechnung 3 43" xfId="26175" xr:uid="{A2795BB1-91D0-4E53-ABC7-CFF570B755CD}"/>
    <cellStyle name="Berechnung 3 44" xfId="26395" xr:uid="{383E2AF1-2BB7-4381-AD53-CFCBB1796213}"/>
    <cellStyle name="Berechnung 3 45" xfId="26795" xr:uid="{6C5E1F21-6F6F-4B8A-83FE-2359A9D9F5CC}"/>
    <cellStyle name="Berechnung 3 46" xfId="28147" xr:uid="{AD2509EE-324D-4F64-A987-B738B3262022}"/>
    <cellStyle name="Berechnung 3 47" xfId="27976" xr:uid="{0CCE6BB3-80C0-4A15-898E-D3C845F131FA}"/>
    <cellStyle name="Berechnung 3 48" xfId="29301" xr:uid="{2FCE803A-7AD4-4967-BCFE-EEBAA11EB908}"/>
    <cellStyle name="Berechnung 3 49" xfId="29416" xr:uid="{7438403F-8D00-4CDC-A66F-38C6E6C60D79}"/>
    <cellStyle name="Berechnung 3 5" xfId="697" xr:uid="{1588AF6A-6466-48F7-8DA4-FBF4323FA419}"/>
    <cellStyle name="Berechnung 3 5 10" xfId="5345" xr:uid="{F0F0B5AD-53D2-4E92-96C5-74613502C06E}"/>
    <cellStyle name="Berechnung 3 5 11" xfId="5819" xr:uid="{EC4ECF86-EE67-440C-912C-3BD7957F6C09}"/>
    <cellStyle name="Berechnung 3 5 12" xfId="4878" xr:uid="{D5C971E6-7E7C-43FC-B2C8-5F0E93243803}"/>
    <cellStyle name="Berechnung 3 5 13" xfId="6522" xr:uid="{6ABE04F6-0626-4913-A619-421883CBE862}"/>
    <cellStyle name="Berechnung 3 5 14" xfId="7417" xr:uid="{81D6B212-24EF-415F-A58B-AD715C0663C6}"/>
    <cellStyle name="Berechnung 3 5 15" xfId="7984" xr:uid="{EBA11001-856C-4867-B24F-5D6B4BCB31C4}"/>
    <cellStyle name="Berechnung 3 5 16" xfId="8445" xr:uid="{17FC2216-83CD-4DF3-B52E-05F11813CF73}"/>
    <cellStyle name="Berechnung 3 5 17" xfId="8690" xr:uid="{6ADFB7EB-07DB-4779-B45D-1ADA7402AC9D}"/>
    <cellStyle name="Berechnung 3 5 18" xfId="9631" xr:uid="{74BDBEE2-1971-4C1D-BDDD-1166ACE42525}"/>
    <cellStyle name="Berechnung 3 5 19" xfId="10200" xr:uid="{2CC2926A-49B8-404C-A1B1-E36DB86390CC}"/>
    <cellStyle name="Berechnung 3 5 2" xfId="1175" xr:uid="{44CF3A92-4C86-4C77-9700-CA025382BBA2}"/>
    <cellStyle name="Berechnung 3 5 20" xfId="10604" xr:uid="{1AC60326-D061-4236-B0BA-9973DA31CBB2}"/>
    <cellStyle name="Berechnung 3 5 21" xfId="10314" xr:uid="{410AE84B-212B-46FA-9D34-1198D792D603}"/>
    <cellStyle name="Berechnung 3 5 22" xfId="9952" xr:uid="{0AD4048A-4B7E-46FC-9874-9E83FA7536C4}"/>
    <cellStyle name="Berechnung 3 5 23" xfId="12050" xr:uid="{A5F3C815-F56E-4C1F-96DD-7BEA86F0F981}"/>
    <cellStyle name="Berechnung 3 5 24" xfId="12523" xr:uid="{004CA742-2D82-49B4-B129-C4255413F032}"/>
    <cellStyle name="Berechnung 3 5 25" xfId="12957" xr:uid="{D3E5ED8F-C1B6-48A3-B1FC-691036577B11}"/>
    <cellStyle name="Berechnung 3 5 26" xfId="13394" xr:uid="{5E4C893E-DC64-4A0B-B4D4-333E62277784}"/>
    <cellStyle name="Berechnung 3 5 27" xfId="12304" xr:uid="{6A73D388-5B4D-4A69-915B-6DB4D673C8F7}"/>
    <cellStyle name="Berechnung 3 5 28" xfId="14117" xr:uid="{F6696827-3874-4CFF-BDA6-10DEFB929970}"/>
    <cellStyle name="Berechnung 3 5 29" xfId="14850" xr:uid="{4E3CDE18-A33D-4AF4-A05B-C2579BF0DD45}"/>
    <cellStyle name="Berechnung 3 5 3" xfId="1714" xr:uid="{13A887E2-E287-4EB1-AAC5-33E9D2FF3917}"/>
    <cellStyle name="Berechnung 3 5 30" xfId="15158" xr:uid="{FD87B7BF-70F6-41EB-98EB-64C79125F3D0}"/>
    <cellStyle name="Berechnung 3 5 31" xfId="15072" xr:uid="{61DAB467-84AF-4F48-8BD0-3DDF044F679D}"/>
    <cellStyle name="Berechnung 3 5 32" xfId="15963" xr:uid="{AC884F4D-E484-4F9E-9459-419A29D1111C}"/>
    <cellStyle name="Berechnung 3 5 33" xfId="16742" xr:uid="{37F99CAB-9941-41F6-A632-E80E7DCBC13C}"/>
    <cellStyle name="Berechnung 3 5 34" xfId="17321" xr:uid="{41685FE5-8B69-4A0C-8400-BFCD730DEE82}"/>
    <cellStyle name="Berechnung 3 5 35" xfId="17764" xr:uid="{427CA0DD-77E1-4C56-A161-BE61A0962C6F}"/>
    <cellStyle name="Berechnung 3 5 36" xfId="18072" xr:uid="{9B0D44E3-0B0A-4B57-93B3-45E8EB6102AE}"/>
    <cellStyle name="Berechnung 3 5 37" xfId="18560" xr:uid="{34B5AD79-3228-4310-ACFC-8FA8AB6BAF81}"/>
    <cellStyle name="Berechnung 3 5 38" xfId="18762" xr:uid="{35B84A19-51F7-4ED8-86E0-36A3B9AFC2C9}"/>
    <cellStyle name="Berechnung 3 5 39" xfId="17499" xr:uid="{840149ED-6D92-43BA-9F61-F1B9470A1B0A}"/>
    <cellStyle name="Berechnung 3 5 4" xfId="2519" xr:uid="{E4144CCA-49EC-4982-8B42-60842AACD5CA}"/>
    <cellStyle name="Berechnung 3 5 40" xfId="20079" xr:uid="{5704D3F3-E466-4F35-8A53-2D56E62007AE}"/>
    <cellStyle name="Berechnung 3 5 41" xfId="20672" xr:uid="{28451095-FC93-4762-B893-1748CC3ECD57}"/>
    <cellStyle name="Berechnung 3 5 42" xfId="21128" xr:uid="{6BE9370B-842C-417D-B4E2-8B041834CF77}"/>
    <cellStyle name="Berechnung 3 5 43" xfId="20823" xr:uid="{FDF325E1-1ED0-43A9-9ADE-0B2F7506143E}"/>
    <cellStyle name="Berechnung 3 5 44" xfId="22060" xr:uid="{B7887929-97D9-413A-9550-E01919154C25}"/>
    <cellStyle name="Berechnung 3 5 45" xfId="22488" xr:uid="{7B0D70DB-DCD8-4D8C-A1D9-2E29EB51ECE8}"/>
    <cellStyle name="Berechnung 3 5 46" xfId="21570" xr:uid="{91BAFCE0-0652-4E94-9418-458EB87FAB12}"/>
    <cellStyle name="Berechnung 3 5 47" xfId="23030" xr:uid="{36D089FF-1114-4E4B-BABF-8B2F5EC30F31}"/>
    <cellStyle name="Berechnung 3 5 48" xfId="22827" xr:uid="{B85155D9-EBE9-4DF6-9B00-E613DDC48CE8}"/>
    <cellStyle name="Berechnung 3 5 49" xfId="23883" xr:uid="{6A578FDE-919E-4E22-843E-0B1E05CAB29B}"/>
    <cellStyle name="Berechnung 3 5 5" xfId="1952" xr:uid="{A8EABB75-A9D8-4A6E-9C3B-09BC5E3307E1}"/>
    <cellStyle name="Berechnung 3 5 50" xfId="24787" xr:uid="{2E7EDD27-BA3B-49BE-BBC9-3FBB8C1030A2}"/>
    <cellStyle name="Berechnung 3 5 51" xfId="25375" xr:uid="{C9C12EAE-6F2C-4749-A3BC-14D1EB71EAC2}"/>
    <cellStyle name="Berechnung 3 5 52" xfId="25704" xr:uid="{B09D3730-3888-483B-A916-442A644C1BFE}"/>
    <cellStyle name="Berechnung 3 5 53" xfId="25413" xr:uid="{2006CDF5-86E6-42D8-B8D4-BFED196FDBBF}"/>
    <cellStyle name="Berechnung 3 5 54" xfId="24541" xr:uid="{C89D1C34-D688-4DBF-8DE4-7781C93224FA}"/>
    <cellStyle name="Berechnung 3 5 55" xfId="26992" xr:uid="{B62AB247-BE05-4730-8444-36591A0AA8D3}"/>
    <cellStyle name="Berechnung 3 5 56" xfId="27411" xr:uid="{EC996E1C-9190-425F-A4B0-79C8BA6AE598}"/>
    <cellStyle name="Berechnung 3 5 57" xfId="27725" xr:uid="{F4F6ED59-F4AC-4C1E-8E02-D3B7D0FC0003}"/>
    <cellStyle name="Berechnung 3 5 58" xfId="28537" xr:uid="{39FC7C4C-F087-44D9-B21C-76B6CB78330E}"/>
    <cellStyle name="Berechnung 3 5 59" xfId="29004" xr:uid="{F6CB63E3-CFAB-49A7-BF98-EABAC7785126}"/>
    <cellStyle name="Berechnung 3 5 6" xfId="3319" xr:uid="{3B571153-DAB5-4A9B-8502-CC32C8979A5D}"/>
    <cellStyle name="Berechnung 3 5 60" xfId="29497" xr:uid="{0F18A4FB-1939-4DFE-8A37-3369C9B77477}"/>
    <cellStyle name="Berechnung 3 5 61" xfId="29794" xr:uid="{8AD88BC7-9C53-4F59-9AE5-AFE6CF9856BE}"/>
    <cellStyle name="Berechnung 3 5 62" xfId="30200" xr:uid="{2B6B0767-2230-4CE7-8DA3-0921AEA088A9}"/>
    <cellStyle name="Berechnung 3 5 63" xfId="30616" xr:uid="{5EACBC0F-7783-4B0D-B01B-3D1C39198762}"/>
    <cellStyle name="Berechnung 3 5 64" xfId="29205" xr:uid="{9B83238C-7B03-4647-8FA6-18A1D40C7071}"/>
    <cellStyle name="Berechnung 3 5 65" xfId="31236" xr:uid="{5587DF93-06CD-4AC0-B817-003233E9101D}"/>
    <cellStyle name="Berechnung 3 5 66" xfId="31924" xr:uid="{C5F50984-E3E4-4551-9475-DC5975496793}"/>
    <cellStyle name="Berechnung 3 5 67" xfId="32248" xr:uid="{4966B8A4-E2FD-4AC6-89D0-100642254CA3}"/>
    <cellStyle name="Berechnung 3 5 7" xfId="4015" xr:uid="{F0A101BD-2F7F-4B97-BAF3-010ECBEE2441}"/>
    <cellStyle name="Berechnung 3 5 8" xfId="4452" xr:uid="{8C90E882-1BE6-4653-95B3-5A86CC52210C}"/>
    <cellStyle name="Berechnung 3 5 9" xfId="4906" xr:uid="{B71D56F0-98B1-40D4-A8B0-43497AC14A2B}"/>
    <cellStyle name="Berechnung 3 50" xfId="28239" xr:uid="{400ECDD5-74F3-4F16-9CAA-6F037C11556A}"/>
    <cellStyle name="Berechnung 3 51" xfId="28295" xr:uid="{DE43B7C2-B958-4684-9CFA-C1C6A8975CC4}"/>
    <cellStyle name="Berechnung 3 52" xfId="31599" xr:uid="{AE449E2E-3A5E-455A-9CD4-43238A39ACD9}"/>
    <cellStyle name="Berechnung 3 53" xfId="32362" xr:uid="{B0FE5E93-EE01-4F56-A773-499CE0693EDC}"/>
    <cellStyle name="Berechnung 3 6" xfId="949" xr:uid="{911D3748-7084-4B30-8A9E-CB213769BFF4}"/>
    <cellStyle name="Berechnung 3 7" xfId="2096" xr:uid="{500543F0-F1C1-4454-87FB-B9AD169EC1A3}"/>
    <cellStyle name="Berechnung 3 8" xfId="2242" xr:uid="{12910610-5C47-46BE-BC49-0326D6157EF5}"/>
    <cellStyle name="Berechnung 3 9" xfId="3307" xr:uid="{86E8059F-B36B-451D-B468-01E5FE2FCAA2}"/>
    <cellStyle name="Berechnung 4" xfId="544" xr:uid="{C289F3BF-3211-4292-A4C5-5AA2C5BA2EE4}"/>
    <cellStyle name="Berechnung 4 10" xfId="4926" xr:uid="{B7964E14-81EE-4618-94B7-836D51239660}"/>
    <cellStyle name="Berechnung 4 11" xfId="5192" xr:uid="{587D6E25-D34A-4667-B311-2A3DD8E0A11B}"/>
    <cellStyle name="Berechnung 4 12" xfId="5754" xr:uid="{BFA03F10-34A3-48D8-BF2B-D5952F043F34}"/>
    <cellStyle name="Berechnung 4 13" xfId="5887" xr:uid="{7EE3C750-B7FB-4F0B-90D3-E96904BB26DD}"/>
    <cellStyle name="Berechnung 4 14" xfId="6664" xr:uid="{21EC5041-FC2D-4C88-8CB3-E442C1A30D7C}"/>
    <cellStyle name="Berechnung 4 15" xfId="7264" xr:uid="{96B40A9D-026E-42CE-9023-B79778554A4F}"/>
    <cellStyle name="Berechnung 4 16" xfId="7903" xr:uid="{F911D31A-8A21-4D5F-A576-CA534D58CF66}"/>
    <cellStyle name="Berechnung 4 17" xfId="8582" xr:uid="{CE378632-09DF-4A65-AD6A-583EC1A2C247}"/>
    <cellStyle name="Berechnung 4 18" xfId="8197" xr:uid="{90B2DB07-7489-4976-A739-9FE1EFE88658}"/>
    <cellStyle name="Berechnung 4 19" xfId="9478" xr:uid="{E6AE9139-02B5-4F56-9AE3-799881846ECE}"/>
    <cellStyle name="Berechnung 4 2" xfId="759" xr:uid="{8F02ADF9-3393-4B7F-BB0E-0534E40F6DC6}"/>
    <cellStyle name="Berechnung 4 2 10" xfId="5407" xr:uid="{74C52D31-6DEE-4637-A33A-4A05EEBC04E5}"/>
    <cellStyle name="Berechnung 4 2 11" xfId="5716" xr:uid="{DA57406A-012C-48FC-ACAA-C19366E03BA7}"/>
    <cellStyle name="Berechnung 4 2 12" xfId="4737" xr:uid="{E3BD2454-6AAD-4BF7-BA27-C9D17D050138}"/>
    <cellStyle name="Berechnung 4 2 13" xfId="6657" xr:uid="{65E9D0EC-F030-4864-AE96-7B2553CA2DF4}"/>
    <cellStyle name="Berechnung 4 2 14" xfId="7479" xr:uid="{EA3BC162-FECB-4831-918E-9C95D0D10714}"/>
    <cellStyle name="Berechnung 4 2 15" xfId="7092" xr:uid="{26A7A28F-1705-4305-8739-B0823F90390B}"/>
    <cellStyle name="Berechnung 4 2 16" xfId="8515" xr:uid="{CE511F03-9036-4103-8B78-409871635309}"/>
    <cellStyle name="Berechnung 4 2 17" xfId="7910" xr:uid="{2CDDE6DF-5B9B-4EB2-8FB2-F0082F426B1C}"/>
    <cellStyle name="Berechnung 4 2 18" xfId="9693" xr:uid="{0A371BA8-4B4C-4142-8699-843A7908607A}"/>
    <cellStyle name="Berechnung 4 2 19" xfId="9305" xr:uid="{4F590E89-16CC-4833-B0D2-2928F0C30B71}"/>
    <cellStyle name="Berechnung 4 2 2" xfId="1233" xr:uid="{47336F23-F050-4EA1-9CA8-F310082791A4}"/>
    <cellStyle name="Berechnung 4 2 20" xfId="10138" xr:uid="{C5C42E24-0184-449A-B344-64D83806198B}"/>
    <cellStyle name="Berechnung 4 2 21" xfId="9441" xr:uid="{36926A77-AF75-491E-A084-5F0AD402A80A}"/>
    <cellStyle name="Berechnung 4 2 22" xfId="10933" xr:uid="{6E3523EE-E416-440A-8C65-AFE358F7C7D0}"/>
    <cellStyle name="Berechnung 4 2 23" xfId="12112" xr:uid="{6B4B796C-FF36-4BC2-8A93-ADD45DD26440}"/>
    <cellStyle name="Berechnung 4 2 24" xfId="12585" xr:uid="{87C002E2-33FB-4FB8-B32F-F5AAA3F94965}"/>
    <cellStyle name="Berechnung 4 2 25" xfId="13019" xr:uid="{303ACAC4-7946-4E09-AFB5-476F19143D36}"/>
    <cellStyle name="Berechnung 4 2 26" xfId="13456" xr:uid="{B78FF7AF-82DA-44AC-8179-789998E30595}"/>
    <cellStyle name="Berechnung 4 2 27" xfId="13610" xr:uid="{0AE1B028-B849-4EFB-9256-B7401AF139B8}"/>
    <cellStyle name="Berechnung 4 2 28" xfId="11512" xr:uid="{6F974FF6-C4FB-40E0-BD83-4E363B4DB052}"/>
    <cellStyle name="Berechnung 4 2 29" xfId="14417" xr:uid="{B63B9915-E5E8-4567-8C93-E4BCB796E486}"/>
    <cellStyle name="Berechnung 4 2 3" xfId="1678" xr:uid="{E937D7A5-049F-46F8-983C-BF41340097F6}"/>
    <cellStyle name="Berechnung 4 2 30" xfId="15105" xr:uid="{E0664AAA-5B1A-4E74-9050-347B9EC687B4}"/>
    <cellStyle name="Berechnung 4 2 31" xfId="15734" xr:uid="{A4710728-DAEA-4609-9030-DF70E1C28B5D}"/>
    <cellStyle name="Berechnung 4 2 32" xfId="15706" xr:uid="{D7B108ED-811D-40A5-AAE6-0FAD9AB7B952}"/>
    <cellStyle name="Berechnung 4 2 33" xfId="16804" xr:uid="{9EB638EF-CBD3-4D09-9B29-1DED3E261354}"/>
    <cellStyle name="Berechnung 4 2 34" xfId="16414" xr:uid="{80AE99D7-8F8A-4DD4-A357-6315BC5EB96C}"/>
    <cellStyle name="Berechnung 4 2 35" xfId="17257" xr:uid="{CC5D8002-9AE7-463F-83C6-1A62C736803F}"/>
    <cellStyle name="Berechnung 4 2 36" xfId="18117" xr:uid="{019B0584-3D83-42A9-A969-E1E34ECC1AF1}"/>
    <cellStyle name="Berechnung 4 2 37" xfId="18622" xr:uid="{C6E916CC-1F5E-4B36-BAFA-BF0C05D9F1AA}"/>
    <cellStyle name="Berechnung 4 2 38" xfId="18288" xr:uid="{F30ABA00-532A-4CDF-A63F-CA434130E6F2}"/>
    <cellStyle name="Berechnung 4 2 39" xfId="19166" xr:uid="{D2336321-0B8C-448E-A9D1-D53863CA8F87}"/>
    <cellStyle name="Berechnung 4 2 4" xfId="2581" xr:uid="{6D778085-D904-4D00-8651-3FCEFF23C8B2}"/>
    <cellStyle name="Berechnung 4 2 40" xfId="20141" xr:uid="{147C677D-CF88-46EA-BC56-8B2C2981C129}"/>
    <cellStyle name="Berechnung 4 2 41" xfId="19749" xr:uid="{8C54F9A9-997A-4E61-9B3C-2303DD358E10}"/>
    <cellStyle name="Berechnung 4 2 42" xfId="19724" xr:uid="{501DC7DB-98CF-4FE2-ABF4-008BE321F224}"/>
    <cellStyle name="Berechnung 4 2 43" xfId="21315" xr:uid="{00E0390A-1E07-4089-9B18-609199A702F0}"/>
    <cellStyle name="Berechnung 4 2 44" xfId="21624" xr:uid="{8D6A4B07-1DAD-477C-A625-74BCDD683EF8}"/>
    <cellStyle name="Berechnung 4 2 45" xfId="19738" xr:uid="{7FFC1EB4-016B-4EB5-8783-725AA25118C2}"/>
    <cellStyle name="Berechnung 4 2 46" xfId="22619" xr:uid="{C7F87171-DD43-41F0-8C3D-EB1345CC1198}"/>
    <cellStyle name="Berechnung 4 2 47" xfId="22739" xr:uid="{0AA54CA8-6E2B-4B32-985B-4C161866B9C7}"/>
    <cellStyle name="Berechnung 4 2 48" xfId="21864" xr:uid="{794B6C51-A209-47C5-B6A7-5CCB1777BB52}"/>
    <cellStyle name="Berechnung 4 2 49" xfId="23941" xr:uid="{040663A0-50C1-414E-BD03-8DDE9AD08380}"/>
    <cellStyle name="Berechnung 4 2 5" xfId="2777" xr:uid="{D3794B8A-33E5-4922-91D3-9DE0067D15A0}"/>
    <cellStyle name="Berechnung 4 2 50" xfId="24849" xr:uid="{4B6A0D76-3415-460E-8BE3-76E2BC027AAF}"/>
    <cellStyle name="Berechnung 4 2 51" xfId="24332" xr:uid="{8DBAFDC8-E0B5-4452-B667-DBD95C43B165}"/>
    <cellStyle name="Berechnung 4 2 52" xfId="25765" xr:uid="{F224F669-D87A-4B87-99A6-E21E99ECBB25}"/>
    <cellStyle name="Berechnung 4 2 53" xfId="25071" xr:uid="{243D4DD3-FF82-461A-BF3D-05CA47C9B636}"/>
    <cellStyle name="Berechnung 4 2 54" xfId="26585" xr:uid="{26FAA847-CC1F-4DB0-843B-288977353E67}"/>
    <cellStyle name="Berechnung 4 2 55" xfId="27053" xr:uid="{5371EC53-CD03-4D8D-9E83-CED47CDE9342}"/>
    <cellStyle name="Berechnung 4 2 56" xfId="27472" xr:uid="{1E5161C8-A1ED-4B60-B36B-15DDC539B455}"/>
    <cellStyle name="Berechnung 4 2 57" xfId="26177" xr:uid="{E4E81B07-C64B-445E-B902-3E6540FF433D}"/>
    <cellStyle name="Berechnung 4 2 58" xfId="28599" xr:uid="{3BC7B64B-8FAA-4FAB-8571-ABB3FE8A33D1}"/>
    <cellStyle name="Berechnung 4 2 59" xfId="29066" xr:uid="{089A06FD-3E4D-4356-859C-B39127EDA0DB}"/>
    <cellStyle name="Berechnung 4 2 6" xfId="3261" xr:uid="{99836868-6C63-411B-8483-76614B517BF0}"/>
    <cellStyle name="Berechnung 4 2 60" xfId="28737" xr:uid="{F8435540-CBF7-40E8-AD37-AB77F0AE0120}"/>
    <cellStyle name="Berechnung 4 2 61" xfId="29855" xr:uid="{E7F919B3-DE35-4B2E-AED9-DADD576A4E8F}"/>
    <cellStyle name="Berechnung 4 2 62" xfId="30261" xr:uid="{50E0C1A0-9FBE-4B58-A555-8954A937AEB9}"/>
    <cellStyle name="Berechnung 4 2 63" xfId="30678" xr:uid="{17967898-6566-416C-A2A9-23EC48C95A65}"/>
    <cellStyle name="Berechnung 4 2 64" xfId="28034" xr:uid="{EE665B9E-8EBB-4DAC-8286-E27B72EE3294}"/>
    <cellStyle name="Berechnung 4 2 65" xfId="31294" xr:uid="{0820A1EE-1944-497B-A457-15E21BDD0BCF}"/>
    <cellStyle name="Berechnung 4 2 66" xfId="31985" xr:uid="{33A6D8A5-8683-4F2D-A7C7-62C0041B6F96}"/>
    <cellStyle name="Berechnung 4 2 67" xfId="31662" xr:uid="{CED3D2C8-28A6-4FA3-A127-39B9A82974F6}"/>
    <cellStyle name="Berechnung 4 2 7" xfId="4077" xr:uid="{8230A263-8610-412A-AD5F-0E4EDB31E468}"/>
    <cellStyle name="Berechnung 4 2 8" xfId="4514" xr:uid="{DE3D3EDB-66E4-46FA-A90F-3DB395448ECD}"/>
    <cellStyle name="Berechnung 4 2 9" xfId="3360" xr:uid="{A7762E5F-2C4C-492F-AEAF-ECCD584C4020}"/>
    <cellStyle name="Berechnung 4 20" xfId="10116" xr:uid="{0FE5240B-E4C9-492F-8D55-8178E8A8AAC0}"/>
    <cellStyle name="Berechnung 4 21" xfId="10527" xr:uid="{BAB23F95-BF14-409F-A4ED-B19EA8049DD6}"/>
    <cellStyle name="Berechnung 4 22" xfId="10329" xr:uid="{B3D80569-0FB3-4B9E-A1D4-B356B9413295}"/>
    <cellStyle name="Berechnung 4 23" xfId="11265" xr:uid="{53FC4061-D73B-4892-AA53-BB393C326C59}"/>
    <cellStyle name="Berechnung 4 24" xfId="11897" xr:uid="{7A4965FE-6631-469C-A2CA-E10566D1F688}"/>
    <cellStyle name="Berechnung 4 25" xfId="12370" xr:uid="{4B1E3F72-4B05-4666-A05C-6C695576E2D8}"/>
    <cellStyle name="Berechnung 4 26" xfId="12804" xr:uid="{1CBD3DFF-D843-4ACD-96B8-C06F4678C025}"/>
    <cellStyle name="Berechnung 4 27" xfId="13241" xr:uid="{9B510708-6124-4072-BD13-033D352A3D9E}"/>
    <cellStyle name="Berechnung 4 28" xfId="13923" xr:uid="{875E2697-AD46-4A09-8F1E-F538809654F1}"/>
    <cellStyle name="Berechnung 4 29" xfId="14140" xr:uid="{CD2BF23B-6721-4ABE-943E-3A578CB0AB94}"/>
    <cellStyle name="Berechnung 4 3" xfId="1027" xr:uid="{3A62575E-1B21-495C-A027-C4A577A1FD1F}"/>
    <cellStyle name="Berechnung 4 30" xfId="14892" xr:uid="{7B4FC501-26F4-4CD3-B51A-DA5C9950BF8C}"/>
    <cellStyle name="Berechnung 4 31" xfId="14804" xr:uid="{15AD7BF9-F430-444F-8D32-B458F459D9F4}"/>
    <cellStyle name="Berechnung 4 32" xfId="15759" xr:uid="{2CF739BD-2BE4-4878-98F1-C310CC11CBFF}"/>
    <cellStyle name="Berechnung 4 33" xfId="15918" xr:uid="{34BC3579-B245-4F61-84D2-DAA543CA911D}"/>
    <cellStyle name="Berechnung 4 34" xfId="16589" xr:uid="{D671826F-FDC1-4A3C-AE4D-D622FB371BF2}"/>
    <cellStyle name="Berechnung 4 35" xfId="17235" xr:uid="{911131FA-003C-4D8E-9A3A-057489128804}"/>
    <cellStyle name="Berechnung 4 36" xfId="17679" xr:uid="{C4AFDCD1-B4EE-45E8-A898-D88837C09FA9}"/>
    <cellStyle name="Berechnung 4 37" xfId="18015" xr:uid="{91ABCDFA-A1D3-4FE2-8A27-096FD7455CA6}"/>
    <cellStyle name="Berechnung 4 38" xfId="18407" xr:uid="{A8455F3E-02B3-4D4E-BAE2-43C72812A694}"/>
    <cellStyle name="Berechnung 4 39" xfId="19012" xr:uid="{6450D0EA-62C7-4520-9D9C-CC7E1E5CE3C5}"/>
    <cellStyle name="Berechnung 4 4" xfId="1569" xr:uid="{242705ED-DB09-4123-A15C-C52C338CB765}"/>
    <cellStyle name="Berechnung 4 40" xfId="17799" xr:uid="{CBB2CC3C-9497-4BAF-95C6-21AF8797796B}"/>
    <cellStyle name="Berechnung 4 41" xfId="19926" xr:uid="{EB4D9E5B-43E9-4AC5-8E7A-AD4E41C329FA}"/>
    <cellStyle name="Berechnung 4 42" xfId="20586" xr:uid="{DD15DC90-E5B4-4A81-BB7A-4C929A059A04}"/>
    <cellStyle name="Berechnung 4 43" xfId="21040" xr:uid="{202E24C9-91DC-416E-B6FD-71324D36D631}"/>
    <cellStyle name="Berechnung 4 44" xfId="19399" xr:uid="{BAA3D22E-37E8-4690-ADAD-9BED72CBF0A9}"/>
    <cellStyle name="Berechnung 4 45" xfId="21971" xr:uid="{A22AFE0A-1198-4506-9897-AAE6760DAA1E}"/>
    <cellStyle name="Berechnung 4 46" xfId="22403" xr:uid="{AFFB4076-F6E4-4EFE-8C5F-465DB2ABECB3}"/>
    <cellStyle name="Berechnung 4 47" xfId="22899" xr:uid="{A83B669B-24FB-4ECF-8DA7-F038DBFFF7F5}"/>
    <cellStyle name="Berechnung 4 48" xfId="23292" xr:uid="{7A0D9F81-BB46-4C42-BA36-D398FF7EBA2A}"/>
    <cellStyle name="Berechnung 4 49" xfId="23032" xr:uid="{468D0A8F-72D8-47DA-9C1B-3C0E72475033}"/>
    <cellStyle name="Berechnung 4 5" xfId="2366" xr:uid="{52B9A4E8-495C-4E3A-A1FC-20331F806477}"/>
    <cellStyle name="Berechnung 4 50" xfId="23735" xr:uid="{4F74ABB1-F6E9-442E-9B97-9F49B27D3E6A}"/>
    <cellStyle name="Berechnung 4 51" xfId="24634" xr:uid="{4BAE0ED1-B074-4962-88F4-42D9F12C1EEE}"/>
    <cellStyle name="Berechnung 4 52" xfId="25295" xr:uid="{29C1D3CD-D0C8-477C-BC96-414D9F8F0B2A}"/>
    <cellStyle name="Berechnung 4 53" xfId="25552" xr:uid="{70908BDD-1446-431B-A66A-980155431D5C}"/>
    <cellStyle name="Berechnung 4 54" xfId="26205" xr:uid="{75C2ABAF-C321-4F1D-A297-5E106960C44D}"/>
    <cellStyle name="Berechnung 4 55" xfId="26350" xr:uid="{50469258-3AC4-4211-8790-330A6B51E988}"/>
    <cellStyle name="Berechnung 4 56" xfId="26842" xr:uid="{A8EA52CC-B2B9-4359-8337-697E8C215386}"/>
    <cellStyle name="Berechnung 4 57" xfId="27261" xr:uid="{070F2A2B-2B5F-4712-88F8-83A1F0560569}"/>
    <cellStyle name="Berechnung 4 58" xfId="27755" xr:uid="{5AB475DB-9EC6-41E2-A19B-87B4B65F7266}"/>
    <cellStyle name="Berechnung 4 59" xfId="28384" xr:uid="{934FB91F-1CAD-49BA-BB9B-FD47851FB096}"/>
    <cellStyle name="Berechnung 4 6" xfId="3091" xr:uid="{51A2A151-E894-40E5-89A8-F6CFDD1FBB8B}"/>
    <cellStyle name="Berechnung 4 60" xfId="28852" xr:uid="{4A676B1A-64A0-495A-BE51-0DCC8C868711}"/>
    <cellStyle name="Berechnung 4 61" xfId="29420" xr:uid="{EF7D9218-34AB-4539-A228-660E669262D9}"/>
    <cellStyle name="Berechnung 4 62" xfId="29642" xr:uid="{FF6E186D-EF0A-4979-9F82-D23BE87B50D7}"/>
    <cellStyle name="Berechnung 4 63" xfId="30050" xr:uid="{867A07B4-8853-42D0-89A5-2EA24F05D0ED}"/>
    <cellStyle name="Berechnung 4 64" xfId="30464" xr:uid="{AD5FC2E4-764A-4413-A0A9-F579700988A3}"/>
    <cellStyle name="Berechnung 4 65" xfId="30910" xr:uid="{DA32D601-6E3F-4BC7-A4EE-505962F452B1}"/>
    <cellStyle name="Berechnung 4 66" xfId="31088" xr:uid="{1134EA76-687A-4B06-BEC5-C1AA9CD4B52C}"/>
    <cellStyle name="Berechnung 4 67" xfId="31774" xr:uid="{DB087B62-0B45-405E-97BB-0D9354735526}"/>
    <cellStyle name="Berechnung 4 68" xfId="31687" xr:uid="{AD4BBB6F-5CAB-41FB-A0F0-3BAA0756BE74}"/>
    <cellStyle name="Berechnung 4 7" xfId="3298" xr:uid="{B6730E75-104F-4EE0-970B-85A5241F9610}"/>
    <cellStyle name="Berechnung 4 8" xfId="3862" xr:uid="{9BE5315F-73A8-480A-A37D-E1265FDF5AFC}"/>
    <cellStyle name="Berechnung 4 9" xfId="4300" xr:uid="{BB45C06B-03AE-4FD3-9F35-97BA157458CF}"/>
    <cellStyle name="Berechnung 5" xfId="661" xr:uid="{633DCED2-BDBA-448A-8971-051DED064BB6}"/>
    <cellStyle name="Berechnung 5 10" xfId="4891" xr:uid="{B1C8D6BE-64B7-452D-9961-143EA5D40B56}"/>
    <cellStyle name="Berechnung 5 11" xfId="5309" xr:uid="{23A5C46A-634D-4B14-938D-E18A3F2A48FA}"/>
    <cellStyle name="Berechnung 5 12" xfId="4909" xr:uid="{367B375D-9E8C-45B1-872A-4C1F7C41901A}"/>
    <cellStyle name="Berechnung 5 13" xfId="5137" xr:uid="{A92CA853-65F1-472B-B1BC-DAAF84841B51}"/>
    <cellStyle name="Berechnung 5 14" xfId="6624" xr:uid="{74AA3224-A42B-4E4E-8CAF-BBE703960F35}"/>
    <cellStyle name="Berechnung 5 15" xfId="7381" xr:uid="{231E910A-77D4-443D-B71E-58ACDFF7BF18}"/>
    <cellStyle name="Berechnung 5 16" xfId="7985" xr:uid="{95ADCC36-5C7C-4195-AB6C-9A312347C8C9}"/>
    <cellStyle name="Berechnung 5 17" xfId="7964" xr:uid="{7387D828-A791-4DE5-84CF-423DF9C435D5}"/>
    <cellStyle name="Berechnung 5 18" xfId="6829" xr:uid="{54F83821-EBCE-4061-A11E-58EB2AFA33C9}"/>
    <cellStyle name="Berechnung 5 19" xfId="9595" xr:uid="{5CF1F031-6818-4A54-8721-4E64EAF3F2CF}"/>
    <cellStyle name="Berechnung 5 2" xfId="876" xr:uid="{8A97A420-F6D4-48B5-BD61-CBB26FC9567E}"/>
    <cellStyle name="Berechnung 5 2 10" xfId="5524" xr:uid="{8755D93A-D7C1-4CDC-B385-5C6550E6D14F}"/>
    <cellStyle name="Berechnung 5 2 11" xfId="6018" xr:uid="{48438AF1-349F-4C6E-85CC-188A214D2F0E}"/>
    <cellStyle name="Berechnung 5 2 12" xfId="6377" xr:uid="{48085011-2418-45EF-9FB8-F80528CFA54E}"/>
    <cellStyle name="Berechnung 5 2 13" xfId="6715" xr:uid="{30644A5F-AB75-4B42-818D-02AC905F2B7D}"/>
    <cellStyle name="Berechnung 5 2 14" xfId="7596" xr:uid="{AE797326-3B74-4AD2-AFC8-59F92EC515DE}"/>
    <cellStyle name="Berechnung 5 2 15" xfId="8060" xr:uid="{19076CD6-18FF-4813-BB9C-E616469A12B9}"/>
    <cellStyle name="Berechnung 5 2 16" xfId="8669" xr:uid="{365C4FAB-3860-48BB-9E65-EAF52510D92A}"/>
    <cellStyle name="Berechnung 5 2 17" xfId="8928" xr:uid="{05DB17C0-C602-4059-A523-DEC09193FA4D}"/>
    <cellStyle name="Berechnung 5 2 18" xfId="9810" xr:uid="{DE3A4733-540C-498A-8BB8-EAFA4F7A00B4}"/>
    <cellStyle name="Berechnung 5 2 19" xfId="10279" xr:uid="{3950CA31-16FB-4D37-9AAB-718F6CC61F45}"/>
    <cellStyle name="Berechnung 5 2 2" xfId="1350" xr:uid="{8102F17C-BADE-46F6-B564-67E2ED73229D}"/>
    <cellStyle name="Berechnung 5 2 20" xfId="10673" xr:uid="{014BC73F-42E9-450B-9D3A-C1DC9839711C}"/>
    <cellStyle name="Berechnung 5 2 21" xfId="11022" xr:uid="{B9AF51A8-247A-47CE-8516-5FC1312E0AF6}"/>
    <cellStyle name="Berechnung 5 2 22" xfId="11332" xr:uid="{862CB726-A12E-499D-83CB-9ED0FF11365A}"/>
    <cellStyle name="Berechnung 5 2 23" xfId="12229" xr:uid="{0081A759-3E28-457E-8785-0BD576463A4B}"/>
    <cellStyle name="Berechnung 5 2 24" xfId="12702" xr:uid="{403E727A-94FC-4EAE-A170-EDDE8086F885}"/>
    <cellStyle name="Berechnung 5 2 25" xfId="13136" xr:uid="{F5D736E7-8F45-4473-89C3-A7F73B05D964}"/>
    <cellStyle name="Berechnung 5 2 26" xfId="13573" xr:uid="{48966583-E6FF-4ADA-A2CA-6A66947B32D9}"/>
    <cellStyle name="Berechnung 5 2 27" xfId="14045" xr:uid="{F71606B5-21EB-4743-B8A6-B9D64F8B8D4B}"/>
    <cellStyle name="Berechnung 5 2 28" xfId="14492" xr:uid="{2BEDC251-ACD6-4422-9478-509F3E2F7947}"/>
    <cellStyle name="Berechnung 5 2 29" xfId="14926" xr:uid="{6F60D5AC-3A57-49B7-B51A-EE48CE11C0AB}"/>
    <cellStyle name="Berechnung 5 2 3" xfId="1799" xr:uid="{8A75CD67-07E5-4E4A-9718-8EC44DB7A80F}"/>
    <cellStyle name="Berechnung 5 2 30" xfId="15396" xr:uid="{D65C9D58-77F1-458D-B0CE-15121ACBB694}"/>
    <cellStyle name="Berechnung 5 2 31" xfId="15786" xr:uid="{DF2F52FD-34D3-4D92-8053-9AB6A55B682A}"/>
    <cellStyle name="Berechnung 5 2 32" xfId="16008" xr:uid="{50196C19-F7CF-455F-92AA-AB738A833275}"/>
    <cellStyle name="Berechnung 5 2 33" xfId="16921" xr:uid="{424D3AA6-271D-479F-BA2A-E5455021AE05}"/>
    <cellStyle name="Berechnung 5 2 34" xfId="17402" xr:uid="{BEA8526F-2D14-4128-A63F-BF5F7086A818}"/>
    <cellStyle name="Berechnung 5 2 35" xfId="17843" xr:uid="{1DD40F83-A82D-4444-B58A-A1B01FDA5DCC}"/>
    <cellStyle name="Berechnung 5 2 36" xfId="18318" xr:uid="{2667A8D0-AA1D-47E4-B7E6-22B7B3C73178}"/>
    <cellStyle name="Berechnung 5 2 37" xfId="18739" xr:uid="{4E0DED1F-0DF9-4DAF-BADC-6CC7BE30D44B}"/>
    <cellStyle name="Berechnung 5 2 38" xfId="19126" xr:uid="{FAB4D34C-9D97-440E-958A-A9DDF6B424BE}"/>
    <cellStyle name="Berechnung 5 2 39" xfId="19356" xr:uid="{979F0C48-2EE7-4A53-AC57-69B781062EA1}"/>
    <cellStyle name="Berechnung 5 2 4" xfId="2698" xr:uid="{3AE5EBA8-3331-480F-9476-70E8B9681F5E}"/>
    <cellStyle name="Berechnung 5 2 40" xfId="20258" xr:uid="{BCFA8D15-9786-420B-B4B6-A653B6156EEF}"/>
    <cellStyle name="Berechnung 5 2 41" xfId="20751" xr:uid="{41D6A768-B6E1-4C78-9EF1-1E4ED022E0AF}"/>
    <cellStyle name="Berechnung 5 2 42" xfId="21210" xr:uid="{B8167ADF-E19B-452E-84FC-E5E7198E0841}"/>
    <cellStyle name="Berechnung 5 2 43" xfId="21702" xr:uid="{9E9E63F2-56FC-4B2B-B870-076A83453B8F}"/>
    <cellStyle name="Berechnung 5 2 44" xfId="22141" xr:uid="{D1031FBC-534E-47A2-8DA9-300CCD40E054}"/>
    <cellStyle name="Berechnung 5 2 45" xfId="22568" xr:uid="{9E83DE74-5382-4F2C-97C2-100BB5E5A012}"/>
    <cellStyle name="Berechnung 5 2 46" xfId="23013" xr:uid="{7D9D425D-EB6B-4EB4-B498-D507DC2D0CFC}"/>
    <cellStyle name="Berechnung 5 2 47" xfId="23415" xr:uid="{8DE123A2-0596-48E7-BD7F-022100900D80}"/>
    <cellStyle name="Berechnung 5 2 48" xfId="23678" xr:uid="{B78BFA54-6362-4335-8458-0736B05D0537}"/>
    <cellStyle name="Berechnung 5 2 49" xfId="24058" xr:uid="{98F7BC81-16FD-4B06-AC5D-9748C0C06193}"/>
    <cellStyle name="Berechnung 5 2 5" xfId="3218" xr:uid="{163E9783-E373-48B4-B775-10FC5578DEA0}"/>
    <cellStyle name="Berechnung 5 2 50" xfId="24966" xr:uid="{1F3C56B7-D350-4709-8F0A-60143E6DCD5C}"/>
    <cellStyle name="Berechnung 5 2 51" xfId="25454" xr:uid="{A9627C09-BC1A-4A32-B368-7ACE4353170D}"/>
    <cellStyle name="Berechnung 5 2 52" xfId="25882" xr:uid="{912CA451-3E5F-49EC-B0B0-CBECE004C56E}"/>
    <cellStyle name="Berechnung 5 2 53" xfId="26320" xr:uid="{4DDD1DA5-76FD-4334-9F0C-5D3B311268A8}"/>
    <cellStyle name="Berechnung 5 2 54" xfId="26749" xr:uid="{0582FDA8-F05B-4F9A-8E2B-B1C01AF89E75}"/>
    <cellStyle name="Berechnung 5 2 55" xfId="27170" xr:uid="{260A78BC-01F7-4FD8-8C9F-4C7B92AF2192}"/>
    <cellStyle name="Berechnung 5 2 56" xfId="27589" xr:uid="{FFCFA392-64DD-4953-95B6-6049EC522D22}"/>
    <cellStyle name="Berechnung 5 2 57" xfId="26561" xr:uid="{1461F3C1-9249-4F99-8A1B-A41038707AD7}"/>
    <cellStyle name="Berechnung 5 2 58" xfId="28716" xr:uid="{367C5984-D4E0-44B2-BF04-8270C4CFCBED}"/>
    <cellStyle name="Berechnung 5 2 59" xfId="29183" xr:uid="{7B00D894-350B-47A8-A1A0-8C02373DF1FD}"/>
    <cellStyle name="Berechnung 5 2 6" xfId="3773" xr:uid="{6D7BD00D-7155-442F-958D-D7EE9A69BA3F}"/>
    <cellStyle name="Berechnung 5 2 60" xfId="29565" xr:uid="{7584FD3F-1141-4920-BF1B-FD23995E76E6}"/>
    <cellStyle name="Berechnung 5 2 61" xfId="29972" xr:uid="{7562D935-07D1-4455-90D6-B97AFD3F7751}"/>
    <cellStyle name="Berechnung 5 2 62" xfId="30378" xr:uid="{BEC79C06-5F0D-4E7D-A227-892279A6B1EC}"/>
    <cellStyle name="Berechnung 5 2 63" xfId="30795" xr:uid="{8B35B6CD-6D3A-4CBF-AD5E-7C16641FE17D}"/>
    <cellStyle name="Berechnung 5 2 64" xfId="31040" xr:uid="{16AC902E-18CD-4C65-928E-31BBE80DD4E5}"/>
    <cellStyle name="Berechnung 5 2 65" xfId="31411" xr:uid="{7D1D74A5-D145-47E2-8180-A4D31EE76D10}"/>
    <cellStyle name="Berechnung 5 2 66" xfId="32102" xr:uid="{279DCE47-662F-48A5-B91C-D85C04FE881C}"/>
    <cellStyle name="Berechnung 5 2 67" xfId="32389" xr:uid="{ED713425-F8DC-411C-B60C-759D61FAB8E0}"/>
    <cellStyle name="Berechnung 5 2 7" xfId="4194" xr:uid="{731B4420-3AA6-4164-A2F5-38948213EF45}"/>
    <cellStyle name="Berechnung 5 2 8" xfId="4631" xr:uid="{CFADD592-6D1D-4D60-8ACC-D4D160FBED37}"/>
    <cellStyle name="Berechnung 5 2 9" xfId="5077" xr:uid="{1E1E4CA9-B031-4F86-BBAC-59DAE6E60391}"/>
    <cellStyle name="Berechnung 5 20" xfId="10201" xr:uid="{50AF41BE-5E16-4A36-AEF3-0F4D5B3593BD}"/>
    <cellStyle name="Berechnung 5 21" xfId="10605" xr:uid="{9525F021-8E24-4945-AF58-5CA7CE80208D}"/>
    <cellStyle name="Berechnung 5 22" xfId="10247" xr:uid="{01C2B521-B6A8-4CF4-8C05-151FD28CC8F4}"/>
    <cellStyle name="Berechnung 5 23" xfId="10963" xr:uid="{3DE22E67-D1D9-4BFD-8837-DC51499A2ABB}"/>
    <cellStyle name="Berechnung 5 24" xfId="12014" xr:uid="{0693BDD0-4930-4727-A5EB-CD11B562FE8A}"/>
    <cellStyle name="Berechnung 5 25" xfId="12487" xr:uid="{99A75BB1-EC88-4901-BE74-A9546F10D98A}"/>
    <cellStyle name="Berechnung 5 26" xfId="12921" xr:uid="{F233487C-9C7C-4277-8485-868CB4980C5C}"/>
    <cellStyle name="Berechnung 5 27" xfId="13358" xr:uid="{4F6B9028-6F3A-4A5B-A071-E01CD9048D2E}"/>
    <cellStyle name="Berechnung 5 28" xfId="12254" xr:uid="{1114F0C5-53A1-4DC7-8679-7ACEA180FC0A}"/>
    <cellStyle name="Berechnung 5 29" xfId="14326" xr:uid="{23E0F2C9-E22A-4567-BBB2-28841600E105}"/>
    <cellStyle name="Berechnung 5 3" xfId="1144" xr:uid="{C984A2BB-7E49-40F0-AE3F-88C808C0F6AE}"/>
    <cellStyle name="Berechnung 5 30" xfId="14851" xr:uid="{F9952393-36B0-4D65-920B-B4F05CB273EA}"/>
    <cellStyle name="Berechnung 5 31" xfId="14669" xr:uid="{6C93A53E-9103-4BA2-BF60-9318B79886B3}"/>
    <cellStyle name="Berechnung 5 32" xfId="15646" xr:uid="{8804F4EA-E0E2-4097-9644-2EE7D704D036}"/>
    <cellStyle name="Berechnung 5 33" xfId="15964" xr:uid="{36F57C6A-EF9F-4E67-8E84-6204811F02F1}"/>
    <cellStyle name="Berechnung 5 34" xfId="16706" xr:uid="{352783D8-7A7F-4BEE-A20A-ADAF7E67CFAB}"/>
    <cellStyle name="Berechnung 5 35" xfId="17322" xr:uid="{E5DAAC08-3C47-488F-867C-D1302B3C4B46}"/>
    <cellStyle name="Berechnung 5 36" xfId="17765" xr:uid="{A61ED9BB-0096-4989-936F-EAEBBD64470A}"/>
    <cellStyle name="Berechnung 5 37" xfId="17865" xr:uid="{11DEDF5B-0B52-46B8-AA45-323F9EDC4C5B}"/>
    <cellStyle name="Berechnung 5 38" xfId="18524" xr:uid="{1753A0C5-1DD0-42F2-83BE-6096341A79C3}"/>
    <cellStyle name="Berechnung 5 39" xfId="17731" xr:uid="{DDF1807D-6C77-48CD-9AA0-81C9A7529ADA}"/>
    <cellStyle name="Berechnung 5 4" xfId="1603" xr:uid="{CDB4666B-C4CE-4342-A1AE-82EFAA984AD1}"/>
    <cellStyle name="Berechnung 5 40" xfId="19047" xr:uid="{800E83AB-AD09-41DA-9E54-8086CC68033D}"/>
    <cellStyle name="Berechnung 5 41" xfId="20043" xr:uid="{AF11178D-9542-44F3-B507-60C9D84022A7}"/>
    <cellStyle name="Berechnung 5 42" xfId="20673" xr:uid="{D6FEBF5D-1531-496B-B654-53F332FF42F6}"/>
    <cellStyle name="Berechnung 5 43" xfId="21129" xr:uid="{2DA54DDC-608B-47A3-B47B-A8C42E52E31F}"/>
    <cellStyle name="Berechnung 5 44" xfId="19493" xr:uid="{757BF95C-5361-4794-9BA2-CAE0B74EF462}"/>
    <cellStyle name="Berechnung 5 45" xfId="22061" xr:uid="{3550C666-CED8-4392-944D-2F472B47C09D}"/>
    <cellStyle name="Berechnung 5 46" xfId="22489" xr:uid="{C2929398-87F8-465D-8A41-E160D4B2010A}"/>
    <cellStyle name="Berechnung 5 47" xfId="20336" xr:uid="{DCD66204-226F-453F-A749-0CDA6C20D1D7}"/>
    <cellStyle name="Berechnung 5 48" xfId="20726" xr:uid="{B510E86F-3F72-4739-BD20-587BC337AE52}"/>
    <cellStyle name="Berechnung 5 49" xfId="23321" xr:uid="{A8929B1A-3D95-4AEF-94FB-5D88B32A398C}"/>
    <cellStyle name="Berechnung 5 5" xfId="2483" xr:uid="{A09A280A-F1F9-4A47-AA29-1DF3DBB02E59}"/>
    <cellStyle name="Berechnung 5 50" xfId="23852" xr:uid="{1385315C-493B-449D-A539-02F49639128F}"/>
    <cellStyle name="Berechnung 5 51" xfId="24751" xr:uid="{6F70FD95-9D6F-4E78-A13C-467E4D68A232}"/>
    <cellStyle name="Berechnung 5 52" xfId="25376" xr:uid="{EBCF7BDA-D883-46C6-B003-6985000C1AC6}"/>
    <cellStyle name="Berechnung 5 53" xfId="25669" xr:uid="{69592C9C-6680-459B-89C9-1563B543BD68}"/>
    <cellStyle name="Berechnung 5 54" xfId="24419" xr:uid="{F88B0755-4A7C-42F3-9126-8861F4959C41}"/>
    <cellStyle name="Berechnung 5 55" xfId="26532" xr:uid="{E41E6BE5-CF1B-4E7D-BA78-CC0E7C54B5C5}"/>
    <cellStyle name="Berechnung 5 56" xfId="26959" xr:uid="{AC561DD6-AA3C-41AD-9A58-F48E23C3CD3D}"/>
    <cellStyle name="Berechnung 5 57" xfId="27378" xr:uid="{FCC8DA29-372B-4644-B417-1AC167DE274B}"/>
    <cellStyle name="Berechnung 5 58" xfId="24103" xr:uid="{0D688129-5867-4F93-AA07-C01961B360E7}"/>
    <cellStyle name="Berechnung 5 59" xfId="28501" xr:uid="{1AA38F61-05FA-48F8-B918-F30A412FE250}"/>
    <cellStyle name="Berechnung 5 6" xfId="1823" xr:uid="{C3A88650-7C4E-40D0-BAE0-71140E21ECF4}"/>
    <cellStyle name="Berechnung 5 60" xfId="28969" xr:uid="{647FE588-C6D1-4C9C-8C04-BF8A530FFC53}"/>
    <cellStyle name="Berechnung 5 61" xfId="29498" xr:uid="{6742060A-CBD4-4FDE-8470-D9A26113F640}"/>
    <cellStyle name="Berechnung 5 62" xfId="29759" xr:uid="{90629463-0ECD-4B77-B992-3E409FC40C48}"/>
    <cellStyle name="Berechnung 5 63" xfId="30167" xr:uid="{B23FB470-9C74-451B-8AD3-3D8AAA95A7B1}"/>
    <cellStyle name="Berechnung 5 64" xfId="30581" xr:uid="{4E1B9BFD-87CE-4851-88B9-41154E54A50F}"/>
    <cellStyle name="Berechnung 5 65" xfId="30827" xr:uid="{183B8D35-92BE-40B8-9FB2-BD2FABB42703}"/>
    <cellStyle name="Berechnung 5 66" xfId="31205" xr:uid="{DB8FB25D-CE86-4558-A26D-86DBA4DD1529}"/>
    <cellStyle name="Berechnung 5 67" xfId="31891" xr:uid="{FB8E842A-ED90-486C-86D6-CB48339C2CB4}"/>
    <cellStyle name="Berechnung 5 68" xfId="32253" xr:uid="{A25F195E-B101-4D77-802E-E463E3C00111}"/>
    <cellStyle name="Berechnung 5 7" xfId="2331" xr:uid="{D395A6A9-1BB7-49DE-BE73-CC8D7F5050DC}"/>
    <cellStyle name="Berechnung 5 8" xfId="3979" xr:uid="{4A66C9D6-E2C4-40FE-9601-6893EDF6471A}"/>
    <cellStyle name="Berechnung 5 9" xfId="4417" xr:uid="{D8DD8B23-5471-4B5E-917B-17BBCE63520A}"/>
    <cellStyle name="Berechnung 6" xfId="673" xr:uid="{553BD92C-09CF-4A86-8032-4C07658E7F9B}"/>
    <cellStyle name="Berechnung 6 10" xfId="4782" xr:uid="{761BC273-DF57-4BCB-A772-9D2643CDCC96}"/>
    <cellStyle name="Berechnung 6 11" xfId="5321" xr:uid="{722F3CA6-5ED0-42B9-AFC4-66BFA03A55FD}"/>
    <cellStyle name="Berechnung 6 12" xfId="2239" xr:uid="{B8B0BF0F-2626-4CB0-9FA7-BDC3C6AF7D62}"/>
    <cellStyle name="Berechnung 6 13" xfId="6257" xr:uid="{D74DA2F3-6CE3-451F-9CF1-AA1CB201F1F1}"/>
    <cellStyle name="Berechnung 6 14" xfId="6610" xr:uid="{751C49E3-B9B4-4CE9-A4FB-7E9470844B14}"/>
    <cellStyle name="Berechnung 6 15" xfId="7393" xr:uid="{40A6A442-5FD3-4E49-BCD7-09515407682A}"/>
    <cellStyle name="Berechnung 6 16" xfId="7784" xr:uid="{7C404BA1-4D71-4E0C-87C4-DD07F618E7FE}"/>
    <cellStyle name="Berechnung 6 17" xfId="8345" xr:uid="{CD0A625C-B236-483A-A4D7-82371AD78C1A}"/>
    <cellStyle name="Berechnung 6 18" xfId="7817" xr:uid="{2AC1FCB4-21D9-4608-B753-31B251A6EC46}"/>
    <cellStyle name="Berechnung 6 19" xfId="9607" xr:uid="{338D0A43-4B15-4C50-BC14-745179275100}"/>
    <cellStyle name="Berechnung 6 2" xfId="887" xr:uid="{C5768A61-DD4E-45F5-AC7D-2491783DA12F}"/>
    <cellStyle name="Berechnung 6 2 10" xfId="5535" xr:uid="{88DB9CCC-C3B4-4AE7-BAC0-E3E9BF2C109D}"/>
    <cellStyle name="Berechnung 6 2 11" xfId="6029" xr:uid="{590FEE17-BB50-4A9E-B3E9-053D7E92EE97}"/>
    <cellStyle name="Berechnung 6 2 12" xfId="6388" xr:uid="{BBBDD3E4-0BE0-4DFF-A26F-54E06C129F80}"/>
    <cellStyle name="Berechnung 6 2 13" xfId="6726" xr:uid="{FAF8CC75-206F-48A2-8E49-D984038D5A15}"/>
    <cellStyle name="Berechnung 6 2 14" xfId="7607" xr:uid="{C44DC126-D829-4280-907B-8994E919AD2D}"/>
    <cellStyle name="Berechnung 6 2 15" xfId="8071" xr:uid="{32B78534-4734-4DC5-8581-600E4A78617B}"/>
    <cellStyle name="Berechnung 6 2 16" xfId="8680" xr:uid="{000FF94A-B557-4E6F-94EE-B92036013654}"/>
    <cellStyle name="Berechnung 6 2 17" xfId="8939" xr:uid="{BAF3DD26-812F-4CB1-B6B1-A126FD6CE306}"/>
    <cellStyle name="Berechnung 6 2 18" xfId="9821" xr:uid="{CF9B0B5F-F596-4A0F-8F25-BEF52CDE1B3E}"/>
    <cellStyle name="Berechnung 6 2 19" xfId="10290" xr:uid="{39AC4A00-1265-4D4F-849D-ED646AF40A37}"/>
    <cellStyle name="Berechnung 6 2 2" xfId="1361" xr:uid="{24242F7D-09E2-4AE2-BCC9-F2386FFD6A20}"/>
    <cellStyle name="Berechnung 6 2 20" xfId="10684" xr:uid="{736B64B6-5CCC-492F-B825-54B953718F44}"/>
    <cellStyle name="Berechnung 6 2 21" xfId="11033" xr:uid="{B18E7D7A-BDDE-4B8E-9BFB-ECE3351A15E7}"/>
    <cellStyle name="Berechnung 6 2 22" xfId="11343" xr:uid="{633F228A-6154-451F-83EA-5BDDB209A279}"/>
    <cellStyle name="Berechnung 6 2 23" xfId="12240" xr:uid="{6632CA53-2DE3-4F4C-9842-7B6405CED593}"/>
    <cellStyle name="Berechnung 6 2 24" xfId="12713" xr:uid="{A8353C33-27B2-4ACB-9BAF-3FA3B97BDB17}"/>
    <cellStyle name="Berechnung 6 2 25" xfId="13147" xr:uid="{C9976E95-A844-4941-B167-63F574EFCB6A}"/>
    <cellStyle name="Berechnung 6 2 26" xfId="13584" xr:uid="{D68ECE55-379A-457B-82A4-703D24E6A392}"/>
    <cellStyle name="Berechnung 6 2 27" xfId="14056" xr:uid="{3540BF6B-1F2E-4D3F-8B99-8E8F0E341151}"/>
    <cellStyle name="Berechnung 6 2 28" xfId="14503" xr:uid="{AB4B4713-72FC-437E-ABEA-37EE5E87BF9E}"/>
    <cellStyle name="Berechnung 6 2 29" xfId="14937" xr:uid="{B7DB121C-F565-44B0-AF09-68CC4ED1EF37}"/>
    <cellStyle name="Berechnung 6 2 3" xfId="1810" xr:uid="{8CB4F4D4-1DD4-433C-BB3D-D98024DCC420}"/>
    <cellStyle name="Berechnung 6 2 30" xfId="15407" xr:uid="{CD1A8702-9D08-447E-9561-695F855BDB53}"/>
    <cellStyle name="Berechnung 6 2 31" xfId="15797" xr:uid="{32D29877-4C82-4F51-9225-849C59863813}"/>
    <cellStyle name="Berechnung 6 2 32" xfId="16019" xr:uid="{AB4AF4B2-A38C-4E53-8E19-1626311C3633}"/>
    <cellStyle name="Berechnung 6 2 33" xfId="16932" xr:uid="{F6793DE9-483C-49FF-802F-D557CDF84BC6}"/>
    <cellStyle name="Berechnung 6 2 34" xfId="17413" xr:uid="{DB233948-A5D9-4E9D-BD8A-F5A9733277BA}"/>
    <cellStyle name="Berechnung 6 2 35" xfId="17854" xr:uid="{1B4E76B8-6E76-4730-BF3B-3C416B93C605}"/>
    <cellStyle name="Berechnung 6 2 36" xfId="18329" xr:uid="{74FC8308-08D4-480D-A715-A862FBCB1975}"/>
    <cellStyle name="Berechnung 6 2 37" xfId="18750" xr:uid="{490F6B70-C4B8-47F7-84BC-DC805404ADF4}"/>
    <cellStyle name="Berechnung 6 2 38" xfId="19137" xr:uid="{ADF30DCC-3E54-4417-A5FA-6AA55C1C007C}"/>
    <cellStyle name="Berechnung 6 2 39" xfId="19367" xr:uid="{B0B7F60A-477F-44DD-A6D8-95810FC35016}"/>
    <cellStyle name="Berechnung 6 2 4" xfId="2709" xr:uid="{820CB6BA-4766-408C-9D43-CBFEC2C07B62}"/>
    <cellStyle name="Berechnung 6 2 40" xfId="20269" xr:uid="{B25C1F28-01B1-4E2A-83AC-4629FDCCA2B6}"/>
    <cellStyle name="Berechnung 6 2 41" xfId="20762" xr:uid="{2DC88E3F-DDA7-4D60-B023-DC82B79AC7C3}"/>
    <cellStyle name="Berechnung 6 2 42" xfId="21221" xr:uid="{51D993E5-4F98-40D0-86BA-00D8ECF12258}"/>
    <cellStyle name="Berechnung 6 2 43" xfId="21713" xr:uid="{4066C98C-533A-4D74-872A-A3D6241AD36A}"/>
    <cellStyle name="Berechnung 6 2 44" xfId="22152" xr:uid="{540426A2-D0A6-4CB1-9265-20AFC8ECFA3C}"/>
    <cellStyle name="Berechnung 6 2 45" xfId="22579" xr:uid="{79AA49DC-7C4C-45CE-88B2-EA05BF32A70F}"/>
    <cellStyle name="Berechnung 6 2 46" xfId="23024" xr:uid="{6EB026BE-FF62-45DC-BF22-8CB736A1D901}"/>
    <cellStyle name="Berechnung 6 2 47" xfId="23426" xr:uid="{717F291E-7A73-49A4-ABDA-BDBB4E033E91}"/>
    <cellStyle name="Berechnung 6 2 48" xfId="23689" xr:uid="{159A5F77-75D5-4923-92FA-E042EBD50068}"/>
    <cellStyle name="Berechnung 6 2 49" xfId="24069" xr:uid="{0861A57E-E2E5-4144-8035-DA6D7905041C}"/>
    <cellStyle name="Berechnung 6 2 5" xfId="3229" xr:uid="{1276A037-2323-4F87-B200-AC91807C9E02}"/>
    <cellStyle name="Berechnung 6 2 50" xfId="24977" xr:uid="{3B49DBC6-4736-468B-BC6A-27AE20149900}"/>
    <cellStyle name="Berechnung 6 2 51" xfId="25465" xr:uid="{57DA8A01-E9CA-4684-8D10-C380028EBBEF}"/>
    <cellStyle name="Berechnung 6 2 52" xfId="25893" xr:uid="{F9C5EDB2-DAF9-41A8-9556-FE9C8BFEF47C}"/>
    <cellStyle name="Berechnung 6 2 53" xfId="26331" xr:uid="{84491E43-6283-47F3-864A-19040FA2166D}"/>
    <cellStyle name="Berechnung 6 2 54" xfId="26760" xr:uid="{B62A4588-962F-4A08-B162-46EBEE870A46}"/>
    <cellStyle name="Berechnung 6 2 55" xfId="27181" xr:uid="{03622056-6863-4136-A1F3-35735FD77F13}"/>
    <cellStyle name="Berechnung 6 2 56" xfId="27600" xr:uid="{B0A0B5B8-F386-4461-B59F-0EF8FD6FF7AE}"/>
    <cellStyle name="Berechnung 6 2 57" xfId="27838" xr:uid="{E8442B6E-1C05-4F14-B325-F4CAEEEAFEFC}"/>
    <cellStyle name="Berechnung 6 2 58" xfId="28727" xr:uid="{9E9C8F99-14AA-4AA4-9BAD-2D8D6FD1C7F3}"/>
    <cellStyle name="Berechnung 6 2 59" xfId="29194" xr:uid="{77CFFBC5-8D86-4094-800A-4FEC915AFA8F}"/>
    <cellStyle name="Berechnung 6 2 6" xfId="3784" xr:uid="{CD0E5A3D-8580-4F9B-A0CD-5F1D428A847B}"/>
    <cellStyle name="Berechnung 6 2 60" xfId="29576" xr:uid="{59A03D9F-499F-4AF0-9E37-53AD05153E78}"/>
    <cellStyle name="Berechnung 6 2 61" xfId="29983" xr:uid="{4FCC6799-01A8-44D3-B17B-5CC4B1A451A8}"/>
    <cellStyle name="Berechnung 6 2 62" xfId="30389" xr:uid="{BE43FD9A-5990-4E84-A1A3-FBE70968081C}"/>
    <cellStyle name="Berechnung 6 2 63" xfId="30806" xr:uid="{73167D66-A7BE-4926-8783-56A7E71D24B4}"/>
    <cellStyle name="Berechnung 6 2 64" xfId="31051" xr:uid="{626CA998-C65F-4DC6-9F49-0D4236290375}"/>
    <cellStyle name="Berechnung 6 2 65" xfId="31422" xr:uid="{2316ABE1-B4FB-453E-95B4-CA28F5FFF5B2}"/>
    <cellStyle name="Berechnung 6 2 66" xfId="32113" xr:uid="{CCE50F9B-FFCF-46FC-BA44-183E98E46C49}"/>
    <cellStyle name="Berechnung 6 2 67" xfId="32400" xr:uid="{175E8705-682E-4372-B483-1A4E93C50C8B}"/>
    <cellStyle name="Berechnung 6 2 7" xfId="4205" xr:uid="{48C4F653-6101-4596-91CA-DFD998AD3F6F}"/>
    <cellStyle name="Berechnung 6 2 8" xfId="4642" xr:uid="{D2B853C1-C9AA-4DCF-809F-84DB6EFE4EEE}"/>
    <cellStyle name="Berechnung 6 2 9" xfId="5088" xr:uid="{C3A8B0B1-C857-4463-9552-BC95346C38BB}"/>
    <cellStyle name="Berechnung 6 20" xfId="9997" xr:uid="{9786DC9A-1B6E-451A-AFAF-40954F4E665E}"/>
    <cellStyle name="Berechnung 6 21" xfId="10422" xr:uid="{518E39D9-61D1-45FD-8DF6-A0D7B741BEC6}"/>
    <cellStyle name="Berechnung 6 22" xfId="10948" xr:uid="{4B539DD7-7040-4072-AD57-FAD0CB9DA3DE}"/>
    <cellStyle name="Berechnung 6 23" xfId="10818" xr:uid="{AB770A1D-B350-461A-A83B-62BD03F05FB0}"/>
    <cellStyle name="Berechnung 6 24" xfId="12026" xr:uid="{FF3D3569-017F-4417-9EB0-01C63E4A53FD}"/>
    <cellStyle name="Berechnung 6 25" xfId="12499" xr:uid="{EA181560-4DB5-452F-AB3A-A5FFAC1E1FA9}"/>
    <cellStyle name="Berechnung 6 26" xfId="12933" xr:uid="{EED28140-87BC-4DEB-AAE3-AFE79466159C}"/>
    <cellStyle name="Berechnung 6 27" xfId="13370" xr:uid="{A730E232-2A4B-4CEE-92F0-23CDB401E3C4}"/>
    <cellStyle name="Berechnung 6 28" xfId="13913" xr:uid="{64B06FD4-8A91-4118-BFBB-2E562E3EB37F}"/>
    <cellStyle name="Berechnung 6 29" xfId="13772" xr:uid="{61ABC7CF-8AA8-4C95-AEEE-0ED5E5674417}"/>
    <cellStyle name="Berechnung 6 3" xfId="1155" xr:uid="{E5EB41FC-42C1-4B40-BB86-D66235FA2547}"/>
    <cellStyle name="Berechnung 6 30" xfId="14651" xr:uid="{99487930-554F-495D-B698-D9E07EAEFF4B}"/>
    <cellStyle name="Berechnung 6 31" xfId="14958" xr:uid="{0FD4E888-CC7F-4D43-A693-0D0D9F00F14D}"/>
    <cellStyle name="Berechnung 6 32" xfId="15724" xr:uid="{AE6558E7-B5B0-4225-95C1-A709C87C30AD}"/>
    <cellStyle name="Berechnung 6 33" xfId="15852" xr:uid="{A868FEBF-2EAC-4AB5-80E2-281D40113058}"/>
    <cellStyle name="Berechnung 6 34" xfId="16718" xr:uid="{BE7C5A30-E925-4367-A4F5-8E67A8906DFA}"/>
    <cellStyle name="Berechnung 6 35" xfId="17113" xr:uid="{EA6181F1-C1BF-430D-955E-F273A7AACFA9}"/>
    <cellStyle name="Berechnung 6 36" xfId="17560" xr:uid="{091CE3F7-E940-4899-9970-104CB0FC5E75}"/>
    <cellStyle name="Berechnung 6 37" xfId="17529" xr:uid="{DF12DEA4-B675-4745-B071-92B64DEC7CAB}"/>
    <cellStyle name="Berechnung 6 38" xfId="18536" xr:uid="{51AE3BFA-35E6-4604-9A30-28FA69B65186}"/>
    <cellStyle name="Berechnung 6 39" xfId="18080" xr:uid="{737B4C84-8AE1-4417-B1EF-7DA1D47FD9B3}"/>
    <cellStyle name="Berechnung 6 4" xfId="1575" xr:uid="{2CC35F24-C180-4C14-AC74-0A088DB9D136}"/>
    <cellStyle name="Berechnung 6 40" xfId="19313" xr:uid="{EE263867-550E-4B38-8BA3-F799CFDF82E0}"/>
    <cellStyle name="Berechnung 6 41" xfId="20055" xr:uid="{BFEC7873-933B-4F11-B97C-71EA1BC48602}"/>
    <cellStyle name="Berechnung 6 42" xfId="20466" xr:uid="{5D6F9D47-DD03-4A90-A8BD-5F5B02D4B085}"/>
    <cellStyle name="Berechnung 6 43" xfId="20919" xr:uid="{8A8C5A07-088E-48CB-9C17-F6942A9E4CB6}"/>
    <cellStyle name="Berechnung 6 44" xfId="19680" xr:uid="{4FEC5458-DC5F-496D-94EB-C0EC548CA7B1}"/>
    <cellStyle name="Berechnung 6 45" xfId="21848" xr:uid="{25A963AF-74B1-4DB9-8BB0-253DB1979ADE}"/>
    <cellStyle name="Berechnung 6 46" xfId="22285" xr:uid="{7EAA0E1B-7096-4B5E-BC9C-AE1FB7612A90}"/>
    <cellStyle name="Berechnung 6 47" xfId="22890" xr:uid="{4FACBB6A-1B0B-41B0-AB3B-E4D887E624C2}"/>
    <cellStyle name="Berechnung 6 48" xfId="22412" xr:uid="{A4ED1E61-CEDF-4D72-90A5-10DC75FFD4D0}"/>
    <cellStyle name="Berechnung 6 49" xfId="23509" xr:uid="{EF13B919-81CC-4832-85BE-FA5DE25856D3}"/>
    <cellStyle name="Berechnung 6 5" xfId="2495" xr:uid="{65FDEF02-D93A-4E72-A587-3C67CE9435A4}"/>
    <cellStyle name="Berechnung 6 50" xfId="23863" xr:uid="{4B3ABAEA-7F0F-4977-BC9C-C701DE467075}"/>
    <cellStyle name="Berechnung 6 51" xfId="24763" xr:uid="{822EB7A1-2DA7-4BC4-A42E-DC9C8F03D723}"/>
    <cellStyle name="Berechnung 6 52" xfId="25174" xr:uid="{7A23B32F-6931-46E3-8C4F-959D8F938F72}"/>
    <cellStyle name="Berechnung 6 53" xfId="25681" xr:uid="{279C0E04-D432-4F5B-92D1-B2DA630B260C}"/>
    <cellStyle name="Berechnung 6 54" xfId="26196" xr:uid="{72532AB6-EE26-4E87-A42B-0B037769E553}"/>
    <cellStyle name="Berechnung 6 55" xfId="26169" xr:uid="{41267C29-3A45-4F7B-B5A7-67DD4F15BC3B}"/>
    <cellStyle name="Berechnung 6 56" xfId="26971" xr:uid="{4CCAE685-9A6B-4B9C-93B7-BB051F5DDAC7}"/>
    <cellStyle name="Berechnung 6 57" xfId="27390" xr:uid="{CF2728E4-B313-4668-AEAC-80EF101FD869}"/>
    <cellStyle name="Berechnung 6 58" xfId="27807" xr:uid="{B4607378-ADD4-4667-A178-777B14F79A35}"/>
    <cellStyle name="Berechnung 6 59" xfId="28513" xr:uid="{7A8D680C-C60E-49B9-BAFA-1FB5639634DE}"/>
    <cellStyle name="Berechnung 6 6" xfId="3081" xr:uid="{3C2B11F5-87A4-46B4-986B-FF7FDB9CEF3D}"/>
    <cellStyle name="Berechnung 6 60" xfId="28981" xr:uid="{2BA5C5B2-F5B3-423A-B2D3-F27A246E2174}"/>
    <cellStyle name="Berechnung 6 61" xfId="29321" xr:uid="{4A1BE7F9-B3D0-49A0-B546-B8B7286488E5}"/>
    <cellStyle name="Berechnung 6 62" xfId="29771" xr:uid="{35BC01B3-378B-4439-BD05-64A6F70B99E0}"/>
    <cellStyle name="Berechnung 6 63" xfId="30178" xr:uid="{FFA05042-801E-4B55-A322-29D99FDEE19D}"/>
    <cellStyle name="Berechnung 6 64" xfId="30593" xr:uid="{02F7862D-ECD0-4E43-B272-07FE132EF41D}"/>
    <cellStyle name="Berechnung 6 65" xfId="28109" xr:uid="{CA8695B5-9794-45EB-8390-4B2B79BA4928}"/>
    <cellStyle name="Berechnung 6 66" xfId="31216" xr:uid="{460221AE-20B3-4BD8-9747-F95D2A06E1C3}"/>
    <cellStyle name="Berechnung 6 67" xfId="31902" xr:uid="{70495E95-B3B1-4E58-A1DA-EFBC12D20C16}"/>
    <cellStyle name="Berechnung 6 68" xfId="31443" xr:uid="{12A82813-07B7-4D8C-8F60-7A88A502BAD4}"/>
    <cellStyle name="Berechnung 6 7" xfId="3263" xr:uid="{9F95520D-55BE-4197-8F96-ADC27DBA99B7}"/>
    <cellStyle name="Berechnung 6 8" xfId="3991" xr:uid="{04E0CB2C-8C4D-4FDD-9882-AD7124944B1D}"/>
    <cellStyle name="Berechnung 6 9" xfId="4429" xr:uid="{3B8CBEB5-2735-4806-9882-40B340E5CDA3}"/>
    <cellStyle name="Berechnung 7" xfId="679" xr:uid="{A6F7BE7D-6A7B-42C3-BDCD-E9BE3A53765B}"/>
    <cellStyle name="Berechnung 7 10" xfId="5327" xr:uid="{03E4C9A9-DBD0-4777-BA1A-10E9B64A4A8F}"/>
    <cellStyle name="Berechnung 7 11" xfId="5856" xr:uid="{09E4AB3D-280D-412E-B925-30E6B960528D}"/>
    <cellStyle name="Berechnung 7 12" xfId="6153" xr:uid="{80431F4D-7166-4207-BB58-F82ABE81E8F2}"/>
    <cellStyle name="Berechnung 7 13" xfId="6295" xr:uid="{113E03AA-8A0E-431C-9669-B39A934531DF}"/>
    <cellStyle name="Berechnung 7 14" xfId="7399" xr:uid="{DFAFB535-CE0B-430D-BCA0-81D074E651BB}"/>
    <cellStyle name="Berechnung 7 15" xfId="7191" xr:uid="{3BB52832-8740-407F-8C02-8FA81D4C24F4}"/>
    <cellStyle name="Berechnung 7 16" xfId="8425" xr:uid="{EE4C7154-D8E5-42E5-966A-AD80B555EE57}"/>
    <cellStyle name="Berechnung 7 17" xfId="8602" xr:uid="{A1808EF5-37DC-429C-9628-96532C310B1B}"/>
    <cellStyle name="Berechnung 7 18" xfId="9613" xr:uid="{782CF2E7-D69A-4E7D-886C-03985ACCD4BB}"/>
    <cellStyle name="Berechnung 7 19" xfId="9404" xr:uid="{CB09708C-1320-4DE5-8164-471036248932}"/>
    <cellStyle name="Berechnung 7 2" xfId="1161" xr:uid="{01B2D9E5-4317-46BA-8EC8-245FD8C40189}"/>
    <cellStyle name="Berechnung 7 20" xfId="10254" xr:uid="{7C4FDF7A-F5D3-4D6D-9004-9CE02DA322B5}"/>
    <cellStyle name="Berechnung 7 21" xfId="10954" xr:uid="{A6BD4385-C018-4A6E-83B8-75739471B025}"/>
    <cellStyle name="Berechnung 7 22" xfId="10717" xr:uid="{DAD08171-FDBB-4C51-96FF-A92794EEB76F}"/>
    <cellStyle name="Berechnung 7 23" xfId="12032" xr:uid="{57A64814-44CC-4AC0-A4C9-FDBCFAE9A783}"/>
    <cellStyle name="Berechnung 7 24" xfId="12505" xr:uid="{1ABF3CEA-BDCD-4FFE-B637-BA181936DD32}"/>
    <cellStyle name="Berechnung 7 25" xfId="12939" xr:uid="{544E6471-836C-4A58-B26D-4C0A6DD9E394}"/>
    <cellStyle name="Berechnung 7 26" xfId="13376" xr:uid="{0F4B22F0-1EC6-44B6-A56F-DDF7B42140BC}"/>
    <cellStyle name="Berechnung 7 27" xfId="13967" xr:uid="{566E9EDA-32B8-49CA-B96A-8C5F6AD15B44}"/>
    <cellStyle name="Berechnung 7 28" xfId="14226" xr:uid="{1AE9FB99-0B29-4F2B-8CCA-910765138DDC}"/>
    <cellStyle name="Berechnung 7 29" xfId="14127" xr:uid="{1B03D084-468F-402C-B977-835F005AA212}"/>
    <cellStyle name="Berechnung 7 3" xfId="1645" xr:uid="{66B9EEFF-33AD-48DA-8DA7-CBF3CBF8E334}"/>
    <cellStyle name="Berechnung 7 30" xfId="15180" xr:uid="{979267C6-5D46-4E72-B475-05EE800A3820}"/>
    <cellStyle name="Berechnung 7 31" xfId="14991" xr:uid="{FA8DB5F9-EEF0-4E4C-AC2E-BFBA5B781EEF}"/>
    <cellStyle name="Berechnung 7 32" xfId="14865" xr:uid="{5CE4ACFD-5CE9-41A0-B0ED-A7D80355BBC3}"/>
    <cellStyle name="Berechnung 7 33" xfId="16724" xr:uid="{8D453060-DBF9-41F0-BE14-A9B0E4AE65FA}"/>
    <cellStyle name="Berechnung 7 34" xfId="16513" xr:uid="{FC204569-6007-4B92-AAA8-3AF6464983ED}"/>
    <cellStyle name="Berechnung 7 35" xfId="17376" xr:uid="{F6E1AE3C-BD75-4D6B-AB88-930708703701}"/>
    <cellStyle name="Berechnung 7 36" xfId="18137" xr:uid="{45610BAD-2984-4F54-9294-FB1C9E1956B0}"/>
    <cellStyle name="Berechnung 7 37" xfId="18542" xr:uid="{DE5002D6-1A3D-4BF8-8F3F-DC1AAD931710}"/>
    <cellStyle name="Berechnung 7 38" xfId="18355" xr:uid="{BFC6B11D-944D-4311-AB14-6180B665323D}"/>
    <cellStyle name="Berechnung 7 39" xfId="19320" xr:uid="{6A48C642-A745-433E-83EF-FBDB2FDABB0A}"/>
    <cellStyle name="Berechnung 7 4" xfId="2501" xr:uid="{320B4FBF-553F-436A-AB78-9D97FDB353ED}"/>
    <cellStyle name="Berechnung 7 40" xfId="20061" xr:uid="{430F6D51-B412-4D6B-A5B8-FBC385F029AB}"/>
    <cellStyle name="Berechnung 7 41" xfId="19849" xr:uid="{FB339220-DB0C-4BB2-90EE-FFF19793AB29}"/>
    <cellStyle name="Berechnung 7 42" xfId="20632" xr:uid="{3BAFC2FE-2293-479A-9D2E-EDB1B8519DCA}"/>
    <cellStyle name="Berechnung 7 43" xfId="21169" xr:uid="{15696A29-DACB-47CA-9ABB-608FB0238C3B}"/>
    <cellStyle name="Berechnung 7 44" xfId="20351" xr:uid="{1168489A-E5B6-4953-9BBB-F3E20DE8BDC0}"/>
    <cellStyle name="Berechnung 7 45" xfId="19756" xr:uid="{63095FD6-5765-4B97-9BBC-4A27B6C6FE27}"/>
    <cellStyle name="Berechnung 7 46" xfId="22941" xr:uid="{F95AD3FE-C9B4-41CC-B56E-0E4DFA8B6D49}"/>
    <cellStyle name="Berechnung 7 47" xfId="21048" xr:uid="{7616BDF9-F794-4F5A-8A33-68E21514AA9A}"/>
    <cellStyle name="Berechnung 7 48" xfId="23513" xr:uid="{231878A8-6C87-45B8-BE6B-E78909D138FF}"/>
    <cellStyle name="Berechnung 7 49" xfId="23869" xr:uid="{BACFA151-F25E-43DB-97B9-BC8E1C71C0B9}"/>
    <cellStyle name="Berechnung 7 5" xfId="3137" xr:uid="{52FEF6D8-DCCE-426B-AED9-AF173914720E}"/>
    <cellStyle name="Berechnung 7 50" xfId="24769" xr:uid="{7F55823D-53A8-4E80-B62F-4662CAFE3698}"/>
    <cellStyle name="Berechnung 7 51" xfId="24424" xr:uid="{A5B35F93-6CAD-4BC4-AC90-F0D3E4A46908}"/>
    <cellStyle name="Berechnung 7 52" xfId="25687" xr:uid="{0C13CDE8-6E4F-430A-9C3E-A0B09D7C2753}"/>
    <cellStyle name="Berechnung 7 53" xfId="26055" xr:uid="{0A92D968-77EE-438C-9016-B8F2131B5526}"/>
    <cellStyle name="Berechnung 7 54" xfId="25348" xr:uid="{D1E3D9D6-CBEB-4574-A77E-F3D38686F530}"/>
    <cellStyle name="Berechnung 7 55" xfId="26977" xr:uid="{D7A546BF-A7D3-4C9F-B80E-F6010C526E20}"/>
    <cellStyle name="Berechnung 7 56" xfId="27396" xr:uid="{2BD45978-3C3C-4D14-9816-213431619EFC}"/>
    <cellStyle name="Berechnung 7 57" xfId="27614" xr:uid="{C2A77125-1F43-48CE-AE8A-D5862C49E72D}"/>
    <cellStyle name="Berechnung 7 58" xfId="28519" xr:uid="{54F1288D-C60D-452F-9E6C-D1F4CF56998A}"/>
    <cellStyle name="Berechnung 7 59" xfId="28987" xr:uid="{7940D8B8-3558-4E3A-93BA-928C50A083AB}"/>
    <cellStyle name="Berechnung 7 6" xfId="3354" xr:uid="{C9BB63AB-BA1B-4F3E-8895-29170B50655F}"/>
    <cellStyle name="Berechnung 7 60" xfId="28783" xr:uid="{2FC165C8-ABBC-4C0A-AB96-FBBE9457B682}"/>
    <cellStyle name="Berechnung 7 61" xfId="29777" xr:uid="{C0C6518E-F802-4682-AB58-5CFE88E15C89}"/>
    <cellStyle name="Berechnung 7 62" xfId="30184" xr:uid="{BC5B4412-DE8A-46BA-8E20-CF5493220460}"/>
    <cellStyle name="Berechnung 7 63" xfId="30599" xr:uid="{B8D749DA-C158-483E-8C26-9D4BB705D4E1}"/>
    <cellStyle name="Berechnung 7 64" xfId="30866" xr:uid="{434DCD84-6871-46F3-B9BF-595A1564FCF7}"/>
    <cellStyle name="Berechnung 7 65" xfId="31222" xr:uid="{C0DD1EB7-05E6-4D85-B176-FBE6DD6BAB3A}"/>
    <cellStyle name="Berechnung 7 66" xfId="31908" xr:uid="{AC27D239-8D0D-40B9-8F51-404B6A3F77CC}"/>
    <cellStyle name="Berechnung 7 67" xfId="32258" xr:uid="{F9111F3C-1848-4935-8741-7BAE38F28B5B}"/>
    <cellStyle name="Berechnung 7 7" xfId="3997" xr:uid="{5078DD6A-53EC-4C5D-9AD1-5797F4989E7E}"/>
    <cellStyle name="Berechnung 7 8" xfId="4435" xr:uid="{A0EC6F23-3E27-4B97-8036-3F8F7EE6BD43}"/>
    <cellStyle name="Berechnung 7 9" xfId="5011" xr:uid="{2E751E32-90E0-4D96-AF66-5D5E685C9501}"/>
    <cellStyle name="Bold GHG Numbers (0.00)" xfId="127" xr:uid="{AF4F3139-A41C-4DE8-9349-59F43EBA2C67}"/>
    <cellStyle name="Calculation 2" xfId="128" xr:uid="{A7F54E66-FF3F-458A-AEFD-DC100D58B610}"/>
    <cellStyle name="Calculation 2 10" xfId="2793" xr:uid="{91169EFF-5DC6-4226-BF95-4B83B09C4300}"/>
    <cellStyle name="Calculation 2 11" xfId="3021" xr:uid="{6AC2EC0D-4396-4587-8551-B5A57C20D2C7}"/>
    <cellStyle name="Calculation 2 12" xfId="4922" xr:uid="{0299CCD9-6FAF-4C72-B737-3374C195B2E9}"/>
    <cellStyle name="Calculation 2 13" xfId="6144" xr:uid="{34570530-DF41-45C0-85D6-EE5087502CA7}"/>
    <cellStyle name="Calculation 2 14" xfId="6172" xr:uid="{B7A14B08-FFBD-48C6-A9C7-19F13D2EE7BC}"/>
    <cellStyle name="Calculation 2 15" xfId="6864" xr:uid="{397CE58F-422F-4CE6-A14C-940E1AC902F9}"/>
    <cellStyle name="Calculation 2 16" xfId="7945" xr:uid="{ECF33EF5-A092-430B-922D-C70FC23D02F4}"/>
    <cellStyle name="Calculation 2 17" xfId="6924" xr:uid="{1E398A03-7A53-418F-9DA1-C7D630D5D052}"/>
    <cellStyle name="Calculation 2 18" xfId="6835" xr:uid="{927883D7-7CBF-4FEA-AD34-1529F0461E04}"/>
    <cellStyle name="Calculation 2 19" xfId="9078" xr:uid="{32C54AE8-27C0-451A-A330-0598189FD71D}"/>
    <cellStyle name="Calculation 2 2" xfId="546" xr:uid="{D8204885-9C46-4CE8-9D61-633B8064BA01}"/>
    <cellStyle name="Calculation 2 2 10" xfId="5002" xr:uid="{6417D7AD-4CB0-4A83-A575-4BF2A5E9612F}"/>
    <cellStyle name="Calculation 2 2 11" xfId="5194" xr:uid="{054C2427-E37B-4381-AC64-761528133339}"/>
    <cellStyle name="Calculation 2 2 12" xfId="5615" xr:uid="{AB6489CF-0E1D-4207-969E-214BB022FC9F}"/>
    <cellStyle name="Calculation 2 2 13" xfId="4665" xr:uid="{5CF7F099-336A-4680-B816-DFFCD1422B76}"/>
    <cellStyle name="Calculation 2 2 14" xfId="6220" xr:uid="{E5A8FF8B-F8D6-4778-85F7-018B992C0732}"/>
    <cellStyle name="Calculation 2 2 15" xfId="7266" xr:uid="{569084AB-8147-4E8F-A1F2-46715F6C14C2}"/>
    <cellStyle name="Calculation 2 2 16" xfId="8026" xr:uid="{90AEC523-7269-4046-B14E-1B2DD9CF00D4}"/>
    <cellStyle name="Calculation 2 2 17" xfId="6950" xr:uid="{768FFADD-A25B-46DA-944C-144A6E087FB2}"/>
    <cellStyle name="Calculation 2 2 18" xfId="7718" xr:uid="{ECB2DD67-A00F-41C3-9313-CCAA02867724}"/>
    <cellStyle name="Calculation 2 2 19" xfId="9480" xr:uid="{13912E17-96CE-4046-A721-B6F6B1AB473A}"/>
    <cellStyle name="Calculation 2 2 2" xfId="761" xr:uid="{2BF0D9C5-3B92-4FD6-B897-C6D1C95E3090}"/>
    <cellStyle name="Calculation 2 2 2 10" xfId="5409" xr:uid="{2BEDCFC4-AEE4-413C-9309-0BDDD7FF7B0E}"/>
    <cellStyle name="Calculation 2 2 2 11" xfId="5871" xr:uid="{86D0A9AC-3D64-4D2F-8705-0F10D4FD750B}"/>
    <cellStyle name="Calculation 2 2 2 12" xfId="4959" xr:uid="{0F698A61-A419-4D2F-BAFA-0A5F6BB6AA58}"/>
    <cellStyle name="Calculation 2 2 2 13" xfId="5777" xr:uid="{D15DE44F-67A7-4E5C-A6FC-CCC587B2C070}"/>
    <cellStyle name="Calculation 2 2 2 14" xfId="7481" xr:uid="{5DDFE715-665E-4B46-9DB1-A8990E70E1CF}"/>
    <cellStyle name="Calculation 2 2 2 15" xfId="7114" xr:uid="{55B531C2-AE55-45EF-BEE0-B42DF29883C8}"/>
    <cellStyle name="Calculation 2 2 2 16" xfId="8172" xr:uid="{B9A47F6B-4D20-48C9-855F-FF3496879104}"/>
    <cellStyle name="Calculation 2 2 2 17" xfId="8831" xr:uid="{03CB1F24-1E4D-442F-8326-15ABE78D7270}"/>
    <cellStyle name="Calculation 2 2 2 18" xfId="9695" xr:uid="{32B2EC0E-D908-4A81-A754-F18E0DFE8D3E}"/>
    <cellStyle name="Calculation 2 2 2 19" xfId="9200" xr:uid="{5DF5DB87-9268-4345-B646-347EEF38474B}"/>
    <cellStyle name="Calculation 2 2 2 2" xfId="1235" xr:uid="{29E79964-8D8C-49A0-A201-73DC2B95ED84}"/>
    <cellStyle name="Calculation 2 2 2 20" xfId="9363" xr:uid="{B743727A-CAD7-4FC9-8E2B-3F7A0402A6E2}"/>
    <cellStyle name="Calculation 2 2 2 21" xfId="8949" xr:uid="{C59A8C99-AC02-473A-B0F5-06F1ABA4D43F}"/>
    <cellStyle name="Calculation 2 2 2 22" xfId="10489" xr:uid="{26BB9482-500B-4631-9F2A-BBE8FB33E647}"/>
    <cellStyle name="Calculation 2 2 2 23" xfId="12114" xr:uid="{71D3802D-E06D-477D-86B5-D08BAD78AD02}"/>
    <cellStyle name="Calculation 2 2 2 24" xfId="12587" xr:uid="{7C798141-BD0D-43E6-ABCB-0AD1F7742557}"/>
    <cellStyle name="Calculation 2 2 2 25" xfId="13021" xr:uid="{C506A6B1-2530-42AD-BA71-0AF12F92B851}"/>
    <cellStyle name="Calculation 2 2 2 26" xfId="13458" xr:uid="{14E6B84B-6FB8-4605-BFBA-9943B4ABDE2F}"/>
    <cellStyle name="Calculation 2 2 2 27" xfId="12253" xr:uid="{AAAD7DE0-5C62-4B1A-9D9C-01F6334CAEDC}"/>
    <cellStyle name="Calculation 2 2 2 28" xfId="13713" xr:uid="{2DE9AAE5-69B4-440F-B9E0-B13DB51C1156}"/>
    <cellStyle name="Calculation 2 2 2 29" xfId="14453" xr:uid="{A3FBAFB7-D28D-4AF6-AEAB-7840E0931A70}"/>
    <cellStyle name="Calculation 2 2 2 3" xfId="1665" xr:uid="{4CFB13A1-9EE5-4D5B-B0FE-409ADC7DDDBF}"/>
    <cellStyle name="Calculation 2 2 2 30" xfId="15318" xr:uid="{88D85533-5702-4AE3-9CBA-12C21C95B0FE}"/>
    <cellStyle name="Calculation 2 2 2 31" xfId="13950" xr:uid="{4698B717-7531-4DC4-9693-8685177D7A9C}"/>
    <cellStyle name="Calculation 2 2 2 32" xfId="15731" xr:uid="{C6A34C66-5059-4FAF-8B42-C09D4DC25234}"/>
    <cellStyle name="Calculation 2 2 2 33" xfId="16806" xr:uid="{262CBABB-2306-4345-96AF-89FAC7F4216A}"/>
    <cellStyle name="Calculation 2 2 2 34" xfId="16436" xr:uid="{837E80C2-022C-47DE-8115-75AD4340479F}"/>
    <cellStyle name="Calculation 2 2 2 35" xfId="16309" xr:uid="{4C2A1955-29EB-46C0-8132-C5CCB224D1B5}"/>
    <cellStyle name="Calculation 2 2 2 36" xfId="16954" xr:uid="{57261792-1E3F-4D82-989A-49CDE522BF9F}"/>
    <cellStyle name="Calculation 2 2 2 37" xfId="18624" xr:uid="{E21C6440-8319-4166-B1C8-B8D7E6C72A27}"/>
    <cellStyle name="Calculation 2 2 2 38" xfId="18973" xr:uid="{25BDCD42-C20E-47BE-837F-F61D3EC18C0A}"/>
    <cellStyle name="Calculation 2 2 2 39" xfId="18952" xr:uid="{D6409586-FA33-4B60-883E-16BC937D59F8}"/>
    <cellStyle name="Calculation 2 2 2 4" xfId="2583" xr:uid="{2408813F-7784-46E7-A1AE-AB90D916429C}"/>
    <cellStyle name="Calculation 2 2 2 40" xfId="20143" xr:uid="{D033410A-0798-4D78-A231-46507F1E5233}"/>
    <cellStyle name="Calculation 2 2 2 41" xfId="20086" xr:uid="{0A5FB34C-2A32-4D01-8C31-3A6508D5A593}"/>
    <cellStyle name="Calculation 2 2 2 42" xfId="19835" xr:uid="{9B9A181D-2D03-4648-B139-FD5241477101}"/>
    <cellStyle name="Calculation 2 2 2 43" xfId="21475" xr:uid="{5CDB3419-C1AB-453D-B112-F80399302F2E}"/>
    <cellStyle name="Calculation 2 2 2 44" xfId="20581" xr:uid="{1671B015-20B7-42A3-B59E-037B6C96D666}"/>
    <cellStyle name="Calculation 2 2 2 45" xfId="21587" xr:uid="{14F510D9-3B99-4296-94E3-F693AAD778DB}"/>
    <cellStyle name="Calculation 2 2 2 46" xfId="21468" xr:uid="{D7A2CCA8-6B48-45A8-92C1-D39F1285ACCA}"/>
    <cellStyle name="Calculation 2 2 2 47" xfId="23259" xr:uid="{FFCA8F64-248E-4D07-A88E-316381134906}"/>
    <cellStyle name="Calculation 2 2 2 48" xfId="22703" xr:uid="{2B90E6B8-09B6-40DF-A072-BC2A62EE50B6}"/>
    <cellStyle name="Calculation 2 2 2 49" xfId="23943" xr:uid="{4ECF85D1-EFB5-4D64-8BD6-DAE02AB869FF}"/>
    <cellStyle name="Calculation 2 2 2 5" xfId="2265" xr:uid="{0CCDFA29-2263-4324-B291-5CE6F01A4336}"/>
    <cellStyle name="Calculation 2 2 2 50" xfId="24851" xr:uid="{09323C51-7654-4DF0-B363-62BC3DDE7B87}"/>
    <cellStyle name="Calculation 2 2 2 51" xfId="24314" xr:uid="{33F695E8-2597-4AA7-ACF1-06115CBFC9D5}"/>
    <cellStyle name="Calculation 2 2 2 52" xfId="25767" xr:uid="{992D5D54-65CF-410A-A31C-DCED07AD9AD2}"/>
    <cellStyle name="Calculation 2 2 2 53" xfId="24132" xr:uid="{252D6C78-51EC-40EE-BB9D-DD920E37C769}"/>
    <cellStyle name="Calculation 2 2 2 54" xfId="26256" xr:uid="{BE02B953-A00C-4B96-8174-E016929D3C5D}"/>
    <cellStyle name="Calculation 2 2 2 55" xfId="27055" xr:uid="{3F6C93AF-A712-457C-B76D-100D3E29DA30}"/>
    <cellStyle name="Calculation 2 2 2 56" xfId="27474" xr:uid="{BE3CF6FC-7670-45F9-8BCB-077947D56FC8}"/>
    <cellStyle name="Calculation 2 2 2 57" xfId="25945" xr:uid="{27D3B44B-E23E-450A-9BD9-7D9DAFD3E797}"/>
    <cellStyle name="Calculation 2 2 2 58" xfId="28601" xr:uid="{D31365AB-FE07-4894-9250-6838A9B4E526}"/>
    <cellStyle name="Calculation 2 2 2 59" xfId="29068" xr:uid="{C47E59C3-CD84-4CAC-9D9B-9439BDE7CAD8}"/>
    <cellStyle name="Calculation 2 2 2 6" xfId="3257" xr:uid="{11846681-518D-4668-A49F-10DEEB22FFDF}"/>
    <cellStyle name="Calculation 2 2 2 60" xfId="28310" xr:uid="{33E5670F-A106-4DBB-9CFF-A617F61D53B7}"/>
    <cellStyle name="Calculation 2 2 2 61" xfId="29857" xr:uid="{B0D8842D-2BC1-41FD-907A-DCF043C8EC43}"/>
    <cellStyle name="Calculation 2 2 2 62" xfId="30263" xr:uid="{13898380-02D5-4234-AB00-9FCE0F5F7858}"/>
    <cellStyle name="Calculation 2 2 2 63" xfId="30680" xr:uid="{031F1316-1DD0-48B7-A3D1-BE81A61E75D9}"/>
    <cellStyle name="Calculation 2 2 2 64" xfId="28285" xr:uid="{01DA9EB4-2832-48B7-A625-3D969FF49C5C}"/>
    <cellStyle name="Calculation 2 2 2 65" xfId="31296" xr:uid="{65537B12-7E95-4E6B-96D2-2B2CECDAD131}"/>
    <cellStyle name="Calculation 2 2 2 66" xfId="31987" xr:uid="{9C1BE303-9113-4A2E-A3F9-086FD0FE1131}"/>
    <cellStyle name="Calculation 2 2 2 67" xfId="31663" xr:uid="{AA4FD9F2-E8DF-4050-8FEE-BED933D21877}"/>
    <cellStyle name="Calculation 2 2 2 7" xfId="4079" xr:uid="{346FBC94-066F-47B2-AAF9-22C2DAB6668A}"/>
    <cellStyle name="Calculation 2 2 2 8" xfId="4516" xr:uid="{D0AA1B02-763B-4D54-9BAB-4AEF72FA2A0C}"/>
    <cellStyle name="Calculation 2 2 2 9" xfId="2192" xr:uid="{C7BC31EA-57F4-4371-A881-0FF9562C2597}"/>
    <cellStyle name="Calculation 2 2 20" xfId="10245" xr:uid="{FE9333E5-FBE4-44E3-BAD6-71C7B901BC6E}"/>
    <cellStyle name="Calculation 2 2 21" xfId="10640" xr:uid="{F09ADFD9-FE97-416A-AF8F-97D08EDDE504}"/>
    <cellStyle name="Calculation 2 2 22" xfId="10044" xr:uid="{452B22B6-E168-4C5F-95D5-BC408B375839}"/>
    <cellStyle name="Calculation 2 2 23" xfId="9184" xr:uid="{7FDFD639-BB26-4DF5-A4A8-862F08340F09}"/>
    <cellStyle name="Calculation 2 2 24" xfId="11899" xr:uid="{A3161790-A97E-4C64-A56C-1BD735F4FBE4}"/>
    <cellStyle name="Calculation 2 2 25" xfId="12372" xr:uid="{14D8F486-2601-4EA8-AADD-C39556A6E879}"/>
    <cellStyle name="Calculation 2 2 26" xfId="12806" xr:uid="{44180180-B8D8-41EA-88EB-2EDA0C8C95B0}"/>
    <cellStyle name="Calculation 2 2 27" xfId="13243" xr:uid="{A7D0E894-DC0E-4ED9-A9CC-4A336529C39F}"/>
    <cellStyle name="Calculation 2 2 28" xfId="11594" xr:uid="{38D82DF6-B48B-4926-9356-E5B53C7490C6}"/>
    <cellStyle name="Calculation 2 2 29" xfId="14216" xr:uid="{A9B01BBB-32DF-41DE-B916-394CE16405D9}"/>
    <cellStyle name="Calculation 2 2 3" xfId="1029" xr:uid="{A0BDC880-8E48-4F10-85D5-E30975099AB7}"/>
    <cellStyle name="Calculation 2 2 30" xfId="14422" xr:uid="{CCBBD570-510D-443C-A1C7-4842257249A1}"/>
    <cellStyle name="Calculation 2 2 31" xfId="14622" xr:uid="{51F246B7-327F-4EE1-9C9F-18592C3DD009}"/>
    <cellStyle name="Calculation 2 2 32" xfId="15726" xr:uid="{67467ECF-38D4-447D-9CF2-579C3E770581}"/>
    <cellStyle name="Calculation 2 2 33" xfId="15986" xr:uid="{8280D4CB-3171-47EB-A810-9C1834104D91}"/>
    <cellStyle name="Calculation 2 2 34" xfId="16591" xr:uid="{65326179-67E4-4288-B735-1BFD10228E20}"/>
    <cellStyle name="Calculation 2 2 35" xfId="17366" xr:uid="{FB36B777-EE00-4573-9AA1-87883E98ECF7}"/>
    <cellStyle name="Calculation 2 2 36" xfId="17808" xr:uid="{571F47CC-B5B6-454A-BDE4-6E94034858C1}"/>
    <cellStyle name="Calculation 2 2 37" xfId="18028" xr:uid="{F64B4ED9-515E-4DE2-B7E5-EF86BE979548}"/>
    <cellStyle name="Calculation 2 2 38" xfId="18409" xr:uid="{2F3DE04F-6BD8-4C5E-A58A-3826C53C8055}"/>
    <cellStyle name="Calculation 2 2 39" xfId="18166" xr:uid="{CA1A423C-77D2-4A57-BA38-4FC4C2CDCFC4}"/>
    <cellStyle name="Calculation 2 2 4" xfId="1460" xr:uid="{4A190D3D-8432-4C67-85BE-AA660D010A43}"/>
    <cellStyle name="Calculation 2 2 40" xfId="19336" xr:uid="{11075FB4-C933-472A-B11E-2E930AE88EAD}"/>
    <cellStyle name="Calculation 2 2 41" xfId="19928" xr:uid="{E003B897-A1C8-4667-99FD-1E8AF515A966}"/>
    <cellStyle name="Calculation 2 2 42" xfId="20716" xr:uid="{1A6AA7F4-30BF-43AD-B590-7D6432BC6B3F}"/>
    <cellStyle name="Calculation 2 2 43" xfId="21174" xr:uid="{F692993A-AE3B-42EE-B93B-DE4F018EEBF2}"/>
    <cellStyle name="Calculation 2 2 44" xfId="20795" xr:uid="{923422EE-4440-4ADF-A3C3-CE7DACD16E8A}"/>
    <cellStyle name="Calculation 2 2 45" xfId="22105" xr:uid="{2AA43575-FEB1-4DC5-9423-2BCAF75E6AF6}"/>
    <cellStyle name="Calculation 2 2 46" xfId="22533" xr:uid="{44921843-FBEE-4D60-A129-6258D263A5A1}"/>
    <cellStyle name="Calculation 2 2 47" xfId="20295" xr:uid="{A8E57C93-333A-446F-8F31-D01C317D7FE6}"/>
    <cellStyle name="Calculation 2 2 48" xfId="22353" xr:uid="{F86588AC-4062-480F-A137-DA968CD92024}"/>
    <cellStyle name="Calculation 2 2 49" xfId="23208" xr:uid="{1ACB1605-4DFC-4D62-AF66-1E2E93B2834E}"/>
    <cellStyle name="Calculation 2 2 5" xfId="2368" xr:uid="{5C7DEA1A-0111-4A91-BE96-8B35B32752A7}"/>
    <cellStyle name="Calculation 2 2 50" xfId="23737" xr:uid="{2DE082FA-EF02-4F4C-BFE0-E049A22C9468}"/>
    <cellStyle name="Calculation 2 2 51" xfId="24636" xr:uid="{A9CF6571-E53B-492C-ACA6-6EF2D0F50B83}"/>
    <cellStyle name="Calculation 2 2 52" xfId="25420" xr:uid="{D416D44D-1A64-42ED-9D13-F92A53254B04}"/>
    <cellStyle name="Calculation 2 2 53" xfId="25554" xr:uid="{7D67085C-D29B-4E59-9FED-CA246E7772F7}"/>
    <cellStyle name="Calculation 2 2 54" xfId="25219" xr:uid="{63A22490-7A52-4849-8180-DB20AD23CE89}"/>
    <cellStyle name="Calculation 2 2 55" xfId="26498" xr:uid="{8D97408F-D8C1-4245-81FF-CABF58D7A3FA}"/>
    <cellStyle name="Calculation 2 2 56" xfId="26844" xr:uid="{CA047BB2-99D4-4ABC-B01F-DC6CC12B5B57}"/>
    <cellStyle name="Calculation 2 2 57" xfId="27263" xr:uid="{24454D0B-A9FC-4658-8DC1-BEF7D1B4A41E}"/>
    <cellStyle name="Calculation 2 2 58" xfId="27789" xr:uid="{260ABDAB-0FE3-4A4A-9F76-6B2A8FA9A421}"/>
    <cellStyle name="Calculation 2 2 59" xfId="28386" xr:uid="{607352B4-49DE-4015-98EB-C1EF7E1603EF}"/>
    <cellStyle name="Calculation 2 2 6" xfId="2204" xr:uid="{6EEF7420-587B-464E-A916-85886E18BC99}"/>
    <cellStyle name="Calculation 2 2 60" xfId="28854" xr:uid="{8322BDF0-3DDF-49D2-B225-A0BA155CC356}"/>
    <cellStyle name="Calculation 2 2 61" xfId="29534" xr:uid="{7C0D897B-3B27-4C3D-B58E-B0E3D12FD1E7}"/>
    <cellStyle name="Calculation 2 2 62" xfId="29644" xr:uid="{5795CB03-10B5-428B-B914-04AD99B5992A}"/>
    <cellStyle name="Calculation 2 2 63" xfId="30052" xr:uid="{00D147F0-938C-4C53-B89A-66A21EFA0364}"/>
    <cellStyle name="Calculation 2 2 64" xfId="30466" xr:uid="{CF012BD5-AF26-4D48-8429-6E619D0F7A58}"/>
    <cellStyle name="Calculation 2 2 65" xfId="30900" xr:uid="{BD393EDC-41A5-4BB5-9E1C-5AE63D15ED8B}"/>
    <cellStyle name="Calculation 2 2 66" xfId="31090" xr:uid="{B8A45485-89FB-4AD7-9BE7-C6B04E562DDC}"/>
    <cellStyle name="Calculation 2 2 67" xfId="31776" xr:uid="{45230A8A-25F5-4443-BE9E-A71AEBE499E5}"/>
    <cellStyle name="Calculation 2 2 68" xfId="31735" xr:uid="{639C6EDC-8184-45BE-B1D9-469F9A31121B}"/>
    <cellStyle name="Calculation 2 2 7" xfId="2296" xr:uid="{E6E8DB79-195C-44E1-BF2A-ADED09A7636E}"/>
    <cellStyle name="Calculation 2 2 8" xfId="3864" xr:uid="{B3FAD341-A082-47E7-BCA1-AA4B75A6FCAB}"/>
    <cellStyle name="Calculation 2 2 9" xfId="4302" xr:uid="{0543F01B-CECB-4FC2-9E98-5CAD8AF087B2}"/>
    <cellStyle name="Calculation 2 20" xfId="10159" xr:uid="{F447EC85-9B22-42E5-975C-8FAC26A47F9B}"/>
    <cellStyle name="Calculation 2 21" xfId="10898" xr:uid="{89FF718C-C5A8-4F06-8904-532179C75296}"/>
    <cellStyle name="Calculation 2 22" xfId="11488" xr:uid="{11A16DF2-C07A-4153-9D8A-17CDA2DD0FC8}"/>
    <cellStyle name="Calculation 2 23" xfId="11812" xr:uid="{285CEB74-4C14-46AA-A949-C94BF9925679}"/>
    <cellStyle name="Calculation 2 24" xfId="11466" xr:uid="{DDC7A8CB-A98B-45E4-AFF3-1F2A3852F9A1}"/>
    <cellStyle name="Calculation 2 25" xfId="12728" xr:uid="{7D7E8254-DD11-41EE-A167-477BA4108D07}"/>
    <cellStyle name="Calculation 2 26" xfId="13180" xr:uid="{15468490-F5F4-457B-ACD5-C4E8C23FF229}"/>
    <cellStyle name="Calculation 2 27" xfId="14684" xr:uid="{F7B0C0D3-CD60-4C02-9878-F58EDFBE64CC}"/>
    <cellStyle name="Calculation 2 28" xfId="15829" xr:uid="{FD88161E-473B-4136-A38A-4BE4767C4FEF}"/>
    <cellStyle name="Calculation 2 29" xfId="16180" xr:uid="{DABC7818-069F-4397-B31C-076DFC47EEFD}"/>
    <cellStyle name="Calculation 2 3" xfId="630" xr:uid="{6A93680B-2502-4EDA-8A0A-2767782BE42D}"/>
    <cellStyle name="Calculation 2 3 10" xfId="5025" xr:uid="{0F5F6B7A-44DA-420D-A137-6568088C640F}"/>
    <cellStyle name="Calculation 2 3 11" xfId="5278" xr:uid="{996DFA85-01DB-4B99-9E03-4590A245DC73}"/>
    <cellStyle name="Calculation 2 3 12" xfId="5896" xr:uid="{7AD5B619-69F8-4642-8907-D4E518F43583}"/>
    <cellStyle name="Calculation 2 3 13" xfId="5810" xr:uid="{D9F8815C-7C88-4C1F-9833-368822CAA4D5}"/>
    <cellStyle name="Calculation 2 3 14" xfId="6662" xr:uid="{9CEBC9F1-80D7-44C0-939E-E22A7E57CB23}"/>
    <cellStyle name="Calculation 2 3 15" xfId="7350" xr:uid="{0552E484-030E-49C7-A036-274E1448D9E6}"/>
    <cellStyle name="Calculation 2 3 16" xfId="7785" xr:uid="{AA469CCA-10D0-4EA0-B6DA-BE9848B618ED}"/>
    <cellStyle name="Calculation 2 3 17" xfId="7676" xr:uid="{933A6A57-287A-432D-A763-907204757606}"/>
    <cellStyle name="Calculation 2 3 18" xfId="8621" xr:uid="{379E886E-D336-4262-8F11-2BFD24346E14}"/>
    <cellStyle name="Calculation 2 3 19" xfId="9564" xr:uid="{C08A3C72-D760-434A-B01B-C8B8A82E83D1}"/>
    <cellStyle name="Calculation 2 3 2" xfId="845" xr:uid="{A4C59DBA-40D3-4F10-8AE8-BCC48A25D5E0}"/>
    <cellStyle name="Calculation 2 3 2 10" xfId="5493" xr:uid="{53406EFB-02B3-4570-A523-BB344F754535}"/>
    <cellStyle name="Calculation 2 3 2 11" xfId="4998" xr:uid="{DCC84838-1B1F-4E47-B993-95B1EC419003}"/>
    <cellStyle name="Calculation 2 3 2 12" xfId="6264" xr:uid="{7AB997C2-BA0F-4811-998E-0BBCC7951461}"/>
    <cellStyle name="Calculation 2 3 2 13" xfId="6140" xr:uid="{A00F6C0A-7177-4D59-ABEF-C0149B5AF8BF}"/>
    <cellStyle name="Calculation 2 3 2 14" xfId="7565" xr:uid="{286EAD59-BD52-4A28-8B7A-1830D2D44336}"/>
    <cellStyle name="Calculation 2 3 2 15" xfId="7061" xr:uid="{6B9296F1-88FC-4FE1-AE51-ECB533EAB2C8}"/>
    <cellStyle name="Calculation 2 3 2 16" xfId="8143" xr:uid="{22BB1ECD-35F4-4109-8F33-C756A3124CB6}"/>
    <cellStyle name="Calculation 2 3 2 17" xfId="8897" xr:uid="{1400DC3B-A5C2-4A9D-BFB2-9028D7DB1785}"/>
    <cellStyle name="Calculation 2 3 2 18" xfId="9779" xr:uid="{FDEDF7E1-65E7-4413-A42A-7CF254EAEBFB}"/>
    <cellStyle name="Calculation 2 3 2 19" xfId="9274" xr:uid="{5ADEE702-0CA9-40B3-876E-073D75D07664}"/>
    <cellStyle name="Calculation 2 3 2 2" xfId="1319" xr:uid="{E780ABBE-8CB5-4AF9-9E3D-EDCC3AF3AECA}"/>
    <cellStyle name="Calculation 2 3 2 20" xfId="9384" xr:uid="{2DDCCCFE-6DB6-4846-82C2-0309BA609955}"/>
    <cellStyle name="Calculation 2 3 2 21" xfId="10936" xr:uid="{28B576DB-A7E1-4BF2-B384-07C621EEDDC1}"/>
    <cellStyle name="Calculation 2 3 2 22" xfId="10715" xr:uid="{EFA8C2DE-86D1-453C-AADD-F934D979A989}"/>
    <cellStyle name="Calculation 2 3 2 23" xfId="12198" xr:uid="{DF7AA40E-CCBF-49B5-BB24-1B24B39ABC99}"/>
    <cellStyle name="Calculation 2 3 2 24" xfId="12671" xr:uid="{C0D1D17E-F4C3-4859-8436-591611C2DFBD}"/>
    <cellStyle name="Calculation 2 3 2 25" xfId="13105" xr:uid="{2920FBCA-AA4A-457F-B0D1-D5E5B8111B30}"/>
    <cellStyle name="Calculation 2 3 2 26" xfId="13542" xr:uid="{334BBF5B-8E37-4F36-9412-6CD902D2FE69}"/>
    <cellStyle name="Calculation 2 3 2 27" xfId="13916" xr:uid="{36103D4D-1A13-4949-981B-29DFF0FB88CB}"/>
    <cellStyle name="Calculation 2 3 2 28" xfId="14013" xr:uid="{D6F38DA2-6E6B-47A7-8574-85F957DD5B70}"/>
    <cellStyle name="Calculation 2 3 2 29" xfId="13194" xr:uid="{9A194B91-2631-4D21-AA9F-94DCB9F66C2C}"/>
    <cellStyle name="Calculation 2 3 2 3" xfId="1768" xr:uid="{2D9C44CB-3EB0-40E1-837F-540B2E1D65B1}"/>
    <cellStyle name="Calculation 2 3 2 30" xfId="13768" xr:uid="{52535AFC-8FB0-4B4A-B708-A864F9BC5069}"/>
    <cellStyle name="Calculation 2 3 2 31" xfId="15447" xr:uid="{B771ED69-947E-49EE-B656-E927B13EEC5D}"/>
    <cellStyle name="Calculation 2 3 2 32" xfId="15532" xr:uid="{5E4367D7-63DF-4044-8DCD-123FDFFCDDBA}"/>
    <cellStyle name="Calculation 2 3 2 33" xfId="16890" xr:uid="{477FD02E-39AB-4BCC-A114-C0F4BDE1CE51}"/>
    <cellStyle name="Calculation 2 3 2 34" xfId="16383" xr:uid="{55C65B5E-6079-4260-BDD9-15E5C82BD883}"/>
    <cellStyle name="Calculation 2 3 2 35" xfId="16490" xr:uid="{397AC9EC-445D-46CE-A27A-98A9B40D5B30}"/>
    <cellStyle name="Calculation 2 3 2 36" xfId="17088" xr:uid="{D806661F-F597-4A4A-8119-4DED0FD213BD}"/>
    <cellStyle name="Calculation 2 3 2 37" xfId="18708" xr:uid="{3B8EB36C-FFBB-41D8-ACFA-725B46977F34}"/>
    <cellStyle name="Calculation 2 3 2 38" xfId="18082" xr:uid="{75ABFED2-FAE1-4F17-B75E-2C225244FC60}"/>
    <cellStyle name="Calculation 2 3 2 39" xfId="19299" xr:uid="{D0E6684A-804D-417C-89FE-7C481761D38F}"/>
    <cellStyle name="Calculation 2 3 2 4" xfId="2667" xr:uid="{FB2E9A74-234D-46D2-8E44-B404A46622C9}"/>
    <cellStyle name="Calculation 2 3 2 40" xfId="20227" xr:uid="{4D0DF188-F087-420F-B35B-08E9C7B8972B}"/>
    <cellStyle name="Calculation 2 3 2 41" xfId="19717" xr:uid="{2FB72980-D7D5-493D-A5EF-99B8F66893EA}"/>
    <cellStyle name="Calculation 2 3 2 42" xfId="20682" xr:uid="{A1BB520A-5C65-408D-B283-5BCF86C117A5}"/>
    <cellStyle name="Calculation 2 3 2 43" xfId="21635" xr:uid="{F8FC57DE-C0F3-4D22-BEB5-20B7A7DAFDD9}"/>
    <cellStyle name="Calculation 2 3 2 44" xfId="21675" xr:uid="{5DCE59D6-BDB4-4FA1-AE1E-23B909604B93}"/>
    <cellStyle name="Calculation 2 3 2 45" xfId="22114" xr:uid="{EBEDA646-BB55-4DF2-9FFB-0B4A85D66CE7}"/>
    <cellStyle name="Calculation 2 3 2 46" xfId="22892" xr:uid="{8495028B-4B3E-43DC-9BC1-30713306F5A5}"/>
    <cellStyle name="Calculation 2 3 2 47" xfId="22659" xr:uid="{ACFB9327-78C8-4984-B6C9-1D988BAFE119}"/>
    <cellStyle name="Calculation 2 3 2 48" xfId="23498" xr:uid="{79DF1A02-60CB-4981-9EB1-7829AD0E800B}"/>
    <cellStyle name="Calculation 2 3 2 49" xfId="24027" xr:uid="{EF6C3275-CE8D-4220-A6B4-CE374B5C1307}"/>
    <cellStyle name="Calculation 2 3 2 5" xfId="3084" xr:uid="{3A15EAA2-197F-4616-BEE6-46D96C7F89DF}"/>
    <cellStyle name="Calculation 2 3 2 50" xfId="24935" xr:uid="{875D8296-04B4-4E41-A1DE-B00A8277DF51}"/>
    <cellStyle name="Calculation 2 3 2 51" xfId="24410" xr:uid="{FD050A65-8DD4-4442-8AE4-8E66470DC865}"/>
    <cellStyle name="Calculation 2 3 2 52" xfId="25851" xr:uid="{5724EDC4-EBA8-467C-934C-AD9FC7B661E7}"/>
    <cellStyle name="Calculation 2 3 2 53" xfId="26153" xr:uid="{2A0C451A-B3D7-461A-8BC7-4DC4B759E35E}"/>
    <cellStyle name="Calculation 2 3 2 54" xfId="26506" xr:uid="{5BBDDEAE-E1B4-428E-AC58-D5FBD46DC24D}"/>
    <cellStyle name="Calculation 2 3 2 55" xfId="27139" xr:uid="{7F466DC7-6120-4085-B4A8-5D8933EBD605}"/>
    <cellStyle name="Calculation 2 3 2 56" xfId="27558" xr:uid="{9E260754-A686-4DA6-9AC5-67A51FE29AA0}"/>
    <cellStyle name="Calculation 2 3 2 57" xfId="27745" xr:uid="{FE6669D6-03BC-4D29-9C2F-36915F1C5818}"/>
    <cellStyle name="Calculation 2 3 2 58" xfId="28685" xr:uid="{52B27170-DEAB-4D66-AD3A-A333A9E61359}"/>
    <cellStyle name="Calculation 2 3 2 59" xfId="29152" xr:uid="{69225F68-98A3-4BA2-96AE-D47B84E1D901}"/>
    <cellStyle name="Calculation 2 3 2 6" xfId="3294" xr:uid="{046DFC55-8239-4287-B228-D059DB2677E4}"/>
    <cellStyle name="Calculation 2 3 2 60" xfId="28104" xr:uid="{3FB2DF3C-17D4-4B58-9C0F-9A2F05DBA09A}"/>
    <cellStyle name="Calculation 2 3 2 61" xfId="29941" xr:uid="{136B0DF8-E4BB-46C9-A954-D5C21A35C68E}"/>
    <cellStyle name="Calculation 2 3 2 62" xfId="30347" xr:uid="{DA7FAFC8-8871-4E46-8159-478DC0B16E33}"/>
    <cellStyle name="Calculation 2 3 2 63" xfId="30764" xr:uid="{77DCF75C-D24D-4986-9012-8C86780561E5}"/>
    <cellStyle name="Calculation 2 3 2 64" xfId="30417" xr:uid="{227FA770-6440-4647-BF3F-F8BB254236D1}"/>
    <cellStyle name="Calculation 2 3 2 65" xfId="31380" xr:uid="{A243A9E2-8D52-4DEA-875F-C50D503AC429}"/>
    <cellStyle name="Calculation 2 3 2 66" xfId="32071" xr:uid="{19508DC2-0B86-4944-BB8D-9B44E375F08E}"/>
    <cellStyle name="Calculation 2 3 2 67" xfId="31517" xr:uid="{BEF69304-73E8-441C-900B-384E1BE20AA2}"/>
    <cellStyle name="Calculation 2 3 2 7" xfId="4163" xr:uid="{AF563306-E903-4815-B7E6-A54C480A95A3}"/>
    <cellStyle name="Calculation 2 3 2 8" xfId="4600" xr:uid="{3AA102F5-E82E-4F6A-8BFE-A5A1C12D1EDA}"/>
    <cellStyle name="Calculation 2 3 2 9" xfId="3046" xr:uid="{9E96200B-2A4F-4D82-B3DC-26D6671B2655}"/>
    <cellStyle name="Calculation 2 3 20" xfId="9998" xr:uid="{95C38A7B-CC88-4E0A-AEDB-A16B1288933F}"/>
    <cellStyle name="Calculation 2 3 21" xfId="10423" xr:uid="{B350C6C0-307E-4D61-9356-68AD8F2A29EC}"/>
    <cellStyle name="Calculation 2 3 22" xfId="10795" xr:uid="{0878562F-A5C9-4EBE-9C70-43E4FE2F25E9}"/>
    <cellStyle name="Calculation 2 3 23" xfId="10869" xr:uid="{7D7A37EA-E3C6-451D-8528-2E17FD739BB7}"/>
    <cellStyle name="Calculation 2 3 24" xfId="11983" xr:uid="{CE175C66-F088-4673-B70C-43214560E029}"/>
    <cellStyle name="Calculation 2 3 25" xfId="12456" xr:uid="{CA967766-6000-4D51-BC9E-8E9DFA8DA5DC}"/>
    <cellStyle name="Calculation 2 3 26" xfId="12890" xr:uid="{13D246AD-2A4B-4F3D-BAFA-A275303EBD76}"/>
    <cellStyle name="Calculation 2 3 27" xfId="13327" xr:uid="{BD69B8EE-80CF-427A-A688-A85E4D3DBA2C}"/>
    <cellStyle name="Calculation 2 3 28" xfId="13702" xr:uid="{C7341997-9859-4DE9-87C4-B7F8DEE6BBEC}"/>
    <cellStyle name="Calculation 2 3 29" xfId="14239" xr:uid="{2724C7CE-38DC-4F83-ADFE-E427C0D01AE0}"/>
    <cellStyle name="Calculation 2 3 3" xfId="1113" xr:uid="{AC5FDFC7-2764-4D53-AE54-666A47AD0E27}"/>
    <cellStyle name="Calculation 2 3 30" xfId="14753" xr:uid="{81F74C74-EDD4-4518-AF97-DCC2993E8291}"/>
    <cellStyle name="Calculation 2 3 31" xfId="14124" xr:uid="{3ADF4A74-555B-4BAE-B264-61F8886C2082}"/>
    <cellStyle name="Calculation 2 3 32" xfId="15639" xr:uid="{E06E8BE2-5BE9-4050-A23B-E2A8D02D3ABE}"/>
    <cellStyle name="Calculation 2 3 33" xfId="15853" xr:uid="{80C2A289-5B2D-4FDB-B751-F1516DEB3953}"/>
    <cellStyle name="Calculation 2 3 34" xfId="16675" xr:uid="{9FACAE77-FCF9-48D7-887E-546333D8EACB}"/>
    <cellStyle name="Calculation 2 3 35" xfId="17114" xr:uid="{A51107AA-3607-42ED-930F-5392A77B3D84}"/>
    <cellStyle name="Calculation 2 3 36" xfId="17561" xr:uid="{5A9C8E46-2556-4E04-ACAB-E5CD58FBE5E8}"/>
    <cellStyle name="Calculation 2 3 37" xfId="18159" xr:uid="{8A368B5A-DBDF-4FBB-AB2B-5CDA8AEF1B74}"/>
    <cellStyle name="Calculation 2 3 38" xfId="18493" xr:uid="{216BBAF5-678D-40E9-BC3F-180BE55F3EF0}"/>
    <cellStyle name="Calculation 2 3 39" xfId="17611" xr:uid="{B501DD97-6305-47D1-9A66-D59F27EE055A}"/>
    <cellStyle name="Calculation 2 3 4" xfId="1625" xr:uid="{D00E7D68-37C5-4E3E-8AB3-9BA35F39F2C8}"/>
    <cellStyle name="Calculation 2 3 40" xfId="19225" xr:uid="{93B11722-ABD5-41EE-8A16-B83E1DAFC68D}"/>
    <cellStyle name="Calculation 2 3 41" xfId="20012" xr:uid="{1DF79403-8820-4CFE-80BD-2ED923FCCD21}"/>
    <cellStyle name="Calculation 2 3 42" xfId="20467" xr:uid="{EB74BF98-23F5-412C-AD00-E1743C3F6002}"/>
    <cellStyle name="Calculation 2 3 43" xfId="20920" xr:uid="{9AD39BC8-DA6F-4B7C-8B3B-03FA19299DE1}"/>
    <cellStyle name="Calculation 2 3 44" xfId="20441" xr:uid="{18A7A291-FF27-44B5-92B3-C0C316032813}"/>
    <cellStyle name="Calculation 2 3 45" xfId="21849" xr:uid="{076CA267-BBF7-4D60-8420-1CBFA3CAB8B4}"/>
    <cellStyle name="Calculation 2 3 46" xfId="22286" xr:uid="{C4D56A57-A0E6-4102-8525-AFECF499EFB2}"/>
    <cellStyle name="Calculation 2 3 47" xfId="22699" xr:uid="{7D653ADC-44E7-49BF-985E-6F35C0CE5422}"/>
    <cellStyle name="Calculation 2 3 48" xfId="21519" xr:uid="{DF46E752-2C97-4F24-8531-49EF02572FFE}"/>
    <cellStyle name="Calculation 2 3 49" xfId="22963" xr:uid="{EA98B734-3832-4141-94B1-B71D7AC32ACE}"/>
    <cellStyle name="Calculation 2 3 5" xfId="2452" xr:uid="{F003DA59-6FB2-44DC-8EA2-93127FA27890}"/>
    <cellStyle name="Calculation 2 3 50" xfId="23821" xr:uid="{35F570D4-C8DD-4244-B8C9-B2E877AF6C46}"/>
    <cellStyle name="Calculation 2 3 51" xfId="24720" xr:uid="{33FBF14C-968F-46F9-B24F-19DF6E0171D9}"/>
    <cellStyle name="Calculation 2 3 52" xfId="25175" xr:uid="{65D802AA-61CE-43D1-BADB-BA1C8CDF7C84}"/>
    <cellStyle name="Calculation 2 3 53" xfId="25638" xr:uid="{B560414D-9F9A-4098-9CDB-3A36C473D720}"/>
    <cellStyle name="Calculation 2 3 54" xfId="26004" xr:uid="{DAD0E189-B692-4DD9-BD70-A4188C8605D3}"/>
    <cellStyle name="Calculation 2 3 55" xfId="25706" xr:uid="{CC4B51AC-CF69-48C9-A751-99F23903E418}"/>
    <cellStyle name="Calculation 2 3 56" xfId="26928" xr:uid="{DBB386C1-03B5-44A5-B267-B683C996FB96}"/>
    <cellStyle name="Calculation 2 3 57" xfId="27347" xr:uid="{DB54BF56-2F98-42D9-9156-CFDF312DAA70}"/>
    <cellStyle name="Calculation 2 3 58" xfId="27224" xr:uid="{7F988B76-C84A-40CB-972F-D1B30F26B6C6}"/>
    <cellStyle name="Calculation 2 3 59" xfId="28470" xr:uid="{CEBB9F4A-7512-45C3-A167-9C170AEA8F32}"/>
    <cellStyle name="Calculation 2 3 6" xfId="2867" xr:uid="{8F8B6BCC-FA09-4457-BDD7-7BB8010B1BF4}"/>
    <cellStyle name="Calculation 2 3 60" xfId="28938" xr:uid="{998D58D0-B3CB-420E-ACBE-E1057C5394F9}"/>
    <cellStyle name="Calculation 2 3 61" xfId="29322" xr:uid="{1B6C9618-8916-48BC-A20B-17224D149411}"/>
    <cellStyle name="Calculation 2 3 62" xfId="29728" xr:uid="{4DCC4CE4-472E-4236-9BDF-D035DD4980FA}"/>
    <cellStyle name="Calculation 2 3 63" xfId="30136" xr:uid="{4B1529C8-DF8B-4C30-B3B0-249702465984}"/>
    <cellStyle name="Calculation 2 3 64" xfId="30550" xr:uid="{C127AC24-24E3-400C-AE4B-1431867C1F99}"/>
    <cellStyle name="Calculation 2 3 65" xfId="31011" xr:uid="{AAFBC4CE-D5FD-44D2-B1AE-FBBE5C4B9C71}"/>
    <cellStyle name="Calculation 2 3 66" xfId="31174" xr:uid="{ABE26C98-9E7F-4797-A66B-EF3204FAFD42}"/>
    <cellStyle name="Calculation 2 3 67" xfId="31860" xr:uid="{F9D7C1F2-F68B-4AF4-A164-56B65E742B46}"/>
    <cellStyle name="Calculation 2 3 68" xfId="32206" xr:uid="{0ADC4858-0914-479B-B624-62EF2C0FAFCB}"/>
    <cellStyle name="Calculation 2 3 7" xfId="3529" xr:uid="{0B166C17-B666-4320-A459-3A84D8EFB9D8}"/>
    <cellStyle name="Calculation 2 3 8" xfId="3948" xr:uid="{607B21AC-A10D-4144-B7E7-A41CCBB970AE}"/>
    <cellStyle name="Calculation 2 3 9" xfId="4386" xr:uid="{03BD60FA-E585-4455-87DE-E4092B327ABF}"/>
    <cellStyle name="Calculation 2 30" xfId="17278" xr:uid="{95425A84-8276-4345-9155-9C40FEFED0A1}"/>
    <cellStyle name="Calculation 2 31" xfId="17093" xr:uid="{09894FBE-2F38-46BC-A009-CBDA35296195}"/>
    <cellStyle name="Calculation 2 32" xfId="18076" xr:uid="{81066729-CB9F-4109-A3A7-B0C8A546D619}"/>
    <cellStyle name="Calculation 2 33" xfId="16739" xr:uid="{4D792BD3-1686-478A-A3F7-D50F75D1560F}"/>
    <cellStyle name="Calculation 2 34" xfId="19512" xr:uid="{D20BC06F-B4FC-4F7D-B5D1-BF7A83BE36A0}"/>
    <cellStyle name="Calculation 2 35" xfId="20629" xr:uid="{8CDD8A01-2E14-40E8-9E9A-0EE3B4CC1DA3}"/>
    <cellStyle name="Calculation 2 36" xfId="22445" xr:uid="{9BAC1B63-D023-4231-B676-30A689734FD1}"/>
    <cellStyle name="Calculation 2 37" xfId="22226" xr:uid="{C634DDDB-A8C5-45BD-B34A-3868F6993E71}"/>
    <cellStyle name="Calculation 2 38" xfId="23358" xr:uid="{E77EF0AB-C4EA-44C6-A049-FB19D46920A6}"/>
    <cellStyle name="Calculation 2 39" xfId="24233" xr:uid="{ABE51B5F-530A-4A92-9E54-B913F618B353}"/>
    <cellStyle name="Calculation 2 4" xfId="536" xr:uid="{0A4F0BA1-EC83-495C-A89A-0166BC34894F}"/>
    <cellStyle name="Calculation 2 4 10" xfId="3684" xr:uid="{C04BB82A-8057-42CE-B338-008E0736F815}"/>
    <cellStyle name="Calculation 2 4 11" xfId="5184" xr:uid="{E13DA62A-4FD2-4691-B462-99416D0A4A06}"/>
    <cellStyle name="Calculation 2 4 12" xfId="5823" xr:uid="{2A8EBFF5-F871-491C-86FA-25DB70030C06}"/>
    <cellStyle name="Calculation 2 4 13" xfId="5866" xr:uid="{720E673F-44DF-4CE7-B43B-03FDC921BBA6}"/>
    <cellStyle name="Calculation 2 4 14" xfId="6343" xr:uid="{D7AB6C7C-633B-400D-AD95-7D34A6DBCD57}"/>
    <cellStyle name="Calculation 2 4 15" xfId="7256" xr:uid="{745385E7-6128-4E3B-95C1-C3FA21F10E2F}"/>
    <cellStyle name="Calculation 2 4 16" xfId="7936" xr:uid="{43D860B1-8650-4C6B-886A-D3B82D37B8CD}"/>
    <cellStyle name="Calculation 2 4 17" xfId="8342" xr:uid="{DACADDAF-D0C5-45E1-89F0-16EA5FE3419E}"/>
    <cellStyle name="Calculation 2 4 18" xfId="8694" xr:uid="{7729F143-5F94-4E01-9E85-1937AD32EC73}"/>
    <cellStyle name="Calculation 2 4 19" xfId="9470" xr:uid="{785F638B-25AF-42C7-9208-B0EBA5015167}"/>
    <cellStyle name="Calculation 2 4 2" xfId="751" xr:uid="{96636321-6367-4944-AFDD-41591D55BC36}"/>
    <cellStyle name="Calculation 2 4 2 10" xfId="5399" xr:uid="{0B378BFF-724B-4DBC-8399-34E63F49CFF7}"/>
    <cellStyle name="Calculation 2 4 2 11" xfId="5034" xr:uid="{6ED5F051-CFC1-45BC-B21A-9F8F69027C5C}"/>
    <cellStyle name="Calculation 2 4 2 12" xfId="5606" xr:uid="{3A799165-C3A1-4F7D-BD75-2293BADB9C92}"/>
    <cellStyle name="Calculation 2 4 2 13" xfId="6418" xr:uid="{7F17A483-9A06-41FC-85A4-83BF4129FAE1}"/>
    <cellStyle name="Calculation 2 4 2 14" xfId="7471" xr:uid="{6226F8C6-EC24-4B22-BA7E-C29DD183ABCD}"/>
    <cellStyle name="Calculation 2 4 2 15" xfId="7028" xr:uid="{4B4653C9-86A6-4AC1-A1BE-BBCAFF0573A1}"/>
    <cellStyle name="Calculation 2 4 2 16" xfId="8295" xr:uid="{73D856CC-8FC3-4BB4-9DB7-1022F485A9E9}"/>
    <cellStyle name="Calculation 2 4 2 17" xfId="8714" xr:uid="{78BFA67C-8AB7-47B8-9EAB-6EB316F34070}"/>
    <cellStyle name="Calculation 2 4 2 18" xfId="9685" xr:uid="{9A866B5D-D80D-4915-B502-ADD1859D7DF7}"/>
    <cellStyle name="Calculation 2 4 2 19" xfId="9240" xr:uid="{DFD2A418-3511-4D79-9828-DA176A884CE5}"/>
    <cellStyle name="Calculation 2 4 2 2" xfId="1225" xr:uid="{D4999D57-D933-4A9D-97FA-51086329746E}"/>
    <cellStyle name="Calculation 2 4 2 20" xfId="9126" xr:uid="{539A305E-5171-453D-A0D1-97EC0663F864}"/>
    <cellStyle name="Calculation 2 4 2 21" xfId="10346" xr:uid="{D927F11A-DFF2-4CA8-8719-BF8665917C36}"/>
    <cellStyle name="Calculation 2 4 2 22" xfId="11102" xr:uid="{3A387329-3914-4E14-9988-4663C2EF8D43}"/>
    <cellStyle name="Calculation 2 4 2 23" xfId="12104" xr:uid="{06C3F328-6BF1-49D5-B083-781E13ACCDC8}"/>
    <cellStyle name="Calculation 2 4 2 24" xfId="12577" xr:uid="{78A67022-0060-49CF-8D84-433B9851526C}"/>
    <cellStyle name="Calculation 2 4 2 25" xfId="13011" xr:uid="{2B58DFCF-85BD-4F1D-A3BA-016207A71296}"/>
    <cellStyle name="Calculation 2 4 2 26" xfId="13448" xr:uid="{4F224278-C9E6-4EE1-8D06-CC6FB845F475}"/>
    <cellStyle name="Calculation 2 4 2 27" xfId="11810" xr:uid="{130B8915-5C9B-468A-A613-CBC0463BD9AC}"/>
    <cellStyle name="Calculation 2 4 2 28" xfId="13836" xr:uid="{9F14519E-C52E-4F26-87D5-C77D877B02B3}"/>
    <cellStyle name="Calculation 2 4 2 29" xfId="14413" xr:uid="{7D42359A-B73A-4E65-90A4-22C8F30E4EC1}"/>
    <cellStyle name="Calculation 2 4 2 3" xfId="1566" xr:uid="{C31B5FCD-7901-4C16-B5B2-2D6DEC5FC9A6}"/>
    <cellStyle name="Calculation 2 4 2 30" xfId="14340" xr:uid="{0D002F09-6A0D-4736-8F7B-8DB8CBB0D6FC}"/>
    <cellStyle name="Calculation 2 4 2 31" xfId="15259" xr:uid="{60E211A3-4010-4411-9B80-1B23D72211ED}"/>
    <cellStyle name="Calculation 2 4 2 32" xfId="14511" xr:uid="{6ACAFB7B-C476-4630-B704-C0BBC2CA2F92}"/>
    <cellStyle name="Calculation 2 4 2 33" xfId="16796" xr:uid="{F7370DE9-FC8B-422B-B887-B7C9C58BFBA8}"/>
    <cellStyle name="Calculation 2 4 2 34" xfId="16350" xr:uid="{7D4D1065-240A-4B02-B801-E246120E8084}"/>
    <cellStyle name="Calculation 2 4 2 35" xfId="16230" xr:uid="{EC6513EE-973D-4AF8-AAA4-0D3E088C00FB}"/>
    <cellStyle name="Calculation 2 4 2 36" xfId="17479" xr:uid="{039DB959-4350-44E3-912E-434F52F52F0B}"/>
    <cellStyle name="Calculation 2 4 2 37" xfId="18614" xr:uid="{34CB6F1B-FFA2-4313-89D1-483D13F4B21F}"/>
    <cellStyle name="Calculation 2 4 2 38" xfId="18795" xr:uid="{575C0842-DB19-4C60-8D55-FD195A8A10D1}"/>
    <cellStyle name="Calculation 2 4 2 39" xfId="19048" xr:uid="{D0231FD4-69F9-455B-9EB9-6B883BCE803D}"/>
    <cellStyle name="Calculation 2 4 2 4" xfId="2573" xr:uid="{39C69385-264E-4B87-BB74-4D58A4EC1A8E}"/>
    <cellStyle name="Calculation 2 4 2 40" xfId="20133" xr:uid="{8025240D-6B8B-486E-B229-DDB191721F12}"/>
    <cellStyle name="Calculation 2 4 2 41" xfId="19683" xr:uid="{975098E4-5323-40BA-8A3B-E2C6B62086CE}"/>
    <cellStyle name="Calculation 2 4 2 42" xfId="20741" xr:uid="{934E53F2-5BF1-4290-9E11-AA72569B6A36}"/>
    <cellStyle name="Calculation 2 4 2 43" xfId="21091" xr:uid="{17F61142-BFF3-4436-942E-8E7B830F5321}"/>
    <cellStyle name="Calculation 2 4 2 44" xfId="20826" xr:uid="{5A3D531D-4008-4B14-9359-8BF651F19450}"/>
    <cellStyle name="Calculation 2 4 2 45" xfId="21914" xr:uid="{EC73EEB9-BEFD-4CFD-B582-20A63DDD7FC7}"/>
    <cellStyle name="Calculation 2 4 2 46" xfId="22080" xr:uid="{0926AB67-454A-4EE4-A06D-13C311466981}"/>
    <cellStyle name="Calculation 2 4 2 47" xfId="23067" xr:uid="{EBB535E2-2160-4553-A36D-DD7F13162604}"/>
    <cellStyle name="Calculation 2 4 2 48" xfId="23390" xr:uid="{3C1553BA-5711-48EB-89F8-0B3A40C3FD76}"/>
    <cellStyle name="Calculation 2 4 2 49" xfId="23933" xr:uid="{CAF106B8-D138-41B6-A545-7156D066E2FC}"/>
    <cellStyle name="Calculation 2 4 2 5" xfId="1983" xr:uid="{B07F9D7C-512B-4894-BB8C-2DF9D53654F5}"/>
    <cellStyle name="Calculation 2 4 2 50" xfId="24841" xr:uid="{67825538-FB91-4F9F-8E36-7A285DFC81FB}"/>
    <cellStyle name="Calculation 2 4 2 51" xfId="24557" xr:uid="{E08B0BC9-F2DF-49DE-B298-6F2DD39BC0B1}"/>
    <cellStyle name="Calculation 2 4 2 52" xfId="25757" xr:uid="{971E282A-329E-407B-9915-C89A147CCCE7}"/>
    <cellStyle name="Calculation 2 4 2 53" xfId="25133" xr:uid="{82337B7F-6091-4F40-AE7A-BCBD99D955BB}"/>
    <cellStyle name="Calculation 2 4 2 54" xfId="26121" xr:uid="{568AB9CE-A7C4-4FDE-8A9F-71AFBBF0CE23}"/>
    <cellStyle name="Calculation 2 4 2 55" xfId="27045" xr:uid="{82DA5768-AD4F-48B2-B6D1-DD1A48BC3431}"/>
    <cellStyle name="Calculation 2 4 2 56" xfId="27464" xr:uid="{A248C3DA-0AC6-4D39-93BD-2399C01CDF13}"/>
    <cellStyle name="Calculation 2 4 2 57" xfId="26084" xr:uid="{F301BFA6-39AF-4C6D-9E72-5D484779BC43}"/>
    <cellStyle name="Calculation 2 4 2 58" xfId="28591" xr:uid="{4EF75DE9-EFD0-407A-8C12-6CA7141BF674}"/>
    <cellStyle name="Calculation 2 4 2 59" xfId="29058" xr:uid="{84978870-8FA7-4C09-A4AE-2D263F0C5CC9}"/>
    <cellStyle name="Calculation 2 4 2 6" xfId="3132" xr:uid="{408E4BE6-BCB4-4501-801F-07206D1B74DF}"/>
    <cellStyle name="Calculation 2 4 2 60" xfId="28779" xr:uid="{E8B34153-2254-42D2-ABB4-510D1BE34D1F}"/>
    <cellStyle name="Calculation 2 4 2 61" xfId="29847" xr:uid="{592EFBE4-DE2E-4845-A271-93C59D49A8BC}"/>
    <cellStyle name="Calculation 2 4 2 62" xfId="30253" xr:uid="{18F5143F-0EBC-449D-9227-6D9B0BA3DDCD}"/>
    <cellStyle name="Calculation 2 4 2 63" xfId="30670" xr:uid="{D777CD15-1A52-49F7-83C2-3DFE97D8D64E}"/>
    <cellStyle name="Calculation 2 4 2 64" xfId="29990" xr:uid="{BBA8273C-7728-482A-8CAF-B033E8CB232B}"/>
    <cellStyle name="Calculation 2 4 2 65" xfId="31286" xr:uid="{237B7486-E10F-4006-A0F1-1315C7917F11}"/>
    <cellStyle name="Calculation 2 4 2 66" xfId="31977" xr:uid="{AFF2245C-0214-4F7E-B165-99F8CB4F37C2}"/>
    <cellStyle name="Calculation 2 4 2 67" xfId="31619" xr:uid="{5DF92A16-AB42-46F4-BFB8-7F67B8B2A45A}"/>
    <cellStyle name="Calculation 2 4 2 7" xfId="4069" xr:uid="{B6B41956-E37C-4888-B403-B054BE8F58DC}"/>
    <cellStyle name="Calculation 2 4 2 8" xfId="4506" xr:uid="{241594F7-19BC-472C-8C22-3E6ED1E5EDCE}"/>
    <cellStyle name="Calculation 2 4 2 9" xfId="3660" xr:uid="{C3DDA7B6-BA3A-4B8B-BBE0-BEAC5C116873}"/>
    <cellStyle name="Calculation 2 4 20" xfId="10149" xr:uid="{764F3F5B-7E54-4C49-9E3F-2709A2665C44}"/>
    <cellStyle name="Calculation 2 4 21" xfId="10559" xr:uid="{40CDE16B-E597-48D9-A20F-18857A269354}"/>
    <cellStyle name="Calculation 2 4 22" xfId="10568" xr:uid="{5D48CC56-7594-4A17-8035-B5F557C4349E}"/>
    <cellStyle name="Calculation 2 4 23" xfId="10837" xr:uid="{9C6B47D4-291E-4ACC-96A6-481798D8D3FC}"/>
    <cellStyle name="Calculation 2 4 24" xfId="11889" xr:uid="{424BAAE2-C923-4DBA-820C-084F5B8DF585}"/>
    <cellStyle name="Calculation 2 4 25" xfId="12362" xr:uid="{B54D42F7-BD2A-47B0-81FC-619486A0EBAF}"/>
    <cellStyle name="Calculation 2 4 26" xfId="12796" xr:uid="{8EAC0818-75B3-49A5-8B58-EFE118046E33}"/>
    <cellStyle name="Calculation 2 4 27" xfId="13233" xr:uid="{B996B39F-A2FC-4897-831B-C3C877B5B0BA}"/>
    <cellStyle name="Calculation 2 4 28" xfId="11829" xr:uid="{65D5C501-19A4-449E-8647-55EC840C6591}"/>
    <cellStyle name="Calculation 2 4 29" xfId="13822" xr:uid="{94468C26-05FF-4BF9-B668-3604065F58E7}"/>
    <cellStyle name="Calculation 2 4 3" xfId="1019" xr:uid="{C63B8546-D96F-48DB-B118-5FC8EA1A1EE6}"/>
    <cellStyle name="Calculation 2 4 30" xfId="14859" xr:uid="{95437643-A663-4164-8BAC-1DB0AF21FCB9}"/>
    <cellStyle name="Calculation 2 4 31" xfId="15142" xr:uid="{1E8867CF-8C26-4262-9783-E718EBCEE5FF}"/>
    <cellStyle name="Calculation 2 4 32" xfId="15560" xr:uid="{536D9F23-AFB3-4423-85F7-005FCD7BD54E}"/>
    <cellStyle name="Calculation 2 4 33" xfId="15938" xr:uid="{D472654A-5B54-4831-AE4D-6689A96DB029}"/>
    <cellStyle name="Calculation 2 4 34" xfId="16581" xr:uid="{38D5DAC6-AC3E-4447-B76A-4E50C273C4A3}"/>
    <cellStyle name="Calculation 2 4 35" xfId="17269" xr:uid="{3068F2C7-8B4B-4D22-9D8E-5E0E61F477A6}"/>
    <cellStyle name="Calculation 2 4 36" xfId="17713" xr:uid="{95BAE693-A780-4F57-AEFE-2DA5B9777DE9}"/>
    <cellStyle name="Calculation 2 4 37" xfId="18105" xr:uid="{4535368C-D0F5-4DF8-AFB9-2E1DCA1942AB}"/>
    <cellStyle name="Calculation 2 4 38" xfId="18399" xr:uid="{52B111E9-E12C-4DAD-88F2-5F0799CB5BD5}"/>
    <cellStyle name="Calculation 2 4 39" xfId="18769" xr:uid="{26651E78-F5F3-43B2-BED5-5815E9D1C20C}"/>
    <cellStyle name="Calculation 2 4 4" xfId="1734" xr:uid="{BB3DA9DA-596E-4DD8-BCDA-AD99C304F788}"/>
    <cellStyle name="Calculation 2 4 40" xfId="18773" xr:uid="{599847C7-6023-4EE2-86C5-C751B5465466}"/>
    <cellStyle name="Calculation 2 4 41" xfId="19918" xr:uid="{6D7725E3-D9D6-4276-8122-DDFE439C28FC}"/>
    <cellStyle name="Calculation 2 4 42" xfId="20619" xr:uid="{19F69FDB-BAE9-4CBB-8171-02150FBFA666}"/>
    <cellStyle name="Calculation 2 4 43" xfId="21074" xr:uid="{A007F635-89DB-4DC0-B893-309A1BE6D1F9}"/>
    <cellStyle name="Calculation 2 4 44" xfId="19409" xr:uid="{AB1F516F-9CD2-4A5D-BC47-83EB622D65A3}"/>
    <cellStyle name="Calculation 2 4 45" xfId="22005" xr:uid="{AE3445EB-85D0-4B9A-A133-4338644D8196}"/>
    <cellStyle name="Calculation 2 4 46" xfId="22436" xr:uid="{34165B97-7778-4F85-B482-EA9CEC22FFD7}"/>
    <cellStyle name="Calculation 2 4 47" xfId="22552" xr:uid="{EF4782D4-00AC-47EB-89F6-CC95E77D0E06}"/>
    <cellStyle name="Calculation 2 4 48" xfId="23037" xr:uid="{842AC09D-34DE-4686-902E-F68CAF932D95}"/>
    <cellStyle name="Calculation 2 4 49" xfId="23361" xr:uid="{2F5CF1BA-CA97-4360-988F-6B322FAA460B}"/>
    <cellStyle name="Calculation 2 4 5" xfId="2358" xr:uid="{59EB5664-B63B-4EE7-BF45-E3F034EAEEA9}"/>
    <cellStyle name="Calculation 2 4 50" xfId="23727" xr:uid="{383CE909-4B0E-4B92-85EC-536CA7D60718}"/>
    <cellStyle name="Calculation 2 4 51" xfId="24626" xr:uid="{6530EA4C-D8DE-4635-8EB8-35708EEA9DEF}"/>
    <cellStyle name="Calculation 2 4 52" xfId="25325" xr:uid="{62EF82F5-55B7-4ACA-8C04-63115DE1F772}"/>
    <cellStyle name="Calculation 2 4 53" xfId="25544" xr:uid="{BB28E09A-B5FE-41B5-BA05-B2175B9DD4DC}"/>
    <cellStyle name="Calculation 2 4 54" xfId="24218" xr:uid="{A37342B5-47EC-430D-918E-98B9C6028676}"/>
    <cellStyle name="Calculation 2 4 55" xfId="26470" xr:uid="{822D7D59-CB87-41C5-900F-9E11885EAC17}"/>
    <cellStyle name="Calculation 2 4 56" xfId="26834" xr:uid="{891EC77B-3765-4FB8-83B7-0CD52271014B}"/>
    <cellStyle name="Calculation 2 4 57" xfId="27253" xr:uid="{1AAB6043-BA44-4494-AE4D-7709E0035DF7}"/>
    <cellStyle name="Calculation 2 4 58" xfId="27702" xr:uid="{F8D14338-9FC6-4887-A388-818A44C626A5}"/>
    <cellStyle name="Calculation 2 4 59" xfId="28376" xr:uid="{8BF1ECEF-3AE2-4E1F-87C2-E26CF562A8A9}"/>
    <cellStyle name="Calculation 2 4 6" xfId="1965" xr:uid="{090137EF-A475-41A0-87D6-F40C41C44920}"/>
    <cellStyle name="Calculation 2 4 60" xfId="28844" xr:uid="{BF3B18CA-A89A-4DEA-A79B-5CCB5DFDEFAD}"/>
    <cellStyle name="Calculation 2 4 61" xfId="29448" xr:uid="{0963F159-31CF-45BF-8E04-7CEC7FF2E0FA}"/>
    <cellStyle name="Calculation 2 4 62" xfId="29634" xr:uid="{E53C99E8-159F-44AB-8840-1560FEBCF808}"/>
    <cellStyle name="Calculation 2 4 63" xfId="30042" xr:uid="{FEF6BFB6-CB9F-4086-A19B-B32696AE876B}"/>
    <cellStyle name="Calculation 2 4 64" xfId="30456" xr:uid="{72DA225F-EDF5-41A2-AFD2-6D52CE43E3AC}"/>
    <cellStyle name="Calculation 2 4 65" xfId="30938" xr:uid="{517EC32C-4AB0-4C02-B6F1-0BAD86004C13}"/>
    <cellStyle name="Calculation 2 4 66" xfId="31080" xr:uid="{DF610C40-FF08-4B1F-9FD4-609166E44387}"/>
    <cellStyle name="Calculation 2 4 67" xfId="31766" xr:uid="{3EACDDC9-0BF7-487C-A3FB-906D61348228}"/>
    <cellStyle name="Calculation 2 4 68" xfId="32199" xr:uid="{E4F12BDB-FE2D-4CAA-A1D7-C1F65A857928}"/>
    <cellStyle name="Calculation 2 4 7" xfId="1920" xr:uid="{86153B4D-5600-49F8-A713-FFB2A5DB1D39}"/>
    <cellStyle name="Calculation 2 4 8" xfId="3854" xr:uid="{83B90DDB-E19E-4164-A457-084532DFDC2D}"/>
    <cellStyle name="Calculation 2 4 9" xfId="4292" xr:uid="{4797310A-7DC6-480E-AEA0-2BBCDE3ABBF3}"/>
    <cellStyle name="Calculation 2 40" xfId="25128" xr:uid="{825A7DFB-5C0E-4473-9176-A8DC4704C73C}"/>
    <cellStyle name="Calculation 2 41" xfId="25183" xr:uid="{CE833D74-60B2-4706-AD1B-2D5A81FC8FF3}"/>
    <cellStyle name="Calculation 2 42" xfId="26122" xr:uid="{DE47BBFA-46C7-4F00-9683-6612261FF427}"/>
    <cellStyle name="Calculation 2 43" xfId="26089" xr:uid="{FFE4CF67-90F2-4136-8E96-4B1EF1EE5FF5}"/>
    <cellStyle name="Calculation 2 44" xfId="26092" xr:uid="{3A9863FC-E9D0-4057-BB6E-AE38E4DF19C9}"/>
    <cellStyle name="Calculation 2 45" xfId="27670" xr:uid="{5C0EB3AA-EF09-4273-B328-C7727EB005A8}"/>
    <cellStyle name="Calculation 2 46" xfId="28023" xr:uid="{67505B4B-301E-4126-AF8A-93BD629B1C67}"/>
    <cellStyle name="Calculation 2 47" xfId="28308" xr:uid="{BACF408A-CFFE-4A4A-BCE3-F3595BB1427C}"/>
    <cellStyle name="Calculation 2 48" xfId="29516" xr:uid="{8E2A95C3-51E2-4B1A-A3BA-528CE77A5F36}"/>
    <cellStyle name="Calculation 2 49" xfId="27999" xr:uid="{76E6BBDC-DF98-4D2B-99F0-B713774BB642}"/>
    <cellStyle name="Calculation 2 5" xfId="680" xr:uid="{1FD51641-A477-4197-BB50-9B562D5FA0E2}"/>
    <cellStyle name="Calculation 2 5 10" xfId="5328" xr:uid="{08BF9B2B-974C-4BE0-9DC3-7EBE61DF6EE4}"/>
    <cellStyle name="Calculation 2 5 11" xfId="4678" xr:uid="{F64B7B8E-8E79-428C-A3F0-F608B6E9606D}"/>
    <cellStyle name="Calculation 2 5 12" xfId="5552" xr:uid="{5A2306A2-5FAE-42DD-BCFD-851EA8DAEC7C}"/>
    <cellStyle name="Calculation 2 5 13" xfId="6174" xr:uid="{491F5FB7-2C5C-4CFC-AB3C-E25269F7B8B6}"/>
    <cellStyle name="Calculation 2 5 14" xfId="7400" xr:uid="{6DE4189C-3A89-47AD-A730-50F5964FC472}"/>
    <cellStyle name="Calculation 2 5 15" xfId="6931" xr:uid="{668AE839-B63A-4305-B8D6-EC68EB7E9337}"/>
    <cellStyle name="Calculation 2 5 16" xfId="8531" xr:uid="{9F6B1874-D9E6-4BDE-A8D1-50BC5EA1F3CC}"/>
    <cellStyle name="Calculation 2 5 17" xfId="8321" xr:uid="{FB4392E6-7C53-4250-BD02-F8B86AFBBBC5}"/>
    <cellStyle name="Calculation 2 5 18" xfId="9614" xr:uid="{AD501020-14CA-41A0-BAD5-E710BAF1F2EE}"/>
    <cellStyle name="Calculation 2 5 19" xfId="9145" xr:uid="{F72FCA20-5CB2-41E7-B5BF-C8D62AD2AB6C}"/>
    <cellStyle name="Calculation 2 5 2" xfId="1162" xr:uid="{FD637FA3-0E4D-44F0-AEEC-48D124371F7C}"/>
    <cellStyle name="Calculation 2 5 20" xfId="9381" xr:uid="{312E8D0A-CCA0-46AD-9934-C85707C485AE}"/>
    <cellStyle name="Calculation 2 5 21" xfId="10401" xr:uid="{6BE5FF15-EF99-4B63-A329-F559625A2BB1}"/>
    <cellStyle name="Calculation 2 5 22" xfId="11264" xr:uid="{6D6544AC-1B76-424D-9017-0BDB63180594}"/>
    <cellStyle name="Calculation 2 5 23" xfId="12033" xr:uid="{CD0B34A0-52BF-4D87-855F-3E24CC7BB42B}"/>
    <cellStyle name="Calculation 2 5 24" xfId="12506" xr:uid="{3FF558F0-47AC-4775-974E-9D386F547664}"/>
    <cellStyle name="Calculation 2 5 25" xfId="12940" xr:uid="{7AA1C0C9-D870-4A9F-A9A1-14C773CF42CC}"/>
    <cellStyle name="Calculation 2 5 26" xfId="13377" xr:uid="{6EE72CD8-D31E-4BCF-BD65-812661A7F3C8}"/>
    <cellStyle name="Calculation 2 5 27" xfId="11544" xr:uid="{CA151898-3C1E-4505-A828-89896559F704}"/>
    <cellStyle name="Calculation 2 5 28" xfId="14350" xr:uid="{D1CAB602-E52A-47BB-913C-EB6EA74020D1}"/>
    <cellStyle name="Calculation 2 5 29" xfId="12519" xr:uid="{B4DC30C2-5A31-4371-8F37-36F7B0527BFB}"/>
    <cellStyle name="Calculation 2 5 3" xfId="1691" xr:uid="{3D990B40-6A6B-47E0-8D7C-933DC148B76C}"/>
    <cellStyle name="Calculation 2 5 30" xfId="14544" xr:uid="{0565283F-DF81-475C-80B1-96894C08E20F}"/>
    <cellStyle name="Calculation 2 5 31" xfId="15324" xr:uid="{94706A37-0AEA-4E09-B690-21EE894CD4F0}"/>
    <cellStyle name="Calculation 2 5 32" xfId="14894" xr:uid="{4957F9E8-4BE8-4B4C-9492-AD4D3B07D22F}"/>
    <cellStyle name="Calculation 2 5 33" xfId="16725" xr:uid="{48B5E5A2-5996-4A3A-8093-7647CD5B0E46}"/>
    <cellStyle name="Calculation 2 5 34" xfId="16249" xr:uid="{FEC73CD1-B50A-41CD-A4B4-478612C238C9}"/>
    <cellStyle name="Calculation 2 5 35" xfId="16487" xr:uid="{FA4A1F11-B5B0-4273-B663-16C4DC5267CF}"/>
    <cellStyle name="Calculation 2 5 36" xfId="17549" xr:uid="{E0175863-75FA-4766-BC44-05F50A61D392}"/>
    <cellStyle name="Calculation 2 5 37" xfId="18543" xr:uid="{9AF5CD59-0DC2-4D6C-8EAF-81020A360231}"/>
    <cellStyle name="Calculation 2 5 38" xfId="17613" xr:uid="{6BFA17F3-F1AE-45FD-822C-06D59D327289}"/>
    <cellStyle name="Calculation 2 5 39" xfId="19066" xr:uid="{82E748E2-88B4-407A-97FC-C5206634F3D6}"/>
    <cellStyle name="Calculation 2 5 4" xfId="2502" xr:uid="{2BB7F7BE-A9A2-439B-9562-81DB29113940}"/>
    <cellStyle name="Calculation 2 5 40" xfId="20062" xr:uid="{CCC79AFD-B18F-4B1E-9E09-A246602CFC12}"/>
    <cellStyle name="Calculation 2 5 41" xfId="19582" xr:uid="{AA038779-63A2-4B08-9515-D51D876CC8CD}"/>
    <cellStyle name="Calculation 2 5 42" xfId="20330" xr:uid="{B53C0E29-0ED7-44AC-8DC0-821907D034F4}"/>
    <cellStyle name="Calculation 2 5 43" xfId="20994" xr:uid="{5601EA53-7065-4E49-BBE6-5294C83878BE}"/>
    <cellStyle name="Calculation 2 5 44" xfId="19617" xr:uid="{8DE4E079-3935-4E4D-B8F7-B4C2F1AB0AAB}"/>
    <cellStyle name="Calculation 2 5 45" xfId="21476" xr:uid="{7C05F4D7-35EF-448E-BEEC-F2E4638D5EFA}"/>
    <cellStyle name="Calculation 2 5 46" xfId="19726" xr:uid="{0C8E9ECC-08A7-4087-97BC-C7A6982D8611}"/>
    <cellStyle name="Calculation 2 5 47" xfId="22209" xr:uid="{2B4E5D49-1C22-491D-85E9-1619E0A92245}"/>
    <cellStyle name="Calculation 2 5 48" xfId="23115" xr:uid="{3AB39878-C000-4B90-A349-1CBDE5FE5A10}"/>
    <cellStyle name="Calculation 2 5 49" xfId="23870" xr:uid="{98AD0EAC-226F-43AD-9669-FF592881FB48}"/>
    <cellStyle name="Calculation 2 5 5" xfId="2011" xr:uid="{61B02073-26A2-43A6-92B4-449E5B40A11B}"/>
    <cellStyle name="Calculation 2 5 50" xfId="24770" xr:uid="{F9280A36-9E9F-48D8-972A-FDCC21761405}"/>
    <cellStyle name="Calculation 2 5 51" xfId="24303" xr:uid="{334BB1AD-4A82-4CE5-B89A-F60A7345CAF9}"/>
    <cellStyle name="Calculation 2 5 52" xfId="25688" xr:uid="{38BF204C-9928-4BD1-8321-0D0A2E40BF47}"/>
    <cellStyle name="Calculation 2 5 53" xfId="24142" xr:uid="{90141E29-1BB6-43ED-9B52-76B7B13B8B8E}"/>
    <cellStyle name="Calculation 2 5 54" xfId="24790" xr:uid="{E0997222-B7EA-4727-937B-777AD7870F85}"/>
    <cellStyle name="Calculation 2 5 55" xfId="26978" xr:uid="{5A35E237-C079-456E-B080-1C8BF7FF9533}"/>
    <cellStyle name="Calculation 2 5 56" xfId="27397" xr:uid="{E3048E21-7059-4832-8EF7-2E2DF2C48B38}"/>
    <cellStyle name="Calculation 2 5 57" xfId="27782" xr:uid="{5A813291-32C3-431C-B7CB-E7E6924A6AAA}"/>
    <cellStyle name="Calculation 2 5 58" xfId="28520" xr:uid="{5BE9EA06-5F76-408C-956A-0F2D72C0E4E5}"/>
    <cellStyle name="Calculation 2 5 59" xfId="28988" xr:uid="{BB198F7F-5EBA-415D-BC21-BE663BD1642A}"/>
    <cellStyle name="Calculation 2 5 6" xfId="2125" xr:uid="{7D172240-0B37-4BCD-8003-DA3CC3A05568}"/>
    <cellStyle name="Calculation 2 5 60" xfId="28070" xr:uid="{EED441C5-A165-45F8-A9C2-504A83A41EEC}"/>
    <cellStyle name="Calculation 2 5 61" xfId="29778" xr:uid="{2E2647CF-0995-4237-8587-9A16ECECCB02}"/>
    <cellStyle name="Calculation 2 5 62" xfId="30185" xr:uid="{9479032D-170A-4FAA-AA6E-C610B66DAB4A}"/>
    <cellStyle name="Calculation 2 5 63" xfId="30600" xr:uid="{23264FB0-BA80-4436-B3D4-10A81262BB2D}"/>
    <cellStyle name="Calculation 2 5 64" xfId="28073" xr:uid="{06673170-490A-47F0-95DA-598B66EEA36B}"/>
    <cellStyle name="Calculation 2 5 65" xfId="31223" xr:uid="{7063B388-2D43-4D25-9B34-085CE5EAED7B}"/>
    <cellStyle name="Calculation 2 5 66" xfId="31909" xr:uid="{40D12257-FEC6-4C7B-AB67-23078E244789}"/>
    <cellStyle name="Calculation 2 5 67" xfId="31584" xr:uid="{30EFCEFE-FEA5-4A6E-A3D8-4D924C16CFFD}"/>
    <cellStyle name="Calculation 2 5 7" xfId="3998" xr:uid="{D50B431A-2B8D-489B-9FEE-00C38B3716E5}"/>
    <cellStyle name="Calculation 2 5 8" xfId="4436" xr:uid="{E93546A1-F28D-412E-AD51-F3EB72788A26}"/>
    <cellStyle name="Calculation 2 5 9" xfId="4810" xr:uid="{E08B18CF-DE4A-4C59-BACD-EB2525CEA6B8}"/>
    <cellStyle name="Calculation 2 50" xfId="30942" xr:uid="{EAB154BC-89D2-40D8-A724-1AB0A807C524}"/>
    <cellStyle name="Calculation 2 51" xfId="30992" xr:uid="{62DF4C80-EFBE-48A5-AC5A-09F120026D84}"/>
    <cellStyle name="Calculation 2 52" xfId="31514" xr:uid="{D8356445-E7E2-469F-AF8F-5D0F05E6E12B}"/>
    <cellStyle name="Calculation 2 53" xfId="32286" xr:uid="{D4E8A49C-8CD0-4BF3-872E-07794D51D7F1}"/>
    <cellStyle name="Calculation 2 6" xfId="922" xr:uid="{F2B0C46A-F7DF-4A97-981A-C8F3BBF68E68}"/>
    <cellStyle name="Calculation 2 7" xfId="1955" xr:uid="{EF30F339-E87F-43CF-86F3-9954D45B7EA7}"/>
    <cellStyle name="Calculation 2 8" xfId="2294" xr:uid="{1D491849-3769-4A32-976F-96BE54CF8042}"/>
    <cellStyle name="Calculation 2 9" xfId="3063" xr:uid="{8659E6D8-E00A-4F50-828F-9D8855224CF2}"/>
    <cellStyle name="Calculation 3" xfId="224" xr:uid="{7CC603C8-0934-40F1-A409-7749A27836A5}"/>
    <cellStyle name="Calculation 3 10" xfId="2795" xr:uid="{D9A4490E-A51A-4DCC-913A-BBFBDD069E3C}"/>
    <cellStyle name="Calculation 3 11" xfId="3763" xr:uid="{6AEE8FCE-B728-4397-AFC9-6E51B690703D}"/>
    <cellStyle name="Calculation 3 12" xfId="3234" xr:uid="{52672B5A-E1A7-4FD6-99BE-733A8E3E5F20}"/>
    <cellStyle name="Calculation 3 13" xfId="6197" xr:uid="{122BA8E7-099E-46BF-842C-18E53B9A7085}"/>
    <cellStyle name="Calculation 3 14" xfId="6625" xr:uid="{C7713218-D1A5-4F84-A62E-A396959B7250}"/>
    <cellStyle name="Calculation 3 15" xfId="6956" xr:uid="{66981CFF-CB5B-4185-B0A1-690DC0A95330}"/>
    <cellStyle name="Calculation 3 16" xfId="6926" xr:uid="{B181B982-E0C7-4465-8E23-27E00281864B}"/>
    <cellStyle name="Calculation 3 17" xfId="8526" xr:uid="{3AD33DD3-76DA-4B83-B100-A89632B6711F}"/>
    <cellStyle name="Calculation 3 18" xfId="8852" xr:uid="{1E76B3BA-DBA3-4718-8BD5-F9DC5AB2D2BC}"/>
    <cellStyle name="Calculation 3 19" xfId="9169" xr:uid="{4862A634-D253-4311-8668-D3C5DF9CCFCB}"/>
    <cellStyle name="Calculation 3 2" xfId="585" xr:uid="{B7E20417-1D05-4ECE-BF93-F4865C8BC1F8}"/>
    <cellStyle name="Calculation 3 2 10" xfId="2177" xr:uid="{369845B0-1349-463D-AF04-C03348380250}"/>
    <cellStyle name="Calculation 3 2 11" xfId="5233" xr:uid="{62824E66-90CC-4400-8D74-9B4008B8F4A1}"/>
    <cellStyle name="Calculation 3 2 12" xfId="5664" xr:uid="{D070B4BA-94E4-4FF4-AB02-885CC655326E}"/>
    <cellStyle name="Calculation 3 2 13" xfId="6156" xr:uid="{C16BDD9D-AA15-4B85-AC03-C07268D32F6B}"/>
    <cellStyle name="Calculation 3 2 14" xfId="6369" xr:uid="{FBC96907-F1AC-48DC-9429-0783E1FFA29F}"/>
    <cellStyle name="Calculation 3 2 15" xfId="7305" xr:uid="{B3C7B52E-BD1D-4F4E-AD59-0EC5A8005A07}"/>
    <cellStyle name="Calculation 3 2 16" xfId="8022" xr:uid="{082B9D26-1C49-4246-8A0B-434F23B7B9D4}"/>
    <cellStyle name="Calculation 3 2 17" xfId="8524" xr:uid="{54B22909-E91E-40EB-B4EB-D64EBE960210}"/>
    <cellStyle name="Calculation 3 2 18" xfId="7677" xr:uid="{62D6EBA7-A675-420F-8051-DCEF735BD57A}"/>
    <cellStyle name="Calculation 3 2 19" xfId="9519" xr:uid="{161A891F-7CB8-4E83-BB25-8E7B71E2DE3C}"/>
    <cellStyle name="Calculation 3 2 2" xfId="800" xr:uid="{D4C2923A-9037-46AF-803A-965C4CF2491E}"/>
    <cellStyle name="Calculation 3 2 2 10" xfId="5448" xr:uid="{079A1EA4-BCA8-4257-96E2-094C552D588A}"/>
    <cellStyle name="Calculation 3 2 2 11" xfId="4720" xr:uid="{20669C4F-7145-4606-B5EF-D8C5D2A2E041}"/>
    <cellStyle name="Calculation 3 2 2 12" xfId="6101" xr:uid="{81713159-1591-427B-8340-247E224164B0}"/>
    <cellStyle name="Calculation 3 2 2 13" xfId="2120" xr:uid="{F23DDB14-5234-4419-9846-497A049A23AD}"/>
    <cellStyle name="Calculation 3 2 2 14" xfId="7520" xr:uid="{39C05523-CECD-456F-A9CB-4BAB08BA1577}"/>
    <cellStyle name="Calculation 3 2 2 15" xfId="6820" xr:uid="{7D600E5B-6D6E-4A85-A67F-97769DE3C42E}"/>
    <cellStyle name="Calculation 3 2 2 16" xfId="7741" xr:uid="{10EE3B99-63B3-4D4C-B2DE-556DBB29996A}"/>
    <cellStyle name="Calculation 3 2 2 17" xfId="8866" xr:uid="{16E2077E-42B5-44AD-B2A2-44CDCA9C5FCC}"/>
    <cellStyle name="Calculation 3 2 2 18" xfId="9734" xr:uid="{F2857840-D704-41CA-A995-3ECC42B55957}"/>
    <cellStyle name="Calculation 3 2 2 19" xfId="9147" xr:uid="{0D1FB512-39A7-40FE-9422-F0FD3DFE0930}"/>
    <cellStyle name="Calculation 3 2 2 2" xfId="1274" xr:uid="{5B9DD25A-3309-4DA2-BF7D-22409913EFF9}"/>
    <cellStyle name="Calculation 3 2 2 20" xfId="10123" xr:uid="{F27FAC35-A0FE-443C-828A-98D1DCB49D56}"/>
    <cellStyle name="Calculation 3 2 2 21" xfId="10913" xr:uid="{F1D64A2F-0DCA-4BED-9599-08B3870D36FD}"/>
    <cellStyle name="Calculation 3 2 2 22" xfId="11158" xr:uid="{CB879A72-90C3-4331-969B-A6EEDB0DFAC7}"/>
    <cellStyle name="Calculation 3 2 2 23" xfId="12153" xr:uid="{5598385E-71C8-4196-8101-3B9EE314DB06}"/>
    <cellStyle name="Calculation 3 2 2 24" xfId="12626" xr:uid="{66C0C158-1D15-469C-BD99-13E66EAABFF8}"/>
    <cellStyle name="Calculation 3 2 2 25" xfId="13060" xr:uid="{66CC5267-CB90-470B-9BAE-F1E0488F74C1}"/>
    <cellStyle name="Calculation 3 2 2 26" xfId="13497" xr:uid="{FF9E1F11-EDEC-496B-85B2-FA04B97676A7}"/>
    <cellStyle name="Calculation 3 2 2 27" xfId="13758" xr:uid="{13486907-1F5A-4C03-AA81-C065ED558023}"/>
    <cellStyle name="Calculation 3 2 2 28" xfId="13874" xr:uid="{2D10A317-714E-4CD2-B8C5-7DC75B939B7B}"/>
    <cellStyle name="Calculation 3 2 2 29" xfId="13595" xr:uid="{20C6BE39-E1D8-4766-A39F-765F932028B0}"/>
    <cellStyle name="Calculation 3 2 2 3" xfId="1739" xr:uid="{90C28846-E497-4745-9933-04A6B77B0157}"/>
    <cellStyle name="Calculation 3 2 2 30" xfId="14992" xr:uid="{A45DD10E-5792-4D61-9487-B2B04A735277}"/>
    <cellStyle name="Calculation 3 2 2 31" xfId="15740" xr:uid="{7B3E4C24-7012-4658-B0F8-D4AEC94185E0}"/>
    <cellStyle name="Calculation 3 2 2 32" xfId="14614" xr:uid="{994B2450-AF49-473B-A1CA-2B4AA3B5C576}"/>
    <cellStyle name="Calculation 3 2 2 33" xfId="16845" xr:uid="{C2F6C96B-2E7F-4BEA-B992-B7B8630CB579}"/>
    <cellStyle name="Calculation 3 2 2 34" xfId="16132" xr:uid="{FC4E2997-47D2-4CDE-B71B-AC293E2F52CC}"/>
    <cellStyle name="Calculation 3 2 2 35" xfId="16154" xr:uid="{DCF39FEF-82DC-4ADE-8341-AACEC067BC3D}"/>
    <cellStyle name="Calculation 3 2 2 36" xfId="17493" xr:uid="{1AF57B58-C00A-41A2-BC2E-A34E5413ABEF}"/>
    <cellStyle name="Calculation 3 2 2 37" xfId="18663" xr:uid="{6641E97D-9C9A-4201-9E87-098DD8E2C6E7}"/>
    <cellStyle name="Calculation 3 2 2 38" xfId="18986" xr:uid="{3E3D1852-3415-471F-8519-E4D28686B593}"/>
    <cellStyle name="Calculation 3 2 2 39" xfId="19261" xr:uid="{B6EAA114-8814-4B6A-9099-FDBB3275D13F}"/>
    <cellStyle name="Calculation 3 2 2 4" xfId="2622" xr:uid="{2813CEC3-6E30-463F-B6F9-A32FF96211A5}"/>
    <cellStyle name="Calculation 3 2 2 40" xfId="20182" xr:uid="{D262060F-CD00-4160-A43B-E6E07B9C7081}"/>
    <cellStyle name="Calculation 3 2 2 41" xfId="19761" xr:uid="{80F49AEA-B730-416B-9E9F-5909BB571F36}"/>
    <cellStyle name="Calculation 3 2 2 42" xfId="19385" xr:uid="{0ACFF286-3D6F-4C22-9377-55920BC006B5}"/>
    <cellStyle name="Calculation 3 2 2 43" xfId="21470" xr:uid="{2557D5F2-0680-4AA3-BD23-DC7323048F1E}"/>
    <cellStyle name="Calculation 3 2 2 44" xfId="20785" xr:uid="{F7F30DC7-FC65-4435-8449-72CC5579D95C}"/>
    <cellStyle name="Calculation 3 2 2 45" xfId="21242" xr:uid="{2E4A87E2-745B-4C89-A6BA-95A9F2901BA1}"/>
    <cellStyle name="Calculation 3 2 2 46" xfId="22753" xr:uid="{9F39ABE8-6C75-421F-A114-727D96152BFF}"/>
    <cellStyle name="Calculation 3 2 2 47" xfId="23272" xr:uid="{762542E9-9790-41E7-B4E2-7F29A641D727}"/>
    <cellStyle name="Calculation 3 2 2 48" xfId="23482" xr:uid="{76A05AC2-F422-40D8-87EB-F0FE243E5077}"/>
    <cellStyle name="Calculation 3 2 2 49" xfId="23982" xr:uid="{F37097A6-3B75-4C82-81ED-DA7B69722379}"/>
    <cellStyle name="Calculation 3 2 2 5" xfId="2924" xr:uid="{1ACBFD42-FCF0-4373-95CF-8400DBE57F89}"/>
    <cellStyle name="Calculation 3 2 2 50" xfId="24890" xr:uid="{639CBE54-2C93-4B4A-93C7-B0085D15DEF7}"/>
    <cellStyle name="Calculation 3 2 2 51" xfId="24470" xr:uid="{6FD846AB-CDC9-48B6-BE84-94CE46161A7C}"/>
    <cellStyle name="Calculation 3 2 2 52" xfId="25806" xr:uid="{6D7D8485-C67F-43BC-BEDA-A3639BF915BC}"/>
    <cellStyle name="Calculation 3 2 2 53" xfId="26056" xr:uid="{0093FC60-63E7-40E2-AAED-5D1BBD379F0F}"/>
    <cellStyle name="Calculation 3 2 2 54" xfId="26441" xr:uid="{BA83891B-E663-4B04-84A9-4B9FDB296C5C}"/>
    <cellStyle name="Calculation 3 2 2 55" xfId="27094" xr:uid="{F4E8D10D-5353-409C-A26D-79405FABF972}"/>
    <cellStyle name="Calculation 3 2 2 56" xfId="27513" xr:uid="{52C55BD3-EC8B-4740-9706-BED0029A859E}"/>
    <cellStyle name="Calculation 3 2 2 57" xfId="27719" xr:uid="{BAEACE86-5A79-47B1-AB9E-86CEE1B0140C}"/>
    <cellStyle name="Calculation 3 2 2 58" xfId="28640" xr:uid="{41697D58-673E-4A56-B5E9-F10598E2E9B1}"/>
    <cellStyle name="Calculation 3 2 2 59" xfId="29107" xr:uid="{470BE89D-FC6F-4D02-ABC0-3985CE4F010E}"/>
    <cellStyle name="Calculation 3 2 2 6" xfId="2268" xr:uid="{5AEE9FAC-CA0E-4847-81C9-C1AE9A8B2FF5}"/>
    <cellStyle name="Calculation 3 2 2 60" xfId="27929" xr:uid="{5AA72CD2-41FF-427E-8FA3-E2B0173097B1}"/>
    <cellStyle name="Calculation 3 2 2 61" xfId="29896" xr:uid="{C42C937E-9E23-427A-9E99-4E741C180E0B}"/>
    <cellStyle name="Calculation 3 2 2 62" xfId="30302" xr:uid="{4256F292-86EF-471C-B476-6738ED12216B}"/>
    <cellStyle name="Calculation 3 2 2 63" xfId="30719" xr:uid="{CBA8E8FE-41EC-4011-8EE5-7F47E2B74558}"/>
    <cellStyle name="Calculation 3 2 2 64" xfId="30410" xr:uid="{2CA3A2BE-430E-414B-9917-3CA65047BAA3}"/>
    <cellStyle name="Calculation 3 2 2 65" xfId="31335" xr:uid="{62571034-2061-41D4-AC72-1D744D2EB320}"/>
    <cellStyle name="Calculation 3 2 2 66" xfId="32026" xr:uid="{66A81917-C195-448C-A06E-81A68E288826}"/>
    <cellStyle name="Calculation 3 2 2 67" xfId="31528" xr:uid="{850B41A2-4926-443D-8630-C5055C886156}"/>
    <cellStyle name="Calculation 3 2 2 7" xfId="4118" xr:uid="{91EFCE7E-0D17-4E3F-917B-2570431CA88E}"/>
    <cellStyle name="Calculation 3 2 2 8" xfId="4555" xr:uid="{1A9B26AE-FA10-44F7-8AF3-50FB6FB004F0}"/>
    <cellStyle name="Calculation 3 2 2 9" xfId="3659" xr:uid="{5DE62174-7934-45AF-84C3-66CB1C3ECF1B}"/>
    <cellStyle name="Calculation 3 2 20" xfId="10241" xr:uid="{3397D9A8-DAE6-46C0-9047-BCE11A6479FD}"/>
    <cellStyle name="Calculation 3 2 21" xfId="10636" xr:uid="{31396ECA-FAE4-4C5F-BF5D-B61EB1585CA3}"/>
    <cellStyle name="Calculation 3 2 22" xfId="10316" xr:uid="{9D02CCB0-203F-481E-B18C-F887DC7ADD30}"/>
    <cellStyle name="Calculation 3 2 23" xfId="11077" xr:uid="{AA131CFC-9896-486C-BF83-4A28629A91B0}"/>
    <cellStyle name="Calculation 3 2 24" xfId="11938" xr:uid="{6DC68948-AFB5-4539-BC8D-B23DA1D88263}"/>
    <cellStyle name="Calculation 3 2 25" xfId="12411" xr:uid="{7E121F56-A98F-428A-96CD-7458FDF8DE2E}"/>
    <cellStyle name="Calculation 3 2 26" xfId="12845" xr:uid="{8E31297D-EE18-41AF-B095-401691940B9D}"/>
    <cellStyle name="Calculation 3 2 27" xfId="13282" xr:uid="{2D363B40-CF06-448A-AD12-17FF18E28EA4}"/>
    <cellStyle name="Calculation 3 2 28" xfId="12742" xr:uid="{15FEF840-1912-45AE-95EB-657080F47E13}"/>
    <cellStyle name="Calculation 3 2 29" xfId="12930" xr:uid="{8BCCFC67-1D1B-4020-9C6F-7A974219F7E4}"/>
    <cellStyle name="Calculation 3 2 3" xfId="1068" xr:uid="{FB5190E5-8FA9-4B2A-84A1-03E3AA6B217A}"/>
    <cellStyle name="Calculation 3 2 30" xfId="14096" xr:uid="{ACA55D08-113E-4A34-BAAE-D3FCD5635B87}"/>
    <cellStyle name="Calculation 3 2 31" xfId="14626" xr:uid="{BDAAC9A8-B27B-4F00-841A-8006376F31CE}"/>
    <cellStyle name="Calculation 3 2 32" xfId="14772" xr:uid="{F2A62F54-B5DC-4AB3-B2AC-95A0721CA744}"/>
    <cellStyle name="Calculation 3 2 33" xfId="15982" xr:uid="{87CDA78F-1C19-472C-97DF-8E53EFF4B2D4}"/>
    <cellStyle name="Calculation 3 2 34" xfId="16630" xr:uid="{40F29A79-F7CA-4DDC-8831-8ADE619F31A4}"/>
    <cellStyle name="Calculation 3 2 35" xfId="17362" xr:uid="{50C80A99-410E-424C-9946-2DD6ED6FB333}"/>
    <cellStyle name="Calculation 3 2 36" xfId="17804" xr:uid="{4142553F-8C3B-4DE3-A897-24E4432FD0A5}"/>
    <cellStyle name="Calculation 3 2 37" xfId="18058" xr:uid="{AC815C18-A026-45FF-A49A-1C96962127CD}"/>
    <cellStyle name="Calculation 3 2 38" xfId="18448" xr:uid="{B7908A45-C16C-445E-B67C-B12F8E8837E6}"/>
    <cellStyle name="Calculation 3 2 39" xfId="17918" xr:uid="{E621D870-E841-4596-A51E-28FA652ECF1B}"/>
    <cellStyle name="Calculation 3 2 4" xfId="1637" xr:uid="{52B87108-D8F8-4D94-B9C1-67F66429FBE4}"/>
    <cellStyle name="Calculation 3 2 40" xfId="19069" xr:uid="{CFD6B8A7-BA5B-4E4D-AA57-562CC3643410}"/>
    <cellStyle name="Calculation 3 2 41" xfId="19967" xr:uid="{F26A19E6-B8D4-43C2-A255-6ECAF815B025}"/>
    <cellStyle name="Calculation 3 2 42" xfId="20712" xr:uid="{26933806-97EC-489A-B356-F74CBC3FF7EA}"/>
    <cellStyle name="Calculation 3 2 43" xfId="21170" xr:uid="{5C762D3C-692F-4D1B-A126-20494DFE114B}"/>
    <cellStyle name="Calculation 3 2 44" xfId="19814" xr:uid="{79693518-D6AA-4DDF-B826-035EDCFD36DE}"/>
    <cellStyle name="Calculation 3 2 45" xfId="22101" xr:uid="{EDC40EAE-9BC6-46C1-B11A-8FC791BC2E52}"/>
    <cellStyle name="Calculation 3 2 46" xfId="22529" xr:uid="{75AD564D-5BFE-42E7-AF75-A5760342D120}"/>
    <cellStyle name="Calculation 3 2 47" xfId="21884" xr:uid="{9E4915D2-3DBE-45D7-A40C-3F6AE1F893FF}"/>
    <cellStyle name="Calculation 3 2 48" xfId="22806" xr:uid="{7332FAED-50EC-4D5A-B680-EC3844365019}"/>
    <cellStyle name="Calculation 3 2 49" xfId="23232" xr:uid="{B3301663-80C6-49F8-B02D-D4213ABBD864}"/>
    <cellStyle name="Calculation 3 2 5" xfId="2407" xr:uid="{6434EFC4-8294-49B9-B0BB-2EACDC072996}"/>
    <cellStyle name="Calculation 3 2 50" xfId="23776" xr:uid="{DBA517E0-CAAF-4DF9-B58A-DEE3E4F4AA0E}"/>
    <cellStyle name="Calculation 3 2 51" xfId="24675" xr:uid="{E8374CEC-6FB7-4E2F-9708-B476E3FCE4E6}"/>
    <cellStyle name="Calculation 3 2 52" xfId="25416" xr:uid="{04423B2F-A230-4C7C-BA84-6E37C86CF805}"/>
    <cellStyle name="Calculation 3 2 53" xfId="25593" xr:uid="{9D66CDA0-BB35-4B2D-9265-ADDDDA99C3F4}"/>
    <cellStyle name="Calculation 3 2 54" xfId="25207" xr:uid="{56866DCD-5A08-487C-BFE3-8AA1A14342BB}"/>
    <cellStyle name="Calculation 3 2 55" xfId="24115" xr:uid="{41B3B15A-13E1-4E0B-8443-B09ACAD17620}"/>
    <cellStyle name="Calculation 3 2 56" xfId="26883" xr:uid="{E4319A93-A9FD-4C93-9F2A-199DA0624DDE}"/>
    <cellStyle name="Calculation 3 2 57" xfId="27302" xr:uid="{52E1F0F2-5C98-41F4-846E-AB977E1CD5D8}"/>
    <cellStyle name="Calculation 3 2 58" xfId="27713" xr:uid="{18B6E445-8015-4AE1-B1AB-14F2D3007BC4}"/>
    <cellStyle name="Calculation 3 2 59" xfId="28425" xr:uid="{99E2A33D-2F94-4B6D-B830-F7F9DAA7A64A}"/>
    <cellStyle name="Calculation 3 2 6" xfId="2203" xr:uid="{E49B15A7-86AF-490D-8F14-C6D82D2B394B}"/>
    <cellStyle name="Calculation 3 2 60" xfId="28893" xr:uid="{6BE35144-AB43-404A-B0C2-AA6FFFA60EE3}"/>
    <cellStyle name="Calculation 3 2 61" xfId="29530" xr:uid="{E85CA38C-CADC-4A37-9804-6BD543B4BED8}"/>
    <cellStyle name="Calculation 3 2 62" xfId="29683" xr:uid="{3DD87D0E-6BAA-4968-8456-F3CEEC3F9BE0}"/>
    <cellStyle name="Calculation 3 2 63" xfId="30091" xr:uid="{1DB1754C-4856-475C-A729-E6D404956279}"/>
    <cellStyle name="Calculation 3 2 64" xfId="30505" xr:uid="{A48DA1D6-BFF0-43C1-8255-D9A3CEBBD1F3}"/>
    <cellStyle name="Calculation 3 2 65" xfId="30858" xr:uid="{AF0F7C34-FDBE-462E-A2BD-78C4C4006D55}"/>
    <cellStyle name="Calculation 3 2 66" xfId="31129" xr:uid="{FFC94DB1-185F-40C3-BCC8-DAA8F48961D2}"/>
    <cellStyle name="Calculation 3 2 67" xfId="31815" xr:uid="{B3360081-7F07-405C-9973-2BC782E2E70C}"/>
    <cellStyle name="Calculation 3 2 68" xfId="32125" xr:uid="{215370E8-9CB9-4DB7-B0F5-38904028F01B}"/>
    <cellStyle name="Calculation 3 2 7" xfId="2812" xr:uid="{70451B3D-70CF-471C-A397-EF226FBA162F}"/>
    <cellStyle name="Calculation 3 2 8" xfId="3903" xr:uid="{13E84FFE-0131-4AA4-B4E0-AA2EEA72E697}"/>
    <cellStyle name="Calculation 3 2 9" xfId="4341" xr:uid="{5C03F07E-09BA-461A-BCD3-5089FADD453E}"/>
    <cellStyle name="Calculation 3 20" xfId="9285" xr:uid="{9DB075A7-6E84-4722-B7D7-910DB998EF1F}"/>
    <cellStyle name="Calculation 3 21" xfId="11126" xr:uid="{EEE83BE1-9FED-461A-A991-5CAAC87509B0}"/>
    <cellStyle name="Calculation 3 22" xfId="11580" xr:uid="{4F74BC78-5AF1-45D6-A266-597D8715146D}"/>
    <cellStyle name="Calculation 3 23" xfId="11498" xr:uid="{4F5A1A81-6144-4AC0-89DE-FA0EA6D02646}"/>
    <cellStyle name="Calculation 3 24" xfId="11744" xr:uid="{2E80ED43-41B4-472D-841C-4D98B43D157B}"/>
    <cellStyle name="Calculation 3 25" xfId="12286" xr:uid="{1668B55D-E8C6-4230-943B-79FCC2DC4E46}"/>
    <cellStyle name="Calculation 3 26" xfId="13157" xr:uid="{E986AA42-F9A9-401D-BA85-6CA09698D1A2}"/>
    <cellStyle name="Calculation 3 27" xfId="14527" xr:uid="{91877136-7E6A-4449-96B1-F8B18F912643}"/>
    <cellStyle name="Calculation 3 28" xfId="15803" xr:uid="{150069D2-4FF7-4C23-95C0-5BD459920BD7}"/>
    <cellStyle name="Calculation 3 29" xfId="16275" xr:uid="{199364E8-6BC3-4895-B74D-E66C0DD82E53}"/>
    <cellStyle name="Calculation 3 3" xfId="571" xr:uid="{47B293E2-9A58-4145-AC73-93D7370EB312}"/>
    <cellStyle name="Calculation 3 3 10" xfId="5024" xr:uid="{FFA5D1B0-7972-4F92-A544-71DB05784368}"/>
    <cellStyle name="Calculation 3 3 11" xfId="5219" xr:uid="{B3015AD2-0E89-4335-B395-187A52B2E01C}"/>
    <cellStyle name="Calculation 3 3 12" xfId="5804" xr:uid="{B7896CDA-AF3E-4F52-ACBA-3182226E8F18}"/>
    <cellStyle name="Calculation 3 3 13" xfId="5796" xr:uid="{55F5C005-71B9-4B68-BA7F-7DA5D5505D4F}"/>
    <cellStyle name="Calculation 3 3 14" xfId="6686" xr:uid="{D86D5E75-6180-460B-92C9-8AF4F88AFC66}"/>
    <cellStyle name="Calculation 3 3 15" xfId="7291" xr:uid="{0AED6163-1DC4-4815-87CF-B5E4F370D2D4}"/>
    <cellStyle name="Calculation 3 3 16" xfId="7188" xr:uid="{755EAF62-F8C0-4B8E-8FCB-DB5D32070C09}"/>
    <cellStyle name="Calculation 3 3 17" xfId="8103" xr:uid="{45C94C60-D343-4273-80D5-944533BDF431}"/>
    <cellStyle name="Calculation 3 3 18" xfId="7128" xr:uid="{9324619D-8B90-4D0B-AA9F-54B5C7D3AD0C}"/>
    <cellStyle name="Calculation 3 3 19" xfId="9505" xr:uid="{C02838CB-C6F3-4454-A9BF-9415043BC3BA}"/>
    <cellStyle name="Calculation 3 3 2" xfId="786" xr:uid="{86883983-473B-42F1-AFD1-2213E829769A}"/>
    <cellStyle name="Calculation 3 3 2 10" xfId="5434" xr:uid="{7B1302C3-33D9-42CF-975F-1E0DB3B80CE9}"/>
    <cellStyle name="Calculation 3 3 2 11" xfId="5614" xr:uid="{FEA8B30C-9BAB-44A2-ACA2-C50A2D158BD5}"/>
    <cellStyle name="Calculation 3 3 2 12" xfId="5779" xr:uid="{56B2A689-7B8A-4449-B206-5F129EAA1FB8}"/>
    <cellStyle name="Calculation 3 3 2 13" xfId="3460" xr:uid="{AFBF3173-1997-4C37-8B61-370D73B5017F}"/>
    <cellStyle name="Calculation 3 3 2 14" xfId="7506" xr:uid="{658E134B-C6CF-48B6-AF14-40261F2E0969}"/>
    <cellStyle name="Calculation 3 3 2 15" xfId="7127" xr:uid="{DF1130E3-65E4-42A8-9C20-9762FCCDCC8C}"/>
    <cellStyle name="Calculation 3 3 2 16" xfId="8364" xr:uid="{69959DF6-C62F-40DB-81CF-5ED0B4797112}"/>
    <cellStyle name="Calculation 3 3 2 17" xfId="8695" xr:uid="{AC13231E-47EE-4C3B-A82D-31E5A4F62248}"/>
    <cellStyle name="Calculation 3 3 2 18" xfId="9720" xr:uid="{110C8804-9AB0-4606-967F-80F5EE12A824}"/>
    <cellStyle name="Calculation 3 3 2 19" xfId="9319" xr:uid="{95681CFF-D19D-4B2F-8FAD-98898CB3CAC2}"/>
    <cellStyle name="Calculation 3 3 2 2" xfId="1260" xr:uid="{5428DB73-94C0-4C28-94F1-A0D85A5FC42C}"/>
    <cellStyle name="Calculation 3 3 2 20" xfId="9386" xr:uid="{0DAD2FF0-5CEA-4B51-95D0-C9B7AD1A2979}"/>
    <cellStyle name="Calculation 3 3 2 21" xfId="9038" xr:uid="{90148EF7-F307-4E44-908A-20F723375CD5}"/>
    <cellStyle name="Calculation 3 3 2 22" xfId="10828" xr:uid="{D3DE614C-402D-49DA-AF78-1FFF0C6BA0B1}"/>
    <cellStyle name="Calculation 3 3 2 23" xfId="12139" xr:uid="{8281EF9E-DE9A-4510-AEEE-53E0D9366C63}"/>
    <cellStyle name="Calculation 3 3 2 24" xfId="12612" xr:uid="{90EE74EB-55C2-43D4-8E33-03F3B04DA49B}"/>
    <cellStyle name="Calculation 3 3 2 25" xfId="13046" xr:uid="{A652E81C-27EC-431C-B675-D19DFDB9D869}"/>
    <cellStyle name="Calculation 3 3 2 26" xfId="13483" xr:uid="{3E6AC54B-5C99-4BF3-B0AC-132E31C9CF57}"/>
    <cellStyle name="Calculation 3 3 2 27" xfId="12276" xr:uid="{1FDBD367-989A-4524-86A1-D3FAABC23C64}"/>
    <cellStyle name="Calculation 3 3 2 28" xfId="13978" xr:uid="{C0CDAD62-7567-465C-9D37-2CDD0C7F8F29}"/>
    <cellStyle name="Calculation 3 3 2 29" xfId="13742" xr:uid="{86D4876D-1D95-4A61-866F-E139C79A5458}"/>
    <cellStyle name="Calculation 3 3 2 3" xfId="1509" xr:uid="{5E5F387A-E4E1-48B4-8892-CAF5D1BB6D86}"/>
    <cellStyle name="Calculation 3 3 2 30" xfId="15342" xr:uid="{961CFD34-6BAD-46ED-9939-820E44A35009}"/>
    <cellStyle name="Calculation 3 3 2 31" xfId="15564" xr:uid="{037DE66A-E8EC-496F-93F5-9E016E8BCB0E}"/>
    <cellStyle name="Calculation 3 3 2 32" xfId="14451" xr:uid="{D15B1045-24BF-4C29-8FEC-F5BC38D75665}"/>
    <cellStyle name="Calculation 3 3 2 33" xfId="16831" xr:uid="{0BF06EB5-B839-4ED4-8D93-18A6752DCA44}"/>
    <cellStyle name="Calculation 3 3 2 34" xfId="16449" xr:uid="{49407BE5-B1D8-4976-AF6F-2FB93F1ABEB2}"/>
    <cellStyle name="Calculation 3 3 2 35" xfId="16145" xr:uid="{84996856-C32C-462B-9D89-30E8A455AEC4}"/>
    <cellStyle name="Calculation 3 3 2 36" xfId="18233" xr:uid="{33786149-D5A9-4852-8760-DAF53E033BAC}"/>
    <cellStyle name="Calculation 3 3 2 37" xfId="18649" xr:uid="{5FFC6571-877C-4FCC-954E-FFADE23F6EA1}"/>
    <cellStyle name="Calculation 3 3 2 38" xfId="18770" xr:uid="{0EAE9908-289E-4B74-A14A-1753AD55650D}"/>
    <cellStyle name="Calculation 3 3 2 39" xfId="18141" xr:uid="{CAB587D3-52DB-4316-89FF-F1A38E31AB99}"/>
    <cellStyle name="Calculation 3 3 2 4" xfId="2608" xr:uid="{29EC0730-FDA1-4381-A91C-511C40C48C79}"/>
    <cellStyle name="Calculation 3 3 2 40" xfId="20168" xr:uid="{9999C0B7-B8EF-4DBC-BFEB-89947AD92CDB}"/>
    <cellStyle name="Calculation 3 3 2 41" xfId="19469" xr:uid="{5FCD5EBD-39D8-4702-9891-FDBA6B37BED1}"/>
    <cellStyle name="Calculation 3 3 2 42" xfId="20354" xr:uid="{2F592836-5A3B-414F-9FCF-B39C2BB56D4B}"/>
    <cellStyle name="Calculation 3 3 2 43" xfId="20902" xr:uid="{A3DE5360-5D11-4058-B9EC-740AB1D5B52C}"/>
    <cellStyle name="Calculation 3 3 2 44" xfId="19593" xr:uid="{2CC1BE07-9B89-4E98-8287-C34A482826A6}"/>
    <cellStyle name="Calculation 3 3 2 45" xfId="21730" xr:uid="{4E30FDF5-61CE-4FB1-B0AC-4F300054191D}"/>
    <cellStyle name="Calculation 3 3 2 46" xfId="21275" xr:uid="{DF31EAB9-34AA-41F1-8146-FAE74B040413}"/>
    <cellStyle name="Calculation 3 3 2 47" xfId="23039" xr:uid="{622F27B4-7AA8-44CD-8B01-7185572F9CFF}"/>
    <cellStyle name="Calculation 3 3 2 48" xfId="22238" xr:uid="{5DEDA62B-38B2-42B8-A9C3-B2D2C9D64303}"/>
    <cellStyle name="Calculation 3 3 2 49" xfId="23968" xr:uid="{1659E76A-9FEF-4034-8068-3E93EC7C8EC0}"/>
    <cellStyle name="Calculation 3 3 2 5" xfId="2195" xr:uid="{CF135D2D-D505-44F8-AF86-2A8C34160C62}"/>
    <cellStyle name="Calculation 3 3 2 50" xfId="24876" xr:uid="{98D2838B-2B36-4CAE-829B-3948B54219F8}"/>
    <cellStyle name="Calculation 3 3 2 51" xfId="24186" xr:uid="{C0AE18AC-E50C-45D9-BF32-03E792954C4B}"/>
    <cellStyle name="Calculation 3 3 2 52" xfId="25792" xr:uid="{AC85DFCE-FA4B-45FC-A167-C7167B3ED41A}"/>
    <cellStyle name="Calculation 3 3 2 53" xfId="25394" xr:uid="{E1169030-782D-4F88-AE8F-97EAA72A46C5}"/>
    <cellStyle name="Calculation 3 3 2 54" xfId="24254" xr:uid="{5ED7E271-0815-43D3-BC42-27A64D5E8C5B}"/>
    <cellStyle name="Calculation 3 3 2 55" xfId="27080" xr:uid="{1FA299DD-72C4-49B8-8ED0-CAB8C2992686}"/>
    <cellStyle name="Calculation 3 3 2 56" xfId="27499" xr:uid="{53963126-2F38-4C02-B9F0-2C9D1F9CB272}"/>
    <cellStyle name="Calculation 3 3 2 57" xfId="27205" xr:uid="{9D3B3AA4-F323-49E9-988C-8111E50C854E}"/>
    <cellStyle name="Calculation 3 3 2 58" xfId="28626" xr:uid="{B6C78343-C4AE-4E49-B250-864BEAD94916}"/>
    <cellStyle name="Calculation 3 3 2 59" xfId="29093" xr:uid="{DF0049CD-E7D1-469B-A812-567B096F8C73}"/>
    <cellStyle name="Calculation 3 3 2 6" xfId="3313" xr:uid="{3D871CA1-6959-4E3F-8D09-C2F72F995F16}"/>
    <cellStyle name="Calculation 3 3 2 60" xfId="28022" xr:uid="{CC7A6D00-317A-4AC4-B2F1-6E4CE42E3235}"/>
    <cellStyle name="Calculation 3 3 2 61" xfId="29882" xr:uid="{BA9BAC50-554A-490C-9559-B9A9F6A5CDC5}"/>
    <cellStyle name="Calculation 3 3 2 62" xfId="30288" xr:uid="{AAD4095F-3952-4CDF-A1AA-7C6913ED3D76}"/>
    <cellStyle name="Calculation 3 3 2 63" xfId="30705" xr:uid="{922E85F4-B8F6-4372-8253-FD63651CF979}"/>
    <cellStyle name="Calculation 3 3 2 64" xfId="30905" xr:uid="{3F8EEDEF-887D-493E-A277-1FE1DA2C90D3}"/>
    <cellStyle name="Calculation 3 3 2 65" xfId="31321" xr:uid="{0290F186-8D90-48F0-B242-19E62309B674}"/>
    <cellStyle name="Calculation 3 3 2 66" xfId="32012" xr:uid="{370FB8B6-6170-4C54-83FF-3C3F2CD8A63B}"/>
    <cellStyle name="Calculation 3 3 2 67" xfId="32359" xr:uid="{1CE38EBE-0734-47F8-8C05-6C314645F968}"/>
    <cellStyle name="Calculation 3 3 2 7" xfId="4104" xr:uid="{F0A71C30-B275-44B2-B55E-BA2D7E74AC5D}"/>
    <cellStyle name="Calculation 3 3 2 8" xfId="4541" xr:uid="{C7C645E8-861F-4A45-8C1A-4C7EBB918EF2}"/>
    <cellStyle name="Calculation 3 3 2 9" xfId="3804" xr:uid="{D0F4DFBA-DB66-43F6-ABEF-80D278B1A379}"/>
    <cellStyle name="Calculation 3 3 20" xfId="9401" xr:uid="{E593EDD3-D117-4FCD-A2BD-3FB356578956}"/>
    <cellStyle name="Calculation 3 3 21" xfId="10067" xr:uid="{BFEFC5A6-AECB-444F-AEC4-BEF6360E0C0A}"/>
    <cellStyle name="Calculation 3 3 22" xfId="9037" xr:uid="{202D39DA-E0CA-4C26-B19F-173225899CEF}"/>
    <cellStyle name="Calculation 3 3 23" xfId="11303" xr:uid="{AC51F6EB-8331-4407-A671-514895FFE70B}"/>
    <cellStyle name="Calculation 3 3 24" xfId="11924" xr:uid="{367F399A-92F0-49C2-BE1C-C40CA3054C0E}"/>
    <cellStyle name="Calculation 3 3 25" xfId="12397" xr:uid="{669040D2-BA79-4B39-B6D3-7E9A787BAC83}"/>
    <cellStyle name="Calculation 3 3 26" xfId="12831" xr:uid="{22EE112E-027A-4F29-A637-8C5FC1CE6632}"/>
    <cellStyle name="Calculation 3 3 27" xfId="13268" xr:uid="{D5F9F528-911B-4368-94F8-4E75B235098A}"/>
    <cellStyle name="Calculation 3 3 28" xfId="13852" xr:uid="{FC58C840-833E-440A-B602-54A3D35D1375}"/>
    <cellStyle name="Calculation 3 3 29" xfId="14238" xr:uid="{DC900ED8-3CA8-41C6-9B2C-AB1F47B1EBA3}"/>
    <cellStyle name="Calculation 3 3 3" xfId="1054" xr:uid="{1DF0777A-C8E9-4AEC-B9C5-72A4089CDC43}"/>
    <cellStyle name="Calculation 3 3 30" xfId="13770" xr:uid="{627F19DB-D1FD-449A-A252-6F2B4289EC65}"/>
    <cellStyle name="Calculation 3 3 31" xfId="15009" xr:uid="{5F792B3D-1920-499A-A27F-6EB2161AF433}"/>
    <cellStyle name="Calculation 3 3 32" xfId="14964" xr:uid="{5632BCD4-585B-4C20-8066-22382D62436B}"/>
    <cellStyle name="Calculation 3 3 33" xfId="14774" xr:uid="{F350E3EF-E3DC-4FE1-8104-AC341F746FD6}"/>
    <cellStyle name="Calculation 3 3 34" xfId="16616" xr:uid="{DB2B8CDF-59C1-407E-9135-989D489FFABC}"/>
    <cellStyle name="Calculation 3 3 35" xfId="16510" xr:uid="{2801BD98-1C8A-4A6C-A336-7D65A520E65D}"/>
    <cellStyle name="Calculation 3 3 36" xfId="17184" xr:uid="{84E74EF5-7842-4980-AC52-86586A1B053B}"/>
    <cellStyle name="Calculation 3 3 37" xfId="18264" xr:uid="{7644080B-FE84-4CE5-98D7-6DB92602DC67}"/>
    <cellStyle name="Calculation 3 3 38" xfId="18434" xr:uid="{9B9A7156-1204-40E5-9F7D-89F0DD9734D2}"/>
    <cellStyle name="Calculation 3 3 39" xfId="19088" xr:uid="{ABB89A66-6A15-487B-A6FD-787B547704B6}"/>
    <cellStyle name="Calculation 3 3 4" xfId="1640" xr:uid="{67512E99-8D27-4CE3-862E-61FEC6619FC4}"/>
    <cellStyle name="Calculation 3 3 40" xfId="19269" xr:uid="{687C3951-5887-42CE-8310-03907C64605E}"/>
    <cellStyle name="Calculation 3 3 41" xfId="19953" xr:uid="{23A23554-A4A5-4975-B50D-162BF5A8B81A}"/>
    <cellStyle name="Calculation 3 3 42" xfId="19846" xr:uid="{B95C243C-D32F-42A4-9A2D-7ADF32881400}"/>
    <cellStyle name="Calculation 3 3 43" xfId="19571" xr:uid="{2EC1ACAA-8F33-47B2-AA48-6896CE625C3C}"/>
    <cellStyle name="Calculation 3 3 44" xfId="21465" xr:uid="{37BF3A44-F6AE-4855-BE61-71979A585EA7}"/>
    <cellStyle name="Calculation 3 3 45" xfId="21441" xr:uid="{88A93194-D272-436B-AEDF-2AD920402F88}"/>
    <cellStyle name="Calculation 3 3 46" xfId="21327" xr:uid="{1541A0D5-6B63-4A21-AA7F-FFBFB3B498BB}"/>
    <cellStyle name="Calculation 3 3 47" xfId="22837" xr:uid="{D3ED18D3-1E49-43DF-8330-FE9B8B6AF87A}"/>
    <cellStyle name="Calculation 3 3 48" xfId="23365" xr:uid="{F36FE718-1C4E-475A-8F0C-4876CD462339}"/>
    <cellStyle name="Calculation 3 3 49" xfId="23599" xr:uid="{1C49C1A2-B2EA-4D6A-8C0F-B63B057C00B1}"/>
    <cellStyle name="Calculation 3 3 5" xfId="2393" xr:uid="{D54D60DE-631D-4DFF-8443-28A476672DD0}"/>
    <cellStyle name="Calculation 3 3 50" xfId="23762" xr:uid="{BD47A64B-5023-4156-90C9-089625A4F146}"/>
    <cellStyle name="Calculation 3 3 51" xfId="24661" xr:uid="{63034703-6F1C-42C4-A1EB-E72D2E1F4AC9}"/>
    <cellStyle name="Calculation 3 3 52" xfId="24264" xr:uid="{BCD417EF-C43E-4BAD-86A5-9559B605E8B9}"/>
    <cellStyle name="Calculation 3 3 53" xfId="25579" xr:uid="{EDD652BA-FEFE-4D0B-BD10-2AABE49A850B}"/>
    <cellStyle name="Calculation 3 3 54" xfId="26204" xr:uid="{25F99EF0-3C4A-4F6F-9C1E-BA50C3AA2365}"/>
    <cellStyle name="Calculation 3 3 55" xfId="26243" xr:uid="{6EE8E0A3-F422-48F3-98F4-19E790EF0492}"/>
    <cellStyle name="Calculation 3 3 56" xfId="26869" xr:uid="{75C3E919-6E82-4F91-B601-7BF650D10501}"/>
    <cellStyle name="Calculation 3 3 57" xfId="27288" xr:uid="{462D8B23-9247-4E19-B6BA-1F1019428125}"/>
    <cellStyle name="Calculation 3 3 58" xfId="27720" xr:uid="{BF5D5B66-599A-4FD9-8F7E-C348D857FF06}"/>
    <cellStyle name="Calculation 3 3 59" xfId="28411" xr:uid="{1ADF99E2-E7D8-43A1-9DDE-22C93C5868DD}"/>
    <cellStyle name="Calculation 3 3 6" xfId="3018" xr:uid="{141C9260-F0F9-452D-BA18-B73B1DF151E7}"/>
    <cellStyle name="Calculation 3 3 60" xfId="28879" xr:uid="{D881F43B-BCE8-46E9-A2F6-E3D053348DD5}"/>
    <cellStyle name="Calculation 3 3 61" xfId="27908" xr:uid="{E398159D-008A-40FD-8A4B-A0FC3D909678}"/>
    <cellStyle name="Calculation 3 3 62" xfId="29669" xr:uid="{B9EF4808-7DEC-42FF-ADDA-248BEC14F117}"/>
    <cellStyle name="Calculation 3 3 63" xfId="30077" xr:uid="{D800F151-88FA-48E3-9836-F2996B955A38}"/>
    <cellStyle name="Calculation 3 3 64" xfId="30491" xr:uid="{6B8BE6EB-73A2-4814-B7FA-2C2E7AA87E4C}"/>
    <cellStyle name="Calculation 3 3 65" xfId="30901" xr:uid="{AEA0B246-B1F2-4C4B-8318-22A64EF73FB1}"/>
    <cellStyle name="Calculation 3 3 66" xfId="31115" xr:uid="{0509B4E9-43E7-424C-96B1-13175643956C}"/>
    <cellStyle name="Calculation 3 3 67" xfId="31801" xr:uid="{CA4D8200-3224-4155-A9DC-0ABA21B31FAA}"/>
    <cellStyle name="Calculation 3 3 68" xfId="32358" xr:uid="{90BCB7C2-23BA-4094-92F3-EBEAE5EC68CC}"/>
    <cellStyle name="Calculation 3 3 7" xfId="3039" xr:uid="{CE6774B5-5D16-41B0-ABD7-A889D691ABB5}"/>
    <cellStyle name="Calculation 3 3 8" xfId="3889" xr:uid="{A6230595-0D28-47B8-AFD2-6111A470663B}"/>
    <cellStyle name="Calculation 3 3 9" xfId="4327" xr:uid="{3194F644-475C-41DE-86AC-9A2994320B92}"/>
    <cellStyle name="Calculation 3 30" xfId="16243" xr:uid="{3456E2BF-FA46-4E16-87CA-BFBC43E2D599}"/>
    <cellStyle name="Calculation 3 31" xfId="18043" xr:uid="{4E507091-36F9-46C6-9156-D5BF7042C47B}"/>
    <cellStyle name="Calculation 3 32" xfId="18085" xr:uid="{EBCDED49-9C55-4DB5-9B66-60619ECDD2FA}"/>
    <cellStyle name="Calculation 3 33" xfId="19008" xr:uid="{76839CF6-4CBE-473F-8FC9-A363AE92ABFF}"/>
    <cellStyle name="Calculation 3 34" xfId="19608" xr:uid="{55ABA274-2D01-4565-8529-9202D36EE51B}"/>
    <cellStyle name="Calculation 3 35" xfId="19494" xr:uid="{BA768064-7F24-4D1C-8D22-70D2F0274E32}"/>
    <cellStyle name="Calculation 3 36" xfId="21951" xr:uid="{C33F6EBB-F411-47CB-9681-BC8547328C41}"/>
    <cellStyle name="Calculation 3 37" xfId="22295" xr:uid="{125F6CCC-B081-4F4C-9C27-D2CAE8BDBF50}"/>
    <cellStyle name="Calculation 3 38" xfId="23202" xr:uid="{764FA199-4E42-461B-B860-2254F19BB4CC}"/>
    <cellStyle name="Calculation 3 39" xfId="24329" xr:uid="{47D03056-E9F8-45FC-934B-468B3738B37C}"/>
    <cellStyle name="Calculation 3 4" xfId="655" xr:uid="{AD57E26F-FB49-4D52-A22E-FAC08101EFE6}"/>
    <cellStyle name="Calculation 3 4 10" xfId="4711" xr:uid="{8127D874-1644-48EF-A9D6-FA343677C29C}"/>
    <cellStyle name="Calculation 3 4 11" xfId="5303" xr:uid="{585C05AB-8B74-449D-A0ED-6D8BC37AD6D8}"/>
    <cellStyle name="Calculation 3 4 12" xfId="5621" xr:uid="{84A49E41-EADF-44DE-8541-34FF3AEB7457}"/>
    <cellStyle name="Calculation 3 4 13" xfId="6102" xr:uid="{667C0AE7-A658-4856-9E1B-06F8A66CF9A1}"/>
    <cellStyle name="Calculation 3 4 14" xfId="6645" xr:uid="{77BDD2C3-9336-4C39-A18A-5F480FF7378C}"/>
    <cellStyle name="Calculation 3 4 15" xfId="7375" xr:uid="{D36D08B3-CDA7-4D03-A05A-167DBD694357}"/>
    <cellStyle name="Calculation 3 4 16" xfId="6769" xr:uid="{39FB2BCB-9E0E-481F-976B-AA6AE7B0A132}"/>
    <cellStyle name="Calculation 3 4 17" xfId="8627" xr:uid="{FA70C927-3351-41C2-A777-8C41778EDD37}"/>
    <cellStyle name="Calculation 3 4 18" xfId="7704" xr:uid="{2564F64D-C2C3-45F1-93B0-24FFFD6EA873}"/>
    <cellStyle name="Calculation 3 4 19" xfId="9589" xr:uid="{D5C04203-F431-4460-94E7-3EDFA26CB82C}"/>
    <cellStyle name="Calculation 3 4 2" xfId="870" xr:uid="{45BB7E29-35A5-4298-9FD9-F4237D878813}"/>
    <cellStyle name="Calculation 3 4 2 10" xfId="5518" xr:uid="{4E6D0BE0-0754-4D97-8793-00103A272EE8}"/>
    <cellStyle name="Calculation 3 4 2 11" xfId="6012" xr:uid="{EAD4D15B-65EB-477B-93D6-527EA656E792}"/>
    <cellStyle name="Calculation 3 4 2 12" xfId="6371" xr:uid="{F11F33B4-069C-4168-8A51-D99F96028052}"/>
    <cellStyle name="Calculation 3 4 2 13" xfId="6709" xr:uid="{676814A0-0DAC-4B4A-8405-2FB8818FC0E4}"/>
    <cellStyle name="Calculation 3 4 2 14" xfId="7590" xr:uid="{EE1416B3-0BE6-43E2-B435-6F602D98A584}"/>
    <cellStyle name="Calculation 3 4 2 15" xfId="8054" xr:uid="{C9398EBD-D2A7-44B9-9327-91B44D23C4C4}"/>
    <cellStyle name="Calculation 3 4 2 16" xfId="8663" xr:uid="{7705295E-9DBF-44D3-B9C6-9A898EEEBAB0}"/>
    <cellStyle name="Calculation 3 4 2 17" xfId="8922" xr:uid="{201EF836-FB24-4154-9D99-C431E6B4181A}"/>
    <cellStyle name="Calculation 3 4 2 18" xfId="9804" xr:uid="{04C45A21-0B00-4C27-A54F-C20F3E77ABDB}"/>
    <cellStyle name="Calculation 3 4 2 19" xfId="10273" xr:uid="{A0CA48E0-8D62-46F7-907A-4676C3B80B68}"/>
    <cellStyle name="Calculation 3 4 2 2" xfId="1344" xr:uid="{102D85C3-EC86-4B0B-92D5-2B323B7E00FF}"/>
    <cellStyle name="Calculation 3 4 2 20" xfId="10667" xr:uid="{2E77D7F8-B1C4-4301-8A03-96DC8B73E795}"/>
    <cellStyle name="Calculation 3 4 2 21" xfId="11016" xr:uid="{4177565C-33E7-4CD1-AAD2-5BF7B13CDD2C}"/>
    <cellStyle name="Calculation 3 4 2 22" xfId="11326" xr:uid="{F8F99A93-3AFF-4D6C-807A-D7D9CE3090C3}"/>
    <cellStyle name="Calculation 3 4 2 23" xfId="12223" xr:uid="{B6D06D22-8352-4B86-BB2B-6938B902A14B}"/>
    <cellStyle name="Calculation 3 4 2 24" xfId="12696" xr:uid="{7474F282-6F59-4BD6-9CEC-C829F8CBA1C5}"/>
    <cellStyle name="Calculation 3 4 2 25" xfId="13130" xr:uid="{C2107685-CEDA-4C82-B23E-00742887D6CE}"/>
    <cellStyle name="Calculation 3 4 2 26" xfId="13567" xr:uid="{F5B6BEAF-BB18-4492-B291-F863CB19B36D}"/>
    <cellStyle name="Calculation 3 4 2 27" xfId="14039" xr:uid="{15949874-0D38-475F-BD71-092272DFEBC5}"/>
    <cellStyle name="Calculation 3 4 2 28" xfId="14486" xr:uid="{BC4650B2-84B0-4D2A-86CA-2DD83F7E6892}"/>
    <cellStyle name="Calculation 3 4 2 29" xfId="14920" xr:uid="{0F6979BC-78AB-44FB-97F1-069C8B2EF661}"/>
    <cellStyle name="Calculation 3 4 2 3" xfId="1793" xr:uid="{E83F17C9-7E33-422E-A025-053E42915165}"/>
    <cellStyle name="Calculation 3 4 2 30" xfId="15390" xr:uid="{4398FA86-0EDA-4A67-94F9-908B479D463D}"/>
    <cellStyle name="Calculation 3 4 2 31" xfId="15780" xr:uid="{2FCEB7D7-0755-40FE-9A8D-CC5FF6E88BE2}"/>
    <cellStyle name="Calculation 3 4 2 32" xfId="16002" xr:uid="{2E38038A-6E0F-4D09-BDFF-1495F257A9F2}"/>
    <cellStyle name="Calculation 3 4 2 33" xfId="16915" xr:uid="{38D286C4-02F9-440F-B058-2D111EC6E9B3}"/>
    <cellStyle name="Calculation 3 4 2 34" xfId="17396" xr:uid="{9422DC72-F94F-4BB0-A784-CD3A7648764D}"/>
    <cellStyle name="Calculation 3 4 2 35" xfId="17837" xr:uid="{18033ABE-A8DE-4675-81C7-B488BE644983}"/>
    <cellStyle name="Calculation 3 4 2 36" xfId="18312" xr:uid="{5D09127B-7CD4-4698-8C40-44DBEE920C0C}"/>
    <cellStyle name="Calculation 3 4 2 37" xfId="18733" xr:uid="{CA15BB30-432A-4479-953D-8A09B45F3CB0}"/>
    <cellStyle name="Calculation 3 4 2 38" xfId="19120" xr:uid="{CB5E22A0-0A74-43E5-BD60-C0517C66BDC9}"/>
    <cellStyle name="Calculation 3 4 2 39" xfId="19350" xr:uid="{EFAFE677-56A1-45D1-B12B-2500CE51E9F8}"/>
    <cellStyle name="Calculation 3 4 2 4" xfId="2692" xr:uid="{A2425DBC-F74E-46F7-8022-CE9043AB6117}"/>
    <cellStyle name="Calculation 3 4 2 40" xfId="20252" xr:uid="{A25AB268-D76A-47E4-BDFA-011D6EBF2041}"/>
    <cellStyle name="Calculation 3 4 2 41" xfId="20745" xr:uid="{88B4F6D6-0900-49A8-A5D6-65759460FD37}"/>
    <cellStyle name="Calculation 3 4 2 42" xfId="21204" xr:uid="{4EACF1D2-56EF-483F-A889-B19789076088}"/>
    <cellStyle name="Calculation 3 4 2 43" xfId="21696" xr:uid="{8313FB66-DC38-4344-9C9E-3EED7A92BEE3}"/>
    <cellStyle name="Calculation 3 4 2 44" xfId="22135" xr:uid="{585D955F-CCBD-44C1-8E9E-2B713030AA12}"/>
    <cellStyle name="Calculation 3 4 2 45" xfId="22562" xr:uid="{CCD8C98D-ED50-495D-9B7B-EE140E212FEF}"/>
    <cellStyle name="Calculation 3 4 2 46" xfId="23007" xr:uid="{88D5F55D-59E3-4D07-B564-367C8B78E13C}"/>
    <cellStyle name="Calculation 3 4 2 47" xfId="23409" xr:uid="{4CF199CF-CA4F-4156-A576-B6CCBEA839FE}"/>
    <cellStyle name="Calculation 3 4 2 48" xfId="23672" xr:uid="{3197E103-3F6A-476A-B4B0-28FFAFBE95D7}"/>
    <cellStyle name="Calculation 3 4 2 49" xfId="24052" xr:uid="{CBBA42DA-6EDD-47F4-9425-9E3A3B08361D}"/>
    <cellStyle name="Calculation 3 4 2 5" xfId="3212" xr:uid="{6D257CD2-8C98-498F-A08A-9BB051F898B7}"/>
    <cellStyle name="Calculation 3 4 2 50" xfId="24960" xr:uid="{C1BA74F2-0D7A-432C-860F-F34EFBCDBEEB}"/>
    <cellStyle name="Calculation 3 4 2 51" xfId="25448" xr:uid="{FAE7628E-D4CF-411D-860C-32BED9B652FE}"/>
    <cellStyle name="Calculation 3 4 2 52" xfId="25876" xr:uid="{3BF57FC9-505A-469A-84F3-4E716DF01CF8}"/>
    <cellStyle name="Calculation 3 4 2 53" xfId="26314" xr:uid="{BBB366B5-3A5E-4E5B-B2C1-6DC2FFD80EA7}"/>
    <cellStyle name="Calculation 3 4 2 54" xfId="26743" xr:uid="{8E3333B4-539C-4366-9FA9-4649DB930F6F}"/>
    <cellStyle name="Calculation 3 4 2 55" xfId="27164" xr:uid="{875CB7F8-BFFB-4CA3-AF7E-19599A39EBC3}"/>
    <cellStyle name="Calculation 3 4 2 56" xfId="27583" xr:uid="{A64E61CC-3542-4AF8-8B9C-D3768BACEFDA}"/>
    <cellStyle name="Calculation 3 4 2 57" xfId="25914" xr:uid="{E71EEAC4-2581-4C97-9836-3B295BFBEA55}"/>
    <cellStyle name="Calculation 3 4 2 58" xfId="28710" xr:uid="{B89A42B7-EAA4-407B-BA0E-76B8B370E756}"/>
    <cellStyle name="Calculation 3 4 2 59" xfId="29177" xr:uid="{4B2E9DDD-DD05-4A06-AAAE-58C5F3BF0E29}"/>
    <cellStyle name="Calculation 3 4 2 6" xfId="3767" xr:uid="{2321BBAE-891F-4581-9732-FC1B3DC18FCB}"/>
    <cellStyle name="Calculation 3 4 2 60" xfId="29559" xr:uid="{4265CBEF-44A9-4083-8C88-F7FF8C3028DE}"/>
    <cellStyle name="Calculation 3 4 2 61" xfId="29966" xr:uid="{21217297-89CC-4B64-B312-86C4DE908740}"/>
    <cellStyle name="Calculation 3 4 2 62" xfId="30372" xr:uid="{FCF8E2EA-06AA-490A-8901-6C3245EB2D92}"/>
    <cellStyle name="Calculation 3 4 2 63" xfId="30789" xr:uid="{799DE220-4F25-46A6-B980-ABB3FC8D927C}"/>
    <cellStyle name="Calculation 3 4 2 64" xfId="31034" xr:uid="{F1363F59-CE0E-499F-8AD3-0C2EE7A5A144}"/>
    <cellStyle name="Calculation 3 4 2 65" xfId="31405" xr:uid="{61554919-34F5-4DB9-B395-E3AC2FDE5A6B}"/>
    <cellStyle name="Calculation 3 4 2 66" xfId="32096" xr:uid="{161EFC3C-DED5-490F-8A54-68D52B4B725E}"/>
    <cellStyle name="Calculation 3 4 2 67" xfId="32383" xr:uid="{4D0742C1-96D2-402E-87DD-CF068D559D8B}"/>
    <cellStyle name="Calculation 3 4 2 7" xfId="4188" xr:uid="{72D822B4-C1DD-429E-BE66-E1E414083D9B}"/>
    <cellStyle name="Calculation 3 4 2 8" xfId="4625" xr:uid="{3E54F417-C53E-418E-AFCF-B9532E455178}"/>
    <cellStyle name="Calculation 3 4 2 9" xfId="5071" xr:uid="{FA848D6B-7594-49E0-B7C1-745C10CAF544}"/>
    <cellStyle name="Calculation 3 4 20" xfId="8981" xr:uid="{2F3AD71B-DB2C-4954-ABB6-A5AC6C2E45E5}"/>
    <cellStyle name="Calculation 3 4 21" xfId="9086" xr:uid="{A63A0A8A-C5FD-407F-95DB-9352276B6307}"/>
    <cellStyle name="Calculation 3 4 22" xfId="10155" xr:uid="{5E4F4EA1-45CD-4E35-9A88-07262E6CC643}"/>
    <cellStyle name="Calculation 3 4 23" xfId="9062" xr:uid="{3A9ED803-08F0-4037-A9FD-3E33D6E35EED}"/>
    <cellStyle name="Calculation 3 4 24" xfId="12008" xr:uid="{75D9277A-1DCB-47E7-87AC-684D4ED27FDA}"/>
    <cellStyle name="Calculation 3 4 25" xfId="12481" xr:uid="{C45FF96B-99AD-4A16-BD42-0D6E8D18F145}"/>
    <cellStyle name="Calculation 3 4 26" xfId="12915" xr:uid="{BEB108A1-B99E-4BDB-A1C6-26ED594B0AAE}"/>
    <cellStyle name="Calculation 3 4 27" xfId="13352" xr:uid="{97A9557B-3B1C-4B72-8359-58A50C80B81D}"/>
    <cellStyle name="Calculation 3 4 28" xfId="13897" xr:uid="{2425F372-47BC-4911-8857-78B709CDDA65}"/>
    <cellStyle name="Calculation 3 4 29" xfId="14313" xr:uid="{B4A9A2A4-ACC7-4DB8-BE05-61D5EFAD2005}"/>
    <cellStyle name="Calculation 3 4 3" xfId="1138" xr:uid="{459AE279-B791-42B0-ACB2-12CDD281D39B}"/>
    <cellStyle name="Calculation 3 4 30" xfId="14225" xr:uid="{2234438F-3C9F-4E84-B186-E81ABDA57C57}"/>
    <cellStyle name="Calculation 3 4 31" xfId="15065" xr:uid="{8F96399F-4F03-4AE9-A6EB-ACEF75C4C32F}"/>
    <cellStyle name="Calculation 3 4 32" xfId="14089" xr:uid="{3DCB3019-9C9F-43F8-805D-C9E051740BA1}"/>
    <cellStyle name="Calculation 3 4 33" xfId="15034" xr:uid="{CFF19368-0E2D-4477-9C76-C3578595CF7E}"/>
    <cellStyle name="Calculation 3 4 34" xfId="16700" xr:uid="{699E8EAF-03AB-447D-BD9B-E46DDEB358A5}"/>
    <cellStyle name="Calculation 3 4 35" xfId="16078" xr:uid="{05DCEF75-409B-4175-9318-BC59B6D76CFD}"/>
    <cellStyle name="Calculation 3 4 36" xfId="16189" xr:uid="{EBEE293A-F193-4E74-BE54-4AB7CB208420}"/>
    <cellStyle name="Calculation 3 4 37" xfId="17521" xr:uid="{33456616-B31C-431D-BCA9-CC65AB064662}"/>
    <cellStyle name="Calculation 3 4 38" xfId="18518" xr:uid="{6E75BCAF-77F5-4478-9DEF-754AFE5D4E6C}"/>
    <cellStyle name="Calculation 3 4 39" xfId="17307" xr:uid="{650C29E0-7C53-477A-BCF6-0E40EA2F38A9}"/>
    <cellStyle name="Calculation 3 4 4" xfId="1658" xr:uid="{9B06B757-5DF9-4B87-8947-F3B00CFF3180}"/>
    <cellStyle name="Calculation 3 4 40" xfId="19287" xr:uid="{645BAFBD-3A6E-435E-83FB-3B9585856F9D}"/>
    <cellStyle name="Calculation 3 4 41" xfId="20037" xr:uid="{2D3B31E6-9015-4D1E-97E4-28A899266849}"/>
    <cellStyle name="Calculation 3 4 42" xfId="19411" xr:uid="{0BF45EF0-061C-4E1D-BC8D-C1014C21C53A}"/>
    <cellStyle name="Calculation 3 4 43" xfId="19492" xr:uid="{902A3083-4792-4487-AE83-8E3201C10AFC}"/>
    <cellStyle name="Calculation 3 4 44" xfId="21072" xr:uid="{75ED7202-CA00-4D73-9DFF-E23224BCFF62}"/>
    <cellStyle name="Calculation 3 4 45" xfId="20825" xr:uid="{9F5012F0-B337-4D97-A9C8-5A849EC0D0E6}"/>
    <cellStyle name="Calculation 3 4 46" xfId="21739" xr:uid="{7432CC2C-2E5B-48D0-A432-08D0596AF4A8}"/>
    <cellStyle name="Calculation 3 4 47" xfId="22877" xr:uid="{BD7D522A-0269-459D-A230-99DFC7811B7E}"/>
    <cellStyle name="Calculation 3 4 48" xfId="22688" xr:uid="{72D5CA01-857F-49D7-A014-5C6CC07058EE}"/>
    <cellStyle name="Calculation 3 4 49" xfId="23547" xr:uid="{8131FDD1-E197-4474-B193-F763C417252A}"/>
    <cellStyle name="Calculation 3 4 5" xfId="2477" xr:uid="{C2873F1E-0653-4A11-822F-6CD0F23FC303}"/>
    <cellStyle name="Calculation 3 4 50" xfId="23846" xr:uid="{53FE8D8A-6033-4807-BA50-0F52E8EFFC95}"/>
    <cellStyle name="Calculation 3 4 51" xfId="24745" xr:uid="{DD740728-6B11-4BB7-80B5-8B0884F779EC}"/>
    <cellStyle name="Calculation 3 4 52" xfId="24135" xr:uid="{ECE0E76F-6F92-4C99-B0D8-948F9D77DFA3}"/>
    <cellStyle name="Calculation 3 4 53" xfId="25663" xr:uid="{4A27F5C3-BA11-4BD1-95E2-065058701D4F}"/>
    <cellStyle name="Calculation 3 4 54" xfId="26183" xr:uid="{90EEC7CF-E85A-4E87-95D7-5C15E6FC1253}"/>
    <cellStyle name="Calculation 3 4 55" xfId="26509" xr:uid="{7F1A1DF7-8054-477F-A044-5909C5B7CE83}"/>
    <cellStyle name="Calculation 3 4 56" xfId="26953" xr:uid="{475C3AD3-C32F-4DFB-8525-A2B686E68236}"/>
    <cellStyle name="Calculation 3 4 57" xfId="27372" xr:uid="{91722CEF-F02D-4F50-B328-36009D6A4CC5}"/>
    <cellStyle name="Calculation 3 4 58" xfId="27197" xr:uid="{3EB596CA-140B-43E6-B5D6-19D0291BC0AC}"/>
    <cellStyle name="Calculation 3 4 59" xfId="28495" xr:uid="{2E746F4F-6771-4E43-B4BC-A530D8916E4D}"/>
    <cellStyle name="Calculation 3 4 6" xfId="3065" xr:uid="{8EE89F29-7834-4DD4-AFEA-843B9A7FCB15}"/>
    <cellStyle name="Calculation 3 4 60" xfId="28963" xr:uid="{54B31A55-AF74-403B-A134-F5ECEC685D9A}"/>
    <cellStyle name="Calculation 3 4 61" xfId="28815" xr:uid="{FD601860-A749-43CE-A602-DD34D64D9B86}"/>
    <cellStyle name="Calculation 3 4 62" xfId="29753" xr:uid="{37803508-C00A-4F9C-8466-30C3D748286E}"/>
    <cellStyle name="Calculation 3 4 63" xfId="30161" xr:uid="{19105F39-48EF-4084-B4E8-49D817578D93}"/>
    <cellStyle name="Calculation 3 4 64" xfId="30575" xr:uid="{CD1BC127-9376-4B43-B209-2AD323FFB06F}"/>
    <cellStyle name="Calculation 3 4 65" xfId="30617" xr:uid="{80A586AE-7CB4-4396-8E07-589FC8FCF99F}"/>
    <cellStyle name="Calculation 3 4 66" xfId="31199" xr:uid="{AE5E91AC-982B-43C0-9360-0D1B5771E8BF}"/>
    <cellStyle name="Calculation 3 4 67" xfId="31885" xr:uid="{E572CAC0-F88B-40F8-8EAF-6F63A1EAA4A8}"/>
    <cellStyle name="Calculation 3 4 68" xfId="32166" xr:uid="{4D5C6F64-22F5-4A72-ACE2-8A9297F95521}"/>
    <cellStyle name="Calculation 3 4 7" xfId="3725" xr:uid="{2FA5FD9F-E5FA-430E-8E87-C20D6D627E80}"/>
    <cellStyle name="Calculation 3 4 8" xfId="3973" xr:uid="{F41D2F0D-FF7E-43AE-B80D-D5564D77ADD2}"/>
    <cellStyle name="Calculation 3 4 9" xfId="4411" xr:uid="{84579A38-FD57-4622-8B0D-52EC0B768167}"/>
    <cellStyle name="Calculation 3 40" xfId="25049" xr:uid="{9ED14161-4A72-4D46-9D46-3CE9C1BE4788}"/>
    <cellStyle name="Calculation 3 41" xfId="24499" xr:uid="{2F827313-C7BD-4056-9B4F-2AC4F3D8CF10}"/>
    <cellStyle name="Calculation 3 42" xfId="25960" xr:uid="{A77ECA16-97CA-4446-8016-C991C26C0EB7}"/>
    <cellStyle name="Calculation 3 43" xfId="26482" xr:uid="{7D7927F4-53BF-4321-A140-ECDA9FC27BED}"/>
    <cellStyle name="Calculation 3 44" xfId="26083" xr:uid="{47F6D336-635B-4492-86E4-8C9BD613254B}"/>
    <cellStyle name="Calculation 3 45" xfId="26783" xr:uid="{5274BD50-3970-4BDC-8C60-2048FC9998F6}"/>
    <cellStyle name="Calculation 3 46" xfId="28106" xr:uid="{BF392323-0016-4AE5-B476-3EFD6F13F32A}"/>
    <cellStyle name="Calculation 3 47" xfId="28033" xr:uid="{949BF6C1-968C-46DA-BD15-B53D7F411361}"/>
    <cellStyle name="Calculation 3 48" xfId="27947" xr:uid="{099219C2-C182-4410-AC02-AA85E1352969}"/>
    <cellStyle name="Calculation 3 49" xfId="29299" xr:uid="{81EC0F46-36BA-4919-BB19-352858DE96E7}"/>
    <cellStyle name="Calculation 3 5" xfId="688" xr:uid="{DE655A7D-BEF3-4FF4-82BF-553AA895B9C7}"/>
    <cellStyle name="Calculation 3 5 10" xfId="5336" xr:uid="{0BB7A573-D0E7-49F0-B3AF-FAA1163DC101}"/>
    <cellStyle name="Calculation 3 5 11" xfId="5878" xr:uid="{AF3B7C89-120B-4FF3-B0A2-327C65D4B01F}"/>
    <cellStyle name="Calculation 3 5 12" xfId="4971" xr:uid="{FB8C5C12-F537-4B7D-894E-B85E4895F361}"/>
    <cellStyle name="Calculation 3 5 13" xfId="6440" xr:uid="{E9156A38-A2B8-41DF-9C2D-4B4C78627519}"/>
    <cellStyle name="Calculation 3 5 14" xfId="7408" xr:uid="{05177C69-BB8C-4B1C-B53F-175F02BCC8C7}"/>
    <cellStyle name="Calculation 3 5 15" xfId="6859" xr:uid="{A72E1D57-6CF8-498B-AA4D-0567D3B8B409}"/>
    <cellStyle name="Calculation 3 5 16" xfId="8282" xr:uid="{453A519E-0AAE-4200-AEAE-51FEE1BF4F88}"/>
    <cellStyle name="Calculation 3 5 17" xfId="8585" xr:uid="{1142B93D-1A3C-4DF9-B866-EE1CF0B5062E}"/>
    <cellStyle name="Calculation 3 5 18" xfId="9622" xr:uid="{7B3B7B6B-6125-4A01-908B-03AB7DAFC45C}"/>
    <cellStyle name="Calculation 3 5 19" xfId="9074" xr:uid="{211AC924-E85A-4CED-959F-CFC0B5B27E27}"/>
    <cellStyle name="Calculation 3 5 2" xfId="1170" xr:uid="{683970E6-F1D4-4096-8523-D5C2F1F3DC90}"/>
    <cellStyle name="Calculation 3 5 20" xfId="9975" xr:uid="{42FA186B-8CC5-4C67-9096-EC2D91990153}"/>
    <cellStyle name="Calculation 3 5 21" xfId="10305" xr:uid="{203D87C1-F2BA-4223-AE1E-0B7A1F0B0BD4}"/>
    <cellStyle name="Calculation 3 5 22" xfId="11130" xr:uid="{A40EF799-4908-44DC-85A4-FACA86444E7B}"/>
    <cellStyle name="Calculation 3 5 23" xfId="12041" xr:uid="{CD2802DC-A59F-4121-A30A-E8F21DF4E8F3}"/>
    <cellStyle name="Calculation 3 5 24" xfId="12514" xr:uid="{4DE8E02B-AC3F-4A59-835E-14ED45BBD4E4}"/>
    <cellStyle name="Calculation 3 5 25" xfId="12948" xr:uid="{2A586F80-851A-4E2A-A87A-FBC1986B982D}"/>
    <cellStyle name="Calculation 3 5 26" xfId="13385" xr:uid="{799D9424-58C5-41B1-858C-9152089D69AD}"/>
    <cellStyle name="Calculation 3 5 27" xfId="13591" xr:uid="{9E2794A9-39E1-49AF-A1FD-FCC08A7CE84F}"/>
    <cellStyle name="Calculation 3 5 28" xfId="11682" xr:uid="{69CED9DA-A9BD-41EE-8FCE-BA6CD5DAB183}"/>
    <cellStyle name="Calculation 3 5 29" xfId="14290" xr:uid="{666AA5B2-B318-47D0-AD73-F5C0D881DF47}"/>
    <cellStyle name="Calculation 3 5 3" xfId="1573" xr:uid="{DF9F3820-F3B2-4CAF-992E-AB7E9084FD49}"/>
    <cellStyle name="Calculation 3 5 30" xfId="14179" xr:uid="{EBC1A405-0951-4620-9BCD-2CACC4E4D792}"/>
    <cellStyle name="Calculation 3 5 31" xfId="15355" xr:uid="{3AC7CC91-7C07-4DAF-A5C5-35EBB8787A4B}"/>
    <cellStyle name="Calculation 3 5 32" xfId="14118" xr:uid="{EEA7AEAD-624F-4419-954E-A7DE33C93DBF}"/>
    <cellStyle name="Calculation 3 5 33" xfId="16733" xr:uid="{2DA00517-0370-41EB-A802-565EE20B2BCE}"/>
    <cellStyle name="Calculation 3 5 34" xfId="16175" xr:uid="{2F7BBBBC-426A-4C54-8B03-7D61D2F0812E}"/>
    <cellStyle name="Calculation 3 5 35" xfId="16084" xr:uid="{FC4BB6AF-CB60-4324-901F-D2C346A1DAD8}"/>
    <cellStyle name="Calculation 3 5 36" xfId="18226" xr:uid="{2C2C8B3F-A526-44C1-9E49-900A5D2C56C0}"/>
    <cellStyle name="Calculation 3 5 37" xfId="18551" xr:uid="{0680714A-E623-41A5-BB6F-91F94BF615D4}"/>
    <cellStyle name="Calculation 3 5 38" xfId="17871" xr:uid="{6806F520-447D-4F95-93EA-42678F65D97F}"/>
    <cellStyle name="Calculation 3 5 39" xfId="19155" xr:uid="{28EA51E7-D694-45B2-8BD2-1FFA91B2EFED}"/>
    <cellStyle name="Calculation 3 5 4" xfId="2510" xr:uid="{366914DB-E6B2-425E-95B7-2E0252F18195}"/>
    <cellStyle name="Calculation 3 5 40" xfId="20070" xr:uid="{CD89DAC2-BE45-4A58-A0A1-C5186B0C5DD5}"/>
    <cellStyle name="Calculation 3 5 41" xfId="19505" xr:uid="{052E3BAC-C80F-4224-9C9C-15872152A092}"/>
    <cellStyle name="Calculation 3 5 42" xfId="19600" xr:uid="{4BB5C749-2384-41C4-AEA6-88FC1AA1CC30}"/>
    <cellStyle name="Calculation 3 5 43" xfId="21317" xr:uid="{516653AF-4126-46BE-B38E-6CF9DBB142BE}"/>
    <cellStyle name="Calculation 3 5 44" xfId="21235" xr:uid="{7DDD8B9A-FE7F-447C-9FCB-EE2D03E7FEAB}"/>
    <cellStyle name="Calculation 3 5 45" xfId="22014" xr:uid="{084DEEB3-E845-430E-9E5E-5F5E86FC147E}"/>
    <cellStyle name="Calculation 3 5 46" xfId="22600" xr:uid="{7D93EC8C-4B6A-422D-888E-1CDD79B4C37F}"/>
    <cellStyle name="Calculation 3 5 47" xfId="22716" xr:uid="{007B0E8D-763D-45E6-AFA3-EE9FFBF010CF}"/>
    <cellStyle name="Calculation 3 5 48" xfId="22711" xr:uid="{215BE848-DC54-42DF-8BE8-C958B38F0DF1}"/>
    <cellStyle name="Calculation 3 5 49" xfId="23878" xr:uid="{2A27FA8C-2134-4D87-9D65-46DA4EF1492B}"/>
    <cellStyle name="Calculation 3 5 5" xfId="2757" xr:uid="{A7746765-32DD-4A14-BD12-A0E075A0CAC7}"/>
    <cellStyle name="Calculation 3 5 50" xfId="24778" xr:uid="{92EDA954-F51C-4637-B39E-1AA86D0DB5AC}"/>
    <cellStyle name="Calculation 3 5 51" xfId="24783" xr:uid="{81EFB394-C0C2-4A9F-B407-6ECA8BF9797C}"/>
    <cellStyle name="Calculation 3 5 52" xfId="25696" xr:uid="{B81F55A9-3429-49AD-904E-8B4B1CB883F0}"/>
    <cellStyle name="Calculation 3 5 53" xfId="25243" xr:uid="{DAA33B72-22C5-4D00-94EF-541F6CDEF135}"/>
    <cellStyle name="Calculation 3 5 54" xfId="26677" xr:uid="{B5C462BA-3F2B-4F10-929C-F8A0127BBB94}"/>
    <cellStyle name="Calculation 3 5 55" xfId="26986" xr:uid="{2EEE8D29-0826-46F3-8524-E1E3F1371F82}"/>
    <cellStyle name="Calculation 3 5 56" xfId="27405" xr:uid="{153B0B7C-DE2E-492D-B22A-736A3D5708B0}"/>
    <cellStyle name="Calculation 3 5 57" xfId="25913" xr:uid="{39E0DDF0-2EE2-44CD-AE93-65C8D5137721}"/>
    <cellStyle name="Calculation 3 5 58" xfId="28528" xr:uid="{E2827032-3633-4EA6-98AD-A249748E5765}"/>
    <cellStyle name="Calculation 3 5 59" xfId="28996" xr:uid="{82366EA0-DACE-466C-B928-C2509C51A6BE}"/>
    <cellStyle name="Calculation 3 5 6" xfId="3400" xr:uid="{F8631032-F968-4E34-80F0-22761347DEF4}"/>
    <cellStyle name="Calculation 3 5 60" xfId="29198" xr:uid="{FCEC2914-0FDE-49C7-ADC8-D263E4E918DF}"/>
    <cellStyle name="Calculation 3 5 61" xfId="29786" xr:uid="{D0F285F1-5634-4B6B-94C8-B23E85121A37}"/>
    <cellStyle name="Calculation 3 5 62" xfId="30193" xr:uid="{5D83851F-AAA7-4930-8A82-7EDB822C5786}"/>
    <cellStyle name="Calculation 3 5 63" xfId="30608" xr:uid="{474F2CCF-6B47-4AF5-8F65-9FCA318630F8}"/>
    <cellStyle name="Calculation 3 5 64" xfId="30845" xr:uid="{D0944BE2-6A47-467A-9E29-049EB9786010}"/>
    <cellStyle name="Calculation 3 5 65" xfId="31231" xr:uid="{F2BE8BA0-A144-4772-B457-C5A69AC56940}"/>
    <cellStyle name="Calculation 3 5 66" xfId="31917" xr:uid="{B0F6D878-5780-464F-9942-01C7E9A32EA1}"/>
    <cellStyle name="Calculation 3 5 67" xfId="32310" xr:uid="{AC5B394E-2AAA-4C3F-ACB1-1AD3F9E1B360}"/>
    <cellStyle name="Calculation 3 5 7" xfId="4006" xr:uid="{CBE9313D-5E5B-4F0E-AD93-3CDE0F55FD4D}"/>
    <cellStyle name="Calculation 3 5 8" xfId="4444" xr:uid="{0583EC25-9279-4719-BFA0-18479E55CE26}"/>
    <cellStyle name="Calculation 3 5 9" xfId="4779" xr:uid="{5ECA450B-E29F-4E1A-9C6C-D3FD0A3D9065}"/>
    <cellStyle name="Calculation 3 50" xfId="30613" xr:uid="{53C475C4-6E78-4880-8A55-8E8A98F8C2DC}"/>
    <cellStyle name="Calculation 3 51" xfId="29591" xr:uid="{97294CEF-64DF-4969-98E1-4A4AE8C50A94}"/>
    <cellStyle name="Calculation 3 52" xfId="31566" xr:uid="{DEB59388-F7FA-49BE-BD85-8189ACB90DFF}"/>
    <cellStyle name="Calculation 3 53" xfId="31666" xr:uid="{8207DA48-320E-4908-9D2C-A050FA0A5C50}"/>
    <cellStyle name="Calculation 3 6" xfId="931" xr:uid="{28CBB560-554C-4D6C-BD24-87E65811A2AE}"/>
    <cellStyle name="Calculation 3 7" xfId="2049" xr:uid="{BB3B4C43-CF2D-4A9E-A685-D2FA37DBC455}"/>
    <cellStyle name="Calculation 3 8" xfId="2271" xr:uid="{4C39B45E-514A-443A-B295-3C0C440BC052}"/>
    <cellStyle name="Calculation 3 9" xfId="2058" xr:uid="{57570DE6-1E7C-43E1-9F5F-39593E3EDCFD}"/>
    <cellStyle name="Check Cell 2" xfId="129" xr:uid="{79483D8E-513F-4DB1-BF29-853343C2494F}"/>
    <cellStyle name="Check Cell 3" xfId="225" xr:uid="{E477068E-4560-4A0E-B991-E07214E949B4}"/>
    <cellStyle name="Check Cell 4" xfId="369" xr:uid="{9DF9B213-8952-4C18-9AB4-8BCCD06306D6}"/>
    <cellStyle name="Comma 2" xfId="130" xr:uid="{1545E949-3CFB-4382-AEEE-D1031EB03D5C}"/>
    <cellStyle name="Comma 2 10" xfId="19514" xr:uid="{EE5C5695-FB2F-4BEC-8F8C-7721424A0CC5}"/>
    <cellStyle name="Comma 2 11" xfId="24235" xr:uid="{1EEAD306-28EF-4440-93C9-7E0A86048F15}"/>
    <cellStyle name="Comma 2 12" xfId="28025" xr:uid="{3AA5610C-A6BD-4A09-BCC5-0B3B74F270E7}"/>
    <cellStyle name="Comma 2 2" xfId="131" xr:uid="{8D4742FE-5F36-42EE-9E62-3F23ABA43F36}"/>
    <cellStyle name="Comma 2 2 2" xfId="414" xr:uid="{32FFFB01-8755-4F19-9385-E2B560C7DBE5}"/>
    <cellStyle name="Comma 2 2 2 2" xfId="2236" xr:uid="{7A608FD2-1D6D-4234-A8F3-750AAC2B7DA3}"/>
    <cellStyle name="Comma 2 2 3" xfId="1958" xr:uid="{E80AB557-358F-4503-8C94-4C1A0ECB59B4}"/>
    <cellStyle name="Comma 2 3" xfId="923" xr:uid="{D60CE049-CFB1-4C7A-9DAC-457E1E114BC3}"/>
    <cellStyle name="Comma 2 4" xfId="1463" xr:uid="{949A2C60-3883-4AC2-9115-C45CDF789425}"/>
    <cellStyle name="Comma 2 5" xfId="1957" xr:uid="{C643EE7F-257D-4C7A-B5AA-7627116CD1BF}"/>
    <cellStyle name="Comma 2 6" xfId="6866" xr:uid="{7EB9EBD4-206C-4F66-BBAD-B8A5AD2C02D8}"/>
    <cellStyle name="Comma 2 7" xfId="9080" xr:uid="{D535097C-0D4D-4A9D-AD6A-7E45BFCC76F5}"/>
    <cellStyle name="Comma 2 8" xfId="11490" xr:uid="{D2C10E7F-D1DF-47E1-9C36-2ECC14D47B6B}"/>
    <cellStyle name="Comma 2 9" xfId="16182" xr:uid="{80317777-828B-4B2E-8D41-3BCFBB2FF38E}"/>
    <cellStyle name="Comma 3" xfId="132" xr:uid="{DDB661F3-7A5A-4975-8D54-BCFB2A9D6FB6}"/>
    <cellStyle name="Comma 3 10" xfId="24237" xr:uid="{96A0CDF0-7A78-484D-AB12-0A32D31CCBE3}"/>
    <cellStyle name="Comma 3 11" xfId="28027" xr:uid="{A545A1EE-CB44-461F-B999-FE0A41CE8108}"/>
    <cellStyle name="Comma 3 2" xfId="924" xr:uid="{D55083D6-E8BD-4C8D-B56D-F0E0969DBD81}"/>
    <cellStyle name="Comma 3 3" xfId="1464" xr:uid="{7F62A00C-0E51-467E-9861-585A9D696817}"/>
    <cellStyle name="Comma 3 4" xfId="1959" xr:uid="{82D4A9F3-684B-4CDF-A5D6-A0FDCE39C473}"/>
    <cellStyle name="Comma 3 5" xfId="6868" xr:uid="{255257EE-610A-4E2F-8FC2-45D6DCFDE30F}"/>
    <cellStyle name="Comma 3 6" xfId="9082" xr:uid="{AE662ED8-6EBF-4A7C-9A42-B653D3F91C72}"/>
    <cellStyle name="Comma 3 7" xfId="11492" xr:uid="{005220AD-4D2E-4E74-B65C-A6E1D9CF7646}"/>
    <cellStyle name="Comma 3 8" xfId="16184" xr:uid="{F5911185-3B88-4A90-A628-D32A03C43438}"/>
    <cellStyle name="Comma 3 9" xfId="19516" xr:uid="{B4785B31-D746-4E9D-8D94-6250FFEC6D4B}"/>
    <cellStyle name="Constants" xfId="4" xr:uid="{3CCE1965-6943-4F5D-9A24-F83BD0A893DB}"/>
    <cellStyle name="ContentsHyperlink" xfId="241" xr:uid="{4A22FF18-773C-47B9-A385-4EE9ACA9C243}"/>
    <cellStyle name="CustomCellsOrange" xfId="133" xr:uid="{1A991E50-DEC8-4118-8ADF-64EBCEC1BEAB}"/>
    <cellStyle name="CustomCellsOrange 2" xfId="415" xr:uid="{9AFDADCB-00DC-43D8-9232-ACF43DD5F108}"/>
    <cellStyle name="CustomCellsOrange 2 2" xfId="438" xr:uid="{0D54616B-9E66-41CC-9B39-BCEDA10FCF89}"/>
    <cellStyle name="CustomCellsOrange 2 2 10" xfId="3147" xr:uid="{6E31941D-A9DB-4700-9155-EABA6ED2A714}"/>
    <cellStyle name="CustomCellsOrange 2 2 11" xfId="3454" xr:uid="{5C2027A4-224F-4CC1-8567-A253539ECA5E}"/>
    <cellStyle name="CustomCellsOrange 2 2 12" xfId="1960" xr:uid="{8A1081A4-B62F-4F86-BD7C-3209BED86400}"/>
    <cellStyle name="CustomCellsOrange 2 2 13" xfId="4967" xr:uid="{465FA78D-25F0-4D2A-907D-5C97D20F6ED7}"/>
    <cellStyle name="CustomCellsOrange 2 2 14" xfId="5092" xr:uid="{1F540D35-74F3-4D0C-A9A5-31FC0C31A138}"/>
    <cellStyle name="CustomCellsOrange 2 2 15" xfId="4725" xr:uid="{110E4DED-6905-49EF-9DEF-9082FC44CAB4}"/>
    <cellStyle name="CustomCellsOrange 2 2 16" xfId="6255" xr:uid="{E8EFF6B9-F9F0-492E-9FD2-A1485F1E86E3}"/>
    <cellStyle name="CustomCellsOrange 2 2 17" xfId="6355" xr:uid="{687A1017-AC36-4138-9CB5-A0A75EEFA1FC}"/>
    <cellStyle name="CustomCellsOrange 2 2 18" xfId="7163" xr:uid="{9F6F2E24-6AB0-4526-90FC-5FA48CD2C2C1}"/>
    <cellStyle name="CustomCellsOrange 2 2 19" xfId="7892" xr:uid="{36FCC9A2-C66F-482E-B003-754C9F9B8859}"/>
    <cellStyle name="CustomCellsOrange 2 2 2" xfId="508" xr:uid="{8A5B0D91-8EC9-457C-94D8-8CF38409F24C}"/>
    <cellStyle name="CustomCellsOrange 2 2 2 2" xfId="674" xr:uid="{E3A04BFD-BA19-44DA-96EF-AC85439AFDB4}"/>
    <cellStyle name="CustomCellsOrange 2 2 2 2 10" xfId="3691" xr:uid="{FFD4A1C4-B5E6-4591-A868-95BF9B296256}"/>
    <cellStyle name="CustomCellsOrange 2 2 2 2 11" xfId="5322" xr:uid="{FB5B584C-5D0F-4088-917E-499C4813F280}"/>
    <cellStyle name="CustomCellsOrange 2 2 2 2 12" xfId="1962" xr:uid="{B18B450A-5CB7-4D43-925F-A815195596CC}"/>
    <cellStyle name="CustomCellsOrange 2 2 2 2 13" xfId="5859" xr:uid="{868B93F1-6D17-4408-B4C6-B37449B94678}"/>
    <cellStyle name="CustomCellsOrange 2 2 2 2 14" xfId="6594" xr:uid="{4899BAA7-ED2F-4772-A653-E854D4512CC4}"/>
    <cellStyle name="CustomCellsOrange 2 2 2 2 15" xfId="7394" xr:uid="{4CFDD71D-2F88-40B2-82D1-AFC0F4446B7B}"/>
    <cellStyle name="CustomCellsOrange 2 2 2 2 16" xfId="6856" xr:uid="{27A84936-110E-4E31-BDCB-2963A320E15B}"/>
    <cellStyle name="CustomCellsOrange 2 2 2 2 17" xfId="8209" xr:uid="{3C306671-A21C-4953-9D9D-D058AD140FEA}"/>
    <cellStyle name="CustomCellsOrange 2 2 2 2 18" xfId="8872" xr:uid="{8703945D-A7BD-4DD1-8F07-80ECCACC0E44}"/>
    <cellStyle name="CustomCellsOrange 2 2 2 2 19" xfId="9608" xr:uid="{D4BD7817-C058-4CFE-ACA5-907912D68155}"/>
    <cellStyle name="CustomCellsOrange 2 2 2 2 2" xfId="888" xr:uid="{45CA78C0-BC68-4867-B648-8689B09D4825}"/>
    <cellStyle name="CustomCellsOrange 2 2 2 2 2 10" xfId="5536" xr:uid="{A3E20407-C115-4360-A663-E38DAFAFBED4}"/>
    <cellStyle name="CustomCellsOrange 2 2 2 2 2 11" xfId="6030" xr:uid="{873FDF78-A059-42E2-876D-6E7D39952E4F}"/>
    <cellStyle name="CustomCellsOrange 2 2 2 2 2 12" xfId="6389" xr:uid="{C200CEA4-D2AC-4303-8A20-8A50DB3EFBF9}"/>
    <cellStyle name="CustomCellsOrange 2 2 2 2 2 13" xfId="6727" xr:uid="{87F1CC87-079A-4F8E-A90C-9B551D014A29}"/>
    <cellStyle name="CustomCellsOrange 2 2 2 2 2 14" xfId="7608" xr:uid="{EB94569C-BCDF-4AB4-8636-316DE819D31E}"/>
    <cellStyle name="CustomCellsOrange 2 2 2 2 2 15" xfId="8072" xr:uid="{CA9A553C-FFA9-4BC6-ABAE-6E92CC8AFC5F}"/>
    <cellStyle name="CustomCellsOrange 2 2 2 2 2 16" xfId="8681" xr:uid="{EBDD0EA7-6A36-4B32-8F82-8ABC4A904C6C}"/>
    <cellStyle name="CustomCellsOrange 2 2 2 2 2 17" xfId="8940" xr:uid="{5A0162B7-2A58-4224-902C-27127AA15753}"/>
    <cellStyle name="CustomCellsOrange 2 2 2 2 2 18" xfId="9822" xr:uid="{83FDBF7F-8A12-4B77-9574-E492E3601B1E}"/>
    <cellStyle name="CustomCellsOrange 2 2 2 2 2 19" xfId="10291" xr:uid="{A70E40D3-6F70-4AFA-AF00-B19D4DE9DA6B}"/>
    <cellStyle name="CustomCellsOrange 2 2 2 2 2 2" xfId="1362" xr:uid="{12A85A89-469A-4382-82E1-5D0F5E52683B}"/>
    <cellStyle name="CustomCellsOrange 2 2 2 2 2 20" xfId="10685" xr:uid="{960E7DEB-9E41-4485-B2FA-2940A58A2E7C}"/>
    <cellStyle name="CustomCellsOrange 2 2 2 2 2 21" xfId="11034" xr:uid="{C98EC479-4272-49EC-B534-86C892BBEEAA}"/>
    <cellStyle name="CustomCellsOrange 2 2 2 2 2 22" xfId="11344" xr:uid="{6FA34958-3F7B-4EB8-A7C3-2373FD408689}"/>
    <cellStyle name="CustomCellsOrange 2 2 2 2 2 23" xfId="12241" xr:uid="{AB453DBE-62F1-45D9-A1E6-091F7F8277AF}"/>
    <cellStyle name="CustomCellsOrange 2 2 2 2 2 24" xfId="12714" xr:uid="{7A38E12A-C7F6-45C9-8711-617212C65B17}"/>
    <cellStyle name="CustomCellsOrange 2 2 2 2 2 25" xfId="13148" xr:uid="{9F808DC0-519E-4995-A460-5211065F9956}"/>
    <cellStyle name="CustomCellsOrange 2 2 2 2 2 26" xfId="13585" xr:uid="{352BC34B-AFA4-4E65-A326-10A51AFE0850}"/>
    <cellStyle name="CustomCellsOrange 2 2 2 2 2 27" xfId="14057" xr:uid="{82333786-C4AD-43B4-89DE-98D9C1B26A03}"/>
    <cellStyle name="CustomCellsOrange 2 2 2 2 2 28" xfId="14504" xr:uid="{8B9A6957-ADC5-4A0E-9E93-90F2E4D8149B}"/>
    <cellStyle name="CustomCellsOrange 2 2 2 2 2 29" xfId="14938" xr:uid="{50927ACA-E85F-46D3-AFF7-00F0D95B38CF}"/>
    <cellStyle name="CustomCellsOrange 2 2 2 2 2 3" xfId="1811" xr:uid="{9A858654-C28C-4289-8BB6-82006280EE02}"/>
    <cellStyle name="CustomCellsOrange 2 2 2 2 2 30" xfId="15408" xr:uid="{EAC44225-8F73-4565-98F8-F42F60337F95}"/>
    <cellStyle name="CustomCellsOrange 2 2 2 2 2 31" xfId="15798" xr:uid="{F5C99A90-41A3-4A66-A45A-543589E14F8E}"/>
    <cellStyle name="CustomCellsOrange 2 2 2 2 2 32" xfId="16020" xr:uid="{9601BE27-16FA-4D6E-8DD6-9D62C72A50DF}"/>
    <cellStyle name="CustomCellsOrange 2 2 2 2 2 33" xfId="16933" xr:uid="{AA639C4B-35BA-4708-986F-6C182CAC320F}"/>
    <cellStyle name="CustomCellsOrange 2 2 2 2 2 34" xfId="17414" xr:uid="{D3457F64-7385-46CB-A363-6E755B45018A}"/>
    <cellStyle name="CustomCellsOrange 2 2 2 2 2 35" xfId="17855" xr:uid="{62BE8EA4-38AE-45E8-B659-55BC9C6A3E7F}"/>
    <cellStyle name="CustomCellsOrange 2 2 2 2 2 36" xfId="18330" xr:uid="{1F032905-EFA2-4F95-A64B-B9F3BEDAD588}"/>
    <cellStyle name="CustomCellsOrange 2 2 2 2 2 37" xfId="18751" xr:uid="{E8DA72FB-8571-4398-81B0-C4E78071E5C0}"/>
    <cellStyle name="CustomCellsOrange 2 2 2 2 2 38" xfId="19138" xr:uid="{CAADD1A3-44D6-43EA-B742-6011505E5AC2}"/>
    <cellStyle name="CustomCellsOrange 2 2 2 2 2 39" xfId="19368" xr:uid="{D917B6C8-7993-4ECD-8C71-3BCFDDE3D776}"/>
    <cellStyle name="CustomCellsOrange 2 2 2 2 2 4" xfId="2710" xr:uid="{CCEDA225-F4D0-4D35-802F-A55BD2FFFF13}"/>
    <cellStyle name="CustomCellsOrange 2 2 2 2 2 40" xfId="20270" xr:uid="{F6F9E642-A53D-4CBD-9D37-7CE9052B0313}"/>
    <cellStyle name="CustomCellsOrange 2 2 2 2 2 41" xfId="20763" xr:uid="{4B24E889-12ED-4BD8-87EB-A5C2289065C1}"/>
    <cellStyle name="CustomCellsOrange 2 2 2 2 2 42" xfId="21222" xr:uid="{CF5AC41E-4CE7-452D-8BB9-43BC78B452F5}"/>
    <cellStyle name="CustomCellsOrange 2 2 2 2 2 43" xfId="21714" xr:uid="{4D8D123C-11B6-460E-BBEF-10F52ED95D46}"/>
    <cellStyle name="CustomCellsOrange 2 2 2 2 2 44" xfId="22153" xr:uid="{5574DF2A-1197-4CBC-A1DC-38D4CB2B6034}"/>
    <cellStyle name="CustomCellsOrange 2 2 2 2 2 45" xfId="22580" xr:uid="{10A12547-4E01-4623-A86B-C4CAA21C9E15}"/>
    <cellStyle name="CustomCellsOrange 2 2 2 2 2 46" xfId="23025" xr:uid="{FE583638-5AE6-4CF1-98BA-7470BCEC6F3B}"/>
    <cellStyle name="CustomCellsOrange 2 2 2 2 2 47" xfId="23427" xr:uid="{01948586-6F76-47FD-BB7D-E54C89792874}"/>
    <cellStyle name="CustomCellsOrange 2 2 2 2 2 48" xfId="23690" xr:uid="{495F80CA-9FE7-47D6-B187-F3995A7925CB}"/>
    <cellStyle name="CustomCellsOrange 2 2 2 2 2 49" xfId="24070" xr:uid="{39AE2BC3-6EB3-4979-B7F6-9B99EE477BC1}"/>
    <cellStyle name="CustomCellsOrange 2 2 2 2 2 5" xfId="3230" xr:uid="{597687D4-A22E-4EC1-8D19-4912D4333B8D}"/>
    <cellStyle name="CustomCellsOrange 2 2 2 2 2 50" xfId="24978" xr:uid="{0F76CD6F-B32E-4F7D-9FA8-DDDE223DD326}"/>
    <cellStyle name="CustomCellsOrange 2 2 2 2 2 51" xfId="25466" xr:uid="{38A45135-4724-4FCC-ABA8-6767BA4220E5}"/>
    <cellStyle name="CustomCellsOrange 2 2 2 2 2 52" xfId="25894" xr:uid="{AA68FAAA-0E4D-4270-A5BB-61A8011363B9}"/>
    <cellStyle name="CustomCellsOrange 2 2 2 2 2 53" xfId="26332" xr:uid="{0E028DBB-2C45-4B81-BFAC-76350ACA2BAD}"/>
    <cellStyle name="CustomCellsOrange 2 2 2 2 2 54" xfId="26761" xr:uid="{43F51F19-2625-4E12-A04E-6273985FAD59}"/>
    <cellStyle name="CustomCellsOrange 2 2 2 2 2 55" xfId="27182" xr:uid="{433F508B-CBF4-4DE3-A893-F361BDD85A4C}"/>
    <cellStyle name="CustomCellsOrange 2 2 2 2 2 56" xfId="27601" xr:uid="{A9212E8F-1098-4272-829B-ABDC120314CD}"/>
    <cellStyle name="CustomCellsOrange 2 2 2 2 2 57" xfId="27839" xr:uid="{3EA052A7-A01F-4B5F-B934-39E18224B2BA}"/>
    <cellStyle name="CustomCellsOrange 2 2 2 2 2 58" xfId="28728" xr:uid="{73DB5139-C120-43A4-8B15-37BD588D32D5}"/>
    <cellStyle name="CustomCellsOrange 2 2 2 2 2 59" xfId="29195" xr:uid="{87DD31CC-F0C9-46DB-A384-1849E3AF0F8E}"/>
    <cellStyle name="CustomCellsOrange 2 2 2 2 2 6" xfId="3785" xr:uid="{224AA8CA-9FA9-4EB0-9BBB-52B749218BBF}"/>
    <cellStyle name="CustomCellsOrange 2 2 2 2 2 60" xfId="29577" xr:uid="{80975D5A-666B-4539-9AEB-72B6844405FE}"/>
    <cellStyle name="CustomCellsOrange 2 2 2 2 2 61" xfId="29984" xr:uid="{4EB43442-664F-49E9-8ADA-2AAC4C516BC8}"/>
    <cellStyle name="CustomCellsOrange 2 2 2 2 2 62" xfId="30390" xr:uid="{6F243B6E-D5C9-42AC-A6CE-04044A615CA3}"/>
    <cellStyle name="CustomCellsOrange 2 2 2 2 2 63" xfId="30807" xr:uid="{651F29A4-C8A7-4D2D-9719-BFD6C659BFE7}"/>
    <cellStyle name="CustomCellsOrange 2 2 2 2 2 64" xfId="31052" xr:uid="{94DF3A86-2BD6-470E-88A9-E1424136C7F9}"/>
    <cellStyle name="CustomCellsOrange 2 2 2 2 2 65" xfId="31423" xr:uid="{44DCF287-1A2F-4A05-956C-3DDBDCBA581B}"/>
    <cellStyle name="CustomCellsOrange 2 2 2 2 2 66" xfId="32114" xr:uid="{209F4937-8392-4016-8646-39E3DA74545C}"/>
    <cellStyle name="CustomCellsOrange 2 2 2 2 2 67" xfId="32401" xr:uid="{E3934961-8828-4D66-985D-5EB3B36C0348}"/>
    <cellStyle name="CustomCellsOrange 2 2 2 2 2 7" xfId="4206" xr:uid="{01CEF19E-DF8A-404B-8E56-656D40FEBC20}"/>
    <cellStyle name="CustomCellsOrange 2 2 2 2 2 8" xfId="4643" xr:uid="{258EA91E-F058-4E15-905E-AA3ADDDC20A8}"/>
    <cellStyle name="CustomCellsOrange 2 2 2 2 2 9" xfId="5089" xr:uid="{A4DF2F07-BEF3-4358-852E-EF6257960815}"/>
    <cellStyle name="CustomCellsOrange 2 2 2 2 20" xfId="9071" xr:uid="{13FE9BF7-9A53-42AD-827D-85D1FFE9C23A}"/>
    <cellStyle name="CustomCellsOrange 2 2 2 2 21" xfId="9397" xr:uid="{7D33CBF8-00CB-4B62-81DA-2ACDFE9D5B0F}"/>
    <cellStyle name="CustomCellsOrange 2 2 2 2 22" xfId="10439" xr:uid="{4C35591B-CE72-4052-AB7C-01A29AD766A5}"/>
    <cellStyle name="CustomCellsOrange 2 2 2 2 23" xfId="11244" xr:uid="{E1EBF53B-64D7-4769-8710-1B2899741778}"/>
    <cellStyle name="CustomCellsOrange 2 2 2 2 24" xfId="12027" xr:uid="{2843087E-B31A-42C1-902D-67F7AF09840A}"/>
    <cellStyle name="CustomCellsOrange 2 2 2 2 25" xfId="12500" xr:uid="{EF4565AF-C825-4C9D-8EA0-332D3BF499B5}"/>
    <cellStyle name="CustomCellsOrange 2 2 2 2 26" xfId="12934" xr:uid="{91908511-5A79-4904-A44F-DDC484C9D5F8}"/>
    <cellStyle name="CustomCellsOrange 2 2 2 2 27" xfId="13371" xr:uid="{513FAF63-95B3-4C51-A338-42E4E763A597}"/>
    <cellStyle name="CustomCellsOrange 2 2 2 2 28" xfId="11740" xr:uid="{8479D318-F2C7-45BA-91DD-A6B8FA3A52C1}"/>
    <cellStyle name="CustomCellsOrange 2 2 2 2 29" xfId="14300" xr:uid="{07DC8FF9-2D13-481A-AC72-FABCA90BFC89}"/>
    <cellStyle name="CustomCellsOrange 2 2 2 2 3" xfId="1156" xr:uid="{C44A1B28-4C4A-4653-AE9B-47CBE1A7FBD3}"/>
    <cellStyle name="CustomCellsOrange 2 2 2 2 30" xfId="13854" xr:uid="{FB4AA3B3-1100-43CB-ADA2-DB836F8566A2}"/>
    <cellStyle name="CustomCellsOrange 2 2 2 2 31" xfId="15244" xr:uid="{7CFF3C0F-BB7F-489E-8005-310ED732047C}"/>
    <cellStyle name="CustomCellsOrange 2 2 2 2 32" xfId="14221" xr:uid="{0FD6F18F-00DD-45B2-A158-71123ACE7370}"/>
    <cellStyle name="CustomCellsOrange 2 2 2 2 33" xfId="14444" xr:uid="{32994CE2-1363-469F-BAAA-4DD1C7EFED6B}"/>
    <cellStyle name="CustomCellsOrange 2 2 2 2 34" xfId="16719" xr:uid="{B6B38CEA-BD44-4BAC-A359-BFF4E59E70C9}"/>
    <cellStyle name="CustomCellsOrange 2 2 2 2 35" xfId="16172" xr:uid="{9CC21BCD-2D07-49C0-8B24-0C76A16F0E03}"/>
    <cellStyle name="CustomCellsOrange 2 2 2 2 36" xfId="17301" xr:uid="{19DD99DD-7376-4866-B867-72F5733C6914}"/>
    <cellStyle name="CustomCellsOrange 2 2 2 2 37" xfId="17573" xr:uid="{F8FBD2F0-7AC5-40CF-8604-BE0B21B338B0}"/>
    <cellStyle name="CustomCellsOrange 2 2 2 2 38" xfId="18537" xr:uid="{A9896193-0342-477A-8715-2C4B4391C21E}"/>
    <cellStyle name="CustomCellsOrange 2 2 2 2 39" xfId="19013" xr:uid="{ACC6AF2F-EF37-4CA9-8B32-526144560678}"/>
    <cellStyle name="CustomCellsOrange 2 2 2 2 4" xfId="1451" xr:uid="{EFB6391A-B16E-4FAB-96B5-E4AA9FE92EFA}"/>
    <cellStyle name="CustomCellsOrange 2 2 2 2 40" xfId="19150" xr:uid="{8AB47A8A-B0DC-4E37-8FD4-6F912A6CF9D1}"/>
    <cellStyle name="CustomCellsOrange 2 2 2 2 41" xfId="20056" xr:uid="{CD129021-8E33-4320-B726-DA2DE3A6B6B2}"/>
    <cellStyle name="CustomCellsOrange 2 2 2 2 42" xfId="19795" xr:uid="{797FE8E3-8D70-4D79-959F-EE66AABCE51B}"/>
    <cellStyle name="CustomCellsOrange 2 2 2 2 43" xfId="20435" xr:uid="{3798E28D-03AF-4B64-9140-E94D216D608A}"/>
    <cellStyle name="CustomCellsOrange 2 2 2 2 44" xfId="21047" xr:uid="{1C953BBF-43B6-4F6E-8276-227A90A10796}"/>
    <cellStyle name="CustomCellsOrange 2 2 2 2 45" xfId="21293" xr:uid="{A8671042-99D4-4310-AA41-ECBD4EBF7D39}"/>
    <cellStyle name="CustomCellsOrange 2 2 2 2 46" xfId="21956" xr:uid="{95233058-43FD-4241-9F05-4784FFD35CE8}"/>
    <cellStyle name="CustomCellsOrange 2 2 2 2 47" xfId="22595" xr:uid="{D852B25C-5065-4A11-844C-4F25364CC16B}"/>
    <cellStyle name="CustomCellsOrange 2 2 2 2 48" xfId="23293" xr:uid="{0EB3539B-8EF1-4496-B5EA-FC5FEF3B0D68}"/>
    <cellStyle name="CustomCellsOrange 2 2 2 2 49" xfId="22588" xr:uid="{88840D08-976D-4850-84F3-30007BD2FE8A}"/>
    <cellStyle name="CustomCellsOrange 2 2 2 2 5" xfId="2496" xr:uid="{86B926C0-9057-4F56-9BED-0210FE36ABC5}"/>
    <cellStyle name="CustomCellsOrange 2 2 2 2 50" xfId="23864" xr:uid="{4CC0E616-5A08-47B0-A5BE-E71DF981797D}"/>
    <cellStyle name="CustomCellsOrange 2 2 2 2 51" xfId="24764" xr:uid="{C19FB72E-10EB-402A-8884-355EEC477F16}"/>
    <cellStyle name="CustomCellsOrange 2 2 2 2 52" xfId="24504" xr:uid="{B81FF40F-F528-4DF7-97F9-AA71B209E154}"/>
    <cellStyle name="CustomCellsOrange 2 2 2 2 53" xfId="25682" xr:uid="{FE8002E3-6E23-4AC6-AF1F-28A627DFBEC3}"/>
    <cellStyle name="CustomCellsOrange 2 2 2 2 54" xfId="25901" xr:uid="{5AEBC64C-3AC9-4129-8E55-778870CDC059}"/>
    <cellStyle name="CustomCellsOrange 2 2 2 2 55" xfId="26594" xr:uid="{ACE4515C-1C58-450B-987D-5F3B0BD1EEC5}"/>
    <cellStyle name="CustomCellsOrange 2 2 2 2 56" xfId="26972" xr:uid="{042CF014-C4C7-46E4-932C-5F4F7E833093}"/>
    <cellStyle name="CustomCellsOrange 2 2 2 2 57" xfId="27391" xr:uid="{1974CD0C-9347-4435-8D02-A6020A638472}"/>
    <cellStyle name="CustomCellsOrange 2 2 2 2 58" xfId="27684" xr:uid="{72F626E3-B161-490F-AFF9-B201BA6016FD}"/>
    <cellStyle name="CustomCellsOrange 2 2 2 2 59" xfId="28514" xr:uid="{C962D1A4-3626-488F-A93E-5D98D2D503EF}"/>
    <cellStyle name="CustomCellsOrange 2 2 2 2 6" xfId="2752" xr:uid="{A234B42F-94B8-4221-B679-B44F78AB24A3}"/>
    <cellStyle name="CustomCellsOrange 2 2 2 2 60" xfId="28982" xr:uid="{2982303E-064A-4E91-BE74-B05BD4C1587B}"/>
    <cellStyle name="CustomCellsOrange 2 2 2 2 61" xfId="28074" xr:uid="{2EAF2D5E-B0BF-421A-9DBF-D22CCF9B2B9B}"/>
    <cellStyle name="CustomCellsOrange 2 2 2 2 62" xfId="29772" xr:uid="{9384E496-3A8B-4C9C-A933-95FDCA32973F}"/>
    <cellStyle name="CustomCellsOrange 2 2 2 2 63" xfId="30179" xr:uid="{0F3A89CA-8130-48E6-A10D-B8FEFC216CF3}"/>
    <cellStyle name="CustomCellsOrange 2 2 2 2 64" xfId="30594" xr:uid="{329A050F-E2D2-448B-A18E-79FEBB850994}"/>
    <cellStyle name="CustomCellsOrange 2 2 2 2 65" xfId="31018" xr:uid="{CE7CBCA4-9C0D-43C1-9F43-8BC8EBECC99A}"/>
    <cellStyle name="CustomCellsOrange 2 2 2 2 66" xfId="31217" xr:uid="{4941AB56-5274-4993-859A-6FFC8D2A3745}"/>
    <cellStyle name="CustomCellsOrange 2 2 2 2 67" xfId="31903" xr:uid="{1F2DEFE2-8285-4402-B1AE-B1E8E2651E6E}"/>
    <cellStyle name="CustomCellsOrange 2 2 2 2 68" xfId="31579" xr:uid="{BA6F7D42-CD45-40E5-81D3-776ACCCC4D9F}"/>
    <cellStyle name="CustomCellsOrange 2 2 2 2 7" xfId="2280" xr:uid="{42D60B16-B14A-4827-BFED-76E2F5D21051}"/>
    <cellStyle name="CustomCellsOrange 2 2 2 2 8" xfId="3992" xr:uid="{9AA3C87B-AE4F-4E38-8FB4-552B2275C36F}"/>
    <cellStyle name="CustomCellsOrange 2 2 2 2 9" xfId="4430" xr:uid="{A415DD5F-B8C9-4CE2-BF41-1417F495CC39}"/>
    <cellStyle name="CustomCellsOrange 2 2 20" xfId="7155" xr:uid="{E56A85D1-E102-4240-BB80-2A111FEE4FBF}"/>
    <cellStyle name="CustomCellsOrange 2 2 21" xfId="8534" xr:uid="{D4575E0F-3C62-4EF4-B649-3BE5926B10C3}"/>
    <cellStyle name="CustomCellsOrange 2 2 22" xfId="9378" xr:uid="{B79A9CCA-758A-4036-A8A0-86CA3099CC59}"/>
    <cellStyle name="CustomCellsOrange 2 2 23" xfId="10105" xr:uid="{6AD9786D-EC97-42AA-B0D7-FE0B8E636640}"/>
    <cellStyle name="CustomCellsOrange 2 2 24" xfId="10521" xr:uid="{92F4F127-9428-4747-9CC9-C6E5ACFC3712}"/>
    <cellStyle name="CustomCellsOrange 2 2 25" xfId="10835" xr:uid="{43B8C751-5092-435D-AC67-C2A14BA96516}"/>
    <cellStyle name="CustomCellsOrange 2 2 26" xfId="11200" xr:uid="{CC11B114-D912-4EDD-9C63-112EAB6536C4}"/>
    <cellStyle name="CustomCellsOrange 2 2 27" xfId="11791" xr:uid="{DAC30B05-F2CC-4D22-BDE5-BBA0D2BC8164}"/>
    <cellStyle name="CustomCellsOrange 2 2 28" xfId="12265" xr:uid="{7815CED1-0A32-4778-86FC-9ED48F450C9E}"/>
    <cellStyle name="CustomCellsOrange 2 2 29" xfId="11677" xr:uid="{EF279B7B-DDAD-41F9-910F-0D91FC9E604E}"/>
    <cellStyle name="CustomCellsOrange 2 2 3" xfId="657" xr:uid="{D2E2A9EA-EC87-404E-BA8F-C804C90F6EA5}"/>
    <cellStyle name="CustomCellsOrange 2 2 3 10" xfId="4698" xr:uid="{778D36D8-12FA-49A9-81EB-FDB0F6A5BBE8}"/>
    <cellStyle name="CustomCellsOrange 2 2 3 11" xfId="5305" xr:uid="{1A599C4B-D922-46FC-BFB7-32331033D659}"/>
    <cellStyle name="CustomCellsOrange 2 2 3 12" xfId="5106" xr:uid="{B677ECC6-BD44-48AA-818F-518B1094D246}"/>
    <cellStyle name="CustomCellsOrange 2 2 3 13" xfId="5917" xr:uid="{22A3A531-6FDC-41F9-BA32-98AC8F71ACF1}"/>
    <cellStyle name="CustomCellsOrange 2 2 3 14" xfId="6061" xr:uid="{B1062E85-AA1A-4587-A172-903B6606398F}"/>
    <cellStyle name="CustomCellsOrange 2 2 3 15" xfId="7377" xr:uid="{C5003167-1AD7-4382-83AA-F5BF35490B12}"/>
    <cellStyle name="CustomCellsOrange 2 2 3 16" xfId="7952" xr:uid="{6FC31ED5-83A1-4641-87E7-94F14942AC12}"/>
    <cellStyle name="CustomCellsOrange 2 2 3 17" xfId="8240" xr:uid="{EA5B1E57-7AE8-4718-8321-14B96C6A664B}"/>
    <cellStyle name="CustomCellsOrange 2 2 3 18" xfId="7876" xr:uid="{25212C36-D400-4899-A488-C63A35F41CF1}"/>
    <cellStyle name="CustomCellsOrange 2 2 3 19" xfId="9591" xr:uid="{47D1D9B2-6EFD-4814-B884-93373A36E562}"/>
    <cellStyle name="CustomCellsOrange 2 2 3 2" xfId="872" xr:uid="{F05925EB-DE48-40BB-A7C1-1CFCC0D631D3}"/>
    <cellStyle name="CustomCellsOrange 2 2 3 2 10" xfId="5520" xr:uid="{05B90FC5-DE61-441E-886F-2A78DB69D0F8}"/>
    <cellStyle name="CustomCellsOrange 2 2 3 2 11" xfId="6014" xr:uid="{90D8D485-26EC-436C-B224-9A0DBE73D947}"/>
    <cellStyle name="CustomCellsOrange 2 2 3 2 12" xfId="6373" xr:uid="{257E7FE5-57CB-42CD-900D-CD0109413E54}"/>
    <cellStyle name="CustomCellsOrange 2 2 3 2 13" xfId="6711" xr:uid="{C5C232B0-F945-4B7E-A8CC-291AA7DD38B5}"/>
    <cellStyle name="CustomCellsOrange 2 2 3 2 14" xfId="7592" xr:uid="{600C0D1D-6D1A-4DA4-9A73-F49EE424EA49}"/>
    <cellStyle name="CustomCellsOrange 2 2 3 2 15" xfId="8056" xr:uid="{FA0479DC-1725-48E6-80A1-3471A19E39DB}"/>
    <cellStyle name="CustomCellsOrange 2 2 3 2 16" xfId="8665" xr:uid="{0D599F45-69FD-41B9-A169-8D3459E489BF}"/>
    <cellStyle name="CustomCellsOrange 2 2 3 2 17" xfId="8924" xr:uid="{EEBDEFAD-9E8C-4054-AB48-2A73F50BE4D4}"/>
    <cellStyle name="CustomCellsOrange 2 2 3 2 18" xfId="9806" xr:uid="{F76EA555-9ED3-4ACD-9845-E7B4EEAF7332}"/>
    <cellStyle name="CustomCellsOrange 2 2 3 2 19" xfId="10275" xr:uid="{F7D27329-F254-4532-B690-7867314EA650}"/>
    <cellStyle name="CustomCellsOrange 2 2 3 2 2" xfId="1346" xr:uid="{4DFBB30B-974E-4D74-87B9-904E41DDA08D}"/>
    <cellStyle name="CustomCellsOrange 2 2 3 2 20" xfId="10669" xr:uid="{8EE9BB2D-C1B7-4F43-A695-05EB2D560F79}"/>
    <cellStyle name="CustomCellsOrange 2 2 3 2 21" xfId="11018" xr:uid="{BD2F0718-4ADF-4705-BFF9-6EF26C946F2C}"/>
    <cellStyle name="CustomCellsOrange 2 2 3 2 22" xfId="11328" xr:uid="{FAA731D3-1E57-40EF-9ED6-8F9A7FE47EB1}"/>
    <cellStyle name="CustomCellsOrange 2 2 3 2 23" xfId="12225" xr:uid="{332C028E-DE93-4932-A552-95C7D9778CBB}"/>
    <cellStyle name="CustomCellsOrange 2 2 3 2 24" xfId="12698" xr:uid="{5EBA2B67-7618-43C6-8606-289CF8E6AE87}"/>
    <cellStyle name="CustomCellsOrange 2 2 3 2 25" xfId="13132" xr:uid="{3805CF65-7831-4D79-8764-CADD001860B7}"/>
    <cellStyle name="CustomCellsOrange 2 2 3 2 26" xfId="13569" xr:uid="{E056A04C-C692-4189-8250-7D89EF846262}"/>
    <cellStyle name="CustomCellsOrange 2 2 3 2 27" xfId="14041" xr:uid="{761B016E-C81C-497D-AB85-8635BDE8AEF8}"/>
    <cellStyle name="CustomCellsOrange 2 2 3 2 28" xfId="14488" xr:uid="{B68805DA-D23E-4F90-8186-66E946078847}"/>
    <cellStyle name="CustomCellsOrange 2 2 3 2 29" xfId="14922" xr:uid="{6D7F05B3-87BB-4B61-90F3-8DD5B154A1E7}"/>
    <cellStyle name="CustomCellsOrange 2 2 3 2 3" xfId="1795" xr:uid="{CFF5F931-D2FC-4A2D-A5E9-86C07F5ED9DE}"/>
    <cellStyle name="CustomCellsOrange 2 2 3 2 30" xfId="15392" xr:uid="{22C9747F-E644-467D-ADE5-A235E4AE4FDE}"/>
    <cellStyle name="CustomCellsOrange 2 2 3 2 31" xfId="15782" xr:uid="{9F2FB7DE-9913-4071-A13A-06B07B6E3831}"/>
    <cellStyle name="CustomCellsOrange 2 2 3 2 32" xfId="16004" xr:uid="{AD00BB16-EB83-4377-B296-34A816F96E92}"/>
    <cellStyle name="CustomCellsOrange 2 2 3 2 33" xfId="16917" xr:uid="{1FDD40BF-E1DC-440B-8BEF-E32DE56252D5}"/>
    <cellStyle name="CustomCellsOrange 2 2 3 2 34" xfId="17398" xr:uid="{0C827235-9B27-47E0-A1C8-51763BCF98F0}"/>
    <cellStyle name="CustomCellsOrange 2 2 3 2 35" xfId="17839" xr:uid="{636B28A3-60E7-4259-B535-BAECBE83164C}"/>
    <cellStyle name="CustomCellsOrange 2 2 3 2 36" xfId="18314" xr:uid="{A9DC7CA7-EB03-480A-A701-FAA5A5EBA1E1}"/>
    <cellStyle name="CustomCellsOrange 2 2 3 2 37" xfId="18735" xr:uid="{E7B8985F-5BC0-45C2-9FE0-8E5E0264FC00}"/>
    <cellStyle name="CustomCellsOrange 2 2 3 2 38" xfId="19122" xr:uid="{78028E3F-DFA9-458C-93F6-DB1099FD6A37}"/>
    <cellStyle name="CustomCellsOrange 2 2 3 2 39" xfId="19352" xr:uid="{ED7AEF18-1FD4-4662-80A1-2E524D46F255}"/>
    <cellStyle name="CustomCellsOrange 2 2 3 2 4" xfId="2694" xr:uid="{C460351E-70A3-42A6-A551-079CE243CE2C}"/>
    <cellStyle name="CustomCellsOrange 2 2 3 2 40" xfId="20254" xr:uid="{E041568A-F911-44D7-B2F7-78A709143449}"/>
    <cellStyle name="CustomCellsOrange 2 2 3 2 41" xfId="20747" xr:uid="{9C5399CD-EB07-488C-A26B-306AFBA5D0C4}"/>
    <cellStyle name="CustomCellsOrange 2 2 3 2 42" xfId="21206" xr:uid="{73431D2C-C652-43A3-8298-636C71885C4C}"/>
    <cellStyle name="CustomCellsOrange 2 2 3 2 43" xfId="21698" xr:uid="{F15AF751-4946-4BAE-967D-1615D7BBA1F6}"/>
    <cellStyle name="CustomCellsOrange 2 2 3 2 44" xfId="22137" xr:uid="{B4B5D84A-C6AE-4149-AF00-9AF0A232438A}"/>
    <cellStyle name="CustomCellsOrange 2 2 3 2 45" xfId="22564" xr:uid="{838985E5-2A96-49B7-BDC0-0B658EC34B4B}"/>
    <cellStyle name="CustomCellsOrange 2 2 3 2 46" xfId="23009" xr:uid="{B9E007B9-F34E-40E9-B289-53DD415009BD}"/>
    <cellStyle name="CustomCellsOrange 2 2 3 2 47" xfId="23411" xr:uid="{36646B61-117B-48E0-A261-53A063D2483F}"/>
    <cellStyle name="CustomCellsOrange 2 2 3 2 48" xfId="23674" xr:uid="{E156C317-2834-4B93-9C70-8059770BC084}"/>
    <cellStyle name="CustomCellsOrange 2 2 3 2 49" xfId="24054" xr:uid="{076D0CED-A2D5-49CB-9983-9B4A1CF9CC47}"/>
    <cellStyle name="CustomCellsOrange 2 2 3 2 5" xfId="3214" xr:uid="{AC32A37E-37E9-4DA3-8CFB-38486AE4D578}"/>
    <cellStyle name="CustomCellsOrange 2 2 3 2 50" xfId="24962" xr:uid="{918C9F31-7F3A-4162-A669-FE406E3960F6}"/>
    <cellStyle name="CustomCellsOrange 2 2 3 2 51" xfId="25450" xr:uid="{545253D2-5816-4358-A92D-CAA3560C8B3B}"/>
    <cellStyle name="CustomCellsOrange 2 2 3 2 52" xfId="25878" xr:uid="{FD4DF3F2-9827-4E23-83E1-B69E4FE231AC}"/>
    <cellStyle name="CustomCellsOrange 2 2 3 2 53" xfId="26316" xr:uid="{A8372AE8-ED54-4CF8-B3CA-41AFEAAA4458}"/>
    <cellStyle name="CustomCellsOrange 2 2 3 2 54" xfId="26745" xr:uid="{FDDE0951-8A77-42B4-9BD4-387D8E0D1614}"/>
    <cellStyle name="CustomCellsOrange 2 2 3 2 55" xfId="27166" xr:uid="{242BABF1-4CCA-4AB8-9129-71E136FDAD44}"/>
    <cellStyle name="CustomCellsOrange 2 2 3 2 56" xfId="27585" xr:uid="{9C4AA0F4-27D2-4A68-9446-8A4C7328FB46}"/>
    <cellStyle name="CustomCellsOrange 2 2 3 2 57" xfId="26430" xr:uid="{BE48D5E9-C28A-429A-9FBA-29659D8A0477}"/>
    <cellStyle name="CustomCellsOrange 2 2 3 2 58" xfId="28712" xr:uid="{5678F878-6B4E-4471-9BE5-6DEDF6328C8E}"/>
    <cellStyle name="CustomCellsOrange 2 2 3 2 59" xfId="29179" xr:uid="{939BE0BE-1A2E-4C82-AB78-3429487F4EDD}"/>
    <cellStyle name="CustomCellsOrange 2 2 3 2 6" xfId="3769" xr:uid="{C4D73CB9-2E93-4116-8BDF-931A4CA050BB}"/>
    <cellStyle name="CustomCellsOrange 2 2 3 2 60" xfId="29561" xr:uid="{C0DBC52A-FE8D-435C-9ACD-E6496A92CB5A}"/>
    <cellStyle name="CustomCellsOrange 2 2 3 2 61" xfId="29968" xr:uid="{B691524F-C0C7-4016-B1C8-C2F9D6449876}"/>
    <cellStyle name="CustomCellsOrange 2 2 3 2 62" xfId="30374" xr:uid="{91BE54E9-DE81-4461-85E0-7943B13ED351}"/>
    <cellStyle name="CustomCellsOrange 2 2 3 2 63" xfId="30791" xr:uid="{D736BE2D-1A78-4B2F-B311-3E57767B9757}"/>
    <cellStyle name="CustomCellsOrange 2 2 3 2 64" xfId="31036" xr:uid="{3ECE0572-2876-4562-A34D-31F3F547D4A3}"/>
    <cellStyle name="CustomCellsOrange 2 2 3 2 65" xfId="31407" xr:uid="{5C1D488A-72F7-45D1-BCCA-66091A27F99B}"/>
    <cellStyle name="CustomCellsOrange 2 2 3 2 66" xfId="32098" xr:uid="{272232DA-CBC1-46B8-BB3C-EADC14FFE309}"/>
    <cellStyle name="CustomCellsOrange 2 2 3 2 67" xfId="32385" xr:uid="{0EA4FF61-6816-42C4-87B0-22BB3E4CD823}"/>
    <cellStyle name="CustomCellsOrange 2 2 3 2 7" xfId="4190" xr:uid="{1E368DF1-E8DD-4AE9-8A06-A4236C1B0AFF}"/>
    <cellStyle name="CustomCellsOrange 2 2 3 2 8" xfId="4627" xr:uid="{DC899D9F-326F-47D8-AABF-F96FA018A380}"/>
    <cellStyle name="CustomCellsOrange 2 2 3 2 9" xfId="5073" xr:uid="{292CDCB0-B439-4F31-81AA-05B5BB3098E3}"/>
    <cellStyle name="CustomCellsOrange 2 2 3 20" xfId="10167" xr:uid="{7D8E33D5-DD54-49A9-8A00-01E61E0F37C1}"/>
    <cellStyle name="CustomCellsOrange 2 2 3 21" xfId="10574" xr:uid="{931B7403-6722-4899-9D52-DF2FAA3BAB9A}"/>
    <cellStyle name="CustomCellsOrange 2 2 3 22" xfId="9937" xr:uid="{921F7FB0-7318-4100-BD10-EC7BE8C88F9F}"/>
    <cellStyle name="CustomCellsOrange 2 2 3 23" xfId="11052" xr:uid="{F4831EAA-DEE8-4E74-A461-C1E7C893C12D}"/>
    <cellStyle name="CustomCellsOrange 2 2 3 24" xfId="12010" xr:uid="{5E2520CD-3599-4D03-A99B-8101BC602FB7}"/>
    <cellStyle name="CustomCellsOrange 2 2 3 25" xfId="12483" xr:uid="{1D190AFD-F4FF-496F-9972-9271704213E8}"/>
    <cellStyle name="CustomCellsOrange 2 2 3 26" xfId="12917" xr:uid="{01E69A65-A2E9-4EB3-8B29-7A78C453CFB6}"/>
    <cellStyle name="CustomCellsOrange 2 2 3 27" xfId="13354" xr:uid="{080D2DE2-176C-401A-A17D-4208CDAD2CBA}"/>
    <cellStyle name="CustomCellsOrange 2 2 3 28" xfId="12724" xr:uid="{212D060F-D163-43F7-8E08-DEB3A249D9C7}"/>
    <cellStyle name="CustomCellsOrange 2 2 3 29" xfId="14400" xr:uid="{4F2FE0C2-6864-416A-B639-40C6FEDF26F8}"/>
    <cellStyle name="CustomCellsOrange 2 2 3 3" xfId="1140" xr:uid="{80085533-0DCA-4411-B05D-EDB63702C67C}"/>
    <cellStyle name="CustomCellsOrange 2 2 3 30" xfId="14815" xr:uid="{290DBB16-6E6A-4580-97AD-789C0E99E3E3}"/>
    <cellStyle name="CustomCellsOrange 2 2 3 31" xfId="14661" xr:uid="{84AFFA7B-CC40-486B-A920-D7CF7A50C919}"/>
    <cellStyle name="CustomCellsOrange 2 2 3 32" xfId="15217" xr:uid="{1DE8AF52-E76F-45E9-9E0F-52210EECBE20}"/>
    <cellStyle name="CustomCellsOrange 2 2 3 33" xfId="15943" xr:uid="{4CAD695A-CD3C-4A9D-ACFF-92F9AD335636}"/>
    <cellStyle name="CustomCellsOrange 2 2 3 34" xfId="16702" xr:uid="{7E1AC7C3-4401-4A5D-AB98-4E2ABEE1A913}"/>
    <cellStyle name="CustomCellsOrange 2 2 3 35" xfId="17287" xr:uid="{9518DF0F-2C1E-4873-9866-BAD464C9EDE2}"/>
    <cellStyle name="CustomCellsOrange 2 2 3 36" xfId="17730" xr:uid="{FE79F464-D49A-407E-A416-A32A49CAF475}"/>
    <cellStyle name="CustomCellsOrange 2 2 3 37" xfId="17755" xr:uid="{03EEF923-D0C1-4A6B-A093-B11CEC2889F1}"/>
    <cellStyle name="CustomCellsOrange 2 2 3 38" xfId="18520" xr:uid="{0E215852-448E-49D2-8510-7DE9D8674F58}"/>
    <cellStyle name="CustomCellsOrange 2 2 3 39" xfId="18007" xr:uid="{2456AFB9-A1DD-4359-958B-1D120B5CD0B1}"/>
    <cellStyle name="CustomCellsOrange 2 2 3 4" xfId="1631" xr:uid="{492C5FA0-02EA-45B4-A173-E3EAF320DB5F}"/>
    <cellStyle name="CustomCellsOrange 2 2 3 40" xfId="17130" xr:uid="{99CF67A6-38EA-48F8-898B-FEF0EB71B21B}"/>
    <cellStyle name="CustomCellsOrange 2 2 3 41" xfId="20039" xr:uid="{5DF8E9F3-1CB4-4733-98E5-FC12FC6CA9A8}"/>
    <cellStyle name="CustomCellsOrange 2 2 3 42" xfId="20637" xr:uid="{B9971B41-D692-4F1B-82B4-5DA79FCA4F03}"/>
    <cellStyle name="CustomCellsOrange 2 2 3 43" xfId="21093" xr:uid="{282B39D1-E284-4C4B-BBDB-B964FD2EA4B6}"/>
    <cellStyle name="CustomCellsOrange 2 2 3 44" xfId="20853" xr:uid="{889E344A-1A88-4CC0-9FEC-684B4F90F27E}"/>
    <cellStyle name="CustomCellsOrange 2 2 3 45" xfId="22024" xr:uid="{5CBFD152-9A76-4D14-9718-3E2BBC6249E8}"/>
    <cellStyle name="CustomCellsOrange 2 2 3 46" xfId="22454" xr:uid="{05817390-F3C4-4594-95F8-C18C6D0AC0CE}"/>
    <cellStyle name="CustomCellsOrange 2 2 3 47" xfId="22283" xr:uid="{6A69F9BD-2EE0-4F6F-9E28-E69A3D3159C6}"/>
    <cellStyle name="CustomCellsOrange 2 2 3 48" xfId="21486" xr:uid="{5C630585-5814-49CC-A6AC-0A340A71C5E0}"/>
    <cellStyle name="CustomCellsOrange 2 2 3 49" xfId="23142" xr:uid="{00120596-FB94-44DC-B842-3DFF754A95E1}"/>
    <cellStyle name="CustomCellsOrange 2 2 3 5" xfId="2479" xr:uid="{3421FB4D-EB4A-44F3-87FF-5D335BC6CA95}"/>
    <cellStyle name="CustomCellsOrange 2 2 3 50" xfId="23848" xr:uid="{BD5AD4FD-7F1A-4FAF-AEB7-902AF526A250}"/>
    <cellStyle name="CustomCellsOrange 2 2 3 51" xfId="24747" xr:uid="{81072DCA-01A6-4938-8F8B-006BA4D9F94F}"/>
    <cellStyle name="CustomCellsOrange 2 2 3 52" xfId="25341" xr:uid="{FA1E6213-15C2-4172-BF06-D71C8E0D6AA8}"/>
    <cellStyle name="CustomCellsOrange 2 2 3 53" xfId="25665" xr:uid="{ADF348E4-8E0D-4215-B793-A505FB3C480F}"/>
    <cellStyle name="CustomCellsOrange 2 2 3 54" xfId="25083" xr:uid="{6C08AB55-313F-41EA-839D-DCE6E5BB1BEA}"/>
    <cellStyle name="CustomCellsOrange 2 2 3 55" xfId="26619" xr:uid="{95D46815-5056-49F4-89B1-42EF0A0FCF55}"/>
    <cellStyle name="CustomCellsOrange 2 2 3 56" xfId="26955" xr:uid="{DCA3EB71-B2F4-44CD-828E-40057031FF36}"/>
    <cellStyle name="CustomCellsOrange 2 2 3 57" xfId="27374" xr:uid="{C950274F-7E68-4A23-87CE-7045798FBA73}"/>
    <cellStyle name="CustomCellsOrange 2 2 3 58" xfId="24292" xr:uid="{026873D1-4850-4BCB-B1E1-C1088A11BF88}"/>
    <cellStyle name="CustomCellsOrange 2 2 3 59" xfId="28497" xr:uid="{190CAE88-666C-47B3-8793-C01F985648C4}"/>
    <cellStyle name="CustomCellsOrange 2 2 3 6" xfId="1947" xr:uid="{64609208-ED27-4DC3-9889-ADAD9859898B}"/>
    <cellStyle name="CustomCellsOrange 2 2 3 60" xfId="28965" xr:uid="{74443D63-8E0F-4DC1-9ED1-78F45171DE56}"/>
    <cellStyle name="CustomCellsOrange 2 2 3 61" xfId="29465" xr:uid="{9545A96D-F777-4139-AD5E-C22145A32626}"/>
    <cellStyle name="CustomCellsOrange 2 2 3 62" xfId="29755" xr:uid="{CA371969-9462-45D8-A660-A14E16CD2B11}"/>
    <cellStyle name="CustomCellsOrange 2 2 3 63" xfId="30163" xr:uid="{BB31F3B5-05B9-454B-A95C-0DAF03575211}"/>
    <cellStyle name="CustomCellsOrange 2 2 3 64" xfId="30577" xr:uid="{268A5388-5E05-4FBC-A4C2-1360C814D950}"/>
    <cellStyle name="CustomCellsOrange 2 2 3 65" xfId="31008" xr:uid="{49A296F2-5E5E-4540-AEB7-E00BD114F092}"/>
    <cellStyle name="CustomCellsOrange 2 2 3 66" xfId="31201" xr:uid="{D3583479-88C0-44B8-A892-FAA82CE8EFDC}"/>
    <cellStyle name="CustomCellsOrange 2 2 3 67" xfId="31887" xr:uid="{9FD7C5A6-7B8D-4A87-A7F5-C002CB41CF40}"/>
    <cellStyle name="CustomCellsOrange 2 2 3 68" xfId="31622" xr:uid="{E52B3CF5-1E1E-48CE-B792-7998F2A92AB0}"/>
    <cellStyle name="CustomCellsOrange 2 2 3 7" xfId="2839" xr:uid="{30EBFAC3-F013-4680-A2D8-18DFD902C85D}"/>
    <cellStyle name="CustomCellsOrange 2 2 3 8" xfId="3975" xr:uid="{FF8BA923-EE89-4033-B18F-81B25B71D1A3}"/>
    <cellStyle name="CustomCellsOrange 2 2 3 9" xfId="4413" xr:uid="{1812D317-AE8D-429A-BE53-D8810D5D50D6}"/>
    <cellStyle name="CustomCellsOrange 2 2 30" xfId="12319" xr:uid="{C2DF9492-E2C9-4C0C-971E-DE9BA40B2AB3}"/>
    <cellStyle name="CustomCellsOrange 2 2 31" xfId="13873" xr:uid="{9C6069FC-4726-488D-9284-E2DE58B3B1D5}"/>
    <cellStyle name="CustomCellsOrange 2 2 32" xfId="14182" xr:uid="{CD2B44E5-24AC-41A2-9961-E8DA0855AFF0}"/>
    <cellStyle name="CustomCellsOrange 2 2 33" xfId="14583" xr:uid="{30950300-DC17-46D9-B77E-C293FDD068ED}"/>
    <cellStyle name="CustomCellsOrange 2 2 34" xfId="14110" xr:uid="{7BD5484E-F886-486C-B6C0-A9DD6B6005A1}"/>
    <cellStyle name="CustomCellsOrange 2 2 35" xfId="15676" xr:uid="{643F89C4-BDAD-4BBD-9915-0F5FEBEBB649}"/>
    <cellStyle name="CustomCellsOrange 2 2 36" xfId="15915" xr:uid="{F4EA3D7B-8072-4E5D-93FF-54DCDB2E8BC6}"/>
    <cellStyle name="CustomCellsOrange 2 2 37" xfId="16484" xr:uid="{075D52EC-98AB-42F0-A18F-D21DD518A716}"/>
    <cellStyle name="CustomCellsOrange 2 2 38" xfId="17224" xr:uid="{54936FFB-EE12-4B40-89E9-C6A0A2A59560}"/>
    <cellStyle name="CustomCellsOrange 2 2 39" xfId="17669" xr:uid="{D628E7A4-0CFC-497C-97FB-EB3440C131B6}"/>
    <cellStyle name="CustomCellsOrange 2 2 4" xfId="575" xr:uid="{34248D70-35E3-40BD-893D-E0F5236443BA}"/>
    <cellStyle name="CustomCellsOrange 2 2 4 10" xfId="4873" xr:uid="{12C03134-552F-4333-8CFC-1F29325B3167}"/>
    <cellStyle name="CustomCellsOrange 2 2 4 11" xfId="5223" xr:uid="{5833B7CC-8648-4F75-8A64-D84D31B1BB01}"/>
    <cellStyle name="CustomCellsOrange 2 2 4 12" xfId="4941" xr:uid="{A5878704-9431-412B-9D00-0F4FCEE9E9F7}"/>
    <cellStyle name="CustomCellsOrange 2 2 4 13" xfId="6258" xr:uid="{977687FE-EC69-498C-BFF0-15365F5B2086}"/>
    <cellStyle name="CustomCellsOrange 2 2 4 14" xfId="6546" xr:uid="{F2DE0A7C-DE9F-489C-9846-6098564E418F}"/>
    <cellStyle name="CustomCellsOrange 2 2 4 15" xfId="7295" xr:uid="{3D961192-DBAC-41C0-AB8E-C930BA6AB961}"/>
    <cellStyle name="CustomCellsOrange 2 2 4 16" xfId="7159" xr:uid="{CEC36FA7-EA1C-44D1-B546-0C381240426A}"/>
    <cellStyle name="CustomCellsOrange 2 2 4 17" xfId="8382" xr:uid="{C6D51FD9-5F1D-4221-A91A-911B31D92DFD}"/>
    <cellStyle name="CustomCellsOrange 2 2 4 18" xfId="8759" xr:uid="{4FB94E24-919E-4002-BC9D-809D65AD09D3}"/>
    <cellStyle name="CustomCellsOrange 2 2 4 19" xfId="9509" xr:uid="{5AAB6F7B-9DE0-4AEC-B9EA-7347AC8B2937}"/>
    <cellStyle name="CustomCellsOrange 2 2 4 2" xfId="790" xr:uid="{14B1C7DB-95F8-4D4F-A7C3-0F66A89608B2}"/>
    <cellStyle name="CustomCellsOrange 2 2 4 2 10" xfId="5438" xr:uid="{AA9C0180-F88D-4674-A8C8-28D935A3C665}"/>
    <cellStyle name="CustomCellsOrange 2 2 4 2 11" xfId="4763" xr:uid="{68B9A3DF-0508-4AF3-91C0-3691F9019EE4}"/>
    <cellStyle name="CustomCellsOrange 2 2 4 2 12" xfId="4714" xr:uid="{C5EAD731-AAAB-4722-8926-1ABD584F749E}"/>
    <cellStyle name="CustomCellsOrange 2 2 4 2 13" xfId="5643" xr:uid="{C58DF9F2-EAB0-4472-931F-AA5228731022}"/>
    <cellStyle name="CustomCellsOrange 2 2 4 2 14" xfId="7510" xr:uid="{2C9FB46A-3CC7-422A-A2FA-D29678EC25AC}"/>
    <cellStyle name="CustomCellsOrange 2 2 4 2 15" xfId="6979" xr:uid="{8D1E7ED5-FC18-4924-B2E9-ACEC38AB47C8}"/>
    <cellStyle name="CustomCellsOrange 2 2 4 2 16" xfId="7700" xr:uid="{8E723FA8-FD96-4E5A-92A6-CD3E90755D40}"/>
    <cellStyle name="CustomCellsOrange 2 2 4 2 17" xfId="7022" xr:uid="{69E23425-6408-4859-9F82-8710C3FBDFAE}"/>
    <cellStyle name="CustomCellsOrange 2 2 4 2 18" xfId="9724" xr:uid="{89473274-7208-42A3-8709-DC5AFBD414D8}"/>
    <cellStyle name="CustomCellsOrange 2 2 4 2 19" xfId="9320" xr:uid="{8C17BD26-83AA-4D8F-B816-1BB2D3E9DC32}"/>
    <cellStyle name="CustomCellsOrange 2 2 4 2 2" xfId="1264" xr:uid="{14A01E9C-E057-46AA-AD72-7EB34C6F3AD6}"/>
    <cellStyle name="CustomCellsOrange 2 2 4 2 20" xfId="9351" xr:uid="{C76D7183-7AAA-4E15-807C-6252A2274F99}"/>
    <cellStyle name="CustomCellsOrange 2 2 4 2 21" xfId="9102" xr:uid="{0B601D98-0FB7-47E6-A6E4-E5E5CC24355E}"/>
    <cellStyle name="CustomCellsOrange 2 2 4 2 22" xfId="10624" xr:uid="{D482800F-FF5F-459D-AEEB-991508FEE103}"/>
    <cellStyle name="CustomCellsOrange 2 2 4 2 23" xfId="12143" xr:uid="{03012D64-04A2-4856-8B1F-6424AB3C2A44}"/>
    <cellStyle name="CustomCellsOrange 2 2 4 2 24" xfId="12616" xr:uid="{AE40BA65-35F0-4319-85AB-F6E941434894}"/>
    <cellStyle name="CustomCellsOrange 2 2 4 2 25" xfId="13050" xr:uid="{0702B7D8-F120-46BA-AD27-F90F0022022A}"/>
    <cellStyle name="CustomCellsOrange 2 2 4 2 26" xfId="13487" xr:uid="{3996DE2F-FFEF-4FAC-AAA8-E58314F5EE75}"/>
    <cellStyle name="CustomCellsOrange 2 2 4 2 27" xfId="12953" xr:uid="{67E0DD02-C0DE-4339-B9ED-819C9CAD5774}"/>
    <cellStyle name="CustomCellsOrange 2 2 4 2 28" xfId="13189" xr:uid="{1504EB35-ADAD-44A6-AE2B-4EBF0FC16F29}"/>
    <cellStyle name="CustomCellsOrange 2 2 4 2 29" xfId="11551" xr:uid="{6E98D637-696E-4335-BC3C-BE56B6415C82}"/>
    <cellStyle name="CustomCellsOrange 2 2 4 2 3" xfId="1507" xr:uid="{C2B80DD7-3924-4E63-B091-C2C7076A10BB}"/>
    <cellStyle name="CustomCellsOrange 2 2 4 2 30" xfId="15296" xr:uid="{21277B97-9C14-4269-BBBE-67ADC8133675}"/>
    <cellStyle name="CustomCellsOrange 2 2 4 2 31" xfId="15452" xr:uid="{AF0416F2-FB94-4562-B8D1-25522765AA9D}"/>
    <cellStyle name="CustomCellsOrange 2 2 4 2 32" xfId="15612" xr:uid="{C5C51B25-6303-4FE3-9C71-5858ECB629FE}"/>
    <cellStyle name="CustomCellsOrange 2 2 4 2 33" xfId="16835" xr:uid="{60C9BA54-35BA-4FD0-BF6C-AB107AB3EC17}"/>
    <cellStyle name="CustomCellsOrange 2 2 4 2 34" xfId="16299" xr:uid="{CFCDAA09-4A8E-4865-89BF-389D30AFA4C9}"/>
    <cellStyle name="CustomCellsOrange 2 2 4 2 35" xfId="16188" xr:uid="{F5F2AECC-7721-42FC-8B2A-13B3C4F1B272}"/>
    <cellStyle name="CustomCellsOrange 2 2 4 2 36" xfId="16491" xr:uid="{32361E7E-BCA0-42D5-9B9D-807EDD86130B}"/>
    <cellStyle name="CustomCellsOrange 2 2 4 2 37" xfId="18653" xr:uid="{9594C260-949C-45C4-B32B-79EC0B00859A}"/>
    <cellStyle name="CustomCellsOrange 2 2 4 2 38" xfId="17975" xr:uid="{C2DCB1F3-8697-4690-8530-3C1A54C3C2BA}"/>
    <cellStyle name="CustomCellsOrange 2 2 4 2 39" xfId="18308" xr:uid="{0B1C76FA-E952-4F03-B738-5C1216A2965F}"/>
    <cellStyle name="CustomCellsOrange 2 2 4 2 4" xfId="2612" xr:uid="{88BDDDFA-46A1-41B9-B312-9B29E0B9ADCC}"/>
    <cellStyle name="CustomCellsOrange 2 2 4 2 40" xfId="20172" xr:uid="{B8B308A5-2FD2-4C6A-A848-35145072A8FD}"/>
    <cellStyle name="CustomCellsOrange 2 2 4 2 41" xfId="19379" xr:uid="{382B1F46-2C42-4124-92C5-0E7CBC8F728D}"/>
    <cellStyle name="CustomCellsOrange 2 2 4 2 42" xfId="20288" xr:uid="{2A5A72ED-596A-4DC3-BA58-B66C75EF202A}"/>
    <cellStyle name="CustomCellsOrange 2 2 4 2 43" xfId="21423" xr:uid="{6B328DB8-BBFD-478F-B09C-8EC7633F1E6B}"/>
    <cellStyle name="CustomCellsOrange 2 2 4 2 44" xfId="21617" xr:uid="{5BA03790-FF2E-4ABE-B42A-CBD8641C255A}"/>
    <cellStyle name="CustomCellsOrange 2 2 4 2 45" xfId="21677" xr:uid="{8B9815B2-600E-4959-897A-4964653F65EE}"/>
    <cellStyle name="CustomCellsOrange 2 2 4 2 46" xfId="22350" xr:uid="{0FCAC946-A032-45C6-B902-6E46444CAD20}"/>
    <cellStyle name="CustomCellsOrange 2 2 4 2 47" xfId="22799" xr:uid="{47D0064C-AE79-41B7-99E7-13D7AE58DC14}"/>
    <cellStyle name="CustomCellsOrange 2 2 4 2 48" xfId="23154" xr:uid="{BD5D3BFF-38B4-4B6F-9D0D-8AE6E3EE8A13}"/>
    <cellStyle name="CustomCellsOrange 2 2 4 2 49" xfId="23972" xr:uid="{E8ACCB52-9593-41C7-841B-46678FE6B23F}"/>
    <cellStyle name="CustomCellsOrange 2 2 4 2 5" xfId="2143" xr:uid="{FCEEB548-D333-4217-A301-190DDA159851}"/>
    <cellStyle name="CustomCellsOrange 2 2 4 2 50" xfId="24880" xr:uid="{0EC5871F-2C4D-4B33-B6DF-04C230C12D59}"/>
    <cellStyle name="CustomCellsOrange 2 2 4 2 51" xfId="24187" xr:uid="{29FA2488-7218-4DDE-898F-F5F93546E289}"/>
    <cellStyle name="CustomCellsOrange 2 2 4 2 52" xfId="25796" xr:uid="{6BF25F9C-1E3D-4BF0-928A-C790B7FCB98F}"/>
    <cellStyle name="CustomCellsOrange 2 2 4 2 53" xfId="25473" xr:uid="{486FED01-5AD2-475D-A549-3697CDDF6774}"/>
    <cellStyle name="CustomCellsOrange 2 2 4 2 54" xfId="24522" xr:uid="{F76865AC-5AC5-4BD0-970C-8A289EBE22AD}"/>
    <cellStyle name="CustomCellsOrange 2 2 4 2 55" xfId="27084" xr:uid="{AF888000-6A2D-439A-A7EA-211D72D80924}"/>
    <cellStyle name="CustomCellsOrange 2 2 4 2 56" xfId="27503" xr:uid="{B15677B7-AF64-467A-B2F2-2B15960977E3}"/>
    <cellStyle name="CustomCellsOrange 2 2 4 2 57" xfId="26195" xr:uid="{825AD948-7C2A-448F-A65A-48BB066DAE6D}"/>
    <cellStyle name="CustomCellsOrange 2 2 4 2 58" xfId="28630" xr:uid="{BBCF6B72-A1AD-46FE-8C7C-A7B67C6F4173}"/>
    <cellStyle name="CustomCellsOrange 2 2 4 2 59" xfId="29097" xr:uid="{D29B7284-E6A2-4DA8-963D-7BE5115D4192}"/>
    <cellStyle name="CustomCellsOrange 2 2 4 2 6" xfId="2080" xr:uid="{F2FC0610-6631-4B73-AB29-F42C19E00DE4}"/>
    <cellStyle name="CustomCellsOrange 2 2 4 2 60" xfId="28226" xr:uid="{297A68A0-ED95-4270-86EF-F65918DD1CDB}"/>
    <cellStyle name="CustomCellsOrange 2 2 4 2 61" xfId="29886" xr:uid="{D28DCB15-185D-42FA-9BB2-2C2824EB3299}"/>
    <cellStyle name="CustomCellsOrange 2 2 4 2 62" xfId="30292" xr:uid="{267550ED-631D-4B83-AD6A-238BF55687CA}"/>
    <cellStyle name="CustomCellsOrange 2 2 4 2 63" xfId="30709" xr:uid="{22173065-534B-4DF2-A13E-9AFF2E26010D}"/>
    <cellStyle name="CustomCellsOrange 2 2 4 2 64" xfId="30885" xr:uid="{1DAE57B0-FC4E-418C-93CB-5963F83FDB32}"/>
    <cellStyle name="CustomCellsOrange 2 2 4 2 65" xfId="31325" xr:uid="{0C024517-0C98-4E4F-9FE6-6D002E98BA02}"/>
    <cellStyle name="CustomCellsOrange 2 2 4 2 66" xfId="32016" xr:uid="{FF2B0CFD-4D06-45BB-A338-94A5D4F79F4E}"/>
    <cellStyle name="CustomCellsOrange 2 2 4 2 67" xfId="32147" xr:uid="{BD0651F1-ADB8-48DF-BAB5-E244E351CC28}"/>
    <cellStyle name="CustomCellsOrange 2 2 4 2 7" xfId="4108" xr:uid="{50B4AD53-7327-4AD9-9F06-E016B9D12166}"/>
    <cellStyle name="CustomCellsOrange 2 2 4 2 8" xfId="4545" xr:uid="{540B5C5F-FBF4-497C-8E14-EA5CB95E7CDD}"/>
    <cellStyle name="CustomCellsOrange 2 2 4 2 9" xfId="1921" xr:uid="{899ADCD1-184F-401D-B398-AD1227437DD4}"/>
    <cellStyle name="CustomCellsOrange 2 2 4 20" xfId="9374" xr:uid="{A9301209-B9E0-4773-8828-B0BC9B29751E}"/>
    <cellStyle name="CustomCellsOrange 2 2 4 21" xfId="9026" xr:uid="{4E465C32-17D3-434A-8F99-FCF0EE98FFAF}"/>
    <cellStyle name="CustomCellsOrange 2 2 4 22" xfId="9334" xr:uid="{A642D948-707B-48CF-80A6-015048B124F4}"/>
    <cellStyle name="CustomCellsOrange 2 2 4 23" xfId="10349" xr:uid="{7B8B0F49-359B-4095-8447-6C0758A8C9E9}"/>
    <cellStyle name="CustomCellsOrange 2 2 4 24" xfId="11928" xr:uid="{9116D4EC-CE5B-4A92-8718-FEABD2F83ABA}"/>
    <cellStyle name="CustomCellsOrange 2 2 4 25" xfId="12401" xr:uid="{9791813D-EC4B-48FD-87C7-55966A622C59}"/>
    <cellStyle name="CustomCellsOrange 2 2 4 26" xfId="12835" xr:uid="{C6C7F09D-9553-42CF-BCE6-75F4E4D68E6F}"/>
    <cellStyle name="CustomCellsOrange 2 2 4 27" xfId="13272" xr:uid="{CE549301-5063-4A49-87A7-F5020A900373}"/>
    <cellStyle name="CustomCellsOrange 2 2 4 28" xfId="13759" xr:uid="{098163AC-ECD4-4CB1-85DB-DFDAA95C28D8}"/>
    <cellStyle name="CustomCellsOrange 2 2 4 29" xfId="14365" xr:uid="{1289188B-59F9-4FCB-A403-5D3440E3BBC2}"/>
    <cellStyle name="CustomCellsOrange 2 2 4 3" xfId="1058" xr:uid="{356EAA67-41E0-4492-A889-E884B1D3DED3}"/>
    <cellStyle name="CustomCellsOrange 2 2 4 30" xfId="14737" xr:uid="{5E6319C4-9910-481F-AC39-3451505C5798}"/>
    <cellStyle name="CustomCellsOrange 2 2 4 31" xfId="14957" xr:uid="{4EE1264F-5AAE-462E-B212-812C3A67BA42}"/>
    <cellStyle name="CustomCellsOrange 2 2 4 32" xfId="15476" xr:uid="{A2A856AE-3117-4E32-B99F-2D03FC9DD6B9}"/>
    <cellStyle name="CustomCellsOrange 2 2 4 33" xfId="14970" xr:uid="{E024C9CA-8C1D-4CBF-8607-5D203F8A08E5}"/>
    <cellStyle name="CustomCellsOrange 2 2 4 34" xfId="16620" xr:uid="{F0C2C035-AC59-4CE3-8DC4-58677BF57249}"/>
    <cellStyle name="CustomCellsOrange 2 2 4 35" xfId="16480" xr:uid="{1C7BBDEF-3CD0-45F1-9207-55B5CE0CC562}"/>
    <cellStyle name="CustomCellsOrange 2 2 4 36" xfId="16123" xr:uid="{53B79DEF-3FAF-4648-B5D5-FB2522E34647}"/>
    <cellStyle name="CustomCellsOrange 2 2 4 37" xfId="17701" xr:uid="{0BAB9A09-9188-4227-B2DE-7C8B8581C1F5}"/>
    <cellStyle name="CustomCellsOrange 2 2 4 38" xfId="18438" xr:uid="{E3BDF152-0D70-4A1C-8250-6C5A1E3466CE}"/>
    <cellStyle name="CustomCellsOrange 2 2 4 39" xfId="18829" xr:uid="{917BBAE8-6945-4AC0-9FCD-25FB29835EB4}"/>
    <cellStyle name="CustomCellsOrange 2 2 4 4" xfId="1583" xr:uid="{5A2FABDA-4DE9-4ECD-898D-5EF8B36D6B32}"/>
    <cellStyle name="CustomCellsOrange 2 2 4 40" xfId="19234" xr:uid="{25369035-4145-4498-9C09-87DA1BDA452A}"/>
    <cellStyle name="CustomCellsOrange 2 2 4 41" xfId="19957" xr:uid="{AB7F7DE6-35F0-4FAE-BCA5-362BCD43A8FC}"/>
    <cellStyle name="CustomCellsOrange 2 2 4 42" xfId="19816" xr:uid="{5B0ECC57-F262-4E31-AECD-DCF2F4149DF9}"/>
    <cellStyle name="CustomCellsOrange 2 2 4 43" xfId="19773" xr:uid="{CD4AC8F9-392F-4581-9A04-E54280DE0C4C}"/>
    <cellStyle name="CustomCellsOrange 2 2 4 44" xfId="21567" xr:uid="{5EB17B68-5616-435C-89C4-EAC24A2A3C18}"/>
    <cellStyle name="CustomCellsOrange 2 2 4 45" xfId="20339" xr:uid="{FD9EB348-C9A9-47BE-B16A-1733883DD3D8}"/>
    <cellStyle name="CustomCellsOrange 2 2 4 46" xfId="21536" xr:uid="{1B6A3CBA-CA7C-44D8-8E0F-37A2166D7508}"/>
    <cellStyle name="CustomCellsOrange 2 2 4 47" xfId="22754" xr:uid="{F8A68BCA-B499-42DD-8381-3CE7A38E1B56}"/>
    <cellStyle name="CustomCellsOrange 2 2 4 48" xfId="23102" xr:uid="{A9D2B154-2561-4AF2-8712-9370C07EC43F}"/>
    <cellStyle name="CustomCellsOrange 2 2 4 49" xfId="23256" xr:uid="{D687BD39-D4D4-4FCF-AD4D-771A7E77F74C}"/>
    <cellStyle name="CustomCellsOrange 2 2 4 5" xfId="2397" xr:uid="{F29A38B6-87B2-45A7-AFB1-9996475098C6}"/>
    <cellStyle name="CustomCellsOrange 2 2 4 50" xfId="23766" xr:uid="{09742D54-A922-4B56-BF7A-D7DDC1838EDA}"/>
    <cellStyle name="CustomCellsOrange 2 2 4 51" xfId="24665" xr:uid="{6D5E87CB-1A30-482B-8B5D-F167DC5437EC}"/>
    <cellStyle name="CustomCellsOrange 2 2 4 52" xfId="24527" xr:uid="{5DADF8FB-7AA5-4C66-85A6-D12003CFBE20}"/>
    <cellStyle name="CustomCellsOrange 2 2 4 53" xfId="25583" xr:uid="{83B4B881-AB7E-462C-B684-D48A30E11F40}"/>
    <cellStyle name="CustomCellsOrange 2 2 4 54" xfId="26057" xr:uid="{F3252905-2299-453C-9913-A2961A41EBE0}"/>
    <cellStyle name="CustomCellsOrange 2 2 4 55" xfId="26583" xr:uid="{ADEBD120-3B8C-494F-8FEC-8E17BD92952D}"/>
    <cellStyle name="CustomCellsOrange 2 2 4 56" xfId="26873" xr:uid="{EE4D8623-A34D-4B52-B16B-36E89FE51AE9}"/>
    <cellStyle name="CustomCellsOrange 2 2 4 57" xfId="27292" xr:uid="{EF424081-77F3-4AAA-9DF8-BE1B4EA22EB2}"/>
    <cellStyle name="CustomCellsOrange 2 2 4 58" xfId="27685" xr:uid="{8D86BB81-8668-4C18-B62C-1771A562998A}"/>
    <cellStyle name="CustomCellsOrange 2 2 4 59" xfId="28415" xr:uid="{3E260527-6B98-4FB2-8D08-A9261B85FCA1}"/>
    <cellStyle name="CustomCellsOrange 2 2 4 6" xfId="2925" xr:uid="{678D5AE3-CE9C-4BFB-9122-76DBBD4066D0}"/>
    <cellStyle name="CustomCellsOrange 2 2 4 60" xfId="28883" xr:uid="{C7019743-00C2-4310-97D9-EF8E468061A9}"/>
    <cellStyle name="CustomCellsOrange 2 2 4 61" xfId="28071" xr:uid="{A3880313-6C9A-4C0A-921C-91BAFC5281ED}"/>
    <cellStyle name="CustomCellsOrange 2 2 4 62" xfId="29673" xr:uid="{2A150ABB-7D5C-454D-B5CF-3A2C53DB886B}"/>
    <cellStyle name="CustomCellsOrange 2 2 4 63" xfId="30081" xr:uid="{14FBAD04-E374-4872-88B0-50FCB64B3DF4}"/>
    <cellStyle name="CustomCellsOrange 2 2 4 64" xfId="30495" xr:uid="{A5EA0043-6A4F-4AF9-B435-C6CE68986B88}"/>
    <cellStyle name="CustomCellsOrange 2 2 4 65" xfId="30874" xr:uid="{90701542-E7B5-4D16-A952-8C1EE27F557E}"/>
    <cellStyle name="CustomCellsOrange 2 2 4 66" xfId="31119" xr:uid="{8294EFA7-6FAE-40ED-8632-08750A9B3907}"/>
    <cellStyle name="CustomCellsOrange 2 2 4 67" xfId="31805" xr:uid="{CF420D41-2733-4888-886C-ECF9B714AD73}"/>
    <cellStyle name="CustomCellsOrange 2 2 4 68" xfId="31926" xr:uid="{5A322CAA-BA3D-419F-B0ED-CA5CE5C72D2E}"/>
    <cellStyle name="CustomCellsOrange 2 2 4 7" xfId="3584" xr:uid="{286A7899-CF9F-4E45-B93E-D506E137B4F1}"/>
    <cellStyle name="CustomCellsOrange 2 2 4 8" xfId="3893" xr:uid="{8ECA5BC7-7AEE-48F1-9D7E-E486B2EADF86}"/>
    <cellStyle name="CustomCellsOrange 2 2 4 9" xfId="4331" xr:uid="{F61D374C-452D-4BD4-A9BB-E999A556F679}"/>
    <cellStyle name="CustomCellsOrange 2 2 40" xfId="17954" xr:uid="{71C5FFCA-4425-4E8B-BAAD-256E01BAF513}"/>
    <cellStyle name="CustomCellsOrange 2 2 41" xfId="18031" xr:uid="{3AF2A0A0-BE72-4A41-A68F-509099ACFDE4}"/>
    <cellStyle name="CustomCellsOrange 2 2 42" xfId="16542" xr:uid="{4E4B126A-0A2C-4ABB-AC85-BD446D7444A9}"/>
    <cellStyle name="CustomCellsOrange 2 2 43" xfId="19248" xr:uid="{94FAF3C4-2622-4B54-AA89-C2E3F8F175DC}"/>
    <cellStyle name="CustomCellsOrange 2 2 44" xfId="19820" xr:uid="{0F4D9B40-E73C-427B-8DC6-F8531CE0F0AE}"/>
    <cellStyle name="CustomCellsOrange 2 2 45" xfId="20577" xr:uid="{9DCB2D39-9DAF-4F89-ACC6-C7C33F9B0BAF}"/>
    <cellStyle name="CustomCellsOrange 2 2 46" xfId="21030" xr:uid="{CACEA62F-C89B-4630-91C6-4662EE49A3FA}"/>
    <cellStyle name="CustomCellsOrange 2 2 47" xfId="20810" xr:uid="{E1C232C8-EED5-4C1C-9CD7-452DC4FD5B0C}"/>
    <cellStyle name="CustomCellsOrange 2 2 48" xfId="21961" xr:uid="{5FEA12D4-5CE2-4E63-A590-13A0D17CAF40}"/>
    <cellStyle name="CustomCellsOrange 2 2 49" xfId="22392" xr:uid="{065CA9A4-7504-4944-A530-8367C3A5E118}"/>
    <cellStyle name="CustomCellsOrange 2 2 5" xfId="676" xr:uid="{AD6EF736-E706-47C9-B6AE-09F74EC2560C}"/>
    <cellStyle name="CustomCellsOrange 2 2 5 10" xfId="4916" xr:uid="{76312272-AFE4-4BFA-BB94-97879CDC6F1A}"/>
    <cellStyle name="CustomCellsOrange 2 2 5 11" xfId="5324" xr:uid="{D9F8B30A-82ED-4D8E-90C6-C7680C000A60}"/>
    <cellStyle name="CustomCellsOrange 2 2 5 12" xfId="5929" xr:uid="{BEEE8C22-1DA6-44F6-8545-3FB4FD889C2B}"/>
    <cellStyle name="CustomCellsOrange 2 2 5 13" xfId="5838" xr:uid="{3BC3A95C-A0C3-45C2-B535-873E14F2FF05}"/>
    <cellStyle name="CustomCellsOrange 2 2 5 14" xfId="4694" xr:uid="{845B5F47-9AE5-416D-9076-69F5249FCA32}"/>
    <cellStyle name="CustomCellsOrange 2 2 5 15" xfId="7396" xr:uid="{C5A13D5A-CBB4-4BBC-9D16-DEEA60AD8E42}"/>
    <cellStyle name="CustomCellsOrange 2 2 5 16" xfId="7916" xr:uid="{1CC2DBEF-C1AF-48A2-B198-6CAD817DEFE1}"/>
    <cellStyle name="CustomCellsOrange 2 2 5 17" xfId="8636" xr:uid="{A8078B74-9C69-4C65-BE3D-C547A31B7246}"/>
    <cellStyle name="CustomCellsOrange 2 2 5 18" xfId="8716" xr:uid="{742FD959-69A3-43BB-BDDF-842428F8A0CE}"/>
    <cellStyle name="CustomCellsOrange 2 2 5 19" xfId="9610" xr:uid="{87D01066-A392-49E0-BD4F-7FFC0DEEC932}"/>
    <cellStyle name="CustomCellsOrange 2 2 5 2" xfId="890" xr:uid="{3B185886-D5DF-4B1C-AAA8-F7B77EF7A0D8}"/>
    <cellStyle name="CustomCellsOrange 2 2 5 2 10" xfId="5538" xr:uid="{DF6703B6-EBCA-4821-8802-294D7C36B1CE}"/>
    <cellStyle name="CustomCellsOrange 2 2 5 2 11" xfId="6032" xr:uid="{FFC02F4E-E1C7-447F-BAAD-6C77E4D7CFCE}"/>
    <cellStyle name="CustomCellsOrange 2 2 5 2 12" xfId="6391" xr:uid="{3EA650DD-A4BC-4C2F-AEF9-3BBEBB08C0E9}"/>
    <cellStyle name="CustomCellsOrange 2 2 5 2 13" xfId="6729" xr:uid="{63FC736D-E75A-421B-A593-5FB005E5F41A}"/>
    <cellStyle name="CustomCellsOrange 2 2 5 2 14" xfId="7610" xr:uid="{55F21080-C415-4DBC-8F3E-EEED6B336283}"/>
    <cellStyle name="CustomCellsOrange 2 2 5 2 15" xfId="8074" xr:uid="{136B241D-5FB1-4555-ABCF-8D766A8D68C7}"/>
    <cellStyle name="CustomCellsOrange 2 2 5 2 16" xfId="8683" xr:uid="{165B251A-7012-4079-B8EE-176B100797B5}"/>
    <cellStyle name="CustomCellsOrange 2 2 5 2 17" xfId="8942" xr:uid="{E6A617B9-7956-48EC-B19A-5AF6BF623F5B}"/>
    <cellStyle name="CustomCellsOrange 2 2 5 2 18" xfId="9824" xr:uid="{EC18D200-1168-458A-9D81-61A863C9291D}"/>
    <cellStyle name="CustomCellsOrange 2 2 5 2 19" xfId="10293" xr:uid="{479A1B83-D83F-4F54-9067-CB5A29303CDF}"/>
    <cellStyle name="CustomCellsOrange 2 2 5 2 2" xfId="1364" xr:uid="{2382D999-46AE-43C3-9D07-89AD346B63AA}"/>
    <cellStyle name="CustomCellsOrange 2 2 5 2 20" xfId="10687" xr:uid="{F6ABD948-92DE-4D26-86F8-6992B01F74D1}"/>
    <cellStyle name="CustomCellsOrange 2 2 5 2 21" xfId="11036" xr:uid="{B1ED2400-55B4-47CF-9DE9-071CF1A907EC}"/>
    <cellStyle name="CustomCellsOrange 2 2 5 2 22" xfId="11346" xr:uid="{5187A8CE-7A31-47AE-AA32-C70BA3A1997B}"/>
    <cellStyle name="CustomCellsOrange 2 2 5 2 23" xfId="12243" xr:uid="{BEF6151B-E4E9-4A14-A005-1B6E300D19F8}"/>
    <cellStyle name="CustomCellsOrange 2 2 5 2 24" xfId="12716" xr:uid="{526A8A18-03F2-413F-80C1-B45CC6D09F6B}"/>
    <cellStyle name="CustomCellsOrange 2 2 5 2 25" xfId="13150" xr:uid="{AC6B590D-0781-494A-9AB8-41E1195128C5}"/>
    <cellStyle name="CustomCellsOrange 2 2 5 2 26" xfId="13587" xr:uid="{E4FB0A04-A540-4F03-AFA4-D3BB32216795}"/>
    <cellStyle name="CustomCellsOrange 2 2 5 2 27" xfId="14059" xr:uid="{690FE986-0432-4B69-BDBA-4E5541D874B7}"/>
    <cellStyle name="CustomCellsOrange 2 2 5 2 28" xfId="14506" xr:uid="{C2BC1844-D8BC-47AC-A794-D691E5A1F543}"/>
    <cellStyle name="CustomCellsOrange 2 2 5 2 29" xfId="14940" xr:uid="{7C805B03-383A-43F2-B5F6-1E02DCF47967}"/>
    <cellStyle name="CustomCellsOrange 2 2 5 2 3" xfId="1813" xr:uid="{6254AB3B-38F0-4107-9F15-86133CC72E0C}"/>
    <cellStyle name="CustomCellsOrange 2 2 5 2 30" xfId="15410" xr:uid="{4355F20F-9D53-45F1-9437-A59F7CE196BD}"/>
    <cellStyle name="CustomCellsOrange 2 2 5 2 31" xfId="15800" xr:uid="{FCBCE94F-6620-4843-A87C-B471E79DB8AF}"/>
    <cellStyle name="CustomCellsOrange 2 2 5 2 32" xfId="16022" xr:uid="{223478B7-DA61-4A7C-989A-6808329057C2}"/>
    <cellStyle name="CustomCellsOrange 2 2 5 2 33" xfId="16935" xr:uid="{467405CA-D738-427D-96A7-F5985D2EA7E8}"/>
    <cellStyle name="CustomCellsOrange 2 2 5 2 34" xfId="17416" xr:uid="{82F17FF6-D852-4D2A-ACFC-A77105676F49}"/>
    <cellStyle name="CustomCellsOrange 2 2 5 2 35" xfId="17857" xr:uid="{1F581219-37B3-4DE7-B2E6-06D87A4FCBA4}"/>
    <cellStyle name="CustomCellsOrange 2 2 5 2 36" xfId="18332" xr:uid="{9DE86FA5-FB42-4ECB-A866-1805AFC8147E}"/>
    <cellStyle name="CustomCellsOrange 2 2 5 2 37" xfId="18753" xr:uid="{46E8C790-92B9-40C7-86FE-70310706250D}"/>
    <cellStyle name="CustomCellsOrange 2 2 5 2 38" xfId="19140" xr:uid="{FD05FABA-244A-4B36-A424-573F5830267D}"/>
    <cellStyle name="CustomCellsOrange 2 2 5 2 39" xfId="19370" xr:uid="{E1382C60-8968-4AB4-BDCA-041DD3FDDB99}"/>
    <cellStyle name="CustomCellsOrange 2 2 5 2 4" xfId="2712" xr:uid="{04BE3C48-62A4-4946-A3D3-6596C38D0186}"/>
    <cellStyle name="CustomCellsOrange 2 2 5 2 40" xfId="20272" xr:uid="{8E9E1313-ABBE-4A90-B907-99A23D1A93A9}"/>
    <cellStyle name="CustomCellsOrange 2 2 5 2 41" xfId="20765" xr:uid="{3E1DD54F-2F2C-4095-AEB0-38C54FC6532E}"/>
    <cellStyle name="CustomCellsOrange 2 2 5 2 42" xfId="21224" xr:uid="{D4FBBD3A-2FA0-4EBC-947C-36C1296EF9EE}"/>
    <cellStyle name="CustomCellsOrange 2 2 5 2 43" xfId="21716" xr:uid="{16393E71-6FFB-4AFB-97B5-D175812A2B42}"/>
    <cellStyle name="CustomCellsOrange 2 2 5 2 44" xfId="22155" xr:uid="{9D83D26F-78F6-4833-8271-3FEFB5076FA8}"/>
    <cellStyle name="CustomCellsOrange 2 2 5 2 45" xfId="22582" xr:uid="{A46EFF6B-5C5E-4D41-B01F-ACB1ECA4882D}"/>
    <cellStyle name="CustomCellsOrange 2 2 5 2 46" xfId="23027" xr:uid="{95E5B57D-13EF-4A38-BCB5-B30A89281119}"/>
    <cellStyle name="CustomCellsOrange 2 2 5 2 47" xfId="23429" xr:uid="{0E34A520-591E-4234-8BA2-F3F1E7E9255D}"/>
    <cellStyle name="CustomCellsOrange 2 2 5 2 48" xfId="23692" xr:uid="{7C73B8F9-3D80-47D5-8B9F-E16DAF48C407}"/>
    <cellStyle name="CustomCellsOrange 2 2 5 2 49" xfId="24072" xr:uid="{D8493D7A-8820-4FAC-95B4-3A70199571D9}"/>
    <cellStyle name="CustomCellsOrange 2 2 5 2 5" xfId="3232" xr:uid="{4290B091-4A43-41D2-B69C-62B8D9649FC0}"/>
    <cellStyle name="CustomCellsOrange 2 2 5 2 50" xfId="24980" xr:uid="{B027D6B7-BA6A-49F3-8CEA-4F52EED7AFC0}"/>
    <cellStyle name="CustomCellsOrange 2 2 5 2 51" xfId="25468" xr:uid="{D16C2E94-7FF8-4C9A-B0C6-FAEACE0977F9}"/>
    <cellStyle name="CustomCellsOrange 2 2 5 2 52" xfId="25896" xr:uid="{6E0CFFE9-857A-4B8C-8432-95E6E25E76AC}"/>
    <cellStyle name="CustomCellsOrange 2 2 5 2 53" xfId="26334" xr:uid="{A3EC429E-0862-45B3-9C9E-217322E1D101}"/>
    <cellStyle name="CustomCellsOrange 2 2 5 2 54" xfId="26763" xr:uid="{F5B17BD4-8816-4547-A4AF-88F1BCF44EBD}"/>
    <cellStyle name="CustomCellsOrange 2 2 5 2 55" xfId="27184" xr:uid="{59213987-E138-497D-9D8D-24799366FC1B}"/>
    <cellStyle name="CustomCellsOrange 2 2 5 2 56" xfId="27603" xr:uid="{B9833E5F-3151-4AB6-995A-247EB30B7FBC}"/>
    <cellStyle name="CustomCellsOrange 2 2 5 2 57" xfId="27841" xr:uid="{7751F299-0122-4F84-BFE2-283D05E23174}"/>
    <cellStyle name="CustomCellsOrange 2 2 5 2 58" xfId="28730" xr:uid="{6D447EBF-71CE-4259-8C5D-CD26104C3031}"/>
    <cellStyle name="CustomCellsOrange 2 2 5 2 59" xfId="29197" xr:uid="{062B5001-CCE3-4B2F-B889-FF93CBC1A301}"/>
    <cellStyle name="CustomCellsOrange 2 2 5 2 6" xfId="3787" xr:uid="{8DA0334A-13E9-45B1-B4A5-7091F79FB708}"/>
    <cellStyle name="CustomCellsOrange 2 2 5 2 60" xfId="29579" xr:uid="{52ED027D-35D4-4B4A-9E3A-D3ADFA51F9B8}"/>
    <cellStyle name="CustomCellsOrange 2 2 5 2 61" xfId="29986" xr:uid="{F9EBAB49-2674-4138-9DE8-DA94DE5BFCF2}"/>
    <cellStyle name="CustomCellsOrange 2 2 5 2 62" xfId="30392" xr:uid="{8C559DEC-B649-4232-ADB0-3FEE1E3A6485}"/>
    <cellStyle name="CustomCellsOrange 2 2 5 2 63" xfId="30809" xr:uid="{BAD81F63-A847-4FAC-826E-2F631A2F9492}"/>
    <cellStyle name="CustomCellsOrange 2 2 5 2 64" xfId="31054" xr:uid="{AF2680BE-C710-4719-A4E5-7BF060FB9E87}"/>
    <cellStyle name="CustomCellsOrange 2 2 5 2 65" xfId="31425" xr:uid="{F99795AA-8542-46D7-8400-0BE08C2ADA2F}"/>
    <cellStyle name="CustomCellsOrange 2 2 5 2 66" xfId="32116" xr:uid="{E11F2BAD-005B-411E-8C2D-81A449E2D3B1}"/>
    <cellStyle name="CustomCellsOrange 2 2 5 2 67" xfId="32403" xr:uid="{6B3E0A7E-78A3-4EBE-A970-6ACCB7B90B77}"/>
    <cellStyle name="CustomCellsOrange 2 2 5 2 7" xfId="4208" xr:uid="{67EF01D1-BDF6-4F90-84D9-D69C50185827}"/>
    <cellStyle name="CustomCellsOrange 2 2 5 2 8" xfId="4645" xr:uid="{F1CB8206-8484-468F-BEB9-B28F69B3CC11}"/>
    <cellStyle name="CustomCellsOrange 2 2 5 2 9" xfId="5091" xr:uid="{03DD7EA8-79AC-497C-90AA-AD1DBA9B9F18}"/>
    <cellStyle name="CustomCellsOrange 2 2 5 20" xfId="10130" xr:uid="{305DC9F6-9C19-49AA-BFA5-7FDBCF7D6273}"/>
    <cellStyle name="CustomCellsOrange 2 2 5 21" xfId="10540" xr:uid="{9949BEBE-A462-454E-BA13-DE194111D191}"/>
    <cellStyle name="CustomCellsOrange 2 2 5 22" xfId="9232" xr:uid="{10B1CB58-BB15-4D51-BE80-EBC03BB408FC}"/>
    <cellStyle name="CustomCellsOrange 2 2 5 23" xfId="10930" xr:uid="{293C4CF8-0227-4441-ABA9-7CB8E0B1AE03}"/>
    <cellStyle name="CustomCellsOrange 2 2 5 24" xfId="12029" xr:uid="{E8BF9354-EBAA-4905-8ACD-C11A94F4B434}"/>
    <cellStyle name="CustomCellsOrange 2 2 5 25" xfId="12502" xr:uid="{91BF878C-B2E5-41F2-98F8-85DA8F5BBC66}"/>
    <cellStyle name="CustomCellsOrange 2 2 5 26" xfId="12936" xr:uid="{67EAFE6E-80B8-45FF-A40E-E3AB4228F3F6}"/>
    <cellStyle name="CustomCellsOrange 2 2 5 27" xfId="13373" xr:uid="{80CB71B9-3EA6-49DA-93E1-2999B5BB5F32}"/>
    <cellStyle name="CustomCellsOrange 2 2 5 28" xfId="11356" xr:uid="{2A7792B4-C0AC-4CBF-BCF8-88E5E028898B}"/>
    <cellStyle name="CustomCellsOrange 2 2 5 29" xfId="14131" xr:uid="{A8C5B56A-D130-4F95-B304-9B98498BF711}"/>
    <cellStyle name="CustomCellsOrange 2 2 5 3" xfId="1158" xr:uid="{F68486E1-7118-4078-BD92-2F90E3E49BEE}"/>
    <cellStyle name="CustomCellsOrange 2 2 5 30" xfId="14779" xr:uid="{9E43CD3D-131B-47AC-9465-EF1C587A1AE5}"/>
    <cellStyle name="CustomCellsOrange 2 2 5 31" xfId="13706" xr:uid="{CD660A4D-4323-48E9-830D-6A73D2B6F5F5}"/>
    <cellStyle name="CustomCellsOrange 2 2 5 32" xfId="14988" xr:uid="{884E453A-9F20-4B41-A879-891B440C5285}"/>
    <cellStyle name="CustomCellsOrange 2 2 5 33" xfId="15924" xr:uid="{DA325252-C6E0-4CD7-907D-738984096578}"/>
    <cellStyle name="CustomCellsOrange 2 2 5 34" xfId="16721" xr:uid="{BC5DD1B8-5AB2-48F8-B78D-4FCC49670551}"/>
    <cellStyle name="CustomCellsOrange 2 2 5 35" xfId="17249" xr:uid="{72361B5D-5BAC-4235-8306-18A3210D7AA2}"/>
    <cellStyle name="CustomCellsOrange 2 2 5 36" xfId="17693" xr:uid="{A0FFF1F6-5234-4DCB-9B43-C6B6BFC59390}"/>
    <cellStyle name="CustomCellsOrange 2 2 5 37" xfId="16494" xr:uid="{0AE890E1-9E0C-4EEA-AC6E-D4E20F1470E3}"/>
    <cellStyle name="CustomCellsOrange 2 2 5 38" xfId="18539" xr:uid="{573D6E96-A03D-48ED-832E-A2F69907E995}"/>
    <cellStyle name="CustomCellsOrange 2 2 5 39" xfId="18798" xr:uid="{297B6672-92E3-4479-8FB3-69987167477F}"/>
    <cellStyle name="CustomCellsOrange 2 2 5 4" xfId="1375" xr:uid="{09558129-E268-4CA0-8F28-F5344BA96C94}"/>
    <cellStyle name="CustomCellsOrange 2 2 5 40" xfId="17430" xr:uid="{9192BE65-2B33-4BBD-AC1D-BA4E547200B1}"/>
    <cellStyle name="CustomCellsOrange 2 2 5 41" xfId="20058" xr:uid="{B7931B1C-3CC7-4EB6-BAD3-F69AAFA849AF}"/>
    <cellStyle name="CustomCellsOrange 2 2 5 42" xfId="20599" xr:uid="{7BAAC0C6-FC52-424E-9E2B-95933150078E}"/>
    <cellStyle name="CustomCellsOrange 2 2 5 43" xfId="21054" xr:uid="{1625E149-894F-48DD-8CE9-7E2EF390DFF9}"/>
    <cellStyle name="CustomCellsOrange 2 2 5 44" xfId="20648" xr:uid="{4D5EBD4D-D0E1-4D14-97EE-0BD08E2FBB60}"/>
    <cellStyle name="CustomCellsOrange 2 2 5 45" xfId="21985" xr:uid="{D1532CA6-2551-4473-9CE1-37CC72407D0B}"/>
    <cellStyle name="CustomCellsOrange 2 2 5 46" xfId="22416" xr:uid="{6AE1D7AF-C5CE-4041-93F9-F3D2AA94D0FD}"/>
    <cellStyle name="CustomCellsOrange 2 2 5 47" xfId="22481" xr:uid="{ADD14842-DE1F-415D-85FD-7C8F6957A5D6}"/>
    <cellStyle name="CustomCellsOrange 2 2 5 48" xfId="23070" xr:uid="{B6D9B19C-30C6-4C33-92B3-6314B772415A}"/>
    <cellStyle name="CustomCellsOrange 2 2 5 49" xfId="23001" xr:uid="{DCFFF6FE-FA14-409F-8F95-F3659C0217E2}"/>
    <cellStyle name="CustomCellsOrange 2 2 5 5" xfId="2498" xr:uid="{D3E0D247-D211-4BF5-A655-6B9D874707CE}"/>
    <cellStyle name="CustomCellsOrange 2 2 5 50" xfId="23866" xr:uid="{83EE201E-ED1C-4C25-AC90-82AD17D8047A}"/>
    <cellStyle name="CustomCellsOrange 2 2 5 51" xfId="24766" xr:uid="{F8A607FC-BE00-4A4C-B5D5-533ACC6AF878}"/>
    <cellStyle name="CustomCellsOrange 2 2 5 52" xfId="25308" xr:uid="{0831CE1B-D6A1-484B-9F88-E02AA1F09818}"/>
    <cellStyle name="CustomCellsOrange 2 2 5 53" xfId="25684" xr:uid="{7D711AF4-385C-4C0C-9AF1-8B57036013E0}"/>
    <cellStyle name="CustomCellsOrange 2 2 5 54" xfId="24996" xr:uid="{7FA3BB88-7495-4A95-8F50-BC807CDC334C}"/>
    <cellStyle name="CustomCellsOrange 2 2 5 55" xfId="26475" xr:uid="{AE00F77C-F24B-45ED-AE30-97C4A1115DB6}"/>
    <cellStyle name="CustomCellsOrange 2 2 5 56" xfId="26974" xr:uid="{933DDA77-6ADA-4246-BED0-0A91AFE103B1}"/>
    <cellStyle name="CustomCellsOrange 2 2 5 57" xfId="27393" xr:uid="{6AB60126-41BD-4081-974E-4AFC403A19D9}"/>
    <cellStyle name="CustomCellsOrange 2 2 5 58" xfId="27742" xr:uid="{A1478354-948A-40E5-933C-3B8B680B05B8}"/>
    <cellStyle name="CustomCellsOrange 2 2 5 59" xfId="28516" xr:uid="{7017A32F-4C63-4F6B-A346-B43A9A9802F9}"/>
    <cellStyle name="CustomCellsOrange 2 2 5 6" xfId="1993" xr:uid="{1BBD01C5-BD93-482F-BF12-9FAEF9EF81F3}"/>
    <cellStyle name="CustomCellsOrange 2 2 5 60" xfId="28984" xr:uid="{2FFBA214-4D33-4EA5-9799-74E3BFBC03B7}"/>
    <cellStyle name="CustomCellsOrange 2 2 5 61" xfId="29430" xr:uid="{A72039DB-DDCA-40CB-A0E0-BB4FEFD9C83E}"/>
    <cellStyle name="CustomCellsOrange 2 2 5 62" xfId="29774" xr:uid="{4FBC8324-7A65-406B-9D69-328A82DEA7FE}"/>
    <cellStyle name="CustomCellsOrange 2 2 5 63" xfId="30181" xr:uid="{7D466EC6-AAF4-45C5-B558-5180288FB085}"/>
    <cellStyle name="CustomCellsOrange 2 2 5 64" xfId="30596" xr:uid="{3DCE979E-C7F9-46EF-8277-573DED920995}"/>
    <cellStyle name="CustomCellsOrange 2 2 5 65" xfId="31012" xr:uid="{E56F418E-57BF-4C58-89BB-EA0AE9D41DE8}"/>
    <cellStyle name="CustomCellsOrange 2 2 5 66" xfId="31219" xr:uid="{10813742-FC21-42C0-8C3D-C57EEE5D1011}"/>
    <cellStyle name="CustomCellsOrange 2 2 5 67" xfId="31905" xr:uid="{0EC6EB14-0A32-4DDB-A1E5-43E83A13D368}"/>
    <cellStyle name="CustomCellsOrange 2 2 5 68" xfId="31580" xr:uid="{DFF8B21A-E6B0-4171-908C-431502D49EF7}"/>
    <cellStyle name="CustomCellsOrange 2 2 5 7" xfId="3737" xr:uid="{4A2D26AC-4F0C-4070-BBE1-4E2C0B4593F2}"/>
    <cellStyle name="CustomCellsOrange 2 2 5 8" xfId="3994" xr:uid="{F0111376-6542-4F16-A617-73D1135FE40F}"/>
    <cellStyle name="CustomCellsOrange 2 2 5 9" xfId="4432" xr:uid="{DDC99D3D-4CFC-45C6-BA4F-1795DF174801}"/>
    <cellStyle name="CustomCellsOrange 2 2 50" xfId="22857" xr:uid="{ACE2B86E-44C1-4146-8C04-AFE52A72B73A}"/>
    <cellStyle name="CustomCellsOrange 2 2 51" xfId="21646" xr:uid="{85CE34A4-D83E-46A2-A614-CE097AA5A078}"/>
    <cellStyle name="CustomCellsOrange 2 2 52" xfId="23652" xr:uid="{CD50363D-3335-4B2C-B334-9670D92D0F95}"/>
    <cellStyle name="CustomCellsOrange 2 2 53" xfId="23162" xr:uid="{055EB8D9-EFA2-4BE0-BB37-A5A7EC368B1F}"/>
    <cellStyle name="CustomCellsOrange 2 2 54" xfId="24531" xr:uid="{8F447FA7-3978-463A-BB62-582EB82653F6}"/>
    <cellStyle name="CustomCellsOrange 2 2 55" xfId="25285" xr:uid="{E43A3371-18AF-4083-BEF3-57272CCB82EB}"/>
    <cellStyle name="CustomCellsOrange 2 2 56" xfId="25159" xr:uid="{684F7432-A654-4E92-91AE-B252119F1D03}"/>
    <cellStyle name="CustomCellsOrange 2 2 57" xfId="26160" xr:uid="{799E07BB-1E67-4E6D-A2F0-0DBF183F002D}"/>
    <cellStyle name="CustomCellsOrange 2 2 58" xfId="25987" xr:uid="{9F06BC79-8A61-4F30-98D1-7AD8071E5480}"/>
    <cellStyle name="CustomCellsOrange 2 2 59" xfId="26767" xr:uid="{0DA138A0-5049-4CDD-8E16-71EA821B041F}"/>
    <cellStyle name="CustomCellsOrange 2 2 6" xfId="983" xr:uid="{08949393-0845-40DC-8E7B-88218493B908}"/>
    <cellStyle name="CustomCellsOrange 2 2 60" xfId="24311" xr:uid="{04A78698-F78D-47B4-8A0F-81CCE378CB6D}"/>
    <cellStyle name="CustomCellsOrange 2 2 61" xfId="27717" xr:uid="{62AC7B22-E5FA-40FB-8C79-441A04756708}"/>
    <cellStyle name="CustomCellsOrange 2 2 62" xfId="28290" xr:uid="{CAB6B06E-100F-42E6-8285-A175837DAF83}"/>
    <cellStyle name="CustomCellsOrange 2 2 63" xfId="28752" xr:uid="{BA00E0BE-C1E1-4292-8D6C-B5EE7E7FCDDA}"/>
    <cellStyle name="CustomCellsOrange 2 2 64" xfId="29413" xr:uid="{3F6E0145-A197-499B-A8A7-487F527EFB8D}"/>
    <cellStyle name="CustomCellsOrange 2 2 65" xfId="29515" xr:uid="{F28966E6-F45A-4ED5-9AC9-659A52D3667A}"/>
    <cellStyle name="CustomCellsOrange 2 2 66" xfId="29366" xr:uid="{95E2B125-E25C-417F-9828-47560A1ACCBE}"/>
    <cellStyle name="CustomCellsOrange 2 2 67" xfId="29507" xr:uid="{42AA7F8E-F3F5-46BE-9CD6-587F397EF904}"/>
    <cellStyle name="CustomCellsOrange 2 2 68" xfId="28133" xr:uid="{7E8EE413-02E1-4BC7-AC75-13E41515216E}"/>
    <cellStyle name="CustomCellsOrange 2 2 69" xfId="29526" xr:uid="{C57CD66E-D5D4-463E-B262-8CBB6964DD96}"/>
    <cellStyle name="CustomCellsOrange 2 2 7" xfId="1676" xr:uid="{38B6C08C-224A-4818-B070-41E56117A571}"/>
    <cellStyle name="CustomCellsOrange 2 2 70" xfId="31698" xr:uid="{2BD0E21D-6FE4-4A0E-9B23-DBD1E3F8B892}"/>
    <cellStyle name="CustomCellsOrange 2 2 71" xfId="31450" xr:uid="{A5BF83E1-EB37-4965-9EA2-F92404AF99DF}"/>
    <cellStyle name="CustomCellsOrange 2 2 8" xfId="2260" xr:uid="{08B7F691-7756-454E-8F6C-86408E7336AD}"/>
    <cellStyle name="CustomCellsOrange 2 2 9" xfId="3040" xr:uid="{36D964C7-1ED3-4327-8FAD-E01E50932C96}"/>
    <cellStyle name="CustomCellsOrange 3" xfId="273" xr:uid="{B46DB08A-F0D9-4532-8D2E-F1E8BAF62251}"/>
    <cellStyle name="CustomCellsOrange 3 10" xfId="3452" xr:uid="{4D971FE7-BC12-464D-8744-907874B3AE92}"/>
    <cellStyle name="CustomCellsOrange 3 11" xfId="3117" xr:uid="{4C1E76BA-3023-4180-A573-B86DE8C54CEF}"/>
    <cellStyle name="CustomCellsOrange 3 12" xfId="3152" xr:uid="{45476034-6ABB-4BC2-A979-2A622C54FBC7}"/>
    <cellStyle name="CustomCellsOrange 3 13" xfId="1826" xr:uid="{33824F39-4803-4C41-BD5A-9F9F75AE1D85}"/>
    <cellStyle name="CustomCellsOrange 3 14" xfId="2751" xr:uid="{777F79B6-C3B4-4B80-9A37-02A3149CF8EE}"/>
    <cellStyle name="CustomCellsOrange 3 15" xfId="4745" xr:uid="{2AB75446-DCF8-4EF8-8664-352903952C85}"/>
    <cellStyle name="CustomCellsOrange 3 16" xfId="6239" xr:uid="{B2DABC96-E37C-4EAA-8869-153566146BDC}"/>
    <cellStyle name="CustomCellsOrange 3 17" xfId="6576" xr:uid="{1C319413-6ECF-4489-BABA-02D3DE161765}"/>
    <cellStyle name="CustomCellsOrange 3 18" xfId="7003" xr:uid="{149BBBE3-5961-47A2-B81F-18B04B1ADD46}"/>
    <cellStyle name="CustomCellsOrange 3 19" xfId="7633" xr:uid="{48D54D43-94BA-4A4F-B379-011069EB5207}"/>
    <cellStyle name="CustomCellsOrange 3 2" xfId="612" xr:uid="{9284A752-E1E3-4975-8A0B-512B08788A80}"/>
    <cellStyle name="CustomCellsOrange 3 2 10" xfId="4777" xr:uid="{F85C545B-96C5-4B2B-8E26-F98C5C81DF05}"/>
    <cellStyle name="CustomCellsOrange 3 2 11" xfId="5260" xr:uid="{9938FAFF-F97E-4913-B317-4356454ADB49}"/>
    <cellStyle name="CustomCellsOrange 3 2 12" xfId="4964" xr:uid="{EE43E4CF-9924-425A-8749-439025C3F4CA}"/>
    <cellStyle name="CustomCellsOrange 3 2 13" xfId="4880" xr:uid="{91A1DAD3-120C-4A07-B2DD-6C5293A95478}"/>
    <cellStyle name="CustomCellsOrange 3 2 14" xfId="6654" xr:uid="{97F14E20-BE6F-426B-BC58-CC769684D914}"/>
    <cellStyle name="CustomCellsOrange 3 2 15" xfId="7332" xr:uid="{3A24AD2D-BF14-4686-8A01-C1D2BE9B078E}"/>
    <cellStyle name="CustomCellsOrange 3 2 16" xfId="7869" xr:uid="{B9F63C40-4C1C-49FA-B503-7832E7385C25}"/>
    <cellStyle name="CustomCellsOrange 3 2 17" xfId="7673" xr:uid="{92498C17-4E71-41AE-8FC4-050858060DCA}"/>
    <cellStyle name="CustomCellsOrange 3 2 18" xfId="8863" xr:uid="{4F49A4BA-860C-4820-93B7-57B711FA0C34}"/>
    <cellStyle name="CustomCellsOrange 3 2 19" xfId="9546" xr:uid="{E609A864-0C4B-4895-AF49-34CFFCEDFB29}"/>
    <cellStyle name="CustomCellsOrange 3 2 2" xfId="827" xr:uid="{6640F02C-9456-4DCC-BCC1-CD589AF180FB}"/>
    <cellStyle name="CustomCellsOrange 3 2 2 10" xfId="5475" xr:uid="{84FCDA40-DE16-4C8F-BAF1-F9A58935E38A}"/>
    <cellStyle name="CustomCellsOrange 3 2 2 11" xfId="4682" xr:uid="{D5ED3761-A9FA-4CBD-8F38-DFF24AB72F08}"/>
    <cellStyle name="CustomCellsOrange 3 2 2 12" xfId="4661" xr:uid="{A2857C66-E69D-4FAC-AD09-1593D7335BC6}"/>
    <cellStyle name="CustomCellsOrange 3 2 2 13" xfId="6581" xr:uid="{D5DC8E6F-D40B-4DA3-B017-37FE341C7901}"/>
    <cellStyle name="CustomCellsOrange 3 2 2 14" xfId="7547" xr:uid="{7B4B9830-A4C2-42F4-883D-A59D4825A57B}"/>
    <cellStyle name="CustomCellsOrange 3 2 2 15" xfId="6869" xr:uid="{38A41BD5-2F61-4366-8602-B81176AD0223}"/>
    <cellStyle name="CustomCellsOrange 3 2 2 16" xfId="8193" xr:uid="{DB1DECAB-7BD4-47AD-B3E1-BC023D8A7F0E}"/>
    <cellStyle name="CustomCellsOrange 3 2 2 17" xfId="8637" xr:uid="{FF4FA140-8629-401A-99A9-5C9D2DD305A9}"/>
    <cellStyle name="CustomCellsOrange 3 2 2 18" xfId="9761" xr:uid="{CD8E00ED-360C-4854-96AF-7F95A9310A16}"/>
    <cellStyle name="CustomCellsOrange 3 2 2 19" xfId="9355" xr:uid="{C4ECDA98-A1E6-44F9-98BD-F44964A89F72}"/>
    <cellStyle name="CustomCellsOrange 3 2 2 2" xfId="1301" xr:uid="{62BFC60C-FD5B-4390-BC29-D542D9717156}"/>
    <cellStyle name="CustomCellsOrange 3 2 2 20" xfId="9395" xr:uid="{D1C0C421-A5EE-4816-AE40-D41E9C0763E5}"/>
    <cellStyle name="CustomCellsOrange 3 2 2 21" xfId="9428" xr:uid="{6C681C00-5D45-432D-9420-FA863DB825C5}"/>
    <cellStyle name="CustomCellsOrange 3 2 2 22" xfId="11251" xr:uid="{DF5EAA50-831F-41FC-8816-9DE1631370F9}"/>
    <cellStyle name="CustomCellsOrange 3 2 2 23" xfId="12180" xr:uid="{57C73FC8-BF8E-4B3C-9B32-AEAD3F3DDE52}"/>
    <cellStyle name="CustomCellsOrange 3 2 2 24" xfId="12653" xr:uid="{694F3C98-68C6-4CA0-B7D9-D707F7763B27}"/>
    <cellStyle name="CustomCellsOrange 3 2 2 25" xfId="13087" xr:uid="{54486740-D3D8-4CFD-A2B2-94E4C75C12D1}"/>
    <cellStyle name="CustomCellsOrange 3 2 2 26" xfId="13524" xr:uid="{0528B9CF-20B3-44F7-BA08-E84D6C2D3F70}"/>
    <cellStyle name="CustomCellsOrange 3 2 2 27" xfId="11796" xr:uid="{70E9A40A-9134-413C-B93A-FB67602E3724}"/>
    <cellStyle name="CustomCellsOrange 3 2 2 28" xfId="12281" xr:uid="{63FE1CAA-B109-4DB8-9AB9-32C44171CC02}"/>
    <cellStyle name="CustomCellsOrange 3 2 2 29" xfId="13919" xr:uid="{4B9C01A4-F668-42A1-A7C5-09648A64824C}"/>
    <cellStyle name="CustomCellsOrange 3 2 2 3" xfId="1502" xr:uid="{678DBD40-343D-473A-8EB1-A8AD09F1A1BF}"/>
    <cellStyle name="CustomCellsOrange 3 2 2 30" xfId="13621" xr:uid="{3C48A8F7-964F-4A08-93AE-B1ED4914E56C}"/>
    <cellStyle name="CustomCellsOrange 3 2 2 31" xfId="15632" xr:uid="{FDF18304-DD45-479C-9510-148562282506}"/>
    <cellStyle name="CustomCellsOrange 3 2 2 32" xfId="14872" xr:uid="{43C6B07F-5597-405B-B8E1-C1D0E10362FF}"/>
    <cellStyle name="CustomCellsOrange 3 2 2 33" xfId="16872" xr:uid="{688C2C71-2D52-443F-9483-D5F19558335A}"/>
    <cellStyle name="CustomCellsOrange 3 2 2 34" xfId="16185" xr:uid="{D1FDBDAC-4921-4EC8-85AE-1D259197CA07}"/>
    <cellStyle name="CustomCellsOrange 3 2 2 35" xfId="16504" xr:uid="{A58407A0-B5F9-4C07-9382-D95785E6FDCF}"/>
    <cellStyle name="CustomCellsOrange 3 2 2 36" xfId="17923" xr:uid="{F94B327B-4D60-4E94-8637-FB8409140340}"/>
    <cellStyle name="CustomCellsOrange 3 2 2 37" xfId="18690" xr:uid="{ACAD9367-54D8-4771-A1B2-76F760194C17}"/>
    <cellStyle name="CustomCellsOrange 3 2 2 38" xfId="17333" xr:uid="{D24FC465-5299-4AF9-A48D-46C7EE6E8964}"/>
    <cellStyle name="CustomCellsOrange 3 2 2 39" xfId="16262" xr:uid="{CD2DA3F6-BFD9-4647-BC65-E39C5C22A9E0}"/>
    <cellStyle name="CustomCellsOrange 3 2 2 4" xfId="2649" xr:uid="{9DC209A9-AB7B-4D03-A9D5-1CBB1C618E97}"/>
    <cellStyle name="CustomCellsOrange 3 2 2 40" xfId="20209" xr:uid="{ADB907D6-AA96-4AEF-874E-78293BD23AF7}"/>
    <cellStyle name="CustomCellsOrange 3 2 2 41" xfId="19374" xr:uid="{DEF80FB5-2EAC-439B-9869-3B5EB39B5668}"/>
    <cellStyle name="CustomCellsOrange 3 2 2 42" xfId="19554" xr:uid="{9D9C2BC1-CF34-49EB-99AF-EEC4DD16806D}"/>
    <cellStyle name="CustomCellsOrange 3 2 2 43" xfId="21272" xr:uid="{2DF70891-D332-445A-86F6-D0429A0BD014}"/>
    <cellStyle name="CustomCellsOrange 3 2 2 44" xfId="21664" xr:uid="{3943FDCF-B391-4A1D-8998-E17DD4989251}"/>
    <cellStyle name="CustomCellsOrange 3 2 2 45" xfId="19834" xr:uid="{B3F2D1D1-217D-406A-9F10-599F1D132EAB}"/>
    <cellStyle name="CustomCellsOrange 3 2 2 46" xfId="21338" xr:uid="{A00888F8-B9EB-4488-9EE7-4AD96C98B658}"/>
    <cellStyle name="CustomCellsOrange 3 2 2 47" xfId="20896" xr:uid="{BB48E6A7-6CF1-463D-B492-DF595A994EF2}"/>
    <cellStyle name="CustomCellsOrange 3 2 2 48" xfId="23287" xr:uid="{A8F5D869-CAB9-4AAC-A5B1-EDF7224A46AD}"/>
    <cellStyle name="CustomCellsOrange 3 2 2 49" xfId="24009" xr:uid="{1C1008A5-D07D-4B01-890C-413A2D0DCDBC}"/>
    <cellStyle name="CustomCellsOrange 3 2 2 5" xfId="2042" xr:uid="{82515E53-7DE5-4980-BB57-2AD92C34C564}"/>
    <cellStyle name="CustomCellsOrange 3 2 2 50" xfId="24917" xr:uid="{9295E6A6-62B4-4B2D-94B8-7CD3373022ED}"/>
    <cellStyle name="CustomCellsOrange 3 2 2 51" xfId="24328" xr:uid="{E58CEBFD-FBAE-4677-9EBF-72EAF9C73B4F}"/>
    <cellStyle name="CustomCellsOrange 3 2 2 52" xfId="25833" xr:uid="{6E212BEB-4B89-408D-9115-A38F5832D706}"/>
    <cellStyle name="CustomCellsOrange 3 2 2 53" xfId="24131" xr:uid="{62AD89E1-5D59-4D51-9642-C5330D6104A2}"/>
    <cellStyle name="CustomCellsOrange 3 2 2 54" xfId="26014" xr:uid="{FED25E77-ACCA-4179-869C-511D0F44E63C}"/>
    <cellStyle name="CustomCellsOrange 3 2 2 55" xfId="27121" xr:uid="{24A58062-17D9-4124-93CE-6D8B1875A69E}"/>
    <cellStyle name="CustomCellsOrange 3 2 2 56" xfId="27540" xr:uid="{12725CFE-6993-4FB5-8040-F9DE8DCF2419}"/>
    <cellStyle name="CustomCellsOrange 3 2 2 57" xfId="26780" xr:uid="{642977DE-0B15-4C53-B7C8-F9AFBBEF9237}"/>
    <cellStyle name="CustomCellsOrange 3 2 2 58" xfId="28667" xr:uid="{77D91953-48EE-4139-B645-125120E3DC26}"/>
    <cellStyle name="CustomCellsOrange 3 2 2 59" xfId="29134" xr:uid="{2262ABF6-4A2E-4D6D-A7D2-3EF77D87B9F0}"/>
    <cellStyle name="CustomCellsOrange 3 2 2 6" xfId="3412" xr:uid="{0CC845A1-58B6-4A7F-B000-9B85DB5031D5}"/>
    <cellStyle name="CustomCellsOrange 3 2 2 60" xfId="28307" xr:uid="{8C3BD8E7-7FCA-483C-BDBA-743637B9B8B5}"/>
    <cellStyle name="CustomCellsOrange 3 2 2 61" xfId="29923" xr:uid="{252A83C3-75BA-437C-9F14-5A40C954A3D6}"/>
    <cellStyle name="CustomCellsOrange 3 2 2 62" xfId="30329" xr:uid="{C59A83F8-CE8F-460B-9525-4DA17C86EB8B}"/>
    <cellStyle name="CustomCellsOrange 3 2 2 63" xfId="30746" xr:uid="{0E99EB0D-BA56-46BB-901B-962473D52BC8}"/>
    <cellStyle name="CustomCellsOrange 3 2 2 64" xfId="29444" xr:uid="{4BF41DD5-FB12-4B7F-89B6-A3396D001BFA}"/>
    <cellStyle name="CustomCellsOrange 3 2 2 65" xfId="31362" xr:uid="{CEF208A9-2D13-4ACA-8D29-FC91F3C82026}"/>
    <cellStyle name="CustomCellsOrange 3 2 2 66" xfId="32053" xr:uid="{917AF024-C157-4D33-AA25-E1E8FEB39F67}"/>
    <cellStyle name="CustomCellsOrange 3 2 2 67" xfId="32343" xr:uid="{26DD2C90-54E0-4E9D-B668-8C26E13BFDBA}"/>
    <cellStyle name="CustomCellsOrange 3 2 2 7" xfId="4145" xr:uid="{74E3BFD1-2A28-46DB-9EA9-74CCCE8AADDA}"/>
    <cellStyle name="CustomCellsOrange 3 2 2 8" xfId="4582" xr:uid="{27F2D462-DF6E-4EE7-9EC3-D2C48901791F}"/>
    <cellStyle name="CustomCellsOrange 3 2 2 9" xfId="4244" xr:uid="{36FA5BA9-75BC-42FB-8B2C-A645E537E49E}"/>
    <cellStyle name="CustomCellsOrange 3 2 20" xfId="10083" xr:uid="{5C5F7069-01CF-480B-94F8-893A3E8DAC6E}"/>
    <cellStyle name="CustomCellsOrange 3 2 21" xfId="10498" xr:uid="{3F6F319C-007E-410E-9C0C-236966E8D6EE}"/>
    <cellStyle name="CustomCellsOrange 3 2 22" xfId="10791" xr:uid="{CD15ED63-626F-4440-84FC-0C9C4558ECC4}"/>
    <cellStyle name="CustomCellsOrange 3 2 23" xfId="9230" xr:uid="{4102AFD1-1B41-462E-89CB-4027B726B893}"/>
    <cellStyle name="CustomCellsOrange 3 2 24" xfId="11965" xr:uid="{3A7C5871-EF44-4537-BE77-55AEF8DA76D1}"/>
    <cellStyle name="CustomCellsOrange 3 2 25" xfId="12438" xr:uid="{B7FF70FC-2493-46EC-8E06-3E853FF06329}"/>
    <cellStyle name="CustomCellsOrange 3 2 26" xfId="12872" xr:uid="{C3FA02D6-78D0-4BF5-816C-3D6858569077}"/>
    <cellStyle name="CustomCellsOrange 3 2 27" xfId="13309" xr:uid="{9572EC8B-E3A6-416E-9FA0-8352C0B75664}"/>
    <cellStyle name="CustomCellsOrange 3 2 28" xfId="13761" xr:uid="{A0FFD597-F679-43C5-8D42-91EC5E81DA58}"/>
    <cellStyle name="CustomCellsOrange 3 2 29" xfId="14349" xr:uid="{FE17EEC1-3DDD-4AEA-8F90-F8CCAC1744AD}"/>
    <cellStyle name="CustomCellsOrange 3 2 3" xfId="1095" xr:uid="{7959D67D-C5DC-4879-9F7D-BA810F108F85}"/>
    <cellStyle name="CustomCellsOrange 3 2 30" xfId="14621" xr:uid="{321CE2E8-0F59-4D89-92A8-212F91D22224}"/>
    <cellStyle name="CustomCellsOrange 3 2 31" xfId="14376" xr:uid="{D8C580F0-1997-438E-A971-E0FEAFC2A5DF}"/>
    <cellStyle name="CustomCellsOrange 3 2 32" xfId="14288" xr:uid="{AE5A8345-44F5-4486-8259-2ED5E385FC08}"/>
    <cellStyle name="CustomCellsOrange 3 2 33" xfId="15898" xr:uid="{A3D09974-24E3-4A27-AA69-16B28AC4D968}"/>
    <cellStyle name="CustomCellsOrange 3 2 34" xfId="16657" xr:uid="{F497BF4B-1FCF-4296-A9CF-8E18CF654C1E}"/>
    <cellStyle name="CustomCellsOrange 3 2 35" xfId="17201" xr:uid="{CDBBC79C-70CB-425A-91B6-DDA9CD32E21E}"/>
    <cellStyle name="CustomCellsOrange 3 2 36" xfId="17647" xr:uid="{0816263C-EE88-47F7-95F1-5E3ECA2E8C80}"/>
    <cellStyle name="CustomCellsOrange 3 2 37" xfId="16096" xr:uid="{CE77012C-D216-4914-8530-62F44789A96F}"/>
    <cellStyle name="CustomCellsOrange 3 2 38" xfId="18475" xr:uid="{18D5B2FB-6B1E-4F02-90AC-494C7790A5EC}"/>
    <cellStyle name="CustomCellsOrange 3 2 39" xfId="17953" xr:uid="{595ACE34-6A39-416C-A82B-1486C6B79854}"/>
    <cellStyle name="CustomCellsOrange 3 2 4" xfId="1755" xr:uid="{BCD820F2-9EA3-4CB8-A4EE-033C326CA99A}"/>
    <cellStyle name="CustomCellsOrange 3 2 40" xfId="17948" xr:uid="{585D0195-E5CC-4C18-B2A9-5366ED866AE4}"/>
    <cellStyle name="CustomCellsOrange 3 2 41" xfId="19994" xr:uid="{20BE59AA-8390-4137-8228-AC5694360EFA}"/>
    <cellStyle name="CustomCellsOrange 3 2 42" xfId="20554" xr:uid="{E210DEE0-47B9-466B-BB5A-8188655F02B4}"/>
    <cellStyle name="CustomCellsOrange 3 2 43" xfId="21007" xr:uid="{0C4A8CC7-2612-4A61-BD89-12C6BFDA56CE}"/>
    <cellStyle name="CustomCellsOrange 3 2 44" xfId="21634" xr:uid="{DEBE1086-D85B-415E-BC3F-9AF3370D329A}"/>
    <cellStyle name="CustomCellsOrange 3 2 45" xfId="21938" xr:uid="{E95E6437-AED7-4337-90E7-55BD8C21CFC7}"/>
    <cellStyle name="CustomCellsOrange 3 2 46" xfId="22370" xr:uid="{BE8587EE-2A8F-437A-98BD-836218B1EF8F}"/>
    <cellStyle name="CustomCellsOrange 3 2 47" xfId="22756" xr:uid="{1645A1AC-132F-4060-9B0C-9E6C4414DA87}"/>
    <cellStyle name="CustomCellsOrange 3 2 48" xfId="22541" xr:uid="{6A024040-9C36-43C4-92AC-DC07EB59FE98}"/>
    <cellStyle name="CustomCellsOrange 3 2 49" xfId="23325" xr:uid="{39AF3061-2C26-4901-B3D3-365B4C32F691}"/>
    <cellStyle name="CustomCellsOrange 3 2 5" xfId="2434" xr:uid="{AA2C6947-A41A-4C50-81E9-CD23B739FFBD}"/>
    <cellStyle name="CustomCellsOrange 3 2 50" xfId="23803" xr:uid="{9160BE05-4380-4248-A2BE-1F4B0903EEEB}"/>
    <cellStyle name="CustomCellsOrange 3 2 51" xfId="24702" xr:uid="{51A3FD98-1CE6-415B-8911-4CF5651D11A6}"/>
    <cellStyle name="CustomCellsOrange 3 2 52" xfId="25262" xr:uid="{8901479D-4DCC-4293-9DE5-BAF1251F8A12}"/>
    <cellStyle name="CustomCellsOrange 3 2 53" xfId="25620" xr:uid="{74616FDC-2243-49FE-BA90-048A9630F333}"/>
    <cellStyle name="CustomCellsOrange 3 2 54" xfId="26060" xr:uid="{757B1E17-0D4D-4A6C-AD7D-C0E1019DCB37}"/>
    <cellStyle name="CustomCellsOrange 3 2 55" xfId="25145" xr:uid="{9A98426A-5261-4461-BA51-28C02B0CA79A}"/>
    <cellStyle name="CustomCellsOrange 3 2 56" xfId="26910" xr:uid="{67A9C6F4-A25A-4D56-8C36-8CD00F53692E}"/>
    <cellStyle name="CustomCellsOrange 3 2 57" xfId="27329" xr:uid="{3E3EAD1D-BFC7-4210-9A8E-8740F9C36DCC}"/>
    <cellStyle name="CustomCellsOrange 3 2 58" xfId="27764" xr:uid="{6B75B24A-B307-4FC8-A5B7-B6E983C87C09}"/>
    <cellStyle name="CustomCellsOrange 3 2 59" xfId="28452" xr:uid="{23C3E867-DDC1-4BEE-982C-4BF2647FDF8F}"/>
    <cellStyle name="CustomCellsOrange 3 2 6" xfId="2928" xr:uid="{E317297A-60CF-40F9-A734-A6A6E145240C}"/>
    <cellStyle name="CustomCellsOrange 3 2 60" xfId="28920" xr:uid="{692A0476-3196-4A7E-87BF-C2EBE3AA6E38}"/>
    <cellStyle name="CustomCellsOrange 3 2 61" xfId="29393" xr:uid="{FBE2BA74-9115-47E1-8A4E-44A999B02325}"/>
    <cellStyle name="CustomCellsOrange 3 2 62" xfId="29710" xr:uid="{F021CE5A-CE33-4ED7-8219-F5F09E8C8F5C}"/>
    <cellStyle name="CustomCellsOrange 3 2 63" xfId="30118" xr:uid="{7FFF3EC6-3940-4358-A079-E00F0E20FE68}"/>
    <cellStyle name="CustomCellsOrange 3 2 64" xfId="30532" xr:uid="{320D1977-8221-42EF-8EC3-26A4D7299DF1}"/>
    <cellStyle name="CustomCellsOrange 3 2 65" xfId="29454" xr:uid="{C41C4C04-B161-47C7-9679-40CB2CD4413C}"/>
    <cellStyle name="CustomCellsOrange 3 2 66" xfId="31156" xr:uid="{1786D1DC-5920-4E5C-B166-3B14E18CF11F}"/>
    <cellStyle name="CustomCellsOrange 3 2 67" xfId="31842" xr:uid="{51C1197F-4A84-4418-B258-2ED35F1B6573}"/>
    <cellStyle name="CustomCellsOrange 3 2 68" xfId="32357" xr:uid="{B9D6F2C4-6179-4EDB-8730-CF6909B717D8}"/>
    <cellStyle name="CustomCellsOrange 3 2 7" xfId="3526" xr:uid="{02582F95-6BD9-4431-A42F-A7507E14816E}"/>
    <cellStyle name="CustomCellsOrange 3 2 8" xfId="3930" xr:uid="{B15F5B10-5A59-4D0D-BCF5-E5017A86C0C5}"/>
    <cellStyle name="CustomCellsOrange 3 2 9" xfId="4368" xr:uid="{E3F1B337-B296-4010-BA21-EA18794BBD79}"/>
    <cellStyle name="CustomCellsOrange 3 20" xfId="8085" xr:uid="{B777108F-6CB4-4965-A8A4-D89F495A91B0}"/>
    <cellStyle name="CustomCellsOrange 3 21" xfId="8903" xr:uid="{81F4E45C-0015-4BC1-BC90-3B7022DDBE97}"/>
    <cellStyle name="CustomCellsOrange 3 22" xfId="9217" xr:uid="{1B9526A7-F68E-4069-8932-F9FB5156F210}"/>
    <cellStyle name="CustomCellsOrange 3 23" xfId="9843" xr:uid="{BEDFF92D-15C5-4DE4-97B4-FE2072CD5FE8}"/>
    <cellStyle name="CustomCellsOrange 3 24" xfId="9293" xr:uid="{B88F4991-A212-4AA0-9255-BC94FC73A273}"/>
    <cellStyle name="CustomCellsOrange 3 25" xfId="10621" xr:uid="{20E1D01D-2F30-4C6C-AD46-E3EAB7968F15}"/>
    <cellStyle name="CustomCellsOrange 3 26" xfId="10396" xr:uid="{632A69EF-93B5-4049-8A2B-657DC5EEE7B6}"/>
    <cellStyle name="CustomCellsOrange 3 27" xfId="11629" xr:uid="{5BEBBF45-17A9-4214-A2DB-D1DF6C7DBC9F}"/>
    <cellStyle name="CustomCellsOrange 3 28" xfId="11766" xr:uid="{06D7C87C-059B-4E7D-BF2D-F6AA3C5CB36D}"/>
    <cellStyle name="CustomCellsOrange 3 29" xfId="11728" xr:uid="{011C0071-4EB3-4D70-9694-8F0991E6661B}"/>
    <cellStyle name="CustomCellsOrange 3 3" xfId="545" xr:uid="{66DB7E48-0FA5-46FC-BBD9-D2BAD618C92C}"/>
    <cellStyle name="CustomCellsOrange 3 3 10" xfId="4723" xr:uid="{9A6EEA95-AEE2-4D5F-9686-F449510F1712}"/>
    <cellStyle name="CustomCellsOrange 3 3 11" xfId="5193" xr:uid="{98397654-6CBB-4913-92FC-7A75A32C1E5E}"/>
    <cellStyle name="CustomCellsOrange 3 3 12" xfId="4798" xr:uid="{AE6B6815-9848-4D0E-8664-42A192BB3BBF}"/>
    <cellStyle name="CustomCellsOrange 3 3 13" xfId="5618" xr:uid="{8A6F0739-F651-4AE9-A3E4-7C48134B3A58}"/>
    <cellStyle name="CustomCellsOrange 3 3 14" xfId="6665" xr:uid="{8C5ACDD9-8934-4BEE-88DC-EC97C4B3135E}"/>
    <cellStyle name="CustomCellsOrange 3 3 15" xfId="7265" xr:uid="{36C7E14E-3C74-43DB-9776-099A43C211A5}"/>
    <cellStyle name="CustomCellsOrange 3 3 16" xfId="7697" xr:uid="{9E5ED5B4-FA6C-45E3-81A9-F16C7CB7A781}"/>
    <cellStyle name="CustomCellsOrange 3 3 17" xfId="7693" xr:uid="{A27147FB-C0E9-4CB6-8A2D-1E89BC5A7391}"/>
    <cellStyle name="CustomCellsOrange 3 3 18" xfId="8471" xr:uid="{79075C14-12EA-4336-8C08-0EE8DC83D9A8}"/>
    <cellStyle name="CustomCellsOrange 3 3 19" xfId="9479" xr:uid="{289D7FA5-320C-4F02-AEB0-001F44E10F5A}"/>
    <cellStyle name="CustomCellsOrange 3 3 2" xfId="760" xr:uid="{79B3952F-E060-4F1A-AC1F-EE7BF5C56043}"/>
    <cellStyle name="CustomCellsOrange 3 3 2 10" xfId="5408" xr:uid="{085187A1-020A-44DF-8F86-34E0814368F3}"/>
    <cellStyle name="CustomCellsOrange 3 3 2 11" xfId="2269" xr:uid="{96171B2B-4FF8-4334-91C5-203C94990061}"/>
    <cellStyle name="CustomCellsOrange 3 3 2 12" xfId="5029" xr:uid="{A210C1FF-2540-43A0-95D9-B859A7D466D8}"/>
    <cellStyle name="CustomCellsOrange 3 3 2 13" xfId="6474" xr:uid="{E1A1782D-DD1D-47D8-B335-F337960C4A65}"/>
    <cellStyle name="CustomCellsOrange 3 3 2 14" xfId="7480" xr:uid="{018B1331-4674-4975-9871-6DAA81D28227}"/>
    <cellStyle name="CustomCellsOrange 3 3 2 15" xfId="7197" xr:uid="{2887A26F-B4E3-4C37-B570-1AC1F502F8B7}"/>
    <cellStyle name="CustomCellsOrange 3 3 2 16" xfId="8370" xr:uid="{03D23686-A74F-48F0-A727-40E6562700CB}"/>
    <cellStyle name="CustomCellsOrange 3 3 2 17" xfId="8873" xr:uid="{72ECED37-23A7-4562-AE59-09D308D0E57A}"/>
    <cellStyle name="CustomCellsOrange 3 3 2 18" xfId="9694" xr:uid="{1FBF55B2-FD1D-4BB7-88BC-1C7267CB2986}"/>
    <cellStyle name="CustomCellsOrange 3 3 2 19" xfId="9410" xr:uid="{59892BBF-11F6-447D-AD3D-0DC93ED8B435}"/>
    <cellStyle name="CustomCellsOrange 3 3 2 2" xfId="1234" xr:uid="{539C94DA-6CE2-4B29-A288-8A07C2FF6F32}"/>
    <cellStyle name="CustomCellsOrange 3 3 2 20" xfId="9829" xr:uid="{DF85C558-63D9-4460-BD9A-C0516981CF69}"/>
    <cellStyle name="CustomCellsOrange 3 3 2 21" xfId="10071" xr:uid="{E6D05515-37D7-4EEA-A09B-02D30ECAFA23}"/>
    <cellStyle name="CustomCellsOrange 3 3 2 22" xfId="11180" xr:uid="{C5ECA778-4BA5-4E24-B78D-4A18346DFA88}"/>
    <cellStyle name="CustomCellsOrange 3 3 2 23" xfId="12113" xr:uid="{AD8A8EBC-51C9-4F90-9AE2-36F357911B79}"/>
    <cellStyle name="CustomCellsOrange 3 3 2 24" xfId="12586" xr:uid="{78A4159E-248A-47A6-AE31-BE1C89369F84}"/>
    <cellStyle name="CustomCellsOrange 3 3 2 25" xfId="13020" xr:uid="{80153770-6BB3-471E-ACAB-F764EDC6B4CC}"/>
    <cellStyle name="CustomCellsOrange 3 3 2 26" xfId="13457" xr:uid="{21AC8E5A-99B3-4497-ACF8-6A8563A0CCB7}"/>
    <cellStyle name="CustomCellsOrange 3 3 2 27" xfId="11815" xr:uid="{9FD42935-F768-4EFB-BEF3-204629A16D05}"/>
    <cellStyle name="CustomCellsOrange 3 3 2 28" xfId="13812" xr:uid="{04A5BB76-4E69-41B9-BBC2-52CB48B55554}"/>
    <cellStyle name="CustomCellsOrange 3 3 2 29" xfId="14142" xr:uid="{009386F4-D125-4397-820D-FBE710631DE0}"/>
    <cellStyle name="CustomCellsOrange 3 3 2 3" xfId="1756" xr:uid="{6622E19C-2597-4A70-B44B-1F56F4B37582}"/>
    <cellStyle name="CustomCellsOrange 3 3 2 30" xfId="15007" xr:uid="{A8AE2228-AE80-459E-B47F-800EB69BA4BF}"/>
    <cellStyle name="CustomCellsOrange 3 3 2 31" xfId="13588" xr:uid="{399EED74-7F5D-4DF5-A6BF-1C8BA9C439A4}"/>
    <cellStyle name="CustomCellsOrange 3 3 2 32" xfId="15704" xr:uid="{7B14075A-A481-44EB-9124-6709F5B7810B}"/>
    <cellStyle name="CustomCellsOrange 3 3 2 33" xfId="16805" xr:uid="{BBCF0164-6885-4730-8D8F-C22ECFD9F6C9}"/>
    <cellStyle name="CustomCellsOrange 3 3 2 34" xfId="16519" xr:uid="{2179FD1A-518A-47BA-B91A-66F8FA800B70}"/>
    <cellStyle name="CustomCellsOrange 3 3 2 35" xfId="16942" xr:uid="{21A27265-54DF-4DA6-AAF2-59464AE26DEC}"/>
    <cellStyle name="CustomCellsOrange 3 3 2 36" xfId="17651" xr:uid="{06EDC44A-2176-4B56-80C4-FE02AA644742}"/>
    <cellStyle name="CustomCellsOrange 3 3 2 37" xfId="18623" xr:uid="{FB3C8471-9F63-43B3-8ED3-4E68364D7BEE}"/>
    <cellStyle name="CustomCellsOrange 3 3 2 38" xfId="18978" xr:uid="{DDBB5C88-8B13-4F38-B386-B68D4782395E}"/>
    <cellStyle name="CustomCellsOrange 3 3 2 39" xfId="19143" xr:uid="{A41CEB3A-47BB-4863-A95C-0385CBC4849C}"/>
    <cellStyle name="CustomCellsOrange 3 3 2 4" xfId="2582" xr:uid="{C4A23EDB-8122-46E0-9B01-2ED153BF4110}"/>
    <cellStyle name="CustomCellsOrange 3 3 2 40" xfId="20142" xr:uid="{6A06F2A9-F9C6-4854-9679-DDBE1ACBE314}"/>
    <cellStyle name="CustomCellsOrange 3 3 2 41" xfId="19855" xr:uid="{D1892B2E-C0BC-44C4-9463-32B981FD37E1}"/>
    <cellStyle name="CustomCellsOrange 3 3 2 42" xfId="20378" xr:uid="{00F789FA-4496-41BE-8160-EE3FE227C29B}"/>
    <cellStyle name="CustomCellsOrange 3 3 2 43" xfId="21472" xr:uid="{58081305-13BD-4936-83FA-D44D258D91C6}"/>
    <cellStyle name="CustomCellsOrange 3 3 2 44" xfId="21150" xr:uid="{0774B2E3-75DE-4643-BC43-63EF401A7F9B}"/>
    <cellStyle name="CustomCellsOrange 3 3 2 45" xfId="20397" xr:uid="{8B926EA7-33EC-43B3-8F69-E8E933C31C46}"/>
    <cellStyle name="CustomCellsOrange 3 3 2 46" xfId="22049" xr:uid="{0813E3C6-76A9-44A8-B7C8-604BAB303582}"/>
    <cellStyle name="CustomCellsOrange 3 3 2 47" xfId="23265" xr:uid="{E7667965-0707-4641-92E3-33CCC26DCC11}"/>
    <cellStyle name="CustomCellsOrange 3 3 2 48" xfId="23305" xr:uid="{81341451-3979-447F-962B-45A590FE04CB}"/>
    <cellStyle name="CustomCellsOrange 3 3 2 49" xfId="23942" xr:uid="{6589D950-657B-4A9F-94D6-B4784C0ED1ED}"/>
    <cellStyle name="CustomCellsOrange 3 3 2 5" xfId="2734" xr:uid="{40569FCD-772E-4A2B-968D-F58010BA4872}"/>
    <cellStyle name="CustomCellsOrange 3 3 2 50" xfId="24850" xr:uid="{DED5C0F2-3C80-474A-AB6E-611D7F7566E3}"/>
    <cellStyle name="CustomCellsOrange 3 3 2 51" xfId="24558" xr:uid="{E5152C3D-8D8D-49D8-B605-837F3E6F7875}"/>
    <cellStyle name="CustomCellsOrange 3 3 2 52" xfId="25766" xr:uid="{424BFAE6-B64F-4E72-A24C-E98C64DC22E3}"/>
    <cellStyle name="CustomCellsOrange 3 3 2 53" xfId="25041" xr:uid="{CE7FAB3E-2431-49DF-91D6-C6ED6C1302DD}"/>
    <cellStyle name="CustomCellsOrange 3 3 2 54" xfId="26599" xr:uid="{C1BECFE1-F256-4BF7-AF3B-D6B4CD38303C}"/>
    <cellStyle name="CustomCellsOrange 3 3 2 55" xfId="27054" xr:uid="{4B11AFA3-7469-48FA-8AC7-0735F70BB93D}"/>
    <cellStyle name="CustomCellsOrange 3 3 2 56" xfId="27473" xr:uid="{C3CFDBF8-ACDE-46E3-AE29-CD2F23F73528}"/>
    <cellStyle name="CustomCellsOrange 3 3 2 57" xfId="26197" xr:uid="{B6871221-9DA3-48A8-AEFC-BCC8E2B62909}"/>
    <cellStyle name="CustomCellsOrange 3 3 2 58" xfId="28600" xr:uid="{BEECE1FA-C495-4851-8C57-DF7B48389C77}"/>
    <cellStyle name="CustomCellsOrange 3 3 2 59" xfId="29067" xr:uid="{D5B369D0-D767-4A9E-B0BF-29908336D472}"/>
    <cellStyle name="CustomCellsOrange 3 3 2 6" xfId="2273" xr:uid="{FED06B1E-7402-435D-A4CF-EEEF0EF40B14}"/>
    <cellStyle name="CustomCellsOrange 3 3 2 60" xfId="27996" xr:uid="{CCB1A5E0-EB6F-4887-9E3B-3842F2D6BE14}"/>
    <cellStyle name="CustomCellsOrange 3 3 2 61" xfId="29856" xr:uid="{1BB09A3F-0908-4056-A899-5412F957F2CE}"/>
    <cellStyle name="CustomCellsOrange 3 3 2 62" xfId="30262" xr:uid="{8C2A5B88-D184-43E0-88E8-AAB3C0F12304}"/>
    <cellStyle name="CustomCellsOrange 3 3 2 63" xfId="30679" xr:uid="{2C8E81D3-E50C-431D-95FB-3C046CB4B685}"/>
    <cellStyle name="CustomCellsOrange 3 3 2 64" xfId="30406" xr:uid="{73565796-3E65-4B1E-90B8-9056C7C4EFD1}"/>
    <cellStyle name="CustomCellsOrange 3 3 2 65" xfId="31295" xr:uid="{373E0C95-EAB6-4EDF-83F2-4F1ED33210DC}"/>
    <cellStyle name="CustomCellsOrange 3 3 2 66" xfId="31986" xr:uid="{9F504B9C-0377-41D9-9D41-EAEA28E6F33B}"/>
    <cellStyle name="CustomCellsOrange 3 3 2 67" xfId="31631" xr:uid="{DEE1C09B-BF33-4114-8024-BB71C2BB097D}"/>
    <cellStyle name="CustomCellsOrange 3 3 2 7" xfId="4078" xr:uid="{7FDB6926-0DDE-4C72-A284-94B6CA10BFEC}"/>
    <cellStyle name="CustomCellsOrange 3 3 2 8" xfId="4515" xr:uid="{50F67D99-8ACF-4466-8F18-A10DC6209908}"/>
    <cellStyle name="CustomCellsOrange 3 3 2 9" xfId="4238" xr:uid="{FE80F10B-D82D-4F35-8BC1-FF5FFAE6408B}"/>
    <cellStyle name="CustomCellsOrange 3 3 20" xfId="9912" xr:uid="{7225F082-1FB0-4BCF-8B56-672937799AF1}"/>
    <cellStyle name="CustomCellsOrange 3 3 21" xfId="10343" xr:uid="{9F07E3AC-80B5-4C5C-B99F-5DD2BF304B94}"/>
    <cellStyle name="CustomCellsOrange 3 3 22" xfId="10846" xr:uid="{D191595D-C268-4EC6-AFBB-0CDAB2753591}"/>
    <cellStyle name="CustomCellsOrange 3 3 23" xfId="10306" xr:uid="{6D036B3D-896E-46E0-B9FD-8824FCAF1C65}"/>
    <cellStyle name="CustomCellsOrange 3 3 24" xfId="11898" xr:uid="{BF1B7FA0-33CF-414D-845E-C272E92FA050}"/>
    <cellStyle name="CustomCellsOrange 3 3 25" xfId="12371" xr:uid="{0E0B0B7D-3433-4263-BAB3-B27021D9AF97}"/>
    <cellStyle name="CustomCellsOrange 3 3 26" xfId="12805" xr:uid="{0E913469-6FF9-42A1-8CF9-EB3C768349B1}"/>
    <cellStyle name="CustomCellsOrange 3 3 27" xfId="13242" xr:uid="{369B3CC7-7E67-4AA7-BA7A-CF4901418592}"/>
    <cellStyle name="CustomCellsOrange 3 3 28" xfId="13703" xr:uid="{1E71A659-FCDE-43D0-BA7D-D3BAF63A1EE3}"/>
    <cellStyle name="CustomCellsOrange 3 3 29" xfId="14415" xr:uid="{A83A8537-6463-4141-B5B0-91433BC1AA25}"/>
    <cellStyle name="CustomCellsOrange 3 3 3" xfId="1028" xr:uid="{92C6D0A0-A2DC-43D3-A90B-6BB65139BE89}"/>
    <cellStyle name="CustomCellsOrange 3 3 30" xfId="14693" xr:uid="{09111644-71D8-4C23-A0AA-7A388C8EB646}"/>
    <cellStyle name="CustomCellsOrange 3 3 31" xfId="14721" xr:uid="{A74E3471-6798-4520-8E43-5B064607BC3C}"/>
    <cellStyle name="CustomCellsOrange 3 3 32" xfId="14550" xr:uid="{F8A1465C-7F81-4CF9-9DDB-E963CE4C6C54}"/>
    <cellStyle name="CustomCellsOrange 3 3 33" xfId="15807" xr:uid="{C03A80A6-C4C6-4750-8F12-879F9EC96B5A}"/>
    <cellStyle name="CustomCellsOrange 3 3 34" xfId="16590" xr:uid="{F2D5C976-9DDB-459C-8FC9-1A23A2990FFA}"/>
    <cellStyle name="CustomCellsOrange 3 3 35" xfId="17025" xr:uid="{37834991-AD7B-47F5-8B8C-EB38F5080849}"/>
    <cellStyle name="CustomCellsOrange 3 3 36" xfId="17472" xr:uid="{2EA14ADE-9A77-4B3A-9763-A2295E3E669F}"/>
    <cellStyle name="CustomCellsOrange 3 3 37" xfId="18092" xr:uid="{2C876C4D-8797-449E-AC5A-B68B9AA28D4E}"/>
    <cellStyle name="CustomCellsOrange 3 3 38" xfId="18408" xr:uid="{41D9387A-5EEA-42EF-B96B-C746B3461C8A}"/>
    <cellStyle name="CustomCellsOrange 3 3 39" xfId="18343" xr:uid="{6DCDB4C7-DD86-4EAF-83B5-739178ECE714}"/>
    <cellStyle name="CustomCellsOrange 3 3 4" xfId="1461" xr:uid="{71325798-D382-4C3D-9706-28939F4E1CBD}"/>
    <cellStyle name="CustomCellsOrange 3 3 40" xfId="19028" xr:uid="{E7FF3184-337B-4911-9AA8-2169B7FFB75E}"/>
    <cellStyle name="CustomCellsOrange 3 3 41" xfId="19927" xr:uid="{497883F5-2AC2-4ED3-88C3-396DAFFA2A9E}"/>
    <cellStyle name="CustomCellsOrange 3 3 42" xfId="20376" xr:uid="{10B49AA9-9A79-4E4B-8927-8BABFFE7495B}"/>
    <cellStyle name="CustomCellsOrange 3 3 43" xfId="20830" xr:uid="{0E5A9663-8D1E-4E1F-9CA9-184B542CC81D}"/>
    <cellStyle name="CustomCellsOrange 3 3 44" xfId="19589" xr:uid="{EF723F9B-0DA8-4622-8D9F-9A50CE8DBE6B}"/>
    <cellStyle name="CustomCellsOrange 3 3 45" xfId="21762" xr:uid="{464113E1-7353-4CFC-A678-B6B862C798D7}"/>
    <cellStyle name="CustomCellsOrange 3 3 46" xfId="22201" xr:uid="{D2C0A112-211E-4D0C-A9FF-41DE422CEDB2}"/>
    <cellStyle name="CustomCellsOrange 3 3 47" xfId="22700" xr:uid="{BC42E2B1-9750-4005-8ABA-F52EA537B1E8}"/>
    <cellStyle name="CustomCellsOrange 3 3 48" xfId="22800" xr:uid="{B1FAC09F-BA9A-46A3-8AB8-3646C727632D}"/>
    <cellStyle name="CustomCellsOrange 3 3 49" xfId="23587" xr:uid="{0C9531B5-59CE-4150-859C-0864E18931EC}"/>
    <cellStyle name="CustomCellsOrange 3 3 5" xfId="2367" xr:uid="{7C38C3C2-5F64-4E7B-B0E1-BE745FFB8E13}"/>
    <cellStyle name="CustomCellsOrange 3 3 50" xfId="23736" xr:uid="{4AC047B6-4A24-491C-93AF-852276C8A211}"/>
    <cellStyle name="CustomCellsOrange 3 3 51" xfId="24635" xr:uid="{6E346D98-EBC0-4AA2-8754-A38E5E2B8444}"/>
    <cellStyle name="CustomCellsOrange 3 3 52" xfId="25087" xr:uid="{652B9582-D83E-4081-8BBE-2352B36C0259}"/>
    <cellStyle name="CustomCellsOrange 3 3 53" xfId="25553" xr:uid="{F9034BD9-7C37-46E2-ADFC-7BE855FF76EC}"/>
    <cellStyle name="CustomCellsOrange 3 3 54" xfId="26005" xr:uid="{C6F5CD9C-2702-4D28-98F0-FB43575FD028}"/>
    <cellStyle name="CustomCellsOrange 3 3 55" xfId="26401" xr:uid="{BCAEADC0-9B8C-4520-A265-AEB5105B5D6D}"/>
    <cellStyle name="CustomCellsOrange 3 3 56" xfId="26843" xr:uid="{EFCB9F86-8EB4-4DF6-AA1C-82EE1C48E7AF}"/>
    <cellStyle name="CustomCellsOrange 3 3 57" xfId="27262" xr:uid="{6DB77D21-F6D2-44B5-B95B-F07D2B3A0A9B}"/>
    <cellStyle name="CustomCellsOrange 3 3 58" xfId="27632" xr:uid="{55384023-B9E9-4C91-8877-71BEF5EDD0E1}"/>
    <cellStyle name="CustomCellsOrange 3 3 59" xfId="28385" xr:uid="{997DF7C2-B826-4644-BCB7-F1E8828A7221}"/>
    <cellStyle name="CustomCellsOrange 3 3 6" xfId="2868" xr:uid="{C0BD6C16-4D5B-4E3A-A4F7-4AA5CF752044}"/>
    <cellStyle name="CustomCellsOrange 3 3 60" xfId="28853" xr:uid="{95777BD6-0DD2-48DD-81D1-EA75D4C00D7C}"/>
    <cellStyle name="CustomCellsOrange 3 3 61" xfId="29242" xr:uid="{767CBD32-AEB7-4CA0-A307-B7215863F6FE}"/>
    <cellStyle name="CustomCellsOrange 3 3 62" xfId="29643" xr:uid="{E2F0DAB9-9F58-401E-B080-FED26E484BB9}"/>
    <cellStyle name="CustomCellsOrange 3 3 63" xfId="30051" xr:uid="{33627A5A-F446-4FE7-91D6-96A7E76276F1}"/>
    <cellStyle name="CustomCellsOrange 3 3 64" xfId="30465" xr:uid="{2458B687-820D-46E1-8A05-DB7B3C09BA21}"/>
    <cellStyle name="CustomCellsOrange 3 3 65" xfId="31016" xr:uid="{328636B0-B5EF-4740-9C96-344B75263C99}"/>
    <cellStyle name="CustomCellsOrange 3 3 66" xfId="31089" xr:uid="{DDED265A-9210-4138-957A-E78FF3612C81}"/>
    <cellStyle name="CustomCellsOrange 3 3 67" xfId="31775" xr:uid="{6DBA345B-36D0-4CE2-9E8D-3DD4843D1BE8}"/>
    <cellStyle name="CustomCellsOrange 3 3 68" xfId="32228" xr:uid="{4B7FE4E0-DEE5-4559-9301-09C58D4A68F6}"/>
    <cellStyle name="CustomCellsOrange 3 3 7" xfId="2069" xr:uid="{DC137FAA-2B19-4FA2-88ED-F11B2EE02F4A}"/>
    <cellStyle name="CustomCellsOrange 3 3 8" xfId="3863" xr:uid="{C7D192BB-981A-401D-A246-74A2A7C3CAFA}"/>
    <cellStyle name="CustomCellsOrange 3 3 9" xfId="4301" xr:uid="{CD2271D6-9C04-43F5-BDE5-D86F425C5E5E}"/>
    <cellStyle name="CustomCellsOrange 3 30" xfId="12293" xr:uid="{8EC31270-14FB-4C5B-A243-98425BBC8293}"/>
    <cellStyle name="CustomCellsOrange 3 31" xfId="13994" xr:uid="{2A78CDF5-1692-40AC-B9E5-BCA0C6DDE012}"/>
    <cellStyle name="CustomCellsOrange 3 32" xfId="13792" xr:uid="{D3405585-AE01-460A-87E4-BF688A514903}"/>
    <cellStyle name="CustomCellsOrange 3 33" xfId="11493" xr:uid="{7CF1772B-B5D6-4571-9BBA-C5014ADEAD80}"/>
    <cellStyle name="CustomCellsOrange 3 34" xfId="14568" xr:uid="{8845C498-33EE-4148-A382-A6BA3DE35623}"/>
    <cellStyle name="CustomCellsOrange 3 35" xfId="15694" xr:uid="{D8FA5CF5-A698-4FE1-BE5A-A7E2E5339F0F}"/>
    <cellStyle name="CustomCellsOrange 3 36" xfId="14586" xr:uid="{CA84A2C6-5D42-42B5-81FB-5B672FBB70D4}"/>
    <cellStyle name="CustomCellsOrange 3 37" xfId="16324" xr:uid="{A4042BDC-D6DD-47EC-969A-875D1F7BC65F}"/>
    <cellStyle name="CustomCellsOrange 3 38" xfId="16959" xr:uid="{5C3E502F-CB74-47B0-9155-C9C31B32D148}"/>
    <cellStyle name="CustomCellsOrange 3 39" xfId="16108" xr:uid="{FAFD4471-F413-43F6-96B5-F7B8C00458C9}"/>
    <cellStyle name="CustomCellsOrange 3 4" xfId="558" xr:uid="{DFB20C87-2AE0-4352-8447-D5E437290F71}"/>
    <cellStyle name="CustomCellsOrange 3 4 10" xfId="4218" xr:uid="{6796F529-3B4F-490C-A1AC-BFCCAAA5083E}"/>
    <cellStyle name="CustomCellsOrange 3 4 11" xfId="5206" xr:uid="{4AEFD9D0-0813-46D3-98E4-456F07CAA462}"/>
    <cellStyle name="CustomCellsOrange 3 4 12" xfId="5731" xr:uid="{0334AAFF-0A96-4D80-8510-8D1757420163}"/>
    <cellStyle name="CustomCellsOrange 3 4 13" xfId="6167" xr:uid="{82BFEBCD-3A00-403E-BE8A-D8F53C25BE11}"/>
    <cellStyle name="CustomCellsOrange 3 4 14" xfId="4266" xr:uid="{36F61422-86B8-4D77-A6A3-7D7564751370}"/>
    <cellStyle name="CustomCellsOrange 3 4 15" xfId="7278" xr:uid="{E02790A5-E354-410F-8418-6C6605DDE9D1}"/>
    <cellStyle name="CustomCellsOrange 3 4 16" xfId="7927" xr:uid="{91017441-E522-4BC7-B779-45E7268A3B45}"/>
    <cellStyle name="CustomCellsOrange 3 4 17" xfId="7807" xr:uid="{8320FCA8-C9D8-45F3-BE4F-42D746AD9697}"/>
    <cellStyle name="CustomCellsOrange 3 4 18" xfId="8697" xr:uid="{36081843-4503-41D4-B294-B5C951BA87E2}"/>
    <cellStyle name="CustomCellsOrange 3 4 19" xfId="9492" xr:uid="{CE5DA3C9-E534-43A3-81F6-68B04FF7C423}"/>
    <cellStyle name="CustomCellsOrange 3 4 2" xfId="773" xr:uid="{8C47A215-F1FB-45A7-92CF-FAD03AE41B26}"/>
    <cellStyle name="CustomCellsOrange 3 4 2 10" xfId="5421" xr:uid="{2B0CC5D0-DE40-45C8-8DE9-5AF281EAD01F}"/>
    <cellStyle name="CustomCellsOrange 3 4 2 11" xfId="5954" xr:uid="{589E00F5-FE5D-44F0-8759-2D4891A7350C}"/>
    <cellStyle name="CustomCellsOrange 3 4 2 12" xfId="6035" xr:uid="{F2971CB5-BE1B-4EAF-A1BE-24F8596418B7}"/>
    <cellStyle name="CustomCellsOrange 3 4 2 13" xfId="5109" xr:uid="{56DC7646-D16F-4D19-86BB-7EDFA4AD3C02}"/>
    <cellStyle name="CustomCellsOrange 3 4 2 14" xfId="7493" xr:uid="{1C23F555-9CAA-4D19-9AC3-C53582AF1055}"/>
    <cellStyle name="CustomCellsOrange 3 4 2 15" xfId="7094" xr:uid="{12A57AD3-91A7-4AD5-BD90-66EFEA9CE3BE}"/>
    <cellStyle name="CustomCellsOrange 3 4 2 16" xfId="7170" xr:uid="{DE5C6480-84C7-4CC9-B462-BC44F0C97E70}"/>
    <cellStyle name="CustomCellsOrange 3 4 2 17" xfId="8844" xr:uid="{C38CB589-E213-41BC-AB59-78176E1045AC}"/>
    <cellStyle name="CustomCellsOrange 3 4 2 18" xfId="9707" xr:uid="{0E8B868C-7A80-4C0C-9D26-1F887402DB1A}"/>
    <cellStyle name="CustomCellsOrange 3 4 2 19" xfId="9307" xr:uid="{E30407C8-CC99-4D44-A8D3-6F0D3A96DB11}"/>
    <cellStyle name="CustomCellsOrange 3 4 2 2" xfId="1247" xr:uid="{550C9A66-D853-4046-832F-7468D44BDBD7}"/>
    <cellStyle name="CustomCellsOrange 3 4 2 20" xfId="9932" xr:uid="{1BA4C895-4AAC-4041-BD92-B3FBE1409527}"/>
    <cellStyle name="CustomCellsOrange 3 4 2 21" xfId="9105" xr:uid="{6C060D75-B94A-446D-9A5F-4DE8753A02A5}"/>
    <cellStyle name="CustomCellsOrange 3 4 2 22" xfId="8974" xr:uid="{EEF6A536-9E0B-41FF-BACA-A19B8509D8E5}"/>
    <cellStyle name="CustomCellsOrange 3 4 2 23" xfId="12126" xr:uid="{F81873C3-32BE-462C-9953-EC3C7BFF93DF}"/>
    <cellStyle name="CustomCellsOrange 3 4 2 24" xfId="12599" xr:uid="{5A0CBBAB-19F0-40AF-B0A7-17A1354F859A}"/>
    <cellStyle name="CustomCellsOrange 3 4 2 25" xfId="13033" xr:uid="{4A979A53-F718-48D4-AF7C-C239F9EA428D}"/>
    <cellStyle name="CustomCellsOrange 3 4 2 26" xfId="13470" xr:uid="{7550A0CF-32BD-40EA-B4B1-FEC861DA358E}"/>
    <cellStyle name="CustomCellsOrange 3 4 2 27" xfId="13612" xr:uid="{349FFA5C-2D60-4D44-90E0-93F36299AD24}"/>
    <cellStyle name="CustomCellsOrange 3 4 2 28" xfId="13605" xr:uid="{AE4C28DD-27FC-40E2-9299-98487987961C}"/>
    <cellStyle name="CustomCellsOrange 3 4 2 29" xfId="13944" xr:uid="{1C304F15-F42E-4B85-84F4-21C015C19B8C}"/>
    <cellStyle name="CustomCellsOrange 3 4 2 3" xfId="1430" xr:uid="{660D0E89-F3C8-4D63-8823-001B86300B3E}"/>
    <cellStyle name="CustomCellsOrange 3 4 2 30" xfId="15035" xr:uid="{0089F053-0DFF-4F11-953D-7E376E74E5DE}"/>
    <cellStyle name="CustomCellsOrange 3 4 2 31" xfId="13641" xr:uid="{4D569A49-A6CD-45A5-86D3-86B71A6EF987}"/>
    <cellStyle name="CustomCellsOrange 3 4 2 32" xfId="15657" xr:uid="{28BE9743-7188-4CC5-AE7A-4993500CB8F4}"/>
    <cellStyle name="CustomCellsOrange 3 4 2 33" xfId="16818" xr:uid="{6912052C-2B37-4C8E-AE55-7D36CD059C22}"/>
    <cellStyle name="CustomCellsOrange 3 4 2 34" xfId="16416" xr:uid="{D45FB990-52F5-4987-BC36-9528CDB16233}"/>
    <cellStyle name="CustomCellsOrange 3 4 2 35" xfId="17046" xr:uid="{4A30B2E0-A0EB-435C-9773-92DFE8F705DF}"/>
    <cellStyle name="CustomCellsOrange 3 4 2 36" xfId="17225" xr:uid="{090D0D56-AF27-4C36-9C4B-72B278554E1D}"/>
    <cellStyle name="CustomCellsOrange 3 4 2 37" xfId="18636" xr:uid="{19EABBBA-D1EA-4E0B-AE9A-277B4D138A9A}"/>
    <cellStyle name="CustomCellsOrange 3 4 2 38" xfId="17582" xr:uid="{E853DBB0-8D97-40B3-91C5-1EE5C321DC03}"/>
    <cellStyle name="CustomCellsOrange 3 4 2 39" xfId="19168" xr:uid="{F7FC6E96-6822-433C-8201-2D84A529183F}"/>
    <cellStyle name="CustomCellsOrange 3 4 2 4" xfId="2595" xr:uid="{5701E7B4-7393-4866-8B2A-664CF327AEB7}"/>
    <cellStyle name="CustomCellsOrange 3 4 2 40" xfId="20155" xr:uid="{7C28B9C9-B9FA-4576-889F-28F54E291332}"/>
    <cellStyle name="CustomCellsOrange 3 4 2 41" xfId="19751" xr:uid="{D72BF176-8551-4246-8C3C-83568D94FC36}"/>
    <cellStyle name="CustomCellsOrange 3 4 2 42" xfId="20607" xr:uid="{16CE7CF0-56E1-48EE-B6A9-0401D0ED7ED9}"/>
    <cellStyle name="CustomCellsOrange 3 4 2 43" xfId="21302" xr:uid="{B2BDFF43-8538-4C34-8A88-C6C8D3F7C52F}"/>
    <cellStyle name="CustomCellsOrange 3 4 2 44" xfId="21522" xr:uid="{5E60576A-1521-4F35-B420-B4A76C997470}"/>
    <cellStyle name="CustomCellsOrange 3 4 2 45" xfId="21333" xr:uid="{B44ED62A-B862-4534-9DD2-37202F53B5AE}"/>
    <cellStyle name="CustomCellsOrange 3 4 2 46" xfId="22621" xr:uid="{35DD5F4E-B8BA-4E0D-9B9D-07480A1478D4}"/>
    <cellStyle name="CustomCellsOrange 3 4 2 47" xfId="22474" xr:uid="{77DE54FC-7D55-4ABA-B3CB-FF90CD7A12F5}"/>
    <cellStyle name="CustomCellsOrange 3 4 2 48" xfId="23430" xr:uid="{5FD12114-1589-45CB-B040-44B5CADD2FB4}"/>
    <cellStyle name="CustomCellsOrange 3 4 2 49" xfId="23955" xr:uid="{B344084F-8DD4-49EB-B297-403E91A22605}"/>
    <cellStyle name="CustomCellsOrange 3 4 2 5" xfId="2779" xr:uid="{1E9CE9C3-AD42-409A-A656-092E10B5A57C}"/>
    <cellStyle name="CustomCellsOrange 3 4 2 50" xfId="24863" xr:uid="{496C3508-1B21-4524-9B64-F37EE0377394}"/>
    <cellStyle name="CustomCellsOrange 3 4 2 51" xfId="24244" xr:uid="{3C5CAB05-60E8-4DA8-BBD9-DFFB8DF1ABD9}"/>
    <cellStyle name="CustomCellsOrange 3 4 2 52" xfId="25779" xr:uid="{7CA49C38-337E-437E-9FAF-9AFD67B6391F}"/>
    <cellStyle name="CustomCellsOrange 3 4 2 53" xfId="25925" xr:uid="{1450E994-F4A8-44E4-84C0-5F9FF95A3C37}"/>
    <cellStyle name="CustomCellsOrange 3 4 2 54" xfId="25939" xr:uid="{33813D18-D0D0-4218-87D9-92275241B313}"/>
    <cellStyle name="CustomCellsOrange 3 4 2 55" xfId="27067" xr:uid="{BA310C10-9F7F-465E-A30C-2E059D766FAA}"/>
    <cellStyle name="CustomCellsOrange 3 4 2 56" xfId="27486" xr:uid="{3CD972FA-4B49-44C2-A5CD-5BA0E27C0B4F}"/>
    <cellStyle name="CustomCellsOrange 3 4 2 57" xfId="26770" xr:uid="{021FA56E-B674-4CD0-801A-25F869E797EB}"/>
    <cellStyle name="CustomCellsOrange 3 4 2 58" xfId="28613" xr:uid="{93BB9E5F-B537-430F-BBB6-69733E2ACA30}"/>
    <cellStyle name="CustomCellsOrange 3 4 2 59" xfId="29080" xr:uid="{2BE0B39F-F81E-4411-9273-98C73A3F0AEE}"/>
    <cellStyle name="CustomCellsOrange 3 4 2 6" xfId="1877" xr:uid="{7BD2947D-63A0-44CE-AE68-F5559418FCAB}"/>
    <cellStyle name="CustomCellsOrange 3 4 2 60" xfId="28254" xr:uid="{31C5B11D-2A3A-493A-8506-E8BD7EDB64E1}"/>
    <cellStyle name="CustomCellsOrange 3 4 2 61" xfId="29869" xr:uid="{6E1DF844-8E8F-4C11-9F0C-57BF154682E2}"/>
    <cellStyle name="CustomCellsOrange 3 4 2 62" xfId="30275" xr:uid="{870D65CC-B433-43DA-939E-107DA83C6775}"/>
    <cellStyle name="CustomCellsOrange 3 4 2 63" xfId="30692" xr:uid="{55E58E16-3032-423A-86AB-AEB58EB70F05}"/>
    <cellStyle name="CustomCellsOrange 3 4 2 64" xfId="30003" xr:uid="{9928F66E-1BB9-4219-AD40-F5AE9FC33C38}"/>
    <cellStyle name="CustomCellsOrange 3 4 2 65" xfId="31308" xr:uid="{9DE3FED2-7779-4410-ACA1-4211F0C4F713}"/>
    <cellStyle name="CustomCellsOrange 3 4 2 66" xfId="31999" xr:uid="{64F0ACA3-3605-4757-8093-4AD77248F9FC}"/>
    <cellStyle name="CustomCellsOrange 3 4 2 67" xfId="32328" xr:uid="{B2377E7D-C524-47D6-A892-BF8F69B51F7B}"/>
    <cellStyle name="CustomCellsOrange 3 4 2 7" xfId="4091" xr:uid="{259D1A03-98B1-4AA1-945E-E3A91FE5301E}"/>
    <cellStyle name="CustomCellsOrange 3 4 2 8" xfId="4528" xr:uid="{2D5FBF86-3292-4401-9FDB-6DA0E5F2D2C9}"/>
    <cellStyle name="CustomCellsOrange 3 4 2 9" xfId="4455" xr:uid="{90399D20-C3C0-4576-B842-B6263A7EA669}"/>
    <cellStyle name="CustomCellsOrange 3 4 20" xfId="10140" xr:uid="{FB9C3027-EDEB-4EF9-B8A5-B26213B76DA8}"/>
    <cellStyle name="CustomCellsOrange 3 4 21" xfId="10550" xr:uid="{29BC38D0-62A9-456F-A7DA-B55AAB654C64}"/>
    <cellStyle name="CustomCellsOrange 3 4 22" xfId="10502" xr:uid="{5B00F86A-6ABF-4CAB-A3C0-F20FA837A7B5}"/>
    <cellStyle name="CustomCellsOrange 3 4 23" xfId="11163" xr:uid="{AE4A86D0-94F2-45CC-825D-D20DAE930A81}"/>
    <cellStyle name="CustomCellsOrange 3 4 24" xfId="11911" xr:uid="{8B3FF3A8-29F7-4EF7-BF0A-E5DB8A57F39C}"/>
    <cellStyle name="CustomCellsOrange 3 4 25" xfId="12384" xr:uid="{ED21CF89-4F43-48D4-93A7-E5FE5B547D9B}"/>
    <cellStyle name="CustomCellsOrange 3 4 26" xfId="12818" xr:uid="{85349968-1F62-4992-A153-421AEFBD6C42}"/>
    <cellStyle name="CustomCellsOrange 3 4 27" xfId="13255" xr:uid="{C6F5C2A3-E7C6-4C3C-A81C-3780605CA656}"/>
    <cellStyle name="CustomCellsOrange 3 4 28" xfId="11409" xr:uid="{5928676E-506C-48FA-BFCB-7752D62EF999}"/>
    <cellStyle name="CustomCellsOrange 3 4 29" xfId="13811" xr:uid="{A2978A78-A3F1-49AA-9046-0887C18447B1}"/>
    <cellStyle name="CustomCellsOrange 3 4 3" xfId="1041" xr:uid="{E6BCC2BF-2A9F-43F9-B671-0E599EC4C5EE}"/>
    <cellStyle name="CustomCellsOrange 3 4 30" xfId="14866" xr:uid="{DDEDC628-7D04-4447-9296-335DDFB4E67A}"/>
    <cellStyle name="CustomCellsOrange 3 4 31" xfId="12738" xr:uid="{C566DC1B-B429-4670-B07C-D6A4946AC594}"/>
    <cellStyle name="CustomCellsOrange 3 4 32" xfId="15645" xr:uid="{32860B8B-33E3-4A3F-B303-21F1AAFC022D}"/>
    <cellStyle name="CustomCellsOrange 3 4 33" xfId="15933" xr:uid="{B79322A8-ACB5-483C-BFD0-0E4155D0CC48}"/>
    <cellStyle name="CustomCellsOrange 3 4 34" xfId="16603" xr:uid="{94180561-CAF8-4675-963C-6557628CDA6B}"/>
    <cellStyle name="CustomCellsOrange 3 4 35" xfId="17260" xr:uid="{25A34CDE-ABC5-480C-A267-DED5CC76A1C0}"/>
    <cellStyle name="CustomCellsOrange 3 4 36" xfId="17704" xr:uid="{37B22313-61A7-403C-8FBD-FEE996AA68BF}"/>
    <cellStyle name="CustomCellsOrange 3 4 37" xfId="18051" xr:uid="{EF50FCD0-A9EF-4C82-8403-0DC761ABE7EC}"/>
    <cellStyle name="CustomCellsOrange 3 4 38" xfId="18421" xr:uid="{F03E6030-DC00-47CF-8815-2386DD55300A}"/>
    <cellStyle name="CustomCellsOrange 3 4 39" xfId="18772" xr:uid="{F1D8CE88-5F93-470E-95B4-E886A3D506A0}"/>
    <cellStyle name="CustomCellsOrange 3 4 4" xfId="1731" xr:uid="{9DFD7FB4-F6C0-4BA1-ADC5-7D2F196FC65E}"/>
    <cellStyle name="CustomCellsOrange 3 4 40" xfId="18088" xr:uid="{8B14A7EB-A949-43C7-8A63-04452197C917}"/>
    <cellStyle name="CustomCellsOrange 3 4 41" xfId="19940" xr:uid="{B7EBA761-F27E-40D8-802B-BEE2E5663200}"/>
    <cellStyle name="CustomCellsOrange 3 4 42" xfId="20610" xr:uid="{31B17C24-DB73-4413-AC56-90E51F4220A6}"/>
    <cellStyle name="CustomCellsOrange 3 4 43" xfId="21065" xr:uid="{E31C2B08-D1F3-4EFA-8B2D-4322E597B7DD}"/>
    <cellStyle name="CustomCellsOrange 3 4 44" xfId="21232" xr:uid="{C0CE3E5A-163D-4F51-9C4A-72D150C24CF4}"/>
    <cellStyle name="CustomCellsOrange 3 4 45" xfId="21996" xr:uid="{1C42A8A8-DA7F-48B2-8E29-E041251ADEC4}"/>
    <cellStyle name="CustomCellsOrange 3 4 46" xfId="22427" xr:uid="{4B9D4985-071D-4612-AB3D-BAB5CE6C8D1D}"/>
    <cellStyle name="CustomCellsOrange 3 4 47" xfId="22330" xr:uid="{B36B7323-7F5B-4C49-A32E-85FA28B95978}"/>
    <cellStyle name="CustomCellsOrange 3 4 48" xfId="23042" xr:uid="{05A294FB-1F28-4252-8CC6-1B402C53D786}"/>
    <cellStyle name="CustomCellsOrange 3 4 49" xfId="20777" xr:uid="{08A749DC-EA67-4950-91DB-A0FB14A34099}"/>
    <cellStyle name="CustomCellsOrange 3 4 5" xfId="2380" xr:uid="{B5076841-4C78-499C-AA9B-721E416D3A4E}"/>
    <cellStyle name="CustomCellsOrange 3 4 50" xfId="23749" xr:uid="{44FC8EC0-024F-4D3D-8249-257A368201D6}"/>
    <cellStyle name="CustomCellsOrange 3 4 51" xfId="24648" xr:uid="{AFC786AC-F94E-4156-9105-84BA6C464DC6}"/>
    <cellStyle name="CustomCellsOrange 3 4 52" xfId="25318" xr:uid="{C169D6AC-8D29-4997-A877-36E29126FF76}"/>
    <cellStyle name="CustomCellsOrange 3 4 53" xfId="25566" xr:uid="{87029610-D3E5-4429-B62D-EFED388690D2}"/>
    <cellStyle name="CustomCellsOrange 3 4 54" xfId="25007" xr:uid="{BB0F0746-7BED-44EE-A6AC-A5924DE52975}"/>
    <cellStyle name="CustomCellsOrange 3 4 55" xfId="26104" xr:uid="{97996257-C8DF-4F60-AC7C-AFD2495EED43}"/>
    <cellStyle name="CustomCellsOrange 3 4 56" xfId="26856" xr:uid="{415BC9BA-780A-44AB-A4F6-5A5FBDF7E44A}"/>
    <cellStyle name="CustomCellsOrange 3 4 57" xfId="27275" xr:uid="{D010DB8D-18EB-4D60-9C8D-594F65C1228B}"/>
    <cellStyle name="CustomCellsOrange 3 4 58" xfId="26170" xr:uid="{A3B41E92-0356-4D4B-9081-C3F2E1B681A8}"/>
    <cellStyle name="CustomCellsOrange 3 4 59" xfId="28398" xr:uid="{FCF3E3E6-E3A9-427F-B6AF-97C31D145859}"/>
    <cellStyle name="CustomCellsOrange 3 4 6" xfId="2052" xr:uid="{05338CF7-0D44-46DC-BD2E-A844BCA23E0F}"/>
    <cellStyle name="CustomCellsOrange 3 4 60" xfId="28866" xr:uid="{B24E5FBB-CA5C-412C-91B4-47AF9AC4E36C}"/>
    <cellStyle name="CustomCellsOrange 3 4 61" xfId="29440" xr:uid="{A13BF938-0D5D-484A-94BE-D52B11BB5905}"/>
    <cellStyle name="CustomCellsOrange 3 4 62" xfId="29656" xr:uid="{F3792D1C-8C8E-4324-933B-0172947AE4C0}"/>
    <cellStyle name="CustomCellsOrange 3 4 63" xfId="30064" xr:uid="{C226B538-C05F-4083-9825-0BE55A3C43C0}"/>
    <cellStyle name="CustomCellsOrange 3 4 64" xfId="30478" xr:uid="{CA82D441-3221-4EEA-A0B9-B3801FB47F33}"/>
    <cellStyle name="CustomCellsOrange 3 4 65" xfId="31009" xr:uid="{EBD7A809-C5FC-4E37-A7F9-96EEE70CF62B}"/>
    <cellStyle name="CustomCellsOrange 3 4 66" xfId="31102" xr:uid="{3417F68D-A7CE-48CD-82CF-396EEE76F51E}"/>
    <cellStyle name="CustomCellsOrange 3 4 67" xfId="31788" xr:uid="{7A711D36-49E1-434D-9371-90382CE0297B}"/>
    <cellStyle name="CustomCellsOrange 3 4 68" xfId="31665" xr:uid="{42D4C468-AEF6-4563-80E8-9330A9F2997F}"/>
    <cellStyle name="CustomCellsOrange 3 4 7" xfId="3253" xr:uid="{1F410478-CA73-4036-93F8-9BB40D4901EE}"/>
    <cellStyle name="CustomCellsOrange 3 4 8" xfId="3876" xr:uid="{9B081B3A-6B8F-4650-AFB0-ADFD414B4488}"/>
    <cellStyle name="CustomCellsOrange 3 4 9" xfId="4314" xr:uid="{714A3E6C-47D1-4FCB-9616-72E426E3F148}"/>
    <cellStyle name="CustomCellsOrange 3 40" xfId="18271" xr:uid="{5CAF3068-C150-466D-9319-F746CCFC0030}"/>
    <cellStyle name="CustomCellsOrange 3 41" xfId="17780" xr:uid="{9A8856FC-BE11-4573-94B1-87B2B7AF9D5A}"/>
    <cellStyle name="CustomCellsOrange 3 42" xfId="19095" xr:uid="{DE9FD80F-9F08-454B-8004-1023B2C5F643}"/>
    <cellStyle name="CustomCellsOrange 3 43" xfId="16135" xr:uid="{74EB782F-D797-4E83-A349-F7233750867A}"/>
    <cellStyle name="CustomCellsOrange 3 44" xfId="19657" xr:uid="{495DCF99-A23E-4C66-8AC0-1F2F171C4BDC}"/>
    <cellStyle name="CustomCellsOrange 3 45" xfId="20306" xr:uid="{025BA14F-BF6B-47B3-A3DC-67D2AFB28E85}"/>
    <cellStyle name="CustomCellsOrange 3 46" xfId="20325" xr:uid="{2545D789-04D9-42A1-8F95-1F610052F8DC}"/>
    <cellStyle name="CustomCellsOrange 3 47" xfId="21650" xr:uid="{C32E7B5F-5C90-4435-A556-D6600668DABC}"/>
    <cellStyle name="CustomCellsOrange 3 48" xfId="21062" xr:uid="{655A1BBC-9815-4E34-82A9-274DD5889C0E}"/>
    <cellStyle name="CustomCellsOrange 3 49" xfId="21734" xr:uid="{4C1DBFB8-CDEE-4BBE-B940-6097EE5C2333}"/>
    <cellStyle name="CustomCellsOrange 3 5" xfId="698" xr:uid="{0BAD9F6D-2003-4D19-82FF-6AA7AA69633A}"/>
    <cellStyle name="CustomCellsOrange 3 5 2" xfId="5346" xr:uid="{57DCFCE1-6517-40D0-90E4-2DBF860AD499}"/>
    <cellStyle name="CustomCellsOrange 3 5 3" xfId="18861" xr:uid="{40EF2B4E-4CFA-4B3D-B74D-2DFBF59AF467}"/>
    <cellStyle name="CustomCellsOrange 3 5 4" xfId="20080" xr:uid="{F5DF76F4-48BB-455F-8403-CC3B9F094BEE}"/>
    <cellStyle name="CustomCellsOrange 3 5 5" xfId="24788" xr:uid="{D95DA874-51F3-4567-B3E8-AD6654D6858C}"/>
    <cellStyle name="CustomCellsOrange 3 50" xfId="22965" xr:uid="{21017581-C894-4B63-8DC8-18C9BE86E4EE}"/>
    <cellStyle name="CustomCellsOrange 3 51" xfId="23371" xr:uid="{58EF4480-A5D0-40CC-8750-A63C118DE1A0}"/>
    <cellStyle name="CustomCellsOrange 3 52" xfId="21870" xr:uid="{A6897117-BA43-4D90-A621-B338A9374B42}"/>
    <cellStyle name="CustomCellsOrange 3 53" xfId="23330" xr:uid="{57B2FE59-AFA6-43DC-A689-667D74EC362B}"/>
    <cellStyle name="CustomCellsOrange 3 54" xfId="24377" xr:uid="{6A767F9C-891F-46FB-8A78-71D59FD6DD3E}"/>
    <cellStyle name="CustomCellsOrange 3 55" xfId="25029" xr:uid="{34A1A533-F37E-4B7F-B3CB-9988EBA9DAF4}"/>
    <cellStyle name="CustomCellsOrange 3 56" xfId="25142" xr:uid="{CB37EFCC-10CB-46A6-9CD1-B0055546F120}"/>
    <cellStyle name="CustomCellsOrange 3 57" xfId="25956" xr:uid="{91F4D6D9-6EF5-4090-B464-A280C474E5FC}"/>
    <cellStyle name="CustomCellsOrange 3 58" xfId="24994" xr:uid="{CFB675BF-B6A2-4B51-AC0E-6FAF3DBD2A5F}"/>
    <cellStyle name="CustomCellsOrange 3 59" xfId="26422" xr:uid="{F0FDB235-CF79-4672-8703-3F6C0651029F}"/>
    <cellStyle name="CustomCellsOrange 3 6" xfId="950" xr:uid="{7690B3D0-A6A2-4728-97CD-26AE61EEBC33}"/>
    <cellStyle name="CustomCellsOrange 3 60" xfId="26488" xr:uid="{91A7EFAD-8CC8-4C81-90CC-A849E8ED53B7}"/>
    <cellStyle name="CustomCellsOrange 3 61" xfId="25294" xr:uid="{BFF3C18A-54EC-4774-A012-8F2DCC668D5F}"/>
    <cellStyle name="CustomCellsOrange 3 62" xfId="28148" xr:uid="{2CE0EE9C-8BA9-414F-8912-56D47AD466DA}"/>
    <cellStyle name="CustomCellsOrange 3 63" xfId="28533" xr:uid="{55253B5B-4810-4D0B-8DC2-DE3A794B1429}"/>
    <cellStyle name="CustomCellsOrange 3 64" xfId="28348" xr:uid="{0560409C-2520-4794-B23E-FC787C50ACB9}"/>
    <cellStyle name="CustomCellsOrange 3 65" xfId="28163" xr:uid="{77AC9627-09A6-4C6A-A710-E327DD78E574}"/>
    <cellStyle name="CustomCellsOrange 3 66" xfId="29215" xr:uid="{31F2FB00-2385-4EC5-8B0C-FF94EC37E64F}"/>
    <cellStyle name="CustomCellsOrange 3 67" xfId="28799" xr:uid="{DA1E5057-9BBC-40B1-B6CF-AB0E4D78F6FC}"/>
    <cellStyle name="CustomCellsOrange 3 68" xfId="29996" xr:uid="{76187D21-1FD8-45FB-A044-B96A81EF5B86}"/>
    <cellStyle name="CustomCellsOrange 3 69" xfId="30887" xr:uid="{7156B1EF-E69A-4E9A-8860-0C0B10C81A16}"/>
    <cellStyle name="CustomCellsOrange 3 7" xfId="1531" xr:uid="{6C0D69CD-3E8A-42BB-AF0B-57DBB61F4DFE}"/>
    <cellStyle name="CustomCellsOrange 3 70" xfId="31600" xr:uid="{0761E952-33D2-4334-9C79-758863A3AD5A}"/>
    <cellStyle name="CustomCellsOrange 3 71" xfId="31428" xr:uid="{7C496CC1-13B5-43D8-980C-5EDE1E86A811}"/>
    <cellStyle name="CustomCellsOrange 3 8" xfId="2097" xr:uid="{8A1EF1B6-B3D8-4704-B7DC-A216FB1032C1}"/>
    <cellStyle name="CustomCellsOrange 3 9" xfId="3165" xr:uid="{C7F0DD96-D2F2-4DB1-AAE0-FBA5F255BF03}"/>
    <cellStyle name="CustomizationCells" xfId="18" xr:uid="{BB1BF6A0-41DF-4ECB-B37E-C587182EDBE9}"/>
    <cellStyle name="CustomizationCells 2" xfId="416" xr:uid="{7B2B2E70-3683-4C50-AC50-40F5A32EEFC2}"/>
    <cellStyle name="CustomizationCells 2 2" xfId="439" xr:uid="{5DD9343C-0046-4073-995C-93F641632190}"/>
    <cellStyle name="CustomizationCells 2 2 10" xfId="1975" xr:uid="{E8B082DF-5CB2-4BCD-81B8-18381096675B}"/>
    <cellStyle name="CustomizationCells 2 2 11" xfId="2245" xr:uid="{4B1CF3E3-AEF8-4D4E-B98B-043D5E1BDF1E}"/>
    <cellStyle name="CustomizationCells 2 2 12" xfId="3399" xr:uid="{D86ACC3F-A140-45D8-8883-859FF2BB12D2}"/>
    <cellStyle name="CustomizationCells 2 2 13" xfId="4765" xr:uid="{2E253FCD-4457-4E1C-A686-F808EE7DFBDF}"/>
    <cellStyle name="CustomizationCells 2 2 14" xfId="5093" xr:uid="{5B7AA4A4-41F1-4456-B2BC-C0EABB258D73}"/>
    <cellStyle name="CustomizationCells 2 2 15" xfId="5102" xr:uid="{56AE28F1-C720-4E82-9ED4-44C95FF25819}"/>
    <cellStyle name="CustomizationCells 2 2 16" xfId="5780" xr:uid="{C28BE80E-171C-4020-A8E8-6EAE534E07F7}"/>
    <cellStyle name="CustomizationCells 2 2 17" xfId="6512" xr:uid="{55C27C79-0F0A-434A-97BF-301180019857}"/>
    <cellStyle name="CustomizationCells 2 2 18" xfId="7164" xr:uid="{9633B38F-EFF8-4403-837F-356EF71D3A34}"/>
    <cellStyle name="CustomizationCells 2 2 19" xfId="7923" xr:uid="{CAB0BD3E-E39F-478C-852F-E753322EA677}"/>
    <cellStyle name="CustomizationCells 2 2 2" xfId="509" xr:uid="{9B3AD15B-07C6-4128-A0BA-72C4796F7B78}"/>
    <cellStyle name="CustomizationCells 2 2 2 2" xfId="675" xr:uid="{26DE474B-833E-4BAA-896E-4FAB67DD4634}"/>
    <cellStyle name="CustomizationCells 2 2 2 2 10" xfId="4888" xr:uid="{50EFFDF9-CE05-4E91-97DA-D220E98AA1F6}"/>
    <cellStyle name="CustomizationCells 2 2 2 2 11" xfId="5323" xr:uid="{AB54CE61-E6B8-4081-8696-9493F060C987}"/>
    <cellStyle name="CustomizationCells 2 2 2 2 12" xfId="1973" xr:uid="{DD0089F5-F3B1-4F35-9E44-54A79BB9FD77}"/>
    <cellStyle name="CustomizationCells 2 2 2 2 13" xfId="6139" xr:uid="{E16543FC-FD8F-4D2D-A0F5-2C12EB943815}"/>
    <cellStyle name="CustomizationCells 2 2 2 2 14" xfId="6344" xr:uid="{4DBAE090-BF4C-4B1F-AC89-DC859F8F837D}"/>
    <cellStyle name="CustomizationCells 2 2 2 2 15" xfId="7395" xr:uid="{120D26E9-4C7E-4744-A0F9-B52D25AC02FB}"/>
    <cellStyle name="CustomizationCells 2 2 2 2 16" xfId="7889" xr:uid="{3D5B75B2-6467-433D-A632-1B6F6C8FAB93}"/>
    <cellStyle name="CustomizationCells 2 2 2 2 17" xfId="7619" xr:uid="{EE88FF73-2FFE-4FF1-8993-D14659FD4680}"/>
    <cellStyle name="CustomizationCells 2 2 2 2 18" xfId="8386" xr:uid="{FD1813D7-31FF-400E-B5F8-B528E7936E30}"/>
    <cellStyle name="CustomizationCells 2 2 2 2 19" xfId="9609" xr:uid="{D06C566A-B83A-4D47-8879-D5CD58BC8580}"/>
    <cellStyle name="CustomizationCells 2 2 2 2 2" xfId="889" xr:uid="{3983CAD1-B8BC-4387-A7C1-9F8D670E6DAA}"/>
    <cellStyle name="CustomizationCells 2 2 2 2 2 10" xfId="5537" xr:uid="{FC552A47-4FB1-4390-ADA4-78944837A2C4}"/>
    <cellStyle name="CustomizationCells 2 2 2 2 2 11" xfId="6031" xr:uid="{BA70E067-45E5-4FDB-9DCC-4F588EEBE7D9}"/>
    <cellStyle name="CustomizationCells 2 2 2 2 2 12" xfId="6390" xr:uid="{C92EC1A8-B5AD-4C1A-A814-6A71A25CB742}"/>
    <cellStyle name="CustomizationCells 2 2 2 2 2 13" xfId="6728" xr:uid="{7A5764B0-FE70-4ACB-A558-9607F2B9A055}"/>
    <cellStyle name="CustomizationCells 2 2 2 2 2 14" xfId="7609" xr:uid="{F8C0FC46-A219-46B9-AEF6-CB4AB157CBF0}"/>
    <cellStyle name="CustomizationCells 2 2 2 2 2 15" xfId="8073" xr:uid="{00D0780F-6A38-43C0-B905-6EBB18E45846}"/>
    <cellStyle name="CustomizationCells 2 2 2 2 2 16" xfId="8682" xr:uid="{4A2A45AF-2395-4184-832D-B2152510D747}"/>
    <cellStyle name="CustomizationCells 2 2 2 2 2 17" xfId="8941" xr:uid="{B565A183-335C-46A4-81B4-BB9134D7B29D}"/>
    <cellStyle name="CustomizationCells 2 2 2 2 2 18" xfId="9823" xr:uid="{65724E45-9BA1-4B44-8F0B-4389107EA6D0}"/>
    <cellStyle name="CustomizationCells 2 2 2 2 2 19" xfId="10292" xr:uid="{4C1E26E4-F677-4960-BA9A-5B8A036AC278}"/>
    <cellStyle name="CustomizationCells 2 2 2 2 2 2" xfId="1363" xr:uid="{49F68B3D-A270-4B79-9C76-D39EC8503213}"/>
    <cellStyle name="CustomizationCells 2 2 2 2 2 20" xfId="10686" xr:uid="{B596DCC3-B7EF-4BCC-805B-ACF9BE726AF8}"/>
    <cellStyle name="CustomizationCells 2 2 2 2 2 21" xfId="11035" xr:uid="{7E3D04DF-C637-4D48-BE91-CF5ECD9D4E8C}"/>
    <cellStyle name="CustomizationCells 2 2 2 2 2 22" xfId="11345" xr:uid="{C0E3CCF0-19B5-4203-A622-B0491814BBFC}"/>
    <cellStyle name="CustomizationCells 2 2 2 2 2 23" xfId="12242" xr:uid="{D16A0E45-CAD5-46AE-AC12-A6D50674FE6A}"/>
    <cellStyle name="CustomizationCells 2 2 2 2 2 24" xfId="12715" xr:uid="{48235199-E201-4CE7-BFD7-90875F9B013B}"/>
    <cellStyle name="CustomizationCells 2 2 2 2 2 25" xfId="13149" xr:uid="{BE3E4572-7FE7-4F7F-A64B-81AE63CB754B}"/>
    <cellStyle name="CustomizationCells 2 2 2 2 2 26" xfId="13586" xr:uid="{26A3CD5B-826C-495D-BCCC-CFA7D364788A}"/>
    <cellStyle name="CustomizationCells 2 2 2 2 2 27" xfId="14058" xr:uid="{04AEFD42-8DF9-4D6E-B77B-CFF071430361}"/>
    <cellStyle name="CustomizationCells 2 2 2 2 2 28" xfId="14505" xr:uid="{5868572E-0B3C-46ED-AE43-6261645EB611}"/>
    <cellStyle name="CustomizationCells 2 2 2 2 2 29" xfId="14939" xr:uid="{3D588865-8330-4A7F-8A4B-FDFFA969DF51}"/>
    <cellStyle name="CustomizationCells 2 2 2 2 2 3" xfId="1812" xr:uid="{09066744-BFBE-427C-B791-3BDB896CE92B}"/>
    <cellStyle name="CustomizationCells 2 2 2 2 2 30" xfId="15409" xr:uid="{D49AAFF0-AE82-4384-8D23-CF6E82C20111}"/>
    <cellStyle name="CustomizationCells 2 2 2 2 2 31" xfId="15799" xr:uid="{E4A3E7CB-E8D9-4460-B12B-F2EB7D65BB8A}"/>
    <cellStyle name="CustomizationCells 2 2 2 2 2 32" xfId="16021" xr:uid="{8139E355-CF2F-4E8E-A0A3-F982870306C7}"/>
    <cellStyle name="CustomizationCells 2 2 2 2 2 33" xfId="16934" xr:uid="{B47E1C92-8BCC-421A-82A0-53FA0098E41B}"/>
    <cellStyle name="CustomizationCells 2 2 2 2 2 34" xfId="17415" xr:uid="{33723146-63AD-4A88-AD65-08620E496FDC}"/>
    <cellStyle name="CustomizationCells 2 2 2 2 2 35" xfId="17856" xr:uid="{0C59EAAD-FE20-40F5-8AF8-08CAC726698D}"/>
    <cellStyle name="CustomizationCells 2 2 2 2 2 36" xfId="18331" xr:uid="{E551E95B-82CA-474C-9605-B254CB33072A}"/>
    <cellStyle name="CustomizationCells 2 2 2 2 2 37" xfId="18752" xr:uid="{64EBA32F-F158-42D8-BBA9-3C0C1506D59B}"/>
    <cellStyle name="CustomizationCells 2 2 2 2 2 38" xfId="19139" xr:uid="{8ADCDA0F-1447-4E7E-ABAF-3D50C48E4754}"/>
    <cellStyle name="CustomizationCells 2 2 2 2 2 39" xfId="19369" xr:uid="{B2665758-AD92-4199-BB05-59FC044DBC35}"/>
    <cellStyle name="CustomizationCells 2 2 2 2 2 4" xfId="2711" xr:uid="{6CB2372C-975D-429E-8AF6-958B64300339}"/>
    <cellStyle name="CustomizationCells 2 2 2 2 2 40" xfId="20271" xr:uid="{608580CF-E950-4BC1-8480-D10D0FB878B0}"/>
    <cellStyle name="CustomizationCells 2 2 2 2 2 41" xfId="20764" xr:uid="{7E7E4B4C-0B77-412D-BB1D-45918B5AC9DF}"/>
    <cellStyle name="CustomizationCells 2 2 2 2 2 42" xfId="21223" xr:uid="{1649C339-E63D-4FA2-B60D-02881B9F8A18}"/>
    <cellStyle name="CustomizationCells 2 2 2 2 2 43" xfId="21715" xr:uid="{FB2860C1-DD68-4ACD-A725-CA5E4C0000C7}"/>
    <cellStyle name="CustomizationCells 2 2 2 2 2 44" xfId="22154" xr:uid="{45B2E133-3E48-49FB-B5E2-F4F5B8A35372}"/>
    <cellStyle name="CustomizationCells 2 2 2 2 2 45" xfId="22581" xr:uid="{5C0C0933-4084-4658-B7E8-69AE1B224BA5}"/>
    <cellStyle name="CustomizationCells 2 2 2 2 2 46" xfId="23026" xr:uid="{74F42189-2626-40A0-BFF2-942AF8A68EEF}"/>
    <cellStyle name="CustomizationCells 2 2 2 2 2 47" xfId="23428" xr:uid="{8B438147-80DA-418C-80FD-CE55133EEF1E}"/>
    <cellStyle name="CustomizationCells 2 2 2 2 2 48" xfId="23691" xr:uid="{5E01E989-46E7-4FBD-902E-B95ABF14CC4D}"/>
    <cellStyle name="CustomizationCells 2 2 2 2 2 49" xfId="24071" xr:uid="{504A3C02-D6B9-4912-964F-0172F42466F5}"/>
    <cellStyle name="CustomizationCells 2 2 2 2 2 5" xfId="3231" xr:uid="{07BF588A-7B06-474E-8B36-CD6ECC2136C2}"/>
    <cellStyle name="CustomizationCells 2 2 2 2 2 50" xfId="24979" xr:uid="{26334B7F-001D-4900-A6F1-5463F4A121B1}"/>
    <cellStyle name="CustomizationCells 2 2 2 2 2 51" xfId="25467" xr:uid="{2C9931F3-959A-4E6E-ACAE-13DFF9FDEB27}"/>
    <cellStyle name="CustomizationCells 2 2 2 2 2 52" xfId="25895" xr:uid="{73DBF5C1-EAF2-4851-88B4-B0784A13599E}"/>
    <cellStyle name="CustomizationCells 2 2 2 2 2 53" xfId="26333" xr:uid="{3D2F7798-78CC-429F-BD5E-419D7796EA40}"/>
    <cellStyle name="CustomizationCells 2 2 2 2 2 54" xfId="26762" xr:uid="{5CE560FD-49F2-4ECC-AA4D-42EC2EC3E09B}"/>
    <cellStyle name="CustomizationCells 2 2 2 2 2 55" xfId="27183" xr:uid="{E52B49E3-0E72-4E08-950E-87F01402E150}"/>
    <cellStyle name="CustomizationCells 2 2 2 2 2 56" xfId="27602" xr:uid="{21E819AF-2D47-4E4D-9FFB-19A083BFBE06}"/>
    <cellStyle name="CustomizationCells 2 2 2 2 2 57" xfId="27840" xr:uid="{21654A82-AD8B-469D-AD4C-04ADECC7A76D}"/>
    <cellStyle name="CustomizationCells 2 2 2 2 2 58" xfId="28729" xr:uid="{527CEB9D-F8F8-48ED-9425-2F1210B6202F}"/>
    <cellStyle name="CustomizationCells 2 2 2 2 2 59" xfId="29196" xr:uid="{8F0F1E6F-0530-43E2-955A-4D88D2CA03D3}"/>
    <cellStyle name="CustomizationCells 2 2 2 2 2 6" xfId="3786" xr:uid="{FAEC2241-E639-49BB-BE80-E1FA0FA89E61}"/>
    <cellStyle name="CustomizationCells 2 2 2 2 2 60" xfId="29578" xr:uid="{650922A2-BBD9-49A5-B380-81076702D9A2}"/>
    <cellStyle name="CustomizationCells 2 2 2 2 2 61" xfId="29985" xr:uid="{651E5891-9922-49DC-9BDF-1EAD5DA91394}"/>
    <cellStyle name="CustomizationCells 2 2 2 2 2 62" xfId="30391" xr:uid="{A22DC689-D14C-40E6-8421-EAA8FB0BD267}"/>
    <cellStyle name="CustomizationCells 2 2 2 2 2 63" xfId="30808" xr:uid="{720B2A0A-0167-47B0-926F-5C4DF0A7145A}"/>
    <cellStyle name="CustomizationCells 2 2 2 2 2 64" xfId="31053" xr:uid="{89FE55CA-65BD-4151-91B1-8366B3BBE086}"/>
    <cellStyle name="CustomizationCells 2 2 2 2 2 65" xfId="31424" xr:uid="{22D52BA2-6C91-4894-B3B3-394866666CFF}"/>
    <cellStyle name="CustomizationCells 2 2 2 2 2 66" xfId="32115" xr:uid="{D56D51D3-9EB4-49D6-91D7-B467C5004B9A}"/>
    <cellStyle name="CustomizationCells 2 2 2 2 2 67" xfId="32402" xr:uid="{AA142B68-96FF-4274-871F-AD27DCE6128B}"/>
    <cellStyle name="CustomizationCells 2 2 2 2 2 7" xfId="4207" xr:uid="{D51A6699-CF49-487E-88C6-56DFA49E35E7}"/>
    <cellStyle name="CustomizationCells 2 2 2 2 2 8" xfId="4644" xr:uid="{240BB34D-01FD-4ACD-B7F0-5C764DC1B611}"/>
    <cellStyle name="CustomizationCells 2 2 2 2 2 9" xfId="5090" xr:uid="{C94554B6-2BFA-4007-8BA8-D60A3A0C6FA9}"/>
    <cellStyle name="CustomizationCells 2 2 2 2 20" xfId="10102" xr:uid="{B4929D52-D0BD-42A6-87E6-03ED892235B3}"/>
    <cellStyle name="CustomizationCells 2 2 2 2 21" xfId="10518" xr:uid="{37244940-5E6B-4A3A-83ED-E671BA79881A}"/>
    <cellStyle name="CustomizationCells 2 2 2 2 22" xfId="10737" xr:uid="{AD85B5F2-D08A-4EB3-8975-88B536FA28EB}"/>
    <cellStyle name="CustomizationCells 2 2 2 2 23" xfId="10935" xr:uid="{855E7270-2CD0-4781-9F51-E9C48C6A8940}"/>
    <cellStyle name="CustomizationCells 2 2 2 2 24" xfId="12028" xr:uid="{0A38C064-9BDA-4649-BFFD-68EF132325D7}"/>
    <cellStyle name="CustomizationCells 2 2 2 2 25" xfId="12501" xr:uid="{E243531B-C72C-4D22-AFC7-FB0D076684D8}"/>
    <cellStyle name="CustomizationCells 2 2 2 2 26" xfId="12935" xr:uid="{D04F9DB2-5005-4353-BEDC-1E3C9CAAD056}"/>
    <cellStyle name="CustomizationCells 2 2 2 2 27" xfId="13372" xr:uid="{330678A9-EB6C-4711-ADD8-E0C023BB3FA8}"/>
    <cellStyle name="CustomizationCells 2 2 2 2 28" xfId="13731" xr:uid="{284566B3-BA49-4F17-8B71-4FC4884E2A3E}"/>
    <cellStyle name="CustomizationCells 2 2 2 2 29" xfId="14327" xr:uid="{263739E8-C23F-4C04-AC76-90991812F4C5}"/>
    <cellStyle name="CustomizationCells 2 2 2 2 3" xfId="1157" xr:uid="{F275D878-7520-43CC-A687-16178C62691B}"/>
    <cellStyle name="CustomizationCells 2 2 2 2 30" xfId="14752" xr:uid="{C403BC4A-32F9-456F-8EC8-64501EDAD051}"/>
    <cellStyle name="CustomizationCells 2 2 2 2 31" xfId="15056" xr:uid="{60B9A895-F508-4456-97F1-9985B257AB59}"/>
    <cellStyle name="CustomizationCells 2 2 2 2 32" xfId="13753" xr:uid="{58ADC85B-4F65-4191-8939-2002219DDF22}"/>
    <cellStyle name="CustomizationCells 2 2 2 2 33" xfId="15912" xr:uid="{B9EDE7DC-9C2B-4C49-B399-1DEBA908DB3A}"/>
    <cellStyle name="CustomizationCells 2 2 2 2 34" xfId="16720" xr:uid="{45C099DB-07F4-4A0D-9F98-712C0A1309D2}"/>
    <cellStyle name="CustomizationCells 2 2 2 2 35" xfId="17221" xr:uid="{798AB9B1-3086-41F4-8EE6-A6FC0599DA77}"/>
    <cellStyle name="CustomizationCells 2 2 2 2 36" xfId="17666" xr:uid="{3CD5C56B-20B1-4CB2-BB19-9C8D3D916541}"/>
    <cellStyle name="CustomizationCells 2 2 2 2 37" xfId="18153" xr:uid="{FC210B34-04D2-4630-90B7-499E3760AAAD}"/>
    <cellStyle name="CustomizationCells 2 2 2 2 38" xfId="18538" xr:uid="{4D4F6968-2BD9-4EAF-BE17-BAA032D9F87E}"/>
    <cellStyle name="CustomizationCells 2 2 2 2 39" xfId="17920" xr:uid="{75E65480-4C1A-42EA-83D2-4ED2272BC595}"/>
    <cellStyle name="CustomizationCells 2 2 2 2 4" xfId="1373" xr:uid="{961B170B-A677-4873-ACC2-DBBA2CB9E02D}"/>
    <cellStyle name="CustomizationCells 2 2 2 2 40" xfId="19331" xr:uid="{3182676A-FFD9-47BB-8816-9EC7A3FEAE70}"/>
    <cellStyle name="CustomizationCells 2 2 2 2 41" xfId="20057" xr:uid="{DE726873-6FD2-4A39-BB20-D188F3E93796}"/>
    <cellStyle name="CustomizationCells 2 2 2 2 42" xfId="20574" xr:uid="{5D64F8F8-70E3-4A46-B81C-79856EBC8F11}"/>
    <cellStyle name="CustomizationCells 2 2 2 2 43" xfId="21027" xr:uid="{EDE34666-7EC2-41F7-B821-27878121C09D}"/>
    <cellStyle name="CustomizationCells 2 2 2 2 44" xfId="21540" xr:uid="{52E0D8B6-6D57-4276-9569-77BB4C541A1A}"/>
    <cellStyle name="CustomizationCells 2 2 2 2 45" xfId="21958" xr:uid="{D1628D5B-D28F-4A66-A2D8-A6AC4B94087D}"/>
    <cellStyle name="CustomizationCells 2 2 2 2 46" xfId="22389" xr:uid="{75AD711C-F040-44F0-9AFF-E1840A1BE25D}"/>
    <cellStyle name="CustomizationCells 2 2 2 2 47" xfId="22727" xr:uid="{DD7DF0AA-AF14-49DC-8168-9858EDA9C9E0}"/>
    <cellStyle name="CustomizationCells 2 2 2 2 48" xfId="21231" xr:uid="{D0785C88-389D-4153-9D1A-585DFD01FA33}"/>
    <cellStyle name="CustomizationCells 2 2 2 2 49" xfId="23355" xr:uid="{913566AB-872A-4C7B-B60C-BFAD36D7CC6B}"/>
    <cellStyle name="CustomizationCells 2 2 2 2 5" xfId="2497" xr:uid="{815E66CE-8C45-49A1-B468-D7BDCD0ACD27}"/>
    <cellStyle name="CustomizationCells 2 2 2 2 50" xfId="23865" xr:uid="{3A486A71-041B-498B-8D2A-4CE202504AE8}"/>
    <cellStyle name="CustomizationCells 2 2 2 2 51" xfId="24765" xr:uid="{E31B142B-E0F7-44F3-9E11-0AD11B0CC48F}"/>
    <cellStyle name="CustomizationCells 2 2 2 2 52" xfId="25282" xr:uid="{3F0BACEB-B295-48D4-926C-4B091E974510}"/>
    <cellStyle name="CustomizationCells 2 2 2 2 53" xfId="25683" xr:uid="{8EF10229-4F49-4CEE-B615-848E0CDAFE51}"/>
    <cellStyle name="CustomizationCells 2 2 2 2 54" xfId="26031" xr:uid="{744F4835-586D-4DD4-AF10-A7A38B04CEB6}"/>
    <cellStyle name="CustomizationCells 2 2 2 2 55" xfId="25240" xr:uid="{89E58C54-466F-43AC-A8D1-1B10ACF72A45}"/>
    <cellStyle name="CustomizationCells 2 2 2 2 56" xfId="26973" xr:uid="{DA0A9541-D6D4-468A-93E2-4BAFADE20C1D}"/>
    <cellStyle name="CustomizationCells 2 2 2 2 57" xfId="27392" xr:uid="{F1F56BE0-F861-49CD-90D3-8432D847C51D}"/>
    <cellStyle name="CustomizationCells 2 2 2 2 58" xfId="24270" xr:uid="{948A0405-0E2B-4395-8C32-F0E16F0B58B4}"/>
    <cellStyle name="CustomizationCells 2 2 2 2 59" xfId="28515" xr:uid="{9E059394-C4ED-436C-A3FF-E833343AA007}"/>
    <cellStyle name="CustomizationCells 2 2 2 2 6" xfId="2896" xr:uid="{E1BCA042-453F-430D-9515-D63806C7149D}"/>
    <cellStyle name="CustomizationCells 2 2 2 2 60" xfId="28983" xr:uid="{9E6E4415-F7E3-4521-9E58-63E40EB5D365}"/>
    <cellStyle name="CustomizationCells 2 2 2 2 61" xfId="29410" xr:uid="{41FCB234-5F35-49AF-9ABE-0C9443D662E2}"/>
    <cellStyle name="CustomizationCells 2 2 2 2 62" xfId="29773" xr:uid="{FEEA52CA-680E-47FF-AA9E-E4782077CE49}"/>
    <cellStyle name="CustomizationCells 2 2 2 2 63" xfId="30180" xr:uid="{ADE1250A-38CD-4294-B7AB-854ABC0133D3}"/>
    <cellStyle name="CustomizationCells 2 2 2 2 64" xfId="30595" xr:uid="{292EC000-39D4-4083-8770-E0CDCA2931D4}"/>
    <cellStyle name="CustomizationCells 2 2 2 2 65" xfId="30902" xr:uid="{2B49D25D-D3AF-4CB2-9781-958D7D20E70E}"/>
    <cellStyle name="CustomizationCells 2 2 2 2 66" xfId="31218" xr:uid="{51ADCA7B-9AD6-491A-BCD0-17E7C1DEDF85}"/>
    <cellStyle name="CustomizationCells 2 2 2 2 67" xfId="31904" xr:uid="{76A11661-5B70-49FE-BA3D-4C2E1702223B}"/>
    <cellStyle name="CustomizationCells 2 2 2 2 68" xfId="31717" xr:uid="{EC5FC604-5C88-4E15-9DD9-E46CE202ACC5}"/>
    <cellStyle name="CustomizationCells 2 2 2 2 7" xfId="2826" xr:uid="{EE88DD43-197A-426F-A4A6-B981D35F1E73}"/>
    <cellStyle name="CustomizationCells 2 2 2 2 8" xfId="3993" xr:uid="{06838B93-203A-4806-A9F4-78D20A1EB4E5}"/>
    <cellStyle name="CustomizationCells 2 2 2 2 9" xfId="4431" xr:uid="{0C7043E5-D7ED-4AAB-AFFA-208C8ADD06F9}"/>
    <cellStyle name="CustomizationCells 2 2 20" xfId="7668" xr:uid="{C6ECF1B7-CA07-49F8-BC80-1AC906DD7636}"/>
    <cellStyle name="CustomizationCells 2 2 21" xfId="7996" xr:uid="{2F45EE5D-F7B0-4F26-9FEC-F1261F95E194}"/>
    <cellStyle name="CustomizationCells 2 2 22" xfId="9379" xr:uid="{0AEC5CA4-7419-4BE9-B988-BB5BFDF95C9F}"/>
    <cellStyle name="CustomizationCells 2 2 23" xfId="10137" xr:uid="{84EF811E-8E5E-491F-BF9B-EAB2F01AEAB0}"/>
    <cellStyle name="CustomizationCells 2 2 24" xfId="10547" xr:uid="{4F2E6395-A4FC-4211-ABC6-D583B717866F}"/>
    <cellStyle name="CustomizationCells 2 2 25" xfId="10018" xr:uid="{C057E6E8-D6BB-4EFC-8540-8BE829161B3D}"/>
    <cellStyle name="CustomizationCells 2 2 26" xfId="10790" xr:uid="{14242432-F216-4A17-B227-C9E4ADA867B7}"/>
    <cellStyle name="CustomizationCells 2 2 27" xfId="11792" xr:uid="{93F96321-7D57-4813-94F1-6BC850CDB3B2}"/>
    <cellStyle name="CustomizationCells 2 2 28" xfId="12266" xr:uid="{CF3E0A51-3B2E-4D47-AA77-78D2DA88EF70}"/>
    <cellStyle name="CustomizationCells 2 2 29" xfId="11371" xr:uid="{F777AAFA-0D07-4229-87E8-BD8A3C66ECDD}"/>
    <cellStyle name="CustomizationCells 2 2 3" xfId="658" xr:uid="{C5A2AD11-AACC-4C4E-9F18-42F7DBA9699F}"/>
    <cellStyle name="CustomizationCells 2 2 3 10" xfId="4987" xr:uid="{54CB82FC-6E52-4E8C-A78E-6D4D95D91FBB}"/>
    <cellStyle name="CustomizationCells 2 2 3 11" xfId="5306" xr:uid="{C4A9E412-2162-4CE2-BC23-FB791768A328}"/>
    <cellStyle name="CustomizationCells 2 2 3 12" xfId="4912" xr:uid="{5B0E3929-6E51-4884-9A86-023563BC1BFC}"/>
    <cellStyle name="CustomizationCells 2 2 3 13" xfId="5950" xr:uid="{E37EEC61-B7F2-4630-B5F5-EEAC680C9845}"/>
    <cellStyle name="CustomizationCells 2 2 3 14" xfId="6626" xr:uid="{723B9F98-8A18-41E9-A572-40A80731E6DD}"/>
    <cellStyle name="CustomizationCells 2 2 3 15" xfId="7378" xr:uid="{62311638-F3F0-4AA0-9F88-D3EEFA430ECF}"/>
    <cellStyle name="CustomizationCells 2 2 3 16" xfId="7747" xr:uid="{0D6B3024-6FD7-4660-A128-03D72F630DA3}"/>
    <cellStyle name="CustomizationCells 2 2 3 17" xfId="8081" xr:uid="{274F45BA-E55D-4C0B-86DE-2D85493CB4BF}"/>
    <cellStyle name="CustomizationCells 2 2 3 18" xfId="8139" xr:uid="{DBC01BF2-5406-45FD-AAB8-320609BEDECF}"/>
    <cellStyle name="CustomizationCells 2 2 3 19" xfId="9592" xr:uid="{A18F2DFC-C1F7-4D5F-A214-DA725E5AD2F4}"/>
    <cellStyle name="CustomizationCells 2 2 3 2" xfId="873" xr:uid="{BE49B008-6FF1-4F3B-8137-FAD9623928EF}"/>
    <cellStyle name="CustomizationCells 2 2 3 2 10" xfId="5521" xr:uid="{01905FB9-EB63-41A6-B0F8-BB7BA158673E}"/>
    <cellStyle name="CustomizationCells 2 2 3 2 11" xfId="6015" xr:uid="{F9A2C439-F965-4648-BBB2-52B0623001F3}"/>
    <cellStyle name="CustomizationCells 2 2 3 2 12" xfId="6374" xr:uid="{EAADF7C9-4ACB-482B-AC58-598B15637943}"/>
    <cellStyle name="CustomizationCells 2 2 3 2 13" xfId="6712" xr:uid="{AA55A6E5-BC87-4183-BD01-E56433CA84BF}"/>
    <cellStyle name="CustomizationCells 2 2 3 2 14" xfId="7593" xr:uid="{4D4448D8-8B2C-429A-8958-E25CC0444D67}"/>
    <cellStyle name="CustomizationCells 2 2 3 2 15" xfId="8057" xr:uid="{441A8FCC-6251-4132-B0B6-0CEAB1F6A218}"/>
    <cellStyle name="CustomizationCells 2 2 3 2 16" xfId="8666" xr:uid="{14E741EF-8B07-4880-B64C-41D886A73F9F}"/>
    <cellStyle name="CustomizationCells 2 2 3 2 17" xfId="8925" xr:uid="{9D86F5F0-638A-46F6-8207-08D55B8337F5}"/>
    <cellStyle name="CustomizationCells 2 2 3 2 18" xfId="9807" xr:uid="{A5C8AA62-63A0-44D6-8865-688661BFBFF1}"/>
    <cellStyle name="CustomizationCells 2 2 3 2 19" xfId="10276" xr:uid="{C5477E81-9797-4A3D-86DD-9A47814F7B50}"/>
    <cellStyle name="CustomizationCells 2 2 3 2 2" xfId="1347" xr:uid="{245D3C0E-56FC-4765-BF25-97863CB039E2}"/>
    <cellStyle name="CustomizationCells 2 2 3 2 20" xfId="10670" xr:uid="{F3EA2709-FC1C-44BA-9CE2-95C57F7F3584}"/>
    <cellStyle name="CustomizationCells 2 2 3 2 21" xfId="11019" xr:uid="{D16ADC01-DB7F-4338-BB80-2D4F7FF34054}"/>
    <cellStyle name="CustomizationCells 2 2 3 2 22" xfId="11329" xr:uid="{628F12ED-1A4C-46BD-9DBB-17D9A1E834DE}"/>
    <cellStyle name="CustomizationCells 2 2 3 2 23" xfId="12226" xr:uid="{46FCBE61-5F5F-444E-AC00-96A097E79FFA}"/>
    <cellStyle name="CustomizationCells 2 2 3 2 24" xfId="12699" xr:uid="{39A9BB89-2C02-4133-A962-1EE6B0A983F3}"/>
    <cellStyle name="CustomizationCells 2 2 3 2 25" xfId="13133" xr:uid="{772DAD65-B244-4263-AC75-369970D3CD8B}"/>
    <cellStyle name="CustomizationCells 2 2 3 2 26" xfId="13570" xr:uid="{BF463C18-A49F-4876-9259-7CC4C11C1C6A}"/>
    <cellStyle name="CustomizationCells 2 2 3 2 27" xfId="14042" xr:uid="{171989A7-C6EF-4A90-B917-7E7BD5870549}"/>
    <cellStyle name="CustomizationCells 2 2 3 2 28" xfId="14489" xr:uid="{70917439-B1D0-49FC-A279-6FEF86A76BFE}"/>
    <cellStyle name="CustomizationCells 2 2 3 2 29" xfId="14923" xr:uid="{9B78E6B6-6C8B-4274-9F72-749D21123D5C}"/>
    <cellStyle name="CustomizationCells 2 2 3 2 3" xfId="1796" xr:uid="{C6659A90-86EB-4A7E-9E01-06C46842325B}"/>
    <cellStyle name="CustomizationCells 2 2 3 2 30" xfId="15393" xr:uid="{C2AE859A-8258-4497-B49E-DE87C12B0B27}"/>
    <cellStyle name="CustomizationCells 2 2 3 2 31" xfId="15783" xr:uid="{413DD07F-F4FB-4504-A8DB-F07ACF16FC6A}"/>
    <cellStyle name="CustomizationCells 2 2 3 2 32" xfId="16005" xr:uid="{460C72A3-6D09-4B08-84A4-C7AF0208A48E}"/>
    <cellStyle name="CustomizationCells 2 2 3 2 33" xfId="16918" xr:uid="{FC4A257B-6679-434A-8149-032871FEA5C2}"/>
    <cellStyle name="CustomizationCells 2 2 3 2 34" xfId="17399" xr:uid="{5B1805BC-A827-4631-92CC-952C57CFC138}"/>
    <cellStyle name="CustomizationCells 2 2 3 2 35" xfId="17840" xr:uid="{C01E1B92-A336-4578-96BC-B29AA002CD75}"/>
    <cellStyle name="CustomizationCells 2 2 3 2 36" xfId="18315" xr:uid="{36015858-17CB-4CBA-AB54-BCCDF940301C}"/>
    <cellStyle name="CustomizationCells 2 2 3 2 37" xfId="18736" xr:uid="{A6C1924C-D1DF-4ED5-B9A7-D1F9558FB7FA}"/>
    <cellStyle name="CustomizationCells 2 2 3 2 38" xfId="19123" xr:uid="{04CEA15C-83B8-4903-B0BA-89948C8E110C}"/>
    <cellStyle name="CustomizationCells 2 2 3 2 39" xfId="19353" xr:uid="{BB99F999-3C8F-4CD5-93D4-25041FD6B6C1}"/>
    <cellStyle name="CustomizationCells 2 2 3 2 4" xfId="2695" xr:uid="{71D0BD5E-008B-4553-A148-84E0FBC2CC3A}"/>
    <cellStyle name="CustomizationCells 2 2 3 2 40" xfId="20255" xr:uid="{6EB563A4-D2D5-4CEF-99E2-7F1FF3BBD8B5}"/>
    <cellStyle name="CustomizationCells 2 2 3 2 41" xfId="20748" xr:uid="{87A2183B-F5C6-4CB1-8D28-F05B3E828B07}"/>
    <cellStyle name="CustomizationCells 2 2 3 2 42" xfId="21207" xr:uid="{691444BA-3A3F-4439-98A7-62A51B9910FA}"/>
    <cellStyle name="CustomizationCells 2 2 3 2 43" xfId="21699" xr:uid="{689ED483-BBEF-4F45-A7E3-617436609C8F}"/>
    <cellStyle name="CustomizationCells 2 2 3 2 44" xfId="22138" xr:uid="{705CB9EF-5939-46FE-81F8-0A43433564D9}"/>
    <cellStyle name="CustomizationCells 2 2 3 2 45" xfId="22565" xr:uid="{989732FE-CE53-4BDD-BDD4-98BA38C9A6F3}"/>
    <cellStyle name="CustomizationCells 2 2 3 2 46" xfId="23010" xr:uid="{39AEE52C-DADF-47D9-AA25-DC6C1649FC42}"/>
    <cellStyle name="CustomizationCells 2 2 3 2 47" xfId="23412" xr:uid="{0C381B8E-E03B-4F5C-8696-BC84441269D5}"/>
    <cellStyle name="CustomizationCells 2 2 3 2 48" xfId="23675" xr:uid="{04D871A8-547E-4CA9-B6E6-4DFF1C90E88A}"/>
    <cellStyle name="CustomizationCells 2 2 3 2 49" xfId="24055" xr:uid="{7C89934D-DC84-4E3D-B8A2-E432AEA35EA5}"/>
    <cellStyle name="CustomizationCells 2 2 3 2 5" xfId="3215" xr:uid="{399BF22F-AE25-4A92-84EA-5A91386EADF1}"/>
    <cellStyle name="CustomizationCells 2 2 3 2 50" xfId="24963" xr:uid="{1D013045-4278-42F5-A4BA-E6BE332EB142}"/>
    <cellStyle name="CustomizationCells 2 2 3 2 51" xfId="25451" xr:uid="{CB374391-F533-48B0-B49A-15AE66EC1547}"/>
    <cellStyle name="CustomizationCells 2 2 3 2 52" xfId="25879" xr:uid="{2F39A4C3-33CD-40DF-B3D3-3147C3F271C3}"/>
    <cellStyle name="CustomizationCells 2 2 3 2 53" xfId="26317" xr:uid="{FB40BE26-0C3F-448D-973F-8114CB226937}"/>
    <cellStyle name="CustomizationCells 2 2 3 2 54" xfId="26746" xr:uid="{77D9C22C-9C20-4D15-9E56-E5455CE40561}"/>
    <cellStyle name="CustomizationCells 2 2 3 2 55" xfId="27167" xr:uid="{EA77F411-CDF6-4734-BF71-6FAEF65EE1D0}"/>
    <cellStyle name="CustomizationCells 2 2 3 2 56" xfId="27586" xr:uid="{566F97DB-1743-4A9A-8805-AA655B21619D}"/>
    <cellStyle name="CustomizationCells 2 2 3 2 57" xfId="25146" xr:uid="{0A710F30-4525-4A2D-8F2F-BBF2B4331AF9}"/>
    <cellStyle name="CustomizationCells 2 2 3 2 58" xfId="28713" xr:uid="{3054C385-E867-48AA-8992-868B3175CD93}"/>
    <cellStyle name="CustomizationCells 2 2 3 2 59" xfId="29180" xr:uid="{A7B735E4-9587-4565-8A6D-F193EEC009C8}"/>
    <cellStyle name="CustomizationCells 2 2 3 2 6" xfId="3770" xr:uid="{68900520-BAEE-44B6-AA36-D0519B7E215B}"/>
    <cellStyle name="CustomizationCells 2 2 3 2 60" xfId="29562" xr:uid="{54309508-8622-422D-B905-77F6FED68646}"/>
    <cellStyle name="CustomizationCells 2 2 3 2 61" xfId="29969" xr:uid="{7A5222B6-11FA-4F07-91D6-BD5611142EDB}"/>
    <cellStyle name="CustomizationCells 2 2 3 2 62" xfId="30375" xr:uid="{88E637C3-2A61-45F6-9EA6-EDFE08BDBE3B}"/>
    <cellStyle name="CustomizationCells 2 2 3 2 63" xfId="30792" xr:uid="{E4440256-A881-43CD-9163-0FD8E825F790}"/>
    <cellStyle name="CustomizationCells 2 2 3 2 64" xfId="31037" xr:uid="{F4BF7E59-3DBF-41D0-BEE2-9DEB4D5B6780}"/>
    <cellStyle name="CustomizationCells 2 2 3 2 65" xfId="31408" xr:uid="{E01B7509-86E5-411F-AFDB-AC9A85BF0C2C}"/>
    <cellStyle name="CustomizationCells 2 2 3 2 66" xfId="32099" xr:uid="{54F46412-B8CF-49FA-8E56-17D2D840C6D3}"/>
    <cellStyle name="CustomizationCells 2 2 3 2 67" xfId="32386" xr:uid="{C6933681-200D-46A9-9161-D6C319342E85}"/>
    <cellStyle name="CustomizationCells 2 2 3 2 7" xfId="4191" xr:uid="{CCED6A7D-7D18-4D86-9C60-9740B246D799}"/>
    <cellStyle name="CustomizationCells 2 2 3 2 8" xfId="4628" xr:uid="{B49BEFF6-07D1-494F-9E12-D8DA8E229B89}"/>
    <cellStyle name="CustomizationCells 2 2 3 2 9" xfId="5074" xr:uid="{10581E06-D5A6-44FE-B6F5-DDE6783EAF53}"/>
    <cellStyle name="CustomizationCells 2 2 3 20" xfId="9961" xr:uid="{5ECA05CD-3099-4F4E-B27B-C5A99E8CC7C1}"/>
    <cellStyle name="CustomizationCells 2 2 3 21" xfId="10390" xr:uid="{33AEB5AF-DD11-4E90-BB6B-5219E9077BD9}"/>
    <cellStyle name="CustomizationCells 2 2 3 22" xfId="10179" xr:uid="{A48072A9-2DE8-4EF0-891C-0EBC7BB4D491}"/>
    <cellStyle name="CustomizationCells 2 2 3 23" xfId="10369" xr:uid="{66382753-FA84-4684-8203-B26282505A87}"/>
    <cellStyle name="CustomizationCells 2 2 3 24" xfId="12011" xr:uid="{FF28B5F0-CF18-49F6-A132-F22A02177D71}"/>
    <cellStyle name="CustomizationCells 2 2 3 25" xfId="12484" xr:uid="{FABE8F72-30A9-45A0-BD84-ED9CA0C863DD}"/>
    <cellStyle name="CustomizationCells 2 2 3 26" xfId="12918" xr:uid="{D8351904-5D43-4AA2-8516-21CD451E405C}"/>
    <cellStyle name="CustomizationCells 2 2 3 27" xfId="13355" xr:uid="{08C58C42-43EF-4C53-8D20-7C3B2B5E9304}"/>
    <cellStyle name="CustomizationCells 2 2 3 28" xfId="13987" xr:uid="{4CA315C3-9F7D-4A72-AE9D-ACE30FBEE535}"/>
    <cellStyle name="CustomizationCells 2 2 3 29" xfId="14202" xr:uid="{F724C25A-7383-489E-BB03-E9E362DB7018}"/>
    <cellStyle name="CustomizationCells 2 2 3 3" xfId="1141" xr:uid="{A664F385-E248-4634-940A-4A35E203A5DD}"/>
    <cellStyle name="CustomizationCells 2 2 3 30" xfId="14613" xr:uid="{62A0C386-845E-446B-9726-AAD7319C138E}"/>
    <cellStyle name="CustomizationCells 2 2 3 31" xfId="14769" xr:uid="{009854EB-F7EE-49A5-859C-38C869CE38A7}"/>
    <cellStyle name="CustomizationCells 2 2 3 32" xfId="14087" xr:uid="{D102F0C4-5F15-442B-AEBA-446442E0E983}"/>
    <cellStyle name="CustomizationCells 2 2 3 33" xfId="15832" xr:uid="{98DD6874-7F23-4A75-8112-58E7DE478428}"/>
    <cellStyle name="CustomizationCells 2 2 3 34" xfId="16703" xr:uid="{CF1C64C0-97B5-47B2-AA23-BCA665B93FA0}"/>
    <cellStyle name="CustomizationCells 2 2 3 35" xfId="17076" xr:uid="{AD92D047-7CA5-49DC-832B-4E4A4EF4F5BE}"/>
    <cellStyle name="CustomizationCells 2 2 3 36" xfId="17523" xr:uid="{13A716E5-A55E-4994-B31D-3E72FB4B2766}"/>
    <cellStyle name="CustomizationCells 2 2 3 37" xfId="17513" xr:uid="{BB9A1D8B-DB89-41AE-A75C-985D7000946E}"/>
    <cellStyle name="CustomizationCells 2 2 3 38" xfId="18521" xr:uid="{387ADF3F-1108-4C4E-B9E1-D2A947122173}"/>
    <cellStyle name="CustomizationCells 2 2 3 39" xfId="16979" xr:uid="{2BBD8F2C-58EB-4EB4-9FC0-F89786F5A965}"/>
    <cellStyle name="CustomizationCells 2 2 3 4" xfId="1518" xr:uid="{650CABC6-59FC-40B2-B6EC-165A832F5EF8}"/>
    <cellStyle name="CustomizationCells 2 2 3 40" xfId="18804" xr:uid="{4BFCDF71-7A06-4CC7-9782-DA6F3EDC6C06}"/>
    <cellStyle name="CustomizationCells 2 2 3 41" xfId="20040" xr:uid="{BF3F962F-4C0D-4D92-85D0-7F299D5DE718}"/>
    <cellStyle name="CustomizationCells 2 2 3 42" xfId="20429" xr:uid="{40BEAB07-0F9E-49E3-BBAE-4D85BB8B01AA}"/>
    <cellStyle name="CustomizationCells 2 2 3 43" xfId="20881" xr:uid="{95EFEA6C-EB76-46CE-9B66-979804DFFF0D}"/>
    <cellStyle name="CustomizationCells 2 2 3 44" xfId="19551" xr:uid="{87FF8D6A-1AED-4406-B4A5-A85C775EE55C}"/>
    <cellStyle name="CustomizationCells 2 2 3 45" xfId="21813" xr:uid="{F9591279-9808-4EFF-8B53-B97730015A53}"/>
    <cellStyle name="CustomizationCells 2 2 3 46" xfId="22248" xr:uid="{E950758E-70B0-4221-B279-5C274FB02785}"/>
    <cellStyle name="CustomizationCells 2 2 3 47" xfId="22959" xr:uid="{F4247E24-3547-4EC0-9D0A-108E5F76800F}"/>
    <cellStyle name="CustomizationCells 2 2 3 48" xfId="22977" xr:uid="{E95DD85F-6F9C-4732-A135-2733D793FF0A}"/>
    <cellStyle name="CustomizationCells 2 2 3 49" xfId="23238" xr:uid="{DFA62F8D-4D2E-4056-8461-C2DC68C0B1E5}"/>
    <cellStyle name="CustomizationCells 2 2 3 5" xfId="2480" xr:uid="{08BF51A4-5868-424C-9EF7-666403B02141}"/>
    <cellStyle name="CustomizationCells 2 2 3 50" xfId="23849" xr:uid="{592391CC-1E28-4165-9046-18F0C06906B6}"/>
    <cellStyle name="CustomizationCells 2 2 3 51" xfId="24748" xr:uid="{420867B2-F4C7-4E55-858C-E747FA658FD4}"/>
    <cellStyle name="CustomizationCells 2 2 3 52" xfId="25136" xr:uid="{C104F893-FDD4-4DD3-AD67-B2661449C181}"/>
    <cellStyle name="CustomizationCells 2 2 3 53" xfId="25666" xr:uid="{402384B2-2565-4BA5-A66F-F924238E96E0}"/>
    <cellStyle name="CustomizationCells 2 2 3 54" xfId="26266" xr:uid="{BBE00607-8F6C-4F4F-86C1-4C6EBAB1739B}"/>
    <cellStyle name="CustomizationCells 2 2 3 55" xfId="26172" xr:uid="{9413C74B-0AC9-459A-9ACF-DC2E081614B2}"/>
    <cellStyle name="CustomizationCells 2 2 3 56" xfId="26956" xr:uid="{3CAF1A66-2FB6-43EF-B601-394D325015CF}"/>
    <cellStyle name="CustomizationCells 2 2 3 57" xfId="27375" xr:uid="{78E77D0B-9A72-4FDF-AA21-FC7BE212DDED}"/>
    <cellStyle name="CustomizationCells 2 2 3 58" xfId="25954" xr:uid="{F43F2223-4DA0-41E7-8699-8B4EE90B1B47}"/>
    <cellStyle name="CustomizationCells 2 2 3 59" xfId="28498" xr:uid="{08084593-BBD6-441F-A410-1271DBF678C4}"/>
    <cellStyle name="CustomizationCells 2 2 3 6" xfId="3158" xr:uid="{8906F643-E147-4D84-9FDC-2599DC392D92}"/>
    <cellStyle name="CustomizationCells 2 2 3 60" xfId="28966" xr:uid="{0F5A5E2B-4877-4A71-B3D4-FCD9F7FCDBC9}"/>
    <cellStyle name="CustomizationCells 2 2 3 61" xfId="29288" xr:uid="{A42EC2F4-43C5-44B6-B052-AC57ECCD234E}"/>
    <cellStyle name="CustomizationCells 2 2 3 62" xfId="29756" xr:uid="{B7392D1D-3504-4600-B9D6-1151C844F536}"/>
    <cellStyle name="CustomizationCells 2 2 3 63" xfId="30164" xr:uid="{C9C512AD-F996-4D15-BF98-FC1BC77968B7}"/>
    <cellStyle name="CustomizationCells 2 2 3 64" xfId="30578" xr:uid="{7EAA1821-EC3B-4094-BD7D-B156720FE9DB}"/>
    <cellStyle name="CustomizationCells 2 2 3 65" xfId="30892" xr:uid="{678E4025-CD98-4395-9BA4-37BCAFEA38DF}"/>
    <cellStyle name="CustomizationCells 2 2 3 66" xfId="31202" xr:uid="{0DAF110C-17DA-4EAD-8985-A27591725BCA}"/>
    <cellStyle name="CustomizationCells 2 2 3 67" xfId="31888" xr:uid="{96B3DA34-0B73-461F-B3F1-391F4883B97A}"/>
    <cellStyle name="CustomizationCells 2 2 3 68" xfId="31503" xr:uid="{2786BE8E-2CE3-4094-A31D-892EDA4340F7}"/>
    <cellStyle name="CustomizationCells 2 2 3 7" xfId="3020" xr:uid="{75631E94-988F-4C01-8DBF-FFDF1CFB5B63}"/>
    <cellStyle name="CustomizationCells 2 2 3 8" xfId="3976" xr:uid="{3DF9B85D-497C-48F5-ACB7-BE312C6F1B46}"/>
    <cellStyle name="CustomizationCells 2 2 3 9" xfId="4414" xr:uid="{774E4E8E-B2DE-46E4-9D27-390631D0B3D9}"/>
    <cellStyle name="CustomizationCells 2 2 30" xfId="11710" xr:uid="{E4B5C5BD-CF34-43AB-8CBF-0F68048EB7C8}"/>
    <cellStyle name="CustomizationCells 2 2 31" xfId="11758" xr:uid="{BFE8DE34-24CA-4E4E-AB0C-8048C42F184C}"/>
    <cellStyle name="CustomizationCells 2 2 32" xfId="14410" xr:uid="{A823F871-E5B3-43B7-BBAC-6B1580B2CF21}"/>
    <cellStyle name="CustomizationCells 2 2 33" xfId="14887" xr:uid="{0A463913-3806-4086-9441-4CE3A0722124}"/>
    <cellStyle name="CustomizationCells 2 2 34" xfId="15228" xr:uid="{724EBF44-9932-4511-8AA6-62095B041E8B}"/>
    <cellStyle name="CustomizationCells 2 2 35" xfId="15653" xr:uid="{B348E8B6-46EE-4F0C-A6AD-EEE2C01202DA}"/>
    <cellStyle name="CustomizationCells 2 2 36" xfId="15931" xr:uid="{BA7F9F43-3E56-4479-B64B-BA34D34735B6}"/>
    <cellStyle name="CustomizationCells 2 2 37" xfId="16485" xr:uid="{8439CBE1-9605-40E8-816D-B4126A790E40}"/>
    <cellStyle name="CustomizationCells 2 2 38" xfId="17256" xr:uid="{0D6D0E28-50FE-4C3D-ACB4-6B7D5088CFEA}"/>
    <cellStyle name="CustomizationCells 2 2 39" xfId="17700" xr:uid="{570D55A7-006C-4DDF-8764-1B5967D59801}"/>
    <cellStyle name="CustomizationCells 2 2 4" xfId="521" xr:uid="{5BCC20F8-D790-4E0C-B598-95763B251E10}"/>
    <cellStyle name="CustomizationCells 2 2 4 10" xfId="4744" xr:uid="{1E2BC784-6F57-4182-94CF-DD1A0A2D00C2}"/>
    <cellStyle name="CustomizationCells 2 2 4 11" xfId="5169" xr:uid="{8A4D1017-6E8E-4D1F-8F08-FC42B41568C4}"/>
    <cellStyle name="CustomizationCells 2 2 4 12" xfId="5099" xr:uid="{0A4A2DFD-5255-49F9-A1BF-E31D09D59F3B}"/>
    <cellStyle name="CustomizationCells 2 2 4 13" xfId="4816" xr:uid="{DC3BA8B6-F96F-4CB2-88BD-A6168198BCE8}"/>
    <cellStyle name="CustomizationCells 2 2 4 14" xfId="6649" xr:uid="{897E7C27-592E-4D9E-8C29-EBE6AC8C68AB}"/>
    <cellStyle name="CustomizationCells 2 2 4 15" xfId="7241" xr:uid="{F5C7D655-05B8-4F29-BFA8-859E07DE5D92}"/>
    <cellStyle name="CustomizationCells 2 2 4 16" xfId="7808" xr:uid="{851ABAFF-247D-4771-8D3B-B77C30F2074F}"/>
    <cellStyle name="CustomizationCells 2 2 4 17" xfId="7850" xr:uid="{07CBEB1C-59AB-49CC-B64C-1D47A4AF9723}"/>
    <cellStyle name="CustomizationCells 2 2 4 18" xfId="8737" xr:uid="{FA30BB7A-E632-4C7E-B73A-02E42329FAF1}"/>
    <cellStyle name="CustomizationCells 2 2 4 19" xfId="9455" xr:uid="{E7E73631-8854-4B5F-BC06-3DE3BA1BF5A5}"/>
    <cellStyle name="CustomizationCells 2 2 4 2" xfId="736" xr:uid="{84CAECDF-A8D8-464A-ADC5-141A25E7412D}"/>
    <cellStyle name="CustomizationCells 2 2 4 2 10" xfId="5384" xr:uid="{0EFE76BD-6D77-42DC-9F1B-5AACEA604C38}"/>
    <cellStyle name="CustomizationCells 2 2 4 2 11" xfId="4957" xr:uid="{3378D444-86A1-4634-B884-5C51F59E5FB4}"/>
    <cellStyle name="CustomizationCells 2 2 4 2 12" xfId="6250" xr:uid="{EE5BF130-05C3-4A19-B003-118D58007E5F}"/>
    <cellStyle name="CustomizationCells 2 2 4 2 13" xfId="5703" xr:uid="{9E90A811-EFEF-49FB-BC39-C12DFBDD3EE0}"/>
    <cellStyle name="CustomizationCells 2 2 4 2 14" xfId="7456" xr:uid="{9F52B034-238E-4540-B49C-5BBC2689A501}"/>
    <cellStyle name="CustomizationCells 2 2 4 2 15" xfId="7192" xr:uid="{F1A52491-9DA9-4AB6-85BD-BA0A01098DBA}"/>
    <cellStyle name="CustomizationCells 2 2 4 2 16" xfId="7725" xr:uid="{930BDD07-AB05-4081-ABCB-429E2BD322E0}"/>
    <cellStyle name="CustomizationCells 2 2 4 2 17" xfId="8715" xr:uid="{87972460-882D-454E-9108-F3D4E6398D1B}"/>
    <cellStyle name="CustomizationCells 2 2 4 2 18" xfId="9670" xr:uid="{114D787C-DD92-4585-9F82-B4C790A0264B}"/>
    <cellStyle name="CustomizationCells 2 2 4 2 19" xfId="9405" xr:uid="{EC87CF81-3EAC-4278-93C3-852D5993A8EB}"/>
    <cellStyle name="CustomizationCells 2 2 4 2 2" xfId="1210" xr:uid="{9B2F23BE-4C1C-4158-A699-71C4178959B3}"/>
    <cellStyle name="CustomizationCells 2 2 4 2 20" xfId="9918" xr:uid="{B6172386-0665-4984-971E-0C4615B36A5C}"/>
    <cellStyle name="CustomizationCells 2 2 4 2 21" xfId="10807" xr:uid="{63D0DC41-F6AE-43D6-A96F-26D58F146DFD}"/>
    <cellStyle name="CustomizationCells 2 2 4 2 22" xfId="10503" xr:uid="{D32DF92E-A688-4877-AE45-0695510BD097}"/>
    <cellStyle name="CustomizationCells 2 2 4 2 23" xfId="12089" xr:uid="{967A92B6-6243-47DC-A9D3-9E9D3251AE2B}"/>
    <cellStyle name="CustomizationCells 2 2 4 2 24" xfId="12562" xr:uid="{C615056B-0893-437B-B286-56B48AC77CEE}"/>
    <cellStyle name="CustomizationCells 2 2 4 2 25" xfId="12996" xr:uid="{C77F6C98-DD6B-48AE-A816-04A9013EA1CC}"/>
    <cellStyle name="CustomizationCells 2 2 4 2 26" xfId="13433" xr:uid="{FD6453FA-E600-4116-AE1E-93B81BAEEF2D}"/>
    <cellStyle name="CustomizationCells 2 2 4 2 27" xfId="11501" xr:uid="{37B7AEFC-293B-4DF6-8273-E8032F3F9546}"/>
    <cellStyle name="CustomizationCells 2 2 4 2 28" xfId="11823" xr:uid="{919C2DBA-45BF-47DD-BD71-43EE9B161053}"/>
    <cellStyle name="CustomizationCells 2 2 4 2 29" xfId="14147" xr:uid="{821B7F96-9F50-48B8-82F4-1B8DBC4F2057}"/>
    <cellStyle name="CustomizationCells 2 2 4 2 3" xfId="1489" xr:uid="{F6ADE442-F943-46F3-B30A-EE576FF1EF6F}"/>
    <cellStyle name="CustomizationCells 2 2 4 2 30" xfId="14763" xr:uid="{4C465D7C-4B05-4178-874F-2F755ACFCF4A}"/>
    <cellStyle name="CustomizationCells 2 2 4 2 31" xfId="14837" xr:uid="{17054EA0-909A-4B47-9694-FEB6B21A2423}"/>
    <cellStyle name="CustomizationCells 2 2 4 2 32" xfId="15565" xr:uid="{9CA2EEC7-DE08-41FC-8DB7-F1145DC05785}"/>
    <cellStyle name="CustomizationCells 2 2 4 2 33" xfId="16781" xr:uid="{A256D509-E839-4082-BF57-D0101EF735D1}"/>
    <cellStyle name="CustomizationCells 2 2 4 2 34" xfId="16514" xr:uid="{B72765D2-6F00-4E64-A217-5397AF322490}"/>
    <cellStyle name="CustomizationCells 2 2 4 2 35" xfId="17032" xr:uid="{984A4B43-7CD3-4A52-A384-DE5ADF3A2F7C}"/>
    <cellStyle name="CustomizationCells 2 2 4 2 36" xfId="17569" xr:uid="{CC5F9A92-2AB8-4E28-9E2A-3B56898B8E71}"/>
    <cellStyle name="CustomizationCells 2 2 4 2 37" xfId="18599" xr:uid="{AB298D3E-3B22-430A-BB2B-10E9A0558DC1}"/>
    <cellStyle name="CustomizationCells 2 2 4 2 38" xfId="18796" xr:uid="{016DFD27-8292-4D86-ABDA-E2946610525C}"/>
    <cellStyle name="CustomizationCells 2 2 4 2 39" xfId="18995" xr:uid="{A392BD52-41D5-45A8-BB37-1128952B4126}"/>
    <cellStyle name="CustomizationCells 2 2 4 2 4" xfId="2558" xr:uid="{D2500B71-CCE9-4F0C-A48D-3955D89D6B8F}"/>
    <cellStyle name="CustomizationCells 2 2 4 2 40" xfId="20118" xr:uid="{BECB8B9A-0EBB-4B18-95B9-A4157C29FCFB}"/>
    <cellStyle name="CustomizationCells 2 2 4 2 41" xfId="19850" xr:uid="{86E446D7-4040-4F16-89EA-DD0B67616AE2}"/>
    <cellStyle name="CustomizationCells 2 2 4 2 42" xfId="19433" xr:uid="{102B2F02-5114-4F57-8772-ED7A080766C6}"/>
    <cellStyle name="CustomizationCells 2 2 4 2 43" xfId="20855" xr:uid="{30DD9A69-2BCC-406A-BBE2-6E4B9334C506}"/>
    <cellStyle name="CustomizationCells 2 2 4 2 44" xfId="19701" xr:uid="{77ED6E16-5380-4829-976E-DCB14E1FAC52}"/>
    <cellStyle name="CustomizationCells 2 2 4 2 45" xfId="21919" xr:uid="{B5AC2420-54FE-457D-9F7C-E8F58031327D}"/>
    <cellStyle name="CustomizationCells 2 2 4 2 46" xfId="21541" xr:uid="{EF5AF2CB-B31E-40C2-B170-67964C26D41F}"/>
    <cellStyle name="CustomizationCells 2 2 4 2 47" xfId="23068" xr:uid="{FBD20078-9FEA-4F63-AEFA-8B7E95855250}"/>
    <cellStyle name="CustomizationCells 2 2 4 2 48" xfId="23589" xr:uid="{9DD822D4-092E-4EEB-8B36-BE4859CC335C}"/>
    <cellStyle name="CustomizationCells 2 2 4 2 49" xfId="23918" xr:uid="{E9D84326-00E6-4F13-882F-03EA9CDBB64C}"/>
    <cellStyle name="CustomizationCells 2 2 4 2 5" xfId="2022" xr:uid="{F3839563-0193-43E7-94A2-71FBBB23D45D}"/>
    <cellStyle name="CustomizationCells 2 2 4 2 50" xfId="24826" xr:uid="{4F8D3F9E-C56A-427C-A29F-237F5351B563}"/>
    <cellStyle name="CustomizationCells 2 2 4 2 51" xfId="24423" xr:uid="{FB82410B-4AEF-4C23-A4B2-3655433B85B0}"/>
    <cellStyle name="CustomizationCells 2 2 4 2 52" xfId="25742" xr:uid="{48D3A0AD-796E-4908-BD31-D7F2F3B0AEDD}"/>
    <cellStyle name="CustomizationCells 2 2 4 2 53" xfId="24394" xr:uid="{8292A76C-DE9A-4458-B565-C1206D2F2E7A}"/>
    <cellStyle name="CustomizationCells 2 2 4 2 54" xfId="26537" xr:uid="{5523758B-38F8-461B-AD65-4923BD21F914}"/>
    <cellStyle name="CustomizationCells 2 2 4 2 55" xfId="27030" xr:uid="{1249F104-48F8-49CB-A424-8043C0E1F73E}"/>
    <cellStyle name="CustomizationCells 2 2 4 2 56" xfId="27449" xr:uid="{7E112F5A-D51F-4BA1-9C49-D98BA4B7D4CC}"/>
    <cellStyle name="CustomizationCells 2 2 4 2 57" xfId="27769" xr:uid="{177EDB30-ACCA-4A6F-BAC1-9B2144744A6F}"/>
    <cellStyle name="CustomizationCells 2 2 4 2 58" xfId="28576" xr:uid="{4198C4A2-E770-48AC-A996-96CA6B56AFE0}"/>
    <cellStyle name="CustomizationCells 2 2 4 2 59" xfId="29043" xr:uid="{9DF1BB71-4AB0-41E4-A7A9-79AA3B5F3451}"/>
    <cellStyle name="CustomizationCells 2 2 4 2 6" xfId="3174" xr:uid="{EFF5D156-A2C9-4815-8F79-1845FEFB0BE2}"/>
    <cellStyle name="CustomizationCells 2 2 4 2 60" xfId="27997" xr:uid="{EB8EE8C8-9C95-443B-B9CE-898B09F13D14}"/>
    <cellStyle name="CustomizationCells 2 2 4 2 61" xfId="29832" xr:uid="{C68E9CB9-3FEB-4D9F-9332-ECB84D6A4637}"/>
    <cellStyle name="CustomizationCells 2 2 4 2 62" xfId="30238" xr:uid="{C715B919-00EC-41FA-B977-2515009E2D34}"/>
    <cellStyle name="CustomizationCells 2 2 4 2 63" xfId="30655" xr:uid="{99DBF12F-FB8F-4941-B3D6-F46D90CC4D39}"/>
    <cellStyle name="CustomizationCells 2 2 4 2 64" xfId="29453" xr:uid="{993C97CB-0F54-4C24-9D1A-B83F57670A73}"/>
    <cellStyle name="CustomizationCells 2 2 4 2 65" xfId="31271" xr:uid="{5233C4E0-7FAF-4602-8BF4-CCFC74692374}"/>
    <cellStyle name="CustomizationCells 2 2 4 2 66" xfId="31962" xr:uid="{C4E640AA-5ED1-4D25-BFA1-D481A6E49DAD}"/>
    <cellStyle name="CustomizationCells 2 2 4 2 67" xfId="32157" xr:uid="{2DE01C8D-EFD8-4005-9141-43B75985DBED}"/>
    <cellStyle name="CustomizationCells 2 2 4 2 7" xfId="4054" xr:uid="{F391B52E-50FD-46C8-A796-C988426C9F06}"/>
    <cellStyle name="CustomizationCells 2 2 4 2 8" xfId="4491" xr:uid="{5AB46E2B-2966-45E3-8DD1-D6ED26CF81F6}"/>
    <cellStyle name="CustomizationCells 2 2 4 2 9" xfId="2823" xr:uid="{019A4ACD-D2F6-4088-969D-523B60497DF3}"/>
    <cellStyle name="CustomizationCells 2 2 4 20" xfId="10021" xr:uid="{C5F7425E-3CAE-4C31-AA44-D1FEBE72AFF9}"/>
    <cellStyle name="CustomizationCells 2 2 4 21" xfId="10443" xr:uid="{8CC58441-61AE-48C0-B546-F24FE90D80F7}"/>
    <cellStyle name="CustomizationCells 2 2 4 22" xfId="10787" xr:uid="{77D33ED6-B440-4A0A-A44E-04253E0203CF}"/>
    <cellStyle name="CustomizationCells 2 2 4 23" xfId="10908" xr:uid="{A193F112-CBE3-42C9-9DC0-E2CEE94CCF67}"/>
    <cellStyle name="CustomizationCells 2 2 4 24" xfId="11874" xr:uid="{4B5FA707-CCCC-4A67-9AA2-17BCD4FCA0D8}"/>
    <cellStyle name="CustomizationCells 2 2 4 25" xfId="12347" xr:uid="{1A0FD839-27EC-4ED4-A909-BBA1BED8E942}"/>
    <cellStyle name="CustomizationCells 2 2 4 26" xfId="12781" xr:uid="{F8218D19-218E-48B5-8115-7E250625C76F}"/>
    <cellStyle name="CustomizationCells 2 2 4 27" xfId="13218" xr:uid="{C52E0AF3-33A3-4F00-9DCD-9926372EF710}"/>
    <cellStyle name="CustomizationCells 2 2 4 28" xfId="13737" xr:uid="{579C8A5D-0EC4-460B-B028-6AB5D5F6A286}"/>
    <cellStyle name="CustomizationCells 2 2 4 29" xfId="14346" xr:uid="{39899E06-EAD1-4177-9D55-3EC933545CDA}"/>
    <cellStyle name="CustomizationCells 2 2 4 3" xfId="1004" xr:uid="{B3453A63-953D-4B68-9940-7A71C7F6C5DC}"/>
    <cellStyle name="CustomizationCells 2 2 4 30" xfId="14595" xr:uid="{1D1E5ADE-CDEC-43F4-8E2F-6FE33CE4C433}"/>
    <cellStyle name="CustomizationCells 2 2 4 31" xfId="14677" xr:uid="{C7392CCF-869D-4474-A461-7DA58049B698}"/>
    <cellStyle name="CustomizationCells 2 2 4 32" xfId="15727" xr:uid="{CF7E663E-7495-41E0-8F02-71F409606D44}"/>
    <cellStyle name="CustomizationCells 2 2 4 33" xfId="15862" xr:uid="{4F0325B8-94FB-407B-A20A-3ADC20C18E85}"/>
    <cellStyle name="CustomizationCells 2 2 4 34" xfId="16566" xr:uid="{C09C2653-3684-4FE2-B8C8-C9483804C8BA}"/>
    <cellStyle name="CustomizationCells 2 2 4 35" xfId="17138" xr:uid="{EA055BCC-05EC-4D5A-A268-C30EFD17C7B3}"/>
    <cellStyle name="CustomizationCells 2 2 4 36" xfId="17585" xr:uid="{CAB6F49E-6FED-4A0A-A81A-FA46212766D6}"/>
    <cellStyle name="CustomizationCells 2 2 4 37" xfId="17299" xr:uid="{C861024A-D388-4E33-97CF-4BD1634B5937}"/>
    <cellStyle name="CustomizationCells 2 2 4 38" xfId="18384" xr:uid="{F0F92A07-671E-44E2-80F2-6F076124E5FB}"/>
    <cellStyle name="CustomizationCells 2 2 4 39" xfId="18843" xr:uid="{F88BB07F-73C4-4853-A3BF-D6DE18C79AD0}"/>
    <cellStyle name="CustomizationCells 2 2 4 4" xfId="1597" xr:uid="{3E0FA8F5-3A73-4C97-B5C7-7E65E8D1A3A8}"/>
    <cellStyle name="CustomizationCells 2 2 4 40" xfId="19220" xr:uid="{DED9AFD6-6511-4DB9-BDD2-D39AABA8A9EC}"/>
    <cellStyle name="CustomizationCells 2 2 4 41" xfId="19903" xr:uid="{210C64C0-92D0-4B9A-9F72-5AF474C68798}"/>
    <cellStyle name="CustomizationCells 2 2 4 42" xfId="20491" xr:uid="{C952F6D0-97B8-484D-9946-E958956364A3}"/>
    <cellStyle name="CustomizationCells 2 2 4 43" xfId="20945" xr:uid="{F55C5E5E-A005-4FD5-B2AD-3FED277B9C83}"/>
    <cellStyle name="CustomizationCells 2 2 4 44" xfId="20972" xr:uid="{9F356DEC-9A89-4608-A557-4C2304F7B31C}"/>
    <cellStyle name="CustomizationCells 2 2 4 45" xfId="21874" xr:uid="{C7B2AC3C-B26A-48C0-9F6A-4C8232DB25AB}"/>
    <cellStyle name="CustomizationCells 2 2 4 46" xfId="22310" xr:uid="{F8B4A62E-A740-4F3F-A81E-42395B818CED}"/>
    <cellStyle name="CustomizationCells 2 2 4 47" xfId="22732" xr:uid="{AE43F551-F5AC-4F70-B545-8DB6EEAA8363}"/>
    <cellStyle name="CustomizationCells 2 2 4 48" xfId="23120" xr:uid="{0496723E-37FB-4043-BA49-F319F415F342}"/>
    <cellStyle name="CustomizationCells 2 2 4 49" xfId="22254" xr:uid="{DE54CAEE-C73E-46F1-94F1-4DDFD971C3CE}"/>
    <cellStyle name="CustomizationCells 2 2 4 5" xfId="2343" xr:uid="{3232135F-FEA3-4766-A424-D014968874ED}"/>
    <cellStyle name="CustomizationCells 2 2 4 50" xfId="23712" xr:uid="{29293D9C-4988-4185-9EE7-A1BB18A389C4}"/>
    <cellStyle name="CustomizationCells 2 2 4 51" xfId="24611" xr:uid="{1AA8A786-0EE7-45DB-B4A0-5F24927D5D7F}"/>
    <cellStyle name="CustomizationCells 2 2 4 52" xfId="25199" xr:uid="{EED1AFDF-0671-45B6-AE94-602D1612E171}"/>
    <cellStyle name="CustomizationCells 2 2 4 53" xfId="25529" xr:uid="{876B1A2F-4E52-4F7E-B71B-D2433826B57E}"/>
    <cellStyle name="CustomizationCells 2 2 4 54" xfId="26037" xr:uid="{FFE9ECDB-5829-41BF-9DEC-7B9433114081}"/>
    <cellStyle name="CustomizationCells 2 2 4 55" xfId="26601" xr:uid="{A5247DED-0348-4ECF-9FEF-C8BD68E43371}"/>
    <cellStyle name="CustomizationCells 2 2 4 56" xfId="26819" xr:uid="{07522820-5F3E-447C-83F5-87BC0DBB6060}"/>
    <cellStyle name="CustomizationCells 2 2 4 57" xfId="27238" xr:uid="{251E4F87-B1EE-41F1-A397-C601F16236DF}"/>
    <cellStyle name="CustomizationCells 2 2 4 58" xfId="27643" xr:uid="{941CD39B-7501-4CAD-9928-C73D7459C4CD}"/>
    <cellStyle name="CustomizationCells 2 2 4 59" xfId="28361" xr:uid="{F5FC0ECA-B527-4E97-8A9D-67B14E8B8DB3}"/>
    <cellStyle name="CustomizationCells 2 2 4 6" xfId="2902" xr:uid="{24CC1FAF-5433-4AC3-80A1-B3FDE6967F3D}"/>
    <cellStyle name="CustomizationCells 2 2 4 60" xfId="28829" xr:uid="{CED81A43-7F2B-4C39-9025-F1824887D854}"/>
    <cellStyle name="CustomizationCells 2 2 4 61" xfId="29342" xr:uid="{661DE1B6-EB73-454B-ADD5-7249E2BA135B}"/>
    <cellStyle name="CustomizationCells 2 2 4 62" xfId="29619" xr:uid="{7D78A7DC-699A-4158-8F0C-401A737EADDA}"/>
    <cellStyle name="CustomizationCells 2 2 4 63" xfId="30027" xr:uid="{C9E5D591-FFA5-4EED-9BAA-9116D2354C8C}"/>
    <cellStyle name="CustomizationCells 2 2 4 64" xfId="30441" xr:uid="{1A5B333B-EE78-46EF-9FF2-4B013F87CA5C}"/>
    <cellStyle name="CustomizationCells 2 2 4 65" xfId="31015" xr:uid="{44FADE3D-1821-4294-86AD-22CE3A196496}"/>
    <cellStyle name="CustomizationCells 2 2 4 66" xfId="31065" xr:uid="{61332349-F242-4C92-9753-8D9A4A5C41C0}"/>
    <cellStyle name="CustomizationCells 2 2 4 67" xfId="31751" xr:uid="{2DAD49BD-1B9C-48AB-AD6F-9402A53F9A1D}"/>
    <cellStyle name="CustomizationCells 2 2 4 68" xfId="32142" xr:uid="{2CDF2D43-6630-4ABA-AEB9-76BA5E46BB50}"/>
    <cellStyle name="CustomizationCells 2 2 4 7" xfId="3522" xr:uid="{07F92DDB-4D49-483A-8949-0AD80D4C9C2B}"/>
    <cellStyle name="CustomizationCells 2 2 4 8" xfId="3839" xr:uid="{5FDA7DED-1A47-4956-B4F5-DCBF5C389D41}"/>
    <cellStyle name="CustomizationCells 2 2 4 9" xfId="4277" xr:uid="{8D2013CD-D31C-4F03-BAE8-0199F15C02CE}"/>
    <cellStyle name="CustomizationCells 2 2 40" xfId="17791" xr:uid="{353505B0-20CB-4AEA-A86A-C5F75042517A}"/>
    <cellStyle name="CustomizationCells 2 2 41" xfId="18011" xr:uid="{CFA2F880-A269-4F0A-A2A7-9AEFA702D618}"/>
    <cellStyle name="CustomizationCells 2 2 42" xfId="17429" xr:uid="{7C4D439B-4B66-4E24-B0A7-CF6A5A6679EF}"/>
    <cellStyle name="CustomizationCells 2 2 43" xfId="19115" xr:uid="{3D5A7D8D-526A-4C61-838F-C22597BF5388}"/>
    <cellStyle name="CustomizationCells 2 2 44" xfId="19821" xr:uid="{5F0E8FAB-30D1-4FFC-97D0-A5768DB93C0F}"/>
    <cellStyle name="CustomizationCells 2 2 45" xfId="20606" xr:uid="{AB5DBF7F-5867-4BB1-A018-8B0B140E800C}"/>
    <cellStyle name="CustomizationCells 2 2 46" xfId="21061" xr:uid="{D1E7E290-CF5F-42E8-AB6B-80E9A72348AF}"/>
    <cellStyle name="CustomizationCells 2 2 47" xfId="21501" xr:uid="{6DE69F6C-10AA-4E4B-9463-FE80C54537D4}"/>
    <cellStyle name="CustomizationCells 2 2 48" xfId="21992" xr:uid="{61806386-3E6E-4695-8024-B3F32F459FE5}"/>
    <cellStyle name="CustomizationCells 2 2 49" xfId="22423" xr:uid="{544E2F85-11F6-4B92-BC4E-0A55D1AC0062}"/>
    <cellStyle name="CustomizationCells 2 2 5" xfId="677" xr:uid="{0D7D558B-8FDB-43D6-8315-E827514C825B}"/>
    <cellStyle name="CustomizationCells 2 2 5 10" xfId="4713" xr:uid="{930A2B10-1D02-482B-9BCB-A2B89F7B1EF6}"/>
    <cellStyle name="CustomizationCells 2 2 5 11" xfId="5325" xr:uid="{DF65F6BB-CA71-4562-A509-05824DC3CCC7}"/>
    <cellStyle name="CustomizationCells 2 2 5 12" xfId="5975" xr:uid="{92CE75C5-7206-41DA-B4DB-E4018390E967}"/>
    <cellStyle name="CustomizationCells 2 2 5 13" xfId="6342" xr:uid="{F5903F05-8CEC-4790-8856-74D8810A2A76}"/>
    <cellStyle name="CustomizationCells 2 2 5 14" xfId="6695" xr:uid="{1D1F8F1C-7950-489D-89E9-A718609FD38F}"/>
    <cellStyle name="CustomizationCells 2 2 5 15" xfId="7397" xr:uid="{D3FD4233-8962-492E-9D17-A5FAA423C104}"/>
    <cellStyle name="CustomizationCells 2 2 5 16" xfId="7710" xr:uid="{07DD44CB-9A8F-4C86-80BD-9B545AB0764F}"/>
    <cellStyle name="CustomizationCells 2 2 5 17" xfId="6847" xr:uid="{A032267E-52C0-4DA1-ACA6-DD88CA61F563}"/>
    <cellStyle name="CustomizationCells 2 2 5 18" xfId="8908" xr:uid="{1EF187FA-450A-4261-8305-AB9DB31F34AC}"/>
    <cellStyle name="CustomizationCells 2 2 5 19" xfId="9611" xr:uid="{E8C3E89F-8501-4733-A673-4FB424AE87C5}"/>
    <cellStyle name="CustomizationCells 2 2 5 2" xfId="891" xr:uid="{9B795696-3D11-4B8E-8065-A2138B20FF91}"/>
    <cellStyle name="CustomizationCells 2 2 5 2 2" xfId="7611" xr:uid="{C14B227A-DEC6-4CAD-A1A2-4165351CD6A8}"/>
    <cellStyle name="CustomizationCells 2 2 5 2 3" xfId="8075" xr:uid="{7D13F96C-7EF7-4842-909A-34FA969CBB36}"/>
    <cellStyle name="CustomizationCells 2 2 5 2 4" xfId="16936" xr:uid="{460DA702-7231-451D-AD2E-3036118B7591}"/>
    <cellStyle name="CustomizationCells 2 2 5 2 5" xfId="17417" xr:uid="{ECBD4238-9F69-4D2D-A07C-BA74BA9E75AE}"/>
    <cellStyle name="CustomizationCells 2 2 5 2 6" xfId="17858" xr:uid="{CBEC4CA6-9075-4BBB-B4C4-101541C5823A}"/>
    <cellStyle name="CustomizationCells 2 2 5 2 7" xfId="27842" xr:uid="{607E7536-981E-419B-90FF-1A0F251F6D88}"/>
    <cellStyle name="CustomizationCells 2 2 5 2 8" xfId="32370" xr:uid="{DAF66FFB-13C5-4D91-84BF-6EEB49CEAC8C}"/>
    <cellStyle name="CustomizationCells 2 2 5 20" xfId="9924" xr:uid="{C14F99DB-F114-46AB-80B0-1C844D356FE9}"/>
    <cellStyle name="CustomizationCells 2 2 5 21" xfId="10355" xr:uid="{A156783F-12C6-49CA-AB0E-813DBF796261}"/>
    <cellStyle name="CustomizationCells 2 2 5 22" xfId="10900" xr:uid="{1FC86B4E-6044-4130-ACE3-3BDFAF51BB03}"/>
    <cellStyle name="CustomizationCells 2 2 5 23" xfId="11312" xr:uid="{C8BA9F4D-14E5-4833-848B-BD1E805F5A54}"/>
    <cellStyle name="CustomizationCells 2 2 5 24" xfId="12030" xr:uid="{91CB6BA2-F4C7-4713-89E8-679A7C7FE984}"/>
    <cellStyle name="CustomizationCells 2 2 5 25" xfId="12503" xr:uid="{46CEC920-9600-41D8-B0EB-540BC1C6B937}"/>
    <cellStyle name="CustomizationCells 2 2 5 26" xfId="12937" xr:uid="{44C13C4A-EF79-446D-8B4A-14ECD3244D15}"/>
    <cellStyle name="CustomizationCells 2 2 5 27" xfId="13374" xr:uid="{1CB58A86-72FC-4639-8EA3-E2E1C6374637}"/>
    <cellStyle name="CustomizationCells 2 2 5 28" xfId="14011" xr:uid="{7EF2A2F1-99D8-40B4-9385-D161FEB4E612}"/>
    <cellStyle name="CustomizationCells 2 2 5 29" xfId="13888" xr:uid="{C70B9259-D153-4EB9-A9E3-ECB183EFB423}"/>
    <cellStyle name="CustomizationCells 2 2 5 3" xfId="1159" xr:uid="{5DB35EED-8545-4D45-B6D7-0541341BDA97}"/>
    <cellStyle name="CustomizationCells 2 2 5 30" xfId="14576" xr:uid="{63435323-9762-4460-A0F2-382EEFBB365A}"/>
    <cellStyle name="CustomizationCells 2 2 5 31" xfId="15356" xr:uid="{6CF1D10D-C965-4161-94FD-296E8B3BCC36}"/>
    <cellStyle name="CustomizationCells 2 2 5 32" xfId="15302" xr:uid="{CCC2DE9A-7777-425F-B496-C50F8C9710BC}"/>
    <cellStyle name="CustomizationCells 2 2 5 33" xfId="15812" xr:uid="{2A3E26B0-A4CB-4F48-9B2D-C6FB8B87476F}"/>
    <cellStyle name="CustomizationCells 2 2 5 34" xfId="16722" xr:uid="{1F677558-9B12-4A4D-A125-2C58BB01D36A}"/>
    <cellStyle name="CustomizationCells 2 2 5 35" xfId="17038" xr:uid="{1364C66D-F49F-4897-AF6F-80A7FE2C174B}"/>
    <cellStyle name="CustomizationCells 2 2 5 36" xfId="17486" xr:uid="{8906A6EC-87D1-4D1F-9476-D002349F85F2}"/>
    <cellStyle name="CustomizationCells 2 2 5 37" xfId="18287" xr:uid="{C956AD42-A0FF-4907-A8FF-2DB067D1F958}"/>
    <cellStyle name="CustomizationCells 2 2 5 38" xfId="18540" xr:uid="{1ED6E378-0723-45B6-8ECB-6634DF5E17F7}"/>
    <cellStyle name="CustomizationCells 2 2 5 39" xfId="19102" xr:uid="{17FAD56B-EC40-4BFC-B513-115E3B1D84B5}"/>
    <cellStyle name="CustomizationCells 2 2 5 4" xfId="1413" xr:uid="{8B1A3BBC-3D42-484D-BF49-D3EBA0FB62DC}"/>
    <cellStyle name="CustomizationCells 2 2 5 40" xfId="19245" xr:uid="{ABB69040-2ECA-478E-AA1B-AE7398E6C3A4}"/>
    <cellStyle name="CustomizationCells 2 2 5 41" xfId="20059" xr:uid="{8A2B7AFB-3F9C-4EB7-970E-8EDBA0E68FE0}"/>
    <cellStyle name="CustomizationCells 2 2 5 42" xfId="20390" xr:uid="{2FD61544-722C-46F1-A778-FF561CCA4957}"/>
    <cellStyle name="CustomizationCells 2 2 5 43" xfId="20843" xr:uid="{33594C2E-838C-4B4A-80DB-5D401820EBF3}"/>
    <cellStyle name="CustomizationCells 2 2 5 44" xfId="21668" xr:uid="{765C34BC-E2B6-44A1-962B-94BA36E02A10}"/>
    <cellStyle name="CustomizationCells 2 2 5 45" xfId="21776" xr:uid="{0AC83B3E-60B7-489F-8323-9155EBC640F4}"/>
    <cellStyle name="CustomizationCells 2 2 5 46" xfId="22213" xr:uid="{6C574CD0-A924-4C1A-B244-0DBC2B74E7AC}"/>
    <cellStyle name="CustomizationCells 2 2 5 47" xfId="22981" xr:uid="{ED3B9D55-058F-424F-A2C1-4D7F16DDF146}"/>
    <cellStyle name="CustomizationCells 2 2 5 48" xfId="23386" xr:uid="{3DF32B73-79F4-4AD2-8795-4FD6EED26350}"/>
    <cellStyle name="CustomizationCells 2 2 5 49" xfId="23469" xr:uid="{BEB3B9F4-0620-4DD3-98A2-6EC12707A899}"/>
    <cellStyle name="CustomizationCells 2 2 5 5" xfId="2499" xr:uid="{2FDED83C-24F1-4CE2-AA32-625F7E9B0FAE}"/>
    <cellStyle name="CustomizationCells 2 2 5 50" xfId="23867" xr:uid="{876BFD2F-34BC-4FD0-9211-BBCE36AC83BF}"/>
    <cellStyle name="CustomizationCells 2 2 5 51" xfId="24767" xr:uid="{546641E8-D056-4F29-86E0-0AB680EDB4F5}"/>
    <cellStyle name="CustomizationCells 2 2 5 52" xfId="25100" xr:uid="{F96E9431-9AAD-4D30-94BC-8832E03553D2}"/>
    <cellStyle name="CustomizationCells 2 2 5 53" xfId="25685" xr:uid="{C60AB3DC-4617-4571-9554-942B4896EEF8}"/>
    <cellStyle name="CustomizationCells 2 2 5 54" xfId="26289" xr:uid="{FAA4318D-E5C5-4681-A346-D9BF05A90E6C}"/>
    <cellStyle name="CustomizationCells 2 2 5 55" xfId="26396" xr:uid="{EA02385E-4D65-49CC-BB5B-BBC956B80CB4}"/>
    <cellStyle name="CustomizationCells 2 2 5 56" xfId="26975" xr:uid="{0F72D7C0-3F12-4B29-AAC5-2BFE28CC4E6F}"/>
    <cellStyle name="CustomizationCells 2 2 5 57" xfId="27394" xr:uid="{BD19DDC6-7D71-459C-9364-B9E00535D0C0}"/>
    <cellStyle name="CustomizationCells 2 2 5 58" xfId="27620" xr:uid="{F4B6813E-5FCA-4AF0-AF99-29DFB9B7322D}"/>
    <cellStyle name="CustomizationCells 2 2 5 59" xfId="28517" xr:uid="{7BFB408C-3368-4EA6-9267-EFF24EA8AC42}"/>
    <cellStyle name="CustomizationCells 2 2 5 6" xfId="3183" xr:uid="{9B154396-4132-460D-8CD2-6C7144F5C507}"/>
    <cellStyle name="CustomizationCells 2 2 5 60" xfId="28985" xr:uid="{413E4797-F5A8-4691-87D5-EDF31C24CFC7}"/>
    <cellStyle name="CustomizationCells 2 2 5 61" xfId="29254" xr:uid="{8EEF40DE-DC6B-41B7-8BA4-BC2D5F124606}"/>
    <cellStyle name="CustomizationCells 2 2 5 62" xfId="29775" xr:uid="{F0648F08-04BB-4257-8C16-6D23F9B7FEA9}"/>
    <cellStyle name="CustomizationCells 2 2 5 63" xfId="30182" xr:uid="{D774A657-B647-4EBC-882B-D30B3D600AA3}"/>
    <cellStyle name="CustomizationCells 2 2 5 64" xfId="30597" xr:uid="{541FAB00-CC97-4A16-B279-E8981FFF6971}"/>
    <cellStyle name="CustomizationCells 2 2 5 65" xfId="30896" xr:uid="{7E98B170-223C-44ED-B29D-B705023154CC}"/>
    <cellStyle name="CustomizationCells 2 2 5 66" xfId="31220" xr:uid="{2E8DD605-C732-4F5D-8447-51E60BDF6D2D}"/>
    <cellStyle name="CustomizationCells 2 2 5 67" xfId="31906" xr:uid="{70119110-D863-47CC-95B0-D077C4D835DF}"/>
    <cellStyle name="CustomizationCells 2 2 5 68" xfId="32367" xr:uid="{A325094C-7C98-4A03-B47F-5EEC090F9077}"/>
    <cellStyle name="CustomizationCells 2 2 5 7" xfId="3534" xr:uid="{B7084D0F-FEDB-4EB3-B07D-52F40F3E6BDD}"/>
    <cellStyle name="CustomizationCells 2 2 5 8" xfId="3995" xr:uid="{A26BD3CF-5015-4D60-891A-933331A86032}"/>
    <cellStyle name="CustomizationCells 2 2 5 9" xfId="4433" xr:uid="{B76395CF-C192-42AF-A0C4-EF6EFC4B843A}"/>
    <cellStyle name="CustomizationCells 2 2 50" xfId="21859" xr:uid="{5F1D1416-872A-44F2-BCEF-A991B1558AE1}"/>
    <cellStyle name="CustomizationCells 2 2 51" xfId="21995" xr:uid="{90FC378E-D14C-4373-A647-CADCEFF8E050}"/>
    <cellStyle name="CustomizationCells 2 2 52" xfId="22660" xr:uid="{75E56643-9A98-435F-8F0D-C6661F1F25A4}"/>
    <cellStyle name="CustomizationCells 2 2 53" xfId="23629" xr:uid="{E9F82B6E-E2CA-46EF-B06C-147FF9B8DAA4}"/>
    <cellStyle name="CustomizationCells 2 2 54" xfId="24532" xr:uid="{5A8382B0-7975-4EE0-B5BB-B86E34C3F212}"/>
    <cellStyle name="CustomizationCells 2 2 55" xfId="25315" xr:uid="{5F475B60-8690-45D5-AB76-EE34473A0B49}"/>
    <cellStyle name="CustomizationCells 2 2 56" xfId="24472" xr:uid="{214BBA7F-4C46-4404-AA45-E7FB5F3D3B3B}"/>
    <cellStyle name="CustomizationCells 2 2 57" xfId="24513" xr:uid="{3D91DD4B-75ED-43C7-A7FD-8814D9542F71}"/>
    <cellStyle name="CustomizationCells 2 2 58" xfId="25143" xr:uid="{10ABE85E-7E0D-4319-BB7C-7A7D3FFBE5F9}"/>
    <cellStyle name="CustomizationCells 2 2 59" xfId="26768" xr:uid="{07B9F4DC-66FF-4CE2-A167-035E31853369}"/>
    <cellStyle name="CustomizationCells 2 2 6" xfId="984" xr:uid="{A6C6411F-75F7-4DEA-93DB-D59300354727}"/>
    <cellStyle name="CustomizationCells 2 2 60" xfId="26409" xr:uid="{4CF9CEEC-B8F9-4D58-BEB7-DD022CCE01AA}"/>
    <cellStyle name="CustomizationCells 2 2 61" xfId="27738" xr:uid="{7C2FB5D7-0DD0-4F71-972D-5AB4A4142A84}"/>
    <cellStyle name="CustomizationCells 2 2 62" xfId="28291" xr:uid="{1B80B4B0-EF09-4849-AE95-BB6DB30C71C1}"/>
    <cellStyle name="CustomizationCells 2 2 63" xfId="28753" xr:uid="{0B0395EB-A565-4D63-B77F-5500547D729B}"/>
    <cellStyle name="CustomizationCells 2 2 64" xfId="29437" xr:uid="{65C7DC70-AF7C-4CF7-8E65-D9868F87B9A4}"/>
    <cellStyle name="CustomizationCells 2 2 65" xfId="29279" xr:uid="{2BC44C4F-D59A-451F-AA1C-AA87281AD9F2}"/>
    <cellStyle name="CustomizationCells 2 2 66" xfId="28247" xr:uid="{AD54C4C3-760E-447C-B08B-014845D28E57}"/>
    <cellStyle name="CustomizationCells 2 2 67" xfId="29268" xr:uid="{9EB189FC-B342-4BFD-A7F9-9168D4C13B0D}"/>
    <cellStyle name="CustomizationCells 2 2 68" xfId="30009" xr:uid="{912B3531-EA23-4DC9-AD99-2CC5A1BEE6D2}"/>
    <cellStyle name="CustomizationCells 2 2 69" xfId="29529" xr:uid="{7AB2E23B-8BB9-44DD-972D-E195C2DB3120}"/>
    <cellStyle name="CustomizationCells 2 2 7" xfId="1707" xr:uid="{898217E4-020E-468C-A3BD-6C195A184291}"/>
    <cellStyle name="CustomizationCells 2 2 70" xfId="31699" xr:uid="{7C0674EE-8AAF-4651-9C0C-9179594ED040}"/>
    <cellStyle name="CustomizationCells 2 2 71" xfId="31564" xr:uid="{2AC4D1F5-A5EA-4F3C-A1C0-2B3689618CB6}"/>
    <cellStyle name="CustomizationCells 2 2 8" xfId="2261" xr:uid="{1AC9D26A-AA03-4268-A253-B08251B0DA39}"/>
    <cellStyle name="CustomizationCells 2 2 9" xfId="1827" xr:uid="{25BDF7BE-063D-493E-8DCD-A4705C18F6F5}"/>
    <cellStyle name="CustomizationCells 3" xfId="274" xr:uid="{F19D93EC-0137-4DD6-B11B-E039CE3951BA}"/>
    <cellStyle name="CustomizationCells 3 10" xfId="3736" xr:uid="{523767CC-5E34-45C9-9410-7C112694A528}"/>
    <cellStyle name="CustomizationCells 3 11" xfId="3661" xr:uid="{D04F06C6-44AC-4DB0-840B-63B25F48A8EF}"/>
    <cellStyle name="CustomizationCells 3 12" xfId="2082" xr:uid="{33CE6961-833E-462B-8245-A07A4BC022F0}"/>
    <cellStyle name="CustomizationCells 3 13" xfId="3677" xr:uid="{D1E1B7E0-6122-426E-86B1-A6DC372E85A6}"/>
    <cellStyle name="CustomizationCells 3 14" xfId="4942" xr:uid="{6B6CCF38-AF5B-4930-B83C-4F6577E6F13F}"/>
    <cellStyle name="CustomizationCells 3 15" xfId="5893" xr:uid="{99EAEAD4-EA56-448A-91B3-3F006BA8D2B6}"/>
    <cellStyle name="CustomizationCells 3 16" xfId="6074" xr:uid="{ED5FCB7D-EE91-448A-AA5B-6C51D04F8BD4}"/>
    <cellStyle name="CustomizationCells 3 17" xfId="6694" xr:uid="{5CF6B241-9B2D-49B3-9239-DCAD3CE0937A}"/>
    <cellStyle name="CustomizationCells 3 18" xfId="7004" xr:uid="{1F3B94ED-D4E9-42E2-8368-3EBC7F76D9C0}"/>
    <cellStyle name="CustomizationCells 3 19" xfId="7641" xr:uid="{21955150-D9DB-4D10-ABF3-B7B346224FD6}"/>
    <cellStyle name="CustomizationCells 3 2" xfId="613" xr:uid="{1701FFC5-1036-4DA6-A9F8-59686DB57C09}"/>
    <cellStyle name="CustomizationCells 3 2 10" xfId="4937" xr:uid="{E943678D-A8D0-4180-B3D5-8D66BF6DBC4A}"/>
    <cellStyle name="CustomizationCells 3 2 11" xfId="5261" xr:uid="{6631672D-6B61-4844-850B-DA6D72CAF70D}"/>
    <cellStyle name="CustomizationCells 3 2 12" xfId="5872" xr:uid="{C98D5A1B-84BF-42CE-BCD4-4D6EC0E4CEE6}"/>
    <cellStyle name="CustomizationCells 3 2 13" xfId="5967" xr:uid="{8B892EFD-BB32-41F5-8D62-4064E9AA36DE}"/>
    <cellStyle name="CustomizationCells 3 2 14" xfId="6553" xr:uid="{ADA6DEED-B71A-4F88-BFE7-C5ED4A59DE61}"/>
    <cellStyle name="CustomizationCells 3 2 15" xfId="7333" xr:uid="{239DB809-6992-4A91-8049-2755E8C430F3}"/>
    <cellStyle name="CustomizationCells 3 2 16" xfId="7960" xr:uid="{2D2A0391-E9E8-42A3-ADC1-1196E23B5B76}"/>
    <cellStyle name="CustomizationCells 3 2 17" xfId="6921" xr:uid="{BD483C22-6661-4D11-99E3-101695492B5F}"/>
    <cellStyle name="CustomizationCells 3 2 18" xfId="7943" xr:uid="{2DB5C7BD-A6F7-44DE-B477-19B3E02A92A9}"/>
    <cellStyle name="CustomizationCells 3 2 19" xfId="9547" xr:uid="{A2013875-4E43-487A-80E4-67AFCDF66D5D}"/>
    <cellStyle name="CustomizationCells 3 2 2" xfId="828" xr:uid="{F6A3F8F3-2A15-49B1-95CB-49B92EB85635}"/>
    <cellStyle name="CustomizationCells 3 2 2 10" xfId="5476" xr:uid="{E57A1734-D3E3-49B1-A17A-CABF63AC2EFF}"/>
    <cellStyle name="CustomizationCells 3 2 2 11" xfId="5628" xr:uid="{6660593F-7850-4DE2-8C14-FC33D4CE4222}"/>
    <cellStyle name="CustomizationCells 3 2 2 12" xfId="5038" xr:uid="{F24D1572-048A-42DF-BFEB-C7D093CE6F43}"/>
    <cellStyle name="CustomizationCells 3 2 2 13" xfId="6666" xr:uid="{7F365F67-E296-4BD7-951F-5AA300A56FB6}"/>
    <cellStyle name="CustomizationCells 3 2 2 14" xfId="7548" xr:uid="{02ECF751-901B-4B69-90B5-116479271035}"/>
    <cellStyle name="CustomizationCells 3 2 2 15" xfId="6982" xr:uid="{823A228E-FA1D-4BC7-854A-E8BF599F2835}"/>
    <cellStyle name="CustomizationCells 3 2 2 16" xfId="8333" xr:uid="{6380880B-4BE3-4F0C-BB2D-C9367D35C73A}"/>
    <cellStyle name="CustomizationCells 3 2 2 17" xfId="8274" xr:uid="{C03A97DA-AABF-4D29-9E05-C5C626DC7A55}"/>
    <cellStyle name="CustomizationCells 3 2 2 18" xfId="9762" xr:uid="{728864AE-8A13-4410-9823-CEC7B0806600}"/>
    <cellStyle name="CustomizationCells 3 2 2 19" xfId="9323" xr:uid="{B4372885-8BC4-4A4A-9A78-FDCF57EBBD43}"/>
    <cellStyle name="CustomizationCells 3 2 2 2" xfId="1302" xr:uid="{23F0990B-249E-4C6D-B08A-BC7FC26A4274}"/>
    <cellStyle name="CustomizationCells 3 2 2 20" xfId="9858" xr:uid="{BC02F724-2F4E-4772-A2F1-F042518115D5}"/>
    <cellStyle name="CustomizationCells 3 2 2 21" xfId="9973" xr:uid="{ABDFE182-CAD3-4C94-85BE-6C8CC46F8685}"/>
    <cellStyle name="CustomizationCells 3 2 2 22" xfId="11146" xr:uid="{3F2ACA89-3D1B-4878-AFD9-8CF66E51743D}"/>
    <cellStyle name="CustomizationCells 3 2 2 23" xfId="12181" xr:uid="{6F58C743-9F0B-4765-AA01-C4F8B7ABE4C5}"/>
    <cellStyle name="CustomizationCells 3 2 2 24" xfId="12654" xr:uid="{07354566-4C36-4D8C-A1FE-1883EAE6A4F3}"/>
    <cellStyle name="CustomizationCells 3 2 2 25" xfId="13088" xr:uid="{08065DBD-B6E9-4D6C-86FB-4BBD030A7E5A}"/>
    <cellStyle name="CustomizationCells 3 2 2 26" xfId="13525" xr:uid="{E244775A-FF42-43B3-8A56-0F8959D43D77}"/>
    <cellStyle name="CustomizationCells 3 2 2 27" xfId="13159" xr:uid="{FD05CBE4-512A-4BD2-A6E6-19C1C2DEA77B}"/>
    <cellStyle name="CustomizationCells 3 2 2 28" xfId="12960" xr:uid="{D077A15B-8761-473A-ADB8-E8CACE5D3709}"/>
    <cellStyle name="CustomizationCells 3 2 2 29" xfId="14081" xr:uid="{F3A1EB27-3EED-4E5B-ABE2-EDC9BDEF0B1D}"/>
    <cellStyle name="CustomizationCells 3 2 2 3" xfId="1554" xr:uid="{5D5955AF-3E36-4C35-8F54-BB7F1D623E75}"/>
    <cellStyle name="CustomizationCells 3 2 2 30" xfId="15221" xr:uid="{A76FC85A-20BB-496A-B28C-576E4D0811A1}"/>
    <cellStyle name="CustomizationCells 3 2 2 31" xfId="15550" xr:uid="{0D03DCC9-931F-41FB-B8C4-D3CCEEB734B6}"/>
    <cellStyle name="CustomizationCells 3 2 2 32" xfId="15517" xr:uid="{EB5B60CC-8D40-4FB2-A64A-5716F1C8E993}"/>
    <cellStyle name="CustomizationCells 3 2 2 33" xfId="16873" xr:uid="{D9139020-AC99-40E8-8E55-4F918EA15965}"/>
    <cellStyle name="CustomizationCells 3 2 2 34" xfId="16302" xr:uid="{2D462A6F-6EEA-4483-8D3B-141D9F5DE71F}"/>
    <cellStyle name="CustomizationCells 3 2 2 35" xfId="16242" xr:uid="{519D4D9A-E3E5-4E29-BE17-04AFAF830A0A}"/>
    <cellStyle name="CustomizationCells 3 2 2 36" xfId="17462" xr:uid="{2C88663B-DAF9-46F1-BBFC-580F347C0D03}"/>
    <cellStyle name="CustomizationCells 3 2 2 37" xfId="18691" xr:uid="{97497326-0DD1-41C0-B4BC-44023A096773}"/>
    <cellStyle name="CustomizationCells 3 2 2 38" xfId="18135" xr:uid="{C7981332-DD11-4D6E-A403-5FB414026E3A}"/>
    <cellStyle name="CustomizationCells 3 2 2 39" xfId="17785" xr:uid="{1FFA3B95-2B2D-4D34-8544-EE7A46E0480C}"/>
    <cellStyle name="CustomizationCells 3 2 2 4" xfId="2650" xr:uid="{0BAF8C55-029C-4F2C-882C-5ED9BCA360BA}"/>
    <cellStyle name="CustomizationCells 3 2 2 40" xfId="20210" xr:uid="{91DB21EB-FD57-46CC-9FC7-6031851AA11E}"/>
    <cellStyle name="CustomizationCells 3 2 2 41" xfId="19632" xr:uid="{92CDD1C4-DB69-432A-9785-F92C8ADB3626}"/>
    <cellStyle name="CustomizationCells 3 2 2 42" xfId="20305" xr:uid="{32B777B3-E471-4774-98EB-1F5155FB8BE5}"/>
    <cellStyle name="CustomizationCells 3 2 2 43" xfId="21292" xr:uid="{1897CEFA-0030-4623-A3A0-EACD23AA66B5}"/>
    <cellStyle name="CustomizationCells 3 2 2 44" xfId="19559" xr:uid="{F21E6B64-41E9-4969-9110-0E7632C23B9B}"/>
    <cellStyle name="CustomizationCells 3 2 2 45" xfId="21084" xr:uid="{4AF5C3B5-FB2C-4235-8A33-AE3E6457A1D6}"/>
    <cellStyle name="CustomizationCells 3 2 2 46" xfId="21802" xr:uid="{562A7D96-B3F5-4D7C-8C06-DD142C77BA3B}"/>
    <cellStyle name="CustomizationCells 3 2 2 47" xfId="22813" xr:uid="{C28FAFA1-4727-4B26-8564-B242598E874C}"/>
    <cellStyle name="CustomizationCells 3 2 2 48" xfId="22814" xr:uid="{4E355422-D54A-48A5-832B-570BC92661D4}"/>
    <cellStyle name="CustomizationCells 3 2 2 49" xfId="24010" xr:uid="{57E08943-A61C-4FF6-AE40-36FBBA897242}"/>
    <cellStyle name="CustomizationCells 3 2 2 5" xfId="2276" xr:uid="{A25AEB75-5A2A-48DA-B72F-021D108AD4C4}"/>
    <cellStyle name="CustomizationCells 3 2 2 50" xfId="24918" xr:uid="{B6D1CCE0-881E-4668-B916-E5CF50B7BEE4}"/>
    <cellStyle name="CustomizationCells 3 2 2 51" xfId="24190" xr:uid="{EB9C5D46-92BF-4B27-9134-C183E678B96C}"/>
    <cellStyle name="CustomizationCells 3 2 2 52" xfId="25834" xr:uid="{D03DF0C3-23AE-4903-BEE3-10DF9B14B87F}"/>
    <cellStyle name="CustomizationCells 3 2 2 53" xfId="24536" xr:uid="{A18517F7-B954-4160-BE2E-52DF3189BE02}"/>
    <cellStyle name="CustomizationCells 3 2 2 54" xfId="26534" xr:uid="{61A55680-FE82-4CB4-9A2F-AFAC126074F5}"/>
    <cellStyle name="CustomizationCells 3 2 2 55" xfId="27122" xr:uid="{E8950B38-ADAF-4218-80D4-8480919A271F}"/>
    <cellStyle name="CustomizationCells 3 2 2 56" xfId="27541" xr:uid="{D60D2A8D-7206-4620-9390-96E534FC3A35}"/>
    <cellStyle name="CustomizationCells 3 2 2 57" xfId="26653" xr:uid="{70413B9E-9B6C-4B87-8829-0005CE360655}"/>
    <cellStyle name="CustomizationCells 3 2 2 58" xfId="28668" xr:uid="{CEA1C316-8C24-4E2D-B824-AF351BEB7B64}"/>
    <cellStyle name="CustomizationCells 3 2 2 59" xfId="29135" xr:uid="{0AE9FF2C-F6BC-4B2F-84F6-44B05C51F55A}"/>
    <cellStyle name="CustomizationCells 3 2 2 6" xfId="3291" xr:uid="{777E98FF-2564-4FDD-BF27-ACC394A10675}"/>
    <cellStyle name="CustomizationCells 3 2 2 60" xfId="27893" xr:uid="{1C46172F-6299-4E5E-98EC-5DD6B89DCC57}"/>
    <cellStyle name="CustomizationCells 3 2 2 61" xfId="29924" xr:uid="{EE3FFAA3-7C65-4DC6-8796-0EADA333294C}"/>
    <cellStyle name="CustomizationCells 3 2 2 62" xfId="30330" xr:uid="{1FF0BC8C-6EA5-4910-AC54-1A08C42D130B}"/>
    <cellStyle name="CustomizationCells 3 2 2 63" xfId="30747" xr:uid="{2F1BBCF9-BBDF-4994-A8E0-45A5C04A2D09}"/>
    <cellStyle name="CustomizationCells 3 2 2 64" xfId="30924" xr:uid="{A4623C25-C63E-427B-97EA-7E493B035DF0}"/>
    <cellStyle name="CustomizationCells 3 2 2 65" xfId="31363" xr:uid="{B4BDC3CA-5A2B-423A-8574-E3A73C2A4BEB}"/>
    <cellStyle name="CustomizationCells 3 2 2 66" xfId="32054" xr:uid="{9F24EF20-0DF2-42BC-91D0-55C9D5455F70}"/>
    <cellStyle name="CustomizationCells 3 2 2 67" xfId="32361" xr:uid="{C8DABFF2-7A8D-4256-AAB8-C2EB02346DB7}"/>
    <cellStyle name="CustomizationCells 3 2 2 7" xfId="4146" xr:uid="{B1E9A258-E148-47EF-8887-A2F8A9EB06A7}"/>
    <cellStyle name="CustomizationCells 3 2 2 8" xfId="4583" xr:uid="{F35DD776-4F98-4C90-A26B-C64C8A997957}"/>
    <cellStyle name="CustomizationCells 3 2 2 9" xfId="2246" xr:uid="{09F4E890-E032-46D7-9925-1F7350967D40}"/>
    <cellStyle name="CustomizationCells 3 2 20" xfId="10174" xr:uid="{E4A95F07-71D3-4E1F-B7E3-79A393F1ED2C}"/>
    <cellStyle name="CustomizationCells 3 2 21" xfId="10581" xr:uid="{F0CE0C75-B6B3-45BF-BDC9-271C64ADF952}"/>
    <cellStyle name="CustomizationCells 3 2 22" xfId="10990" xr:uid="{18C6128B-4E24-4FCA-90E5-4EBC10AC7E26}"/>
    <cellStyle name="CustomizationCells 3 2 23" xfId="10810" xr:uid="{3EBFCC56-2CEB-4C87-A912-9CA0A40401DA}"/>
    <cellStyle name="CustomizationCells 3 2 24" xfId="11966" xr:uid="{246BF2CF-1C6D-4777-AF7A-85D0C0B82BD1}"/>
    <cellStyle name="CustomizationCells 3 2 25" xfId="12439" xr:uid="{0B244DA1-B5D5-48BA-A4E3-0D4A83BAC622}"/>
    <cellStyle name="CustomizationCells 3 2 26" xfId="12873" xr:uid="{4A235B4A-90D8-44B4-9E26-60D40DA8067F}"/>
    <cellStyle name="CustomizationCells 3 2 27" xfId="13310" xr:uid="{FAC88547-83B9-416F-B705-8A9DFCFAD028}"/>
    <cellStyle name="CustomizationCells 3 2 28" xfId="12258" xr:uid="{D9319490-66BE-4B5D-9DEF-63BBAC4F8C8F}"/>
    <cellStyle name="CustomizationCells 3 2 29" xfId="14152" xr:uid="{200FECF7-4884-43A2-A735-E9A986BD3BF6}"/>
    <cellStyle name="CustomizationCells 3 2 3" xfId="1096" xr:uid="{B0559107-19E5-4873-A41D-8546F7979D63}"/>
    <cellStyle name="CustomizationCells 3 2 30" xfId="14799" xr:uid="{10CF9BB1-5A1C-4E98-8A45-B3B3B908E043}"/>
    <cellStyle name="CustomizationCells 3 2 31" xfId="14967" xr:uid="{E09463F5-075F-4234-9BA5-45DFD7CED2B6}"/>
    <cellStyle name="CustomizationCells 3 2 32" xfId="15351" xr:uid="{ED2DE24D-1666-49F9-955B-2CF672E3DCBE}"/>
    <cellStyle name="CustomizationCells 3 2 33" xfId="15948" xr:uid="{D8B69400-483D-4028-B9D4-0A418310E0EA}"/>
    <cellStyle name="CustomizationCells 3 2 34" xfId="16658" xr:uid="{780E4A34-BB1D-46F1-AF86-5215E5B287F9}"/>
    <cellStyle name="CustomizationCells 3 2 35" xfId="17295" xr:uid="{F9D8B58F-54DB-48EA-B393-53C2E42F69E2}"/>
    <cellStyle name="CustomizationCells 3 2 36" xfId="17738" xr:uid="{C4A9DC99-A1E0-4CB1-B002-CBE4963E1785}"/>
    <cellStyle name="CustomizationCells 3 2 37" xfId="18048" xr:uid="{CA2BDC13-0C45-4662-B0C2-81AF162A073D}"/>
    <cellStyle name="CustomizationCells 3 2 38" xfId="18476" xr:uid="{9404DC2C-2C44-4A73-BCCB-75103C7E1A64}"/>
    <cellStyle name="CustomizationCells 3 2 39" xfId="17952" xr:uid="{FE16ACF8-EEBE-4A4E-A4FF-E0DC36F3993B}"/>
    <cellStyle name="CustomizationCells 3 2 4" xfId="1664" xr:uid="{E306DA8F-EC71-40C9-AA7F-37849510F2EC}"/>
    <cellStyle name="CustomizationCells 3 2 40" xfId="19213" xr:uid="{A86AA0CE-6639-4217-A2D7-422E5213F3C0}"/>
    <cellStyle name="CustomizationCells 3 2 41" xfId="19995" xr:uid="{23932F15-32A8-4393-B3B6-F9EE4BE6220A}"/>
    <cellStyle name="CustomizationCells 3 2 42" xfId="20645" xr:uid="{8B580E47-4E27-4612-B020-4D01A735A12B}"/>
    <cellStyle name="CustomizationCells 3 2 43" xfId="21101" xr:uid="{9CB31EA6-0E3F-424D-89EA-CB3BDB9BC7BC}"/>
    <cellStyle name="CustomizationCells 3 2 44" xfId="20343" xr:uid="{409E12C9-F6E9-4197-85A6-1A73E4A4EF63}"/>
    <cellStyle name="CustomizationCells 3 2 45" xfId="22032" xr:uid="{1CC016F0-DC80-477E-A0BC-811D8F0F816B}"/>
    <cellStyle name="CustomizationCells 3 2 46" xfId="22462" xr:uid="{C0337E7A-F7DF-4000-A135-3F103B7A85DB}"/>
    <cellStyle name="CustomizationCells 3 2 47" xfId="22583" xr:uid="{F70F2015-EB3E-4AB0-B53F-46EC568EC423}"/>
    <cellStyle name="CustomizationCells 3 2 48" xfId="22399" xr:uid="{4307301A-D4E7-43EF-B8C2-4F46BDF18FCA}"/>
    <cellStyle name="CustomizationCells 3 2 49" xfId="23541" xr:uid="{0FCEC3E5-724E-46B0-8CB1-A5E87C0BA1D1}"/>
    <cellStyle name="CustomizationCells 3 2 5" xfId="2435" xr:uid="{C81CD8B5-9D8C-48C9-B293-4761119B860B}"/>
    <cellStyle name="CustomizationCells 3 2 50" xfId="23804" xr:uid="{06B33626-B213-4420-AD53-1D0F9473E856}"/>
    <cellStyle name="CustomizationCells 3 2 51" xfId="24703" xr:uid="{B95D1CB8-40DD-4ED5-8C5C-4EC81F32E9BA}"/>
    <cellStyle name="CustomizationCells 3 2 52" xfId="25349" xr:uid="{F32B5E74-FF7A-4206-8CE9-7CB8F803E8D0}"/>
    <cellStyle name="CustomizationCells 3 2 53" xfId="25621" xr:uid="{6BB511FC-B41E-472C-B42B-56FBE6DAFB57}"/>
    <cellStyle name="CustomizationCells 3 2 54" xfId="24238" xr:uid="{6E70E40E-C70B-44A9-8D18-6C8A70BAF6E1}"/>
    <cellStyle name="CustomizationCells 3 2 55" xfId="26352" xr:uid="{9660E481-D1C2-43DD-9F92-749E35943F5E}"/>
    <cellStyle name="CustomizationCells 3 2 56" xfId="26911" xr:uid="{ADC356DB-03E2-4668-81E7-D938CDC90A3F}"/>
    <cellStyle name="CustomizationCells 3 2 57" xfId="27330" xr:uid="{83A16B17-6FE0-49DD-AF84-A8F36ED4BABC}"/>
    <cellStyle name="CustomizationCells 3 2 58" xfId="27642" xr:uid="{CB39C004-7AF5-476A-8F82-386A39AE511D}"/>
    <cellStyle name="CustomizationCells 3 2 59" xfId="28453" xr:uid="{8D999A38-BA6D-476F-9CE0-0323EFBA1A98}"/>
    <cellStyle name="CustomizationCells 3 2 6" xfId="1951" xr:uid="{BC6426A0-66A8-4902-83C4-5EA75518D4F2}"/>
    <cellStyle name="CustomizationCells 3 2 60" xfId="28921" xr:uid="{45912551-D0D4-49BF-B6F9-F1A779B5182E}"/>
    <cellStyle name="CustomizationCells 3 2 61" xfId="29473" xr:uid="{57782AA1-BDE6-4B06-9B2A-FBC26DC93173}"/>
    <cellStyle name="CustomizationCells 3 2 62" xfId="29711" xr:uid="{7EA18429-11A0-42BB-87A2-DD2F2D31D9B6}"/>
    <cellStyle name="CustomizationCells 3 2 63" xfId="30119" xr:uid="{73693F0D-7DDE-4AB1-99DF-AA8954BF09D5}"/>
    <cellStyle name="CustomizationCells 3 2 64" xfId="30533" xr:uid="{8BE69BBD-EED8-4ED3-AC26-25E955169CAC}"/>
    <cellStyle name="CustomizationCells 3 2 65" xfId="28330" xr:uid="{9EA0C283-9E6B-4C57-B4C3-944BB2C3CEAD}"/>
    <cellStyle name="CustomizationCells 3 2 66" xfId="31157" xr:uid="{BF70D943-5752-40EB-B6CF-98632FA5A070}"/>
    <cellStyle name="CustomizationCells 3 2 67" xfId="31843" xr:uid="{09BFA324-767A-462E-A8FF-66E9C2CDB0CC}"/>
    <cellStyle name="CustomizationCells 3 2 68" xfId="31692" xr:uid="{91004F18-F2B2-4379-B38E-8A705E32FAFD}"/>
    <cellStyle name="CustomizationCells 3 2 7" xfId="3469" xr:uid="{EC599A91-1926-4C02-B65D-7DFA038508AD}"/>
    <cellStyle name="CustomizationCells 3 2 8" xfId="3931" xr:uid="{EFA7ED2A-6DF1-4EF7-BFDE-4203D36820A7}"/>
    <cellStyle name="CustomizationCells 3 2 9" xfId="4369" xr:uid="{B0E17878-146C-45A1-BC6A-18A3286C11BA}"/>
    <cellStyle name="CustomizationCells 3 20" xfId="8635" xr:uid="{F0D89606-5549-4AF0-8599-0C7A5FDBA8B7}"/>
    <cellStyle name="CustomizationCells 3 21" xfId="8729" xr:uid="{4D6C9EB7-1458-4EE0-92CC-EA8001AE3D0B}"/>
    <cellStyle name="CustomizationCells 3 22" xfId="9218" xr:uid="{CEB1BA98-8556-4B60-9829-ED317E972256}"/>
    <cellStyle name="CustomizationCells 3 23" xfId="9851" xr:uid="{18EBD831-E445-4F9E-8919-012A509541B9}"/>
    <cellStyle name="CustomizationCells 3 24" xfId="9338" xr:uid="{426F43F4-C511-40D9-91FB-0C5FCC6D4C27}"/>
    <cellStyle name="CustomizationCells 3 25" xfId="10797" xr:uid="{D1711C92-10A8-4A6F-B131-BE7822D0E8CB}"/>
    <cellStyle name="CustomizationCells 3 26" xfId="11311" xr:uid="{51E67DFA-CC23-4E02-91D0-BCDBAEBF2909}"/>
    <cellStyle name="CustomizationCells 3 27" xfId="11630" xr:uid="{A89D4D57-9370-483D-95A2-D7053B6A23C2}"/>
    <cellStyle name="CustomizationCells 3 28" xfId="11479" xr:uid="{EC2C661C-9509-4CB9-9FCF-55A08CB21A03}"/>
    <cellStyle name="CustomizationCells 3 29" xfId="11517" xr:uid="{DC42602E-4FE0-4CDA-89D6-587D46FEB24D}"/>
    <cellStyle name="CustomizationCells 3 3" xfId="640" xr:uid="{1E3C21A3-C638-4BF6-82DC-8F7F54F187BF}"/>
    <cellStyle name="CustomizationCells 3 3 10" xfId="2885" xr:uid="{9BDE82AE-9483-4C98-8127-B48551C84FA1}"/>
    <cellStyle name="CustomizationCells 3 3 11" xfId="5288" xr:uid="{5BEDB95A-E0E3-48F9-A12B-87E972CC7022}"/>
    <cellStyle name="CustomizationCells 3 3 12" xfId="5768" xr:uid="{E56357C7-4E0D-4397-A1EB-B8219EC669B6}"/>
    <cellStyle name="CustomizationCells 3 3 13" xfId="5727" xr:uid="{7A69AFDC-16B4-4E11-A6C4-9C46901417AE}"/>
    <cellStyle name="CustomizationCells 3 3 14" xfId="6463" xr:uid="{3C55AFC2-097F-4D9D-8583-39AD1EEEFFCE}"/>
    <cellStyle name="CustomizationCells 3 3 15" xfId="7360" xr:uid="{C915D8B7-F148-4C1E-AFFA-AE5DE67818B6}"/>
    <cellStyle name="CustomizationCells 3 3 16" xfId="7988" xr:uid="{6DB0B609-0785-451A-A10E-6ACFBDF92F31}"/>
    <cellStyle name="CustomizationCells 3 3 17" xfId="7652" xr:uid="{72E6FDAB-98EB-45DF-B414-E1E3E6AD9D0D}"/>
    <cellStyle name="CustomizationCells 3 3 18" xfId="8194" xr:uid="{382992D7-D8E1-426E-801F-843A731C2245}"/>
    <cellStyle name="CustomizationCells 3 3 19" xfId="9574" xr:uid="{8CCBFFB0-33BF-4E0D-B6F6-03FCCB954311}"/>
    <cellStyle name="CustomizationCells 3 3 2" xfId="855" xr:uid="{65789945-C564-47EC-B5AB-1CF095AC9F12}"/>
    <cellStyle name="CustomizationCells 3 3 2 10" xfId="5503" xr:uid="{C7574D9E-8CE2-42D4-9E3E-7D9C48C3FBEC}"/>
    <cellStyle name="CustomizationCells 3 3 2 11" xfId="4877" xr:uid="{7FE0D9EF-C1E9-4053-93AB-5D160CC02053}"/>
    <cellStyle name="CustomizationCells 3 3 2 12" xfId="6204" xr:uid="{F344E434-15B4-47D4-A8F5-8259B9E9CA47}"/>
    <cellStyle name="CustomizationCells 3 3 2 13" xfId="6612" xr:uid="{3A0BEE35-8A67-42B6-913C-A8D838BD0B4B}"/>
    <cellStyle name="CustomizationCells 3 3 2 14" xfId="7575" xr:uid="{5B4C3336-9EA1-4C51-92AC-5BCE16B800FF}"/>
    <cellStyle name="CustomizationCells 3 3 2 15" xfId="7086" xr:uid="{4F26F091-3CDB-4EA7-B17A-CD8320B890F0}"/>
    <cellStyle name="CustomizationCells 3 3 2 16" xfId="8428" xr:uid="{180F33D3-58BF-44F7-9CF6-83E1F8F7C47B}"/>
    <cellStyle name="CustomizationCells 3 3 2 17" xfId="8756" xr:uid="{26BB873E-9FCF-4548-A9BA-35B88BC5AE32}"/>
    <cellStyle name="CustomizationCells 3 3 2 18" xfId="9789" xr:uid="{B5F64FD4-12BE-41FB-9734-F921829E93FF}"/>
    <cellStyle name="CustomizationCells 3 3 2 19" xfId="9300" xr:uid="{B48118E2-93AC-4B87-8A45-F9CD6CFA765C}"/>
    <cellStyle name="CustomizationCells 3 3 2 2" xfId="1329" xr:uid="{FA0F35BC-3E47-4B9E-90CA-832926DE968E}"/>
    <cellStyle name="CustomizationCells 3 3 2 20" xfId="9969" xr:uid="{9D866C11-7FF1-4472-AD58-24840D920F1F}"/>
    <cellStyle name="CustomizationCells 3 3 2 21" xfId="10854" xr:uid="{31345B92-7143-4643-A398-D0588EE044D6}"/>
    <cellStyle name="CustomizationCells 3 3 2 22" xfId="10771" xr:uid="{32EB7AFC-B3C5-4D0F-96DF-0B2D93588964}"/>
    <cellStyle name="CustomizationCells 3 3 2 23" xfId="12208" xr:uid="{1DF593B1-8867-4394-A087-5348E9A60322}"/>
    <cellStyle name="CustomizationCells 3 3 2 24" xfId="12681" xr:uid="{87B797A8-4BD6-45BC-BF06-7820E1618C13}"/>
    <cellStyle name="CustomizationCells 3 3 2 25" xfId="13115" xr:uid="{7C34811A-CD90-4097-989F-A74E7B74E3B2}"/>
    <cellStyle name="CustomizationCells 3 3 2 26" xfId="13552" xr:uid="{11060A50-0C46-46CB-B2E3-5E368A5B4EB5}"/>
    <cellStyle name="CustomizationCells 3 3 2 27" xfId="13755" xr:uid="{0A737F19-CCE3-411D-B341-B0B0E1A8DF3D}"/>
    <cellStyle name="CustomizationCells 3 3 2 28" xfId="14471" xr:uid="{D369F71A-0940-4027-AED4-A60C665841A9}"/>
    <cellStyle name="CustomizationCells 3 3 2 29" xfId="14219" xr:uid="{D1FCCC4B-8999-405C-A83C-5DFF403FD9B1}"/>
    <cellStyle name="CustomizationCells 3 3 2 3" xfId="1778" xr:uid="{A231156E-7727-41E6-8EBA-040ACA831E9C}"/>
    <cellStyle name="CustomizationCells 3 3 2 30" xfId="14695" xr:uid="{C5ADD909-8236-4709-9322-196DAECA8E81}"/>
    <cellStyle name="CustomizationCells 3 3 2 31" xfId="15326" xr:uid="{7E95E673-01AE-4336-877B-8F6A1CBB13D1}"/>
    <cellStyle name="CustomizationCells 3 3 2 32" xfId="15234" xr:uid="{FF31CB18-4A0F-4A11-B5EF-97704D0B92C4}"/>
    <cellStyle name="CustomizationCells 3 3 2 33" xfId="16900" xr:uid="{5AC5FC46-EF58-4E68-BCCB-F76C60185027}"/>
    <cellStyle name="CustomizationCells 3 3 2 34" xfId="16408" xr:uid="{F5F69960-73B0-45C1-B1D9-0B67B4F03B66}"/>
    <cellStyle name="CustomizationCells 3 3 2 35" xfId="17085" xr:uid="{02D1277A-0CA3-4540-903A-DA88FBB18625}"/>
    <cellStyle name="CustomizationCells 3 3 2 36" xfId="18061" xr:uid="{A060D66C-EAFD-4B83-A491-C4650F3BA307}"/>
    <cellStyle name="CustomizationCells 3 3 2 37" xfId="18718" xr:uid="{5EFD4968-3EA2-41BF-BFE2-7D4FE96CCEEA}"/>
    <cellStyle name="CustomizationCells 3 3 2 38" xfId="17448" xr:uid="{F00B9521-AC71-489E-BF63-6065A1A73AF9}"/>
    <cellStyle name="CustomizationCells 3 3 2 39" xfId="19231" xr:uid="{62BC0D9D-1DF9-4F1D-8C01-C950233ECA23}"/>
    <cellStyle name="CustomizationCells 3 3 2 4" xfId="2677" xr:uid="{D7E4771C-B750-461B-AF71-33EA96668288}"/>
    <cellStyle name="CustomizationCells 3 3 2 40" xfId="20237" xr:uid="{3324E61D-EDB5-44B4-9765-6EFADF4D786B}"/>
    <cellStyle name="CustomizationCells 3 3 2 41" xfId="19743" xr:uid="{767E198E-36E9-4DDE-A06E-0AF05A5BC9AC}"/>
    <cellStyle name="CustomizationCells 3 3 2 42" xfId="20370" xr:uid="{6355A9E5-B5DF-4BFD-AD69-F0C968AB5541}"/>
    <cellStyle name="CustomizationCells 3 3 2 43" xfId="21575" xr:uid="{5B012490-AF9F-4542-B3F3-9EB58FABA36C}"/>
    <cellStyle name="CustomizationCells 3 3 2 44" xfId="20796" xr:uid="{0D61596A-27CE-4D2E-989B-34D081E44FF9}"/>
    <cellStyle name="CustomizationCells 3 3 2 45" xfId="20611" xr:uid="{F525171A-0B1C-4E99-9B6A-B978A3ACFD8E}"/>
    <cellStyle name="CustomizationCells 3 3 2 46" xfId="22750" xr:uid="{B9D74AF2-7348-4B11-9C6C-14C06888DFE7}"/>
    <cellStyle name="CustomizationCells 3 3 2 47" xfId="22855" xr:uid="{4EF710A4-5A0D-4D0C-85AE-0FAA2519E53C}"/>
    <cellStyle name="CustomizationCells 3 3 2 48" xfId="23609" xr:uid="{D0BA94C0-AFDF-4DEA-9E47-AA6C62D26809}"/>
    <cellStyle name="CustomizationCells 3 3 2 49" xfId="24037" xr:uid="{4F0D135E-6E24-452D-B7EB-6F92804E7D04}"/>
    <cellStyle name="CustomizationCells 3 3 2 5" xfId="2921" xr:uid="{0F26EF0C-0477-4F65-B16D-7B8D68F4C436}"/>
    <cellStyle name="CustomizationCells 3 3 2 50" xfId="24945" xr:uid="{D26A9CF1-E86E-450E-81FC-324369461860}"/>
    <cellStyle name="CustomizationCells 3 3 2 51" xfId="24571" xr:uid="{598BCAE3-5DF8-4CE1-AFBD-52922F5C51CD}"/>
    <cellStyle name="CustomizationCells 3 3 2 52" xfId="25861" xr:uid="{521EDA6E-D04B-443C-88A8-B40240B65EDA}"/>
    <cellStyle name="CustomizationCells 3 3 2 53" xfId="25990" xr:uid="{D208BB0F-FD40-40DC-9B43-64B12F6E4F48}"/>
    <cellStyle name="CustomizationCells 3 3 2 54" xfId="26728" xr:uid="{1C595A62-C0D6-4C40-9702-3876D77C05DA}"/>
    <cellStyle name="CustomizationCells 3 3 2 55" xfId="27149" xr:uid="{E6C3F39F-5CBA-40EA-9AC8-B2C0AE4B6766}"/>
    <cellStyle name="CustomizationCells 3 3 2 56" xfId="27568" xr:uid="{7341F549-8546-4008-8674-81D0FC267CE4}"/>
    <cellStyle name="CustomizationCells 3 3 2 57" xfId="27215" xr:uid="{45AC3C3D-9F18-4292-8243-1D37F68E6530}"/>
    <cellStyle name="CustomizationCells 3 3 2 58" xfId="28695" xr:uid="{E6E6B608-3FAC-4DFD-AA3E-2A86BC420D8A}"/>
    <cellStyle name="CustomizationCells 3 3 2 59" xfId="29162" xr:uid="{9577250D-3EA0-4C95-81CB-5BF503573DF5}"/>
    <cellStyle name="CustomizationCells 3 3 2 6" xfId="2139" xr:uid="{E4E1D889-0C6F-4BA1-86CF-1B520BA8AA7C}"/>
    <cellStyle name="CustomizationCells 3 3 2 60" xfId="28802" xr:uid="{69C00370-39D9-4E05-B289-5554623C197F}"/>
    <cellStyle name="CustomizationCells 3 3 2 61" xfId="29951" xr:uid="{3B041AC8-7965-436D-A042-B7375A54725C}"/>
    <cellStyle name="CustomizationCells 3 3 2 62" xfId="30357" xr:uid="{C5BBBADB-E04B-4652-B9B1-75C877DCFDFD}"/>
    <cellStyle name="CustomizationCells 3 3 2 63" xfId="30774" xr:uid="{1674BBE2-FFCE-49A0-9339-64317CA6EDC0}"/>
    <cellStyle name="CustomizationCells 3 3 2 64" xfId="29332" xr:uid="{7BA83085-D65A-483B-873B-7B9748991D6B}"/>
    <cellStyle name="CustomizationCells 3 3 2 65" xfId="31390" xr:uid="{30015A3C-D4D9-4E1A-A65B-4CFBE8474366}"/>
    <cellStyle name="CustomizationCells 3 3 2 66" xfId="32081" xr:uid="{2AF870E0-7EB8-427B-8C79-700996FDC7A8}"/>
    <cellStyle name="CustomizationCells 3 3 2 67" xfId="31652" xr:uid="{0CA117BA-86D6-41B9-8AC2-621C46478BD8}"/>
    <cellStyle name="CustomizationCells 3 3 2 7" xfId="4173" xr:uid="{06D733C6-FD3C-4837-AB9B-3DEF75544CF1}"/>
    <cellStyle name="CustomizationCells 3 3 2 8" xfId="4610" xr:uid="{2C047390-4C36-41D5-BB48-ECD9AED699CD}"/>
    <cellStyle name="CustomizationCells 3 3 2 9" xfId="5056" xr:uid="{A49A6D6F-0FDB-456C-83C0-37EC63E0865E}"/>
    <cellStyle name="CustomizationCells 3 3 20" xfId="10204" xr:uid="{D8C53196-D56E-4925-90E9-57BD25A67701}"/>
    <cellStyle name="CustomizationCells 3 3 21" xfId="10608" xr:uid="{35CE2458-B858-4887-9D35-2A2896FFA58B}"/>
    <cellStyle name="CustomizationCells 3 3 22" xfId="10191" xr:uid="{A31BAB2E-F966-4C83-9DD0-CBFF441E2FEF}"/>
    <cellStyle name="CustomizationCells 3 3 23" xfId="11218" xr:uid="{0EBCE989-ADB8-4EE1-8935-6B24EFB95B7F}"/>
    <cellStyle name="CustomizationCells 3 3 24" xfId="11993" xr:uid="{6595BFBA-9643-468D-A54D-63F5A5A7624F}"/>
    <cellStyle name="CustomizationCells 3 3 25" xfId="12466" xr:uid="{415DEDCA-A81F-4209-ABF2-B26561BB56B4}"/>
    <cellStyle name="CustomizationCells 3 3 26" xfId="12900" xr:uid="{C1671AEC-9D0E-4552-8D8F-44C7BD3A14A1}"/>
    <cellStyle name="CustomizationCells 3 3 27" xfId="13337" xr:uid="{BB629A75-9077-4195-B69D-D15D8D6A690D}"/>
    <cellStyle name="CustomizationCells 3 3 28" xfId="11524" xr:uid="{55FAA695-9363-4927-8E7D-C6ACC5BCF3F8}"/>
    <cellStyle name="CustomizationCells 3 3 29" xfId="13604" xr:uid="{F841A69F-6B5A-4AF8-93D3-C5C1DC0016FF}"/>
    <cellStyle name="CustomizationCells 3 3 3" xfId="1123" xr:uid="{57DDA8D3-3057-461A-8D47-5AF576475652}"/>
    <cellStyle name="CustomizationCells 3 3 30" xfId="14154" xr:uid="{CFA9AF5D-A74F-4400-8015-3C350E3B7476}"/>
    <cellStyle name="CustomizationCells 3 3 31" xfId="14968" xr:uid="{78B8042F-149E-478B-B619-AB00AF7EC856}"/>
    <cellStyle name="CustomizationCells 3 3 32" xfId="15588" xr:uid="{CFEB2AB3-B67A-4704-8C00-E3016D310BE5}"/>
    <cellStyle name="CustomizationCells 3 3 33" xfId="15967" xr:uid="{9EC623A7-06A7-4CDF-BC31-FE8FC1613F21}"/>
    <cellStyle name="CustomizationCells 3 3 34" xfId="16685" xr:uid="{8926D54D-2169-4E5D-A666-64F6A99275E4}"/>
    <cellStyle name="CustomizationCells 3 3 35" xfId="17325" xr:uid="{2BE035A6-2038-47FF-B76D-BB26FADEADF1}"/>
    <cellStyle name="CustomizationCells 3 3 36" xfId="17768" xr:uid="{23BEA725-05DD-4333-9749-AB58D812C63C}"/>
    <cellStyle name="CustomizationCells 3 3 37" xfId="17050" xr:uid="{F306B8DD-A334-4753-8EB1-4A0225A20C20}"/>
    <cellStyle name="CustomizationCells 3 3 38" xfId="18503" xr:uid="{D3B24E03-0198-4D95-AADC-6799FA6179D7}"/>
    <cellStyle name="CustomizationCells 3 3 39" xfId="18234" xr:uid="{C68E0819-254B-4663-9498-8DE8C9838A44}"/>
    <cellStyle name="CustomizationCells 3 3 4" xfId="1689" xr:uid="{FED1209F-6250-4B0B-9105-4BB2586FB06D}"/>
    <cellStyle name="CustomizationCells 3 3 40" xfId="19062" xr:uid="{F25376DF-8444-4C0C-B52D-F4FCAD832C3B}"/>
    <cellStyle name="CustomizationCells 3 3 41" xfId="20022" xr:uid="{3FE751AB-0302-49B3-BE7A-DAD53D3028EB}"/>
    <cellStyle name="CustomizationCells 3 3 42" xfId="20676" xr:uid="{B819B0DD-D9AA-4832-B07F-F94FEC013B6D}"/>
    <cellStyle name="CustomizationCells 3 3 43" xfId="21132" xr:uid="{6D3F4D54-45A0-47FF-B703-27704591868F}"/>
    <cellStyle name="CustomizationCells 3 3 44" xfId="21165" xr:uid="{19E59189-5682-4250-AFE5-49ED6113422D}"/>
    <cellStyle name="CustomizationCells 3 3 45" xfId="22064" xr:uid="{3F9A290D-83E5-459C-B863-D4E47AB73453}"/>
    <cellStyle name="CustomizationCells 3 3 46" xfId="22492" xr:uid="{CB62185D-DEC3-4924-9AA9-482B2CBC3A36}"/>
    <cellStyle name="CustomizationCells 3 3 47" xfId="21689" xr:uid="{A462064F-E9BE-4691-86BA-97C9A19976B9}"/>
    <cellStyle name="CustomizationCells 3 3 48" xfId="22948" xr:uid="{7DD0D94E-6275-4407-AC38-8A1DACAB0BBB}"/>
    <cellStyle name="CustomizationCells 3 3 49" xfId="22301" xr:uid="{33125025-F1DB-498B-ABD3-266A3E7FD9DF}"/>
    <cellStyle name="CustomizationCells 3 3 5" xfId="2462" xr:uid="{7391C4D4-8BCD-4D2A-8F2E-77EA552BDBDF}"/>
    <cellStyle name="CustomizationCells 3 3 50" xfId="23831" xr:uid="{034F7376-342C-4F64-B679-29BDB65BBEB3}"/>
    <cellStyle name="CustomizationCells 3 3 51" xfId="24730" xr:uid="{4CE36B66-8F8A-484A-9927-30DD44BBEBB6}"/>
    <cellStyle name="CustomizationCells 3 3 52" xfId="25379" xr:uid="{59FB9824-A328-451C-A466-C1A8A66D0CBA}"/>
    <cellStyle name="CustomizationCells 3 3 53" xfId="25648" xr:uid="{E9CA5175-ECFC-4423-9C2C-5D1499D1D9C5}"/>
    <cellStyle name="CustomizationCells 3 3 54" xfId="24360" xr:uid="{F0B5D830-D773-45DC-AFB3-E53F566F5FB1}"/>
    <cellStyle name="CustomizationCells 3 3 55" xfId="24433" xr:uid="{4451145E-B139-460C-9EBC-89364E7E296D}"/>
    <cellStyle name="CustomizationCells 3 3 56" xfId="26938" xr:uid="{F0DEAB67-4A44-4F48-BF1C-9D7167DA5D08}"/>
    <cellStyle name="CustomizationCells 3 3 57" xfId="27357" xr:uid="{BB885C41-678B-414B-86EA-EAE68F964629}"/>
    <cellStyle name="CustomizationCells 3 3 58" xfId="27729" xr:uid="{9C4F0516-9EAD-4257-87E3-45A4699B469E}"/>
    <cellStyle name="CustomizationCells 3 3 59" xfId="28480" xr:uid="{B80F9F8B-A224-4AC9-8BFB-29AC15A38B55}"/>
    <cellStyle name="CustomizationCells 3 3 6" xfId="2048" xr:uid="{AC7EDC02-39C6-4FC1-94DD-0F63947952A6}"/>
    <cellStyle name="CustomizationCells 3 3 60" xfId="28948" xr:uid="{37798A89-E1DA-4B38-8DD7-035F761CF2A1}"/>
    <cellStyle name="CustomizationCells 3 3 61" xfId="29501" xr:uid="{EB4D061B-D3B5-4A12-AC01-EA9E7AC79668}"/>
    <cellStyle name="CustomizationCells 3 3 62" xfId="29738" xr:uid="{4F44248A-8D3F-4484-9C97-DC0BA42C5CA4}"/>
    <cellStyle name="CustomizationCells 3 3 63" xfId="30146" xr:uid="{9F6C1A2E-7D34-4517-9073-2613A9A6B3A9}"/>
    <cellStyle name="CustomizationCells 3 3 64" xfId="30560" xr:uid="{23DABEA3-5DCE-463E-A704-895D4DE44559}"/>
    <cellStyle name="CustomizationCells 3 3 65" xfId="28339" xr:uid="{97C3E227-7807-49F0-9EA8-9E6AE1A5E88C}"/>
    <cellStyle name="CustomizationCells 3 3 66" xfId="31184" xr:uid="{FD30F047-1F9E-40F6-B5BF-BF0C9B761CE6}"/>
    <cellStyle name="CustomizationCells 3 3 67" xfId="31870" xr:uid="{DE587495-7794-4026-8629-C384B712F92B}"/>
    <cellStyle name="CustomizationCells 3 3 68" xfId="31680" xr:uid="{A82DA5F9-0987-4BA2-BCF4-D19821C95F29}"/>
    <cellStyle name="CustomizationCells 3 3 7" xfId="2319" xr:uid="{69EB41CC-8B33-4345-A5D9-287A9EFE0E93}"/>
    <cellStyle name="CustomizationCells 3 3 8" xfId="3958" xr:uid="{EE855558-0944-4B96-9B88-E8716EB06BC0}"/>
    <cellStyle name="CustomizationCells 3 3 9" xfId="4396" xr:uid="{F6A14BA7-7BB1-4D6C-B96A-C4B228C7F062}"/>
    <cellStyle name="CustomizationCells 3 30" xfId="11586" xr:uid="{3DFB93B9-DD74-4F1D-A0F6-42B7D7CC861D}"/>
    <cellStyle name="CustomizationCells 3 31" xfId="13650" xr:uid="{0B35A6B6-7869-4D7E-A4E6-E49F66AC347E}"/>
    <cellStyle name="CustomizationCells 3 32" xfId="13718" xr:uid="{F8DB0A67-5ACA-4ADB-BC1C-4A45A93CD2E1}"/>
    <cellStyle name="CustomizationCells 3 33" xfId="13367" xr:uid="{5A3A01EA-0187-40B6-8E89-183D3C8FD607}"/>
    <cellStyle name="CustomizationCells 3 34" xfId="14873" xr:uid="{90797766-A8CC-48A2-B522-91DF849083B9}"/>
    <cellStyle name="CustomizationCells 3 35" xfId="15101" xr:uid="{9603F25D-0573-4F4A-98DE-7FC7C9CA6DF4}"/>
    <cellStyle name="CustomizationCells 3 36" xfId="15209" xr:uid="{B982297E-4008-4EE4-A7AB-DF7B1873B861}"/>
    <cellStyle name="CustomizationCells 3 37" xfId="16325" xr:uid="{7EC3F07C-2C2C-40DA-99C8-411FDB1DAF65}"/>
    <cellStyle name="CustomizationCells 3 38" xfId="16967" xr:uid="{9BA91523-E9BB-4F4E-AA99-AB0B4A1623F7}"/>
    <cellStyle name="CustomizationCells 3 39" xfId="17418" xr:uid="{4E16CAC2-03A8-4DB0-AE64-C882E9CC166A}"/>
    <cellStyle name="CustomizationCells 3 4" xfId="560" xr:uid="{91D562E2-5125-428C-926B-E30244BC208A}"/>
    <cellStyle name="CustomizationCells 3 4 10" xfId="4012" xr:uid="{D9A468ED-31FE-409E-825A-8F44B0EA15EF}"/>
    <cellStyle name="CustomizationCells 3 4 11" xfId="5208" xr:uid="{4F61281F-20A5-4160-8C8B-0233675CAFC1}"/>
    <cellStyle name="CustomizationCells 3 4 12" xfId="5677" xr:uid="{7CDFADF1-936B-4EB8-9E80-D57A04287DD7}"/>
    <cellStyle name="CustomizationCells 3 4 13" xfId="5828" xr:uid="{4DB85FE7-38EF-4B21-9F37-E5338CF13418}"/>
    <cellStyle name="CustomizationCells 3 4 14" xfId="6184" xr:uid="{CC4E8AAC-751E-4F82-B962-D6C82982051A}"/>
    <cellStyle name="CustomizationCells 3 4 15" xfId="7280" xr:uid="{FBE068BE-1D48-4CB8-BB1A-5C55785F6B57}"/>
    <cellStyle name="CustomizationCells 3 4 16" xfId="7999" xr:uid="{2EA464DE-D136-4DFF-9C9E-BAE3CAD2034A}"/>
    <cellStyle name="CustomizationCells 3 4 17" xfId="8373" xr:uid="{7F3F6DA9-2CD6-44AF-9C3B-073296A7C681}"/>
    <cellStyle name="CustomizationCells 3 4 18" xfId="8787" xr:uid="{6E2BE22A-859A-4C1F-A8E3-564DD15FBB08}"/>
    <cellStyle name="CustomizationCells 3 4 19" xfId="9494" xr:uid="{CDC953C6-A4D1-4DF3-B6F8-AFC82C938E76}"/>
    <cellStyle name="CustomizationCells 3 4 2" xfId="775" xr:uid="{5B462857-72CE-4A6C-8722-0720E4C213AD}"/>
    <cellStyle name="CustomizationCells 3 4 2 10" xfId="5423" xr:uid="{9FAD9E6D-3200-473D-A2DE-2A139D530556}"/>
    <cellStyle name="CustomizationCells 3 4 2 11" xfId="5601" xr:uid="{4AC744E0-D9BC-4132-B105-A4DA13DF251A}"/>
    <cellStyle name="CustomizationCells 3 4 2 12" xfId="5728" xr:uid="{5D12C024-F787-4FD4-8CCD-B4F1EF9ECD83}"/>
    <cellStyle name="CustomizationCells 3 4 2 13" xfId="6084" xr:uid="{59CB72A7-EB5E-4A7B-822C-E97397560E4E}"/>
    <cellStyle name="CustomizationCells 3 4 2 14" xfId="7495" xr:uid="{9ED000B8-4994-4030-B8CE-CA715D4DF587}"/>
    <cellStyle name="CustomizationCells 3 4 2 15" xfId="6732" xr:uid="{40432F41-9377-4B8F-97C7-857C815E3EE3}"/>
    <cellStyle name="CustomizationCells 3 4 2 16" xfId="8378" xr:uid="{3378A0D0-54CC-4E3A-98F3-88474B414ACD}"/>
    <cellStyle name="CustomizationCells 3 4 2 17" xfId="8874" xr:uid="{BBFF2361-F5FF-4E83-928A-42A7182E895A}"/>
    <cellStyle name="CustomizationCells 3 4 2 18" xfId="9709" xr:uid="{8990987E-D25A-4667-B40F-C4C0541917CE}"/>
    <cellStyle name="CustomizationCells 3 4 2 19" xfId="8945" xr:uid="{06137C4B-FDE1-44C4-9BAD-6D88CD46198D}"/>
    <cellStyle name="CustomizationCells 3 4 2 2" xfId="1249" xr:uid="{860CF881-19E1-41F5-B254-84BF4A260FA9}"/>
    <cellStyle name="CustomizationCells 3 4 2 20" xfId="9149" xr:uid="{D9A7EDEF-C594-4B73-BD17-BDA76FAA559A}"/>
    <cellStyle name="CustomizationCells 3 4 2 21" xfId="10580" xr:uid="{5628CE0C-F93A-43CF-8AF8-6E27CC25E865}"/>
    <cellStyle name="CustomizationCells 3 4 2 22" xfId="10841" xr:uid="{2D8CEFDC-64A0-4B18-A0E0-8069F2B6546A}"/>
    <cellStyle name="CustomizationCells 3 4 2 23" xfId="12128" xr:uid="{3C65AEFD-E4B8-4BB2-9C16-AA5FB01C86AA}"/>
    <cellStyle name="CustomizationCells 3 4 2 24" xfId="12601" xr:uid="{853BF1B3-038A-4EA3-A791-52F26B8E4F56}"/>
    <cellStyle name="CustomizationCells 3 4 2 25" xfId="13035" xr:uid="{6448E90D-10BC-4E42-875F-249F6DCE8549}"/>
    <cellStyle name="CustomizationCells 3 4 2 26" xfId="13472" xr:uid="{183A7035-871D-419F-A93F-B79F3D29C575}"/>
    <cellStyle name="CustomizationCells 3 4 2 27" xfId="12751" xr:uid="{CF132BBB-5854-47C6-87E1-1BEE02FEB9E0}"/>
    <cellStyle name="CustomizationCells 3 4 2 28" xfId="12767" xr:uid="{4BAC02AA-6544-462A-8961-14A644A0F822}"/>
    <cellStyle name="CustomizationCells 3 4 2 29" xfId="14134" xr:uid="{9A98FD06-5853-4315-96C6-A9C0919A8905}"/>
    <cellStyle name="CustomizationCells 3 4 2 3" xfId="1429" xr:uid="{DB82E4D9-9340-4BE2-BF9D-FA454EC13C57}"/>
    <cellStyle name="CustomizationCells 3 4 2 30" xfId="15182" xr:uid="{12890769-2891-4568-A451-E66E5CDEE970}"/>
    <cellStyle name="CustomizationCells 3 4 2 31" xfId="15371" xr:uid="{AA4D6D5B-DEA9-4FEB-9806-4B33F4C622D9}"/>
    <cellStyle name="CustomizationCells 3 4 2 32" xfId="11599" xr:uid="{0EF1BFBB-3493-4CAB-9FF6-8D19F90646BE}"/>
    <cellStyle name="CustomizationCells 3 4 2 33" xfId="16820" xr:uid="{7820E8A7-C05B-44BF-81E2-B610013FE2BA}"/>
    <cellStyle name="CustomizationCells 3 4 2 34" xfId="16040" xr:uid="{649D3B9F-6E1F-43D6-8809-3032C4F20C60}"/>
    <cellStyle name="CustomizationCells 3 4 2 35" xfId="16134" xr:uid="{CC9DAC18-01C7-4199-96FB-1C565F60F98A}"/>
    <cellStyle name="CustomizationCells 3 4 2 36" xfId="17520" xr:uid="{CE3D35DF-D8D7-4BA1-B386-EBF4333F940A}"/>
    <cellStyle name="CustomizationCells 3 4 2 37" xfId="18638" xr:uid="{7C335BB1-2881-4EDE-A597-A6D023612552}"/>
    <cellStyle name="CustomizationCells 3 4 2 38" xfId="18977" xr:uid="{F35B099D-2225-426B-9294-5D447713C296}"/>
    <cellStyle name="CustomizationCells 3 4 2 39" xfId="17314" xr:uid="{C5C4E009-13B8-419D-9ADA-0AC8B37A4FB2}"/>
    <cellStyle name="CustomizationCells 3 4 2 4" xfId="2597" xr:uid="{FE34D14D-73D3-47D4-9D42-278B0C35BC8E}"/>
    <cellStyle name="CustomizationCells 3 4 2 40" xfId="20157" xr:uid="{36BF6E51-6D2C-4A36-9111-13B1CA3CE847}"/>
    <cellStyle name="CustomizationCells 3 4 2 41" xfId="19373" xr:uid="{87C513D6-3297-462D-A3D0-73B8F1ED36E2}"/>
    <cellStyle name="CustomizationCells 3 4 2 42" xfId="19416" xr:uid="{C89FA551-0867-47CE-AE08-99E5441E4ACE}"/>
    <cellStyle name="CustomizationCells 3 4 2 43" xfId="21473" xr:uid="{92DA6DC6-89D6-4667-9F1E-B4B7952DDB48}"/>
    <cellStyle name="CustomizationCells 3 4 2 44" xfId="21688" xr:uid="{A7CE419D-56FC-4768-BF4A-5C535E9F309D}"/>
    <cellStyle name="CustomizationCells 3 4 2 45" xfId="22127" xr:uid="{F3B8EF0B-ED1B-4BD4-BC78-464BCF8AFB33}"/>
    <cellStyle name="CustomizationCells 3 4 2 46" xfId="21420" xr:uid="{73D7DD78-45AF-4464-80EC-FB24B0CF6056}"/>
    <cellStyle name="CustomizationCells 3 4 2 47" xfId="23264" xr:uid="{AE8959CC-6A60-4DA1-B599-565C73BF2D5F}"/>
    <cellStyle name="CustomizationCells 3 4 2 48" xfId="23260" xr:uid="{64A8C2BF-6ECE-4362-A57C-734AD317BCDF}"/>
    <cellStyle name="CustomizationCells 3 4 2 49" xfId="23957" xr:uid="{3909D36E-7878-4D5A-B12C-23EC8EF61B7B}"/>
    <cellStyle name="CustomizationCells 3 4 2 5" xfId="2039" xr:uid="{465C8BB2-6AC3-434B-9A82-5EF2A465A3F6}"/>
    <cellStyle name="CustomizationCells 3 4 2 50" xfId="24865" xr:uid="{772F07A5-B9B8-4948-B8E1-9675D4C626FD}"/>
    <cellStyle name="CustomizationCells 3 4 2 51" xfId="24334" xr:uid="{4662EF5D-DDC1-4966-8C21-D6BD97DCF8D6}"/>
    <cellStyle name="CustomizationCells 3 4 2 52" xfId="25781" xr:uid="{F3A136FD-3EB2-4A21-85A2-55985E20D051}"/>
    <cellStyle name="CustomizationCells 3 4 2 53" xfId="25924" xr:uid="{0A2E8BE2-D005-4B0F-A1E1-F054A2721B08}"/>
    <cellStyle name="CustomizationCells 3 4 2 54" xfId="26416" xr:uid="{F61FD7D5-6862-4CDF-9629-8C10D37536CF}"/>
    <cellStyle name="CustomizationCells 3 4 2 55" xfId="27069" xr:uid="{9D71B0AD-E995-4321-82A7-3502983F4351}"/>
    <cellStyle name="CustomizationCells 3 4 2 56" xfId="27488" xr:uid="{57A96B9E-ACD1-4F24-875A-727ED2B5F183}"/>
    <cellStyle name="CustomizationCells 3 4 2 57" xfId="26613" xr:uid="{1A800B49-44E5-44BA-A4AD-552B7E18F1AC}"/>
    <cellStyle name="CustomizationCells 3 4 2 58" xfId="28615" xr:uid="{61B71245-710A-4022-B34B-E2792950CCD5}"/>
    <cellStyle name="CustomizationCells 3 4 2 59" xfId="29082" xr:uid="{05839C1D-7F87-4FF0-9A69-8D3CCEC3A254}"/>
    <cellStyle name="CustomizationCells 3 4 2 6" xfId="3571" xr:uid="{07F3B64E-A646-4A38-BA20-2815EEA3AD6F}"/>
    <cellStyle name="CustomizationCells 3 4 2 60" xfId="28175" xr:uid="{3404C6F1-8F0B-44EE-BA60-08AB6D7EEEBA}"/>
    <cellStyle name="CustomizationCells 3 4 2 61" xfId="29871" xr:uid="{362037E5-E0A9-4DC6-8CD5-87B15C86E7E6}"/>
    <cellStyle name="CustomizationCells 3 4 2 62" xfId="30277" xr:uid="{4950DF9B-D624-4B96-81D0-C483B4959EC0}"/>
    <cellStyle name="CustomizationCells 3 4 2 63" xfId="30694" xr:uid="{8C7513AF-B702-4F8C-A222-CAB40C9506EF}"/>
    <cellStyle name="CustomizationCells 3 4 2 64" xfId="29555" xr:uid="{B470639F-ADAE-4C2A-BDEF-476E1221654A}"/>
    <cellStyle name="CustomizationCells 3 4 2 65" xfId="31310" xr:uid="{460F54B1-47AD-4B6A-898C-9D8D5C035F80}"/>
    <cellStyle name="CustomizationCells 3 4 2 66" xfId="32001" xr:uid="{1E16A5AB-BC9D-43AB-B17C-C10BCB1708BD}"/>
    <cellStyle name="CustomizationCells 3 4 2 67" xfId="31567" xr:uid="{4F30A0B5-BC24-4883-B839-DFA61D58466E}"/>
    <cellStyle name="CustomizationCells 3 4 2 7" xfId="4093" xr:uid="{686E9454-65BA-4EDA-8302-1593D5CFDF51}"/>
    <cellStyle name="CustomizationCells 3 4 2 8" xfId="4530" xr:uid="{53951FB5-2E78-4B7A-A5E3-3D77E37FA4FA}"/>
    <cellStyle name="CustomizationCells 3 4 2 9" xfId="3133" xr:uid="{43C0B525-8F86-477A-8655-43A78FACB6C4}"/>
    <cellStyle name="CustomizationCells 3 4 20" xfId="10216" xr:uid="{64AD971C-FC16-404C-A24F-CE27E0B78EA5}"/>
    <cellStyle name="CustomizationCells 3 4 21" xfId="10618" xr:uid="{FA5BD6F0-871D-4445-869D-D511FB7B075D}"/>
    <cellStyle name="CustomizationCells 3 4 22" xfId="10738" xr:uid="{5EDC5F76-CB15-4A11-AAFC-5477460E8A95}"/>
    <cellStyle name="CustomizationCells 3 4 23" xfId="11187" xr:uid="{A11DDEC5-0419-48A4-B2DC-20610375525D}"/>
    <cellStyle name="CustomizationCells 3 4 24" xfId="11913" xr:uid="{17E81043-58C6-40EC-919A-84889499CF01}"/>
    <cellStyle name="CustomizationCells 3 4 25" xfId="12386" xr:uid="{CC52F7E4-3F1D-4A42-B9C6-8C3C9F5BA95C}"/>
    <cellStyle name="CustomizationCells 3 4 26" xfId="12820" xr:uid="{CBFDA444-C021-420C-B9E2-36C79229482D}"/>
    <cellStyle name="CustomizationCells 3 4 27" xfId="13257" xr:uid="{08E8BDC3-74E6-4F67-BBE6-3C4EEC2FEBC6}"/>
    <cellStyle name="CustomizationCells 3 4 28" xfId="13765" xr:uid="{8D4C686D-093B-4C51-B883-F5D1C472C9F7}"/>
    <cellStyle name="CustomizationCells 3 4 29" xfId="13601" xr:uid="{F4D33F8F-CD70-46E5-8B76-E6C080191728}"/>
    <cellStyle name="CustomizationCells 3 4 3" xfId="1043" xr:uid="{1AC51C54-A3FF-4F58-A3D5-BCC632F19EE5}"/>
    <cellStyle name="CustomizationCells 3 4 30" xfId="14165" xr:uid="{F5D7661E-BDC4-4799-AE28-38D7D12FDBBC}"/>
    <cellStyle name="CustomizationCells 3 4 31" xfId="15085" xr:uid="{54B65F7D-165C-4137-8386-A02273D5B9E6}"/>
    <cellStyle name="CustomizationCells 3 4 32" xfId="15412" xr:uid="{168A9C1D-EA8F-4FE8-BBB4-F7BE158D0A62}"/>
    <cellStyle name="CustomizationCells 3 4 33" xfId="15973" xr:uid="{EB2C6E6B-8396-48FB-9158-44B9139ED5E2}"/>
    <cellStyle name="CustomizationCells 3 4 34" xfId="16605" xr:uid="{FF05D491-48E9-4AEF-A590-D3591EAC6482}"/>
    <cellStyle name="CustomizationCells 3 4 35" xfId="17338" xr:uid="{B0B6CD21-79E7-4DE7-A4C9-765E43351016}"/>
    <cellStyle name="CustomizationCells 3 4 36" xfId="17781" xr:uid="{E4EE7EC8-93FD-47F5-84EF-1CE0A9E00141}"/>
    <cellStyle name="CustomizationCells 3 4 37" xfId="17925" xr:uid="{266E4575-79BA-4071-9E29-90D44165C122}"/>
    <cellStyle name="CustomizationCells 3 4 38" xfId="18423" xr:uid="{6FFC0B49-E44B-4DCC-846A-1789A1AAF2EF}"/>
    <cellStyle name="CustomizationCells 3 4 39" xfId="18144" xr:uid="{71D80971-30B2-48AC-9D9C-136EBFE9397E}"/>
    <cellStyle name="CustomizationCells 3 4 4" xfId="1526" xr:uid="{9F771F35-8C7D-423B-9C79-570847791553}"/>
    <cellStyle name="CustomizationCells 3 4 40" xfId="18957" xr:uid="{9C47E58B-4DDB-4A96-9856-23405D661B42}"/>
    <cellStyle name="CustomizationCells 3 4 41" xfId="19942" xr:uid="{AC5D6370-A5E6-4D6C-A25E-AE34E8796D46}"/>
    <cellStyle name="CustomizationCells 3 4 42" xfId="20689" xr:uid="{9E01B9F0-CA7F-4419-A3B4-20DF0A1B7317}"/>
    <cellStyle name="CustomizationCells 3 4 43" xfId="21145" xr:uid="{56C651FB-6D61-4B38-B0F2-105F977D51C3}"/>
    <cellStyle name="CustomizationCells 3 4 44" xfId="21576" xr:uid="{DA50A5AB-1FE9-4EDB-847F-6DE4601BE62C}"/>
    <cellStyle name="CustomizationCells 3 4 45" xfId="22077" xr:uid="{568FDB7E-AE7A-4A09-B85B-87464CC28250}"/>
    <cellStyle name="CustomizationCells 3 4 46" xfId="22504" xr:uid="{C186E1BF-CBF6-4A16-A13C-34F83E81D201}"/>
    <cellStyle name="CustomizationCells 3 4 47" xfId="22759" xr:uid="{1F63AFAE-0D36-4F60-9AB3-0054BE8E1538}"/>
    <cellStyle name="CustomizationCells 3 4 48" xfId="22868" xr:uid="{FCA7DF92-5580-4D54-A45C-2A60C25832D5}"/>
    <cellStyle name="CustomizationCells 3 4 49" xfId="23246" xr:uid="{1858D7B9-B382-457B-B591-5C59E25D6134}"/>
    <cellStyle name="CustomizationCells 3 4 5" xfId="2382" xr:uid="{687C0E85-0AF2-4A4E-BC3C-40D498F78625}"/>
    <cellStyle name="CustomizationCells 3 4 50" xfId="23751" xr:uid="{00BE0C12-55A4-45B0-A74D-6ED00BA14C9B}"/>
    <cellStyle name="CustomizationCells 3 4 51" xfId="24650" xr:uid="{2266AE0B-3EFF-47DB-BA07-478A44BCA232}"/>
    <cellStyle name="CustomizationCells 3 4 52" xfId="25391" xr:uid="{6F7C8DAA-5FF8-4BEC-AAED-36E385A3870E}"/>
    <cellStyle name="CustomizationCells 3 4 53" xfId="25568" xr:uid="{A06FA2F7-99D0-4D30-A6D3-6EA42E29E561}"/>
    <cellStyle name="CustomizationCells 3 4 54" xfId="26064" xr:uid="{6670EDC1-D0B3-4CE4-AEF4-59FF08729582}"/>
    <cellStyle name="CustomizationCells 3 4 55" xfId="26572" xr:uid="{3E977586-7C93-4E61-8C81-8F3C3016C6CE}"/>
    <cellStyle name="CustomizationCells 3 4 56" xfId="26858" xr:uid="{EC5471A1-EEB8-497A-8264-51099FEE0E7C}"/>
    <cellStyle name="CustomizationCells 3 4 57" xfId="27277" xr:uid="{72E6C56D-7A44-4B7F-935A-55054A4267F9}"/>
    <cellStyle name="CustomizationCells 3 4 58" xfId="27704" xr:uid="{F433078D-B366-452F-94B2-92FAA7F6C013}"/>
    <cellStyle name="CustomizationCells 3 4 59" xfId="28400" xr:uid="{4C9CD117-99A6-467D-A4E6-CFBB9C9FF0E1}"/>
    <cellStyle name="CustomizationCells 3 4 6" xfId="2932" xr:uid="{6F31DDBF-415C-4D06-B094-3EC503B4FF80}"/>
    <cellStyle name="CustomizationCells 3 4 60" xfId="28868" xr:uid="{B5A7D3D7-EC20-4C69-A1D0-5860B5DB2808}"/>
    <cellStyle name="CustomizationCells 3 4 61" xfId="29510" xr:uid="{877B4F87-FB5E-489F-B1B6-A77BC58195DD}"/>
    <cellStyle name="CustomizationCells 3 4 62" xfId="29658" xr:uid="{3174752D-4C81-4390-8621-C5508FCFBA1B}"/>
    <cellStyle name="CustomizationCells 3 4 63" xfId="30066" xr:uid="{A4AE0DF3-D79B-444B-AA7E-054206D77DAF}"/>
    <cellStyle name="CustomizationCells 3 4 64" xfId="30480" xr:uid="{C57E2A3B-8BDC-4A7C-A824-2EFB0138484E}"/>
    <cellStyle name="CustomizationCells 3 4 65" xfId="28280" xr:uid="{F35A6034-5236-47AD-B4C8-5CD6DE3E3BEC}"/>
    <cellStyle name="CustomizationCells 3 4 66" xfId="31104" xr:uid="{2618F02F-65A7-4AA5-B14B-F3A759542350}"/>
    <cellStyle name="CustomizationCells 3 4 67" xfId="31790" xr:uid="{ECF90D65-E649-414F-B9C1-DDBC24C30E56}"/>
    <cellStyle name="CustomizationCells 3 4 68" xfId="32316" xr:uid="{061BF829-7BC8-4253-9F27-7BF51586B45D}"/>
    <cellStyle name="CustomizationCells 3 4 7" xfId="2978" xr:uid="{25977C84-91F9-4157-A055-321A2F393A3A}"/>
    <cellStyle name="CustomizationCells 3 4 8" xfId="3878" xr:uid="{C47A2CBD-21D6-4A7F-89F6-0EE75A18FDF7}"/>
    <cellStyle name="CustomizationCells 3 4 9" xfId="4316" xr:uid="{63770412-3C6D-4F76-8B24-10F2407EAEB3}"/>
    <cellStyle name="CustomizationCells 3 40" xfId="16452" xr:uid="{B1954D2A-4FF8-4E91-B4CA-308F1A48DBFC}"/>
    <cellStyle name="CustomizationCells 3 41" xfId="17498" xr:uid="{6C7C40E2-F801-4B49-B2E2-4BEFBBE53F60}"/>
    <cellStyle name="CustomizationCells 3 42" xfId="18923" xr:uid="{76FA6473-6A24-414C-A31B-A88791E14F73}"/>
    <cellStyle name="CustomizationCells 3 43" xfId="19315" xr:uid="{39455C60-19A9-4523-90DB-9B42D9C98FE4}"/>
    <cellStyle name="CustomizationCells 3 44" xfId="19658" xr:uid="{DFAE080F-B3A6-431B-9D3E-8F68C202E25E}"/>
    <cellStyle name="CustomizationCells 3 45" xfId="20314" xr:uid="{EA808313-8B1C-421D-BF9B-99E7C133C6FE}"/>
    <cellStyle name="CustomizationCells 3 46" xfId="20770" xr:uid="{A518CBFD-A913-4193-9FFE-2C7B7E353267}"/>
    <cellStyle name="CustomizationCells 3 47" xfId="21516" xr:uid="{283B3FE3-92F8-48C8-B3F4-3343594FF895}"/>
    <cellStyle name="CustomizationCells 3 48" xfId="21578" xr:uid="{C4CE5A26-1393-4F03-9935-35C3A03EC6D5}"/>
    <cellStyle name="CustomizationCells 3 49" xfId="21736" xr:uid="{B800F3A9-6F30-4A69-9F29-2DD57A923C41}"/>
    <cellStyle name="CustomizationCells 3 5" xfId="699" xr:uid="{F344A04A-2392-4DF5-BEBC-8CED27A7AFF7}"/>
    <cellStyle name="CustomizationCells 3 5 2" xfId="5347" xr:uid="{FB23E2B8-9602-4BF5-A8D3-0094BAC8DC70}"/>
    <cellStyle name="CustomizationCells 3 5 3" xfId="18130" xr:uid="{09D90FBC-F12B-406B-ABEA-B58FCB219690}"/>
    <cellStyle name="CustomizationCells 3 5 4" xfId="20081" xr:uid="{7E63E980-F145-4F54-A1E4-B0E147A7BDD0}"/>
    <cellStyle name="CustomizationCells 3 5 5" xfId="24789" xr:uid="{3603D6BD-0978-4C5F-B623-1BD9E1AD8191}"/>
    <cellStyle name="CustomizationCells 3 50" xfId="22654" xr:uid="{2E0CA44B-B758-4B7D-9BBA-E23FC7CC8D16}"/>
    <cellStyle name="CustomizationCells 3 51" xfId="23205" xr:uid="{EF84008A-F21E-416B-BA8A-B92117CC56DE}"/>
    <cellStyle name="CustomizationCells 3 52" xfId="23224" xr:uid="{C1D84C33-E6BD-4F1D-8B3C-27F6B4A6DD31}"/>
    <cellStyle name="CustomizationCells 3 53" xfId="23472" xr:uid="{4B12416B-D0D5-4F3D-BE88-589AE6BCBB2F}"/>
    <cellStyle name="CustomizationCells 3 54" xfId="24378" xr:uid="{72378142-637B-4AF0-8A95-323559963FDF}"/>
    <cellStyle name="CustomizationCells 3 55" xfId="25002" xr:uid="{1BFEF042-98D7-4FAD-AD45-ADFF2A39A5D0}"/>
    <cellStyle name="CustomizationCells 3 56" xfId="25411" xr:uid="{408E6FFB-92EE-4EED-9DC4-7C948A2CC6D9}"/>
    <cellStyle name="CustomizationCells 3 57" xfId="26288" xr:uid="{D99F1D9B-8E90-4A76-A093-D3893910A4F0}"/>
    <cellStyle name="CustomizationCells 3 58" xfId="26608" xr:uid="{7944A27F-3267-4504-85D2-DD513AF10CA1}"/>
    <cellStyle name="CustomizationCells 3 59" xfId="26290" xr:uid="{640B7CB5-6890-4E62-9EF6-0DE674AA62A9}"/>
    <cellStyle name="CustomizationCells 3 6" xfId="951" xr:uid="{6A24F8C3-4845-4B2F-822D-8A21D6C743CC}"/>
    <cellStyle name="CustomizationCells 3 60" xfId="26529" xr:uid="{9430FB7C-0F8D-4CEF-882B-BEF9BB70019F}"/>
    <cellStyle name="CustomizationCells 3 61" xfId="26805" xr:uid="{D5A3B0BF-7D1B-4991-B79C-9AD5054A2942}"/>
    <cellStyle name="CustomizationCells 3 62" xfId="28149" xr:uid="{C77DDD19-6460-4CE8-B3EB-1BDFBBEF918D}"/>
    <cellStyle name="CustomizationCells 3 63" xfId="28265" xr:uid="{3F162910-1ED7-41D2-BC0F-DA4845BD6736}"/>
    <cellStyle name="CustomizationCells 3 64" xfId="28349" xr:uid="{811274B1-65C9-45C2-ADB3-86E8ABE3C045}"/>
    <cellStyle name="CustomizationCells 3 65" xfId="29319" xr:uid="{67095B3F-BB5B-42CA-9DF3-D3801FB05CDC}"/>
    <cellStyle name="CustomizationCells 3 66" xfId="29330" xr:uid="{97DA6D0F-8812-4CD3-A5C7-8D5A9E1F8C0F}"/>
    <cellStyle name="CustomizationCells 3 67" xfId="30201" xr:uid="{C420A40D-F858-45B1-AB75-EABD6D3FB3CB}"/>
    <cellStyle name="CustomizationCells 3 68" xfId="29540" xr:uid="{8929D2E5-DC80-4219-BF03-44DA1A5F83F9}"/>
    <cellStyle name="CustomizationCells 3 69" xfId="31004" xr:uid="{50E3C045-97CF-4DE0-B659-948AD1EC0EDB}"/>
    <cellStyle name="CustomizationCells 3 7" xfId="1468" xr:uid="{3B6FD13A-DBC8-40F4-8E76-624BBA373067}"/>
    <cellStyle name="CustomizationCells 3 70" xfId="31601" xr:uid="{68DC73F0-CD75-45C0-91C8-290FD63918E6}"/>
    <cellStyle name="CustomizationCells 3 71" xfId="31648" xr:uid="{C385F2E4-C325-423D-AF5C-EC40A9A0775B}"/>
    <cellStyle name="CustomizationCells 3 8" xfId="2098" xr:uid="{E3F57AF9-F126-497C-A534-AB13ABA4E280}"/>
    <cellStyle name="CustomizationCells 3 9" xfId="2816" xr:uid="{2A925CD5-4F5E-402F-8D98-E7511E885B26}"/>
    <cellStyle name="CustomizationCells 4" xfId="71" xr:uid="{8E077B7C-BC71-4975-AAE2-BB7BF91CCE8D}"/>
    <cellStyle name="CustomizationCells 4 2" xfId="3085" xr:uid="{854C7E19-07C7-4750-B7F2-8102F73A675D}"/>
    <cellStyle name="CustomizationCells 4 3" xfId="18068" xr:uid="{0B8BB4F3-D653-4C7C-80C7-135C569D943F}"/>
    <cellStyle name="CustomizationCells 4 4" xfId="19456" xr:uid="{79D23207-F9B0-49E3-BB94-E68721439E53}"/>
    <cellStyle name="CustomizationCells 4 5" xfId="24177" xr:uid="{E2FDAC99-ECF8-4458-B3C8-2F4414EC3661}"/>
    <cellStyle name="CustomizationGreenCells" xfId="134" xr:uid="{2C3A333A-1BE1-41E9-A6F1-DF652E2DC317}"/>
    <cellStyle name="CustomizationGreenCells 2" xfId="417" xr:uid="{E5B0F81B-6472-4C6E-9FDE-7DF95CBC69A8}"/>
    <cellStyle name="CustomizationGreenCells 2 2" xfId="3504" xr:uid="{ADAC87E0-7A4A-4629-BA98-D1B950E710BE}"/>
    <cellStyle name="CustomizationGreenCells 2 3" xfId="18764" xr:uid="{94212B73-DE2F-4F94-BC99-E1AE25906418}"/>
    <cellStyle name="CustomizationGreenCells 3" xfId="275" xr:uid="{355192BD-3DC2-41F0-9CC6-412CF953249E}"/>
    <cellStyle name="CustomizationGreenCells 3 10" xfId="3275" xr:uid="{AD5BC51F-C0FC-4169-8942-D9035305A2C7}"/>
    <cellStyle name="CustomizationGreenCells 3 11" xfId="3595" xr:uid="{23880F4B-3274-4515-87F1-AAF3769AC9E1}"/>
    <cellStyle name="CustomizationGreenCells 3 12" xfId="2111" xr:uid="{069C793C-FE5C-4AED-B79A-AEEF0A63047E}"/>
    <cellStyle name="CustomizationGreenCells 3 13" xfId="3813" xr:uid="{218333C5-5A30-4A3B-93C8-5AB2F464AF1C}"/>
    <cellStyle name="CustomizationGreenCells 3 14" xfId="5012" xr:uid="{96DA2388-34C3-4D1C-A601-DCF742DB4433}"/>
    <cellStyle name="CustomizationGreenCells 3 15" xfId="5156" xr:uid="{9F0E3A10-D8F4-4546-9EB4-B32BE536008F}"/>
    <cellStyle name="CustomizationGreenCells 3 16" xfId="3235" xr:uid="{A86CD456-363D-4EA6-9610-87363F8BA472}"/>
    <cellStyle name="CustomizationGreenCells 3 17" xfId="6445" xr:uid="{AC1ABC52-5E8A-41AF-8295-696EA756C8E4}"/>
    <cellStyle name="CustomizationGreenCells 3 18" xfId="7005" xr:uid="{6506C06E-46F9-4407-9942-613D3DD46A12}"/>
    <cellStyle name="CustomizationGreenCells 3 19" xfId="7618" xr:uid="{FBAABD14-DCAA-4D68-88EA-AA5011DD36D7}"/>
    <cellStyle name="CustomizationGreenCells 3 2" xfId="614" xr:uid="{6108A7E4-1F19-4773-8010-A179C2BFF0E8}"/>
    <cellStyle name="CustomizationGreenCells 3 2 10" xfId="4735" xr:uid="{4291A8D5-FDB9-4055-8357-5EB306170C37}"/>
    <cellStyle name="CustomizationGreenCells 3 2 11" xfId="5262" xr:uid="{7EA6D89A-3E74-4E98-AE0B-ED2F3168500E}"/>
    <cellStyle name="CustomizationGreenCells 3 2 12" xfId="5949" xr:uid="{D15B84B5-C174-4F0D-AA75-2AEF5F79EAAC}"/>
    <cellStyle name="CustomizationGreenCells 3 2 13" xfId="4683" xr:uid="{328971B7-8417-4148-80F6-09BF79173DA6}"/>
    <cellStyle name="CustomizationGreenCells 3 2 14" xfId="5811" xr:uid="{86FBC630-7D45-4BCF-80F5-BB1C539B54DE}"/>
    <cellStyle name="CustomizationGreenCells 3 2 15" xfId="7334" xr:uid="{712B6151-59A7-4511-8A08-A3A598522268}"/>
    <cellStyle name="CustomizationGreenCells 3 2 16" xfId="7755" xr:uid="{E14E5C2C-427E-4160-9EFB-C6DA53AA9ED2}"/>
    <cellStyle name="CustomizationGreenCells 3 2 17" xfId="6757" xr:uid="{3396878E-F122-421B-88A7-2860C5BD1A66}"/>
    <cellStyle name="CustomizationGreenCells 3 2 18" xfId="8875" xr:uid="{7EE7C334-EFA1-4030-83F3-8D65731C3492}"/>
    <cellStyle name="CustomizationGreenCells 3 2 19" xfId="9548" xr:uid="{F339235A-C083-48F6-9CB2-AFB5013C1B81}"/>
    <cellStyle name="CustomizationGreenCells 3 2 2" xfId="829" xr:uid="{F92F991F-A9BF-49D5-8BB2-8495BC694C99}"/>
    <cellStyle name="CustomizationGreenCells 3 2 2 10" xfId="5477" xr:uid="{D1086815-6A62-4AD2-AA91-86D1AB3A6B8B}"/>
    <cellStyle name="CustomizationGreenCells 3 2 2 11" xfId="2749" xr:uid="{6539BCA4-9662-481D-8E37-98841AFF8BCB}"/>
    <cellStyle name="CustomizationGreenCells 3 2 2 12" xfId="5909" xr:uid="{946A6272-9C3A-4306-BEDC-CA6731002146}"/>
    <cellStyle name="CustomizationGreenCells 3 2 2 13" xfId="6511" xr:uid="{F7BAEBE3-9E7A-4B32-8A1E-8C6BF82D39A3}"/>
    <cellStyle name="CustomizationGreenCells 3 2 2 14" xfId="7549" xr:uid="{F44178AE-8669-4EBC-BCFF-B2920A5212BA}"/>
    <cellStyle name="CustomizationGreenCells 3 2 2 15" xfId="7922" xr:uid="{FB703CDD-E779-44CE-8626-8462DD843C73}"/>
    <cellStyle name="CustomizationGreenCells 3 2 2 16" xfId="8429" xr:uid="{D9892F65-EEAB-4B8B-BD34-B0F63479BDF2}"/>
    <cellStyle name="CustomizationGreenCells 3 2 2 17" xfId="8146" xr:uid="{A100E64F-0834-4CCA-907D-06E19096AC49}"/>
    <cellStyle name="CustomizationGreenCells 3 2 2 18" xfId="9763" xr:uid="{989D8B29-F0FA-44D7-BF95-B3A89A08BAA8}"/>
    <cellStyle name="CustomizationGreenCells 3 2 2 19" xfId="10136" xr:uid="{84ECBCDF-39DD-494C-A43E-6AF9F69E9AC3}"/>
    <cellStyle name="CustomizationGreenCells 3 2 2 2" xfId="1303" xr:uid="{50ABCD36-2CA1-4B4D-90A4-B1F4FBA5A6E1}"/>
    <cellStyle name="CustomizationGreenCells 3 2 2 20" xfId="10546" xr:uid="{3ECE9492-4DAF-4503-93F2-CAC2483174DB}"/>
    <cellStyle name="CustomizationGreenCells 3 2 2 21" xfId="10616" xr:uid="{55334A34-7F2D-4008-BF3E-A40A6F83511D}"/>
    <cellStyle name="CustomizationGreenCells 3 2 2 22" xfId="11138" xr:uid="{F90847BD-0BA1-4FF7-81C4-A28ED0BD3D29}"/>
    <cellStyle name="CustomizationGreenCells 3 2 2 23" xfId="12182" xr:uid="{A3D6352F-682D-4C98-B972-454610F3F052}"/>
    <cellStyle name="CustomizationGreenCells 3 2 2 24" xfId="12655" xr:uid="{B51BF37A-A977-49B0-9983-C6DE2176C0BA}"/>
    <cellStyle name="CustomizationGreenCells 3 2 2 25" xfId="13089" xr:uid="{A3124D02-32C8-42A5-A5B8-A57370CF7F79}"/>
    <cellStyle name="CustomizationGreenCells 3 2 2 26" xfId="13526" xr:uid="{4869E997-F9EF-4B01-8B6C-9CAD996FEC43}"/>
    <cellStyle name="CustomizationGreenCells 3 2 2 27" xfId="11351" xr:uid="{D79D8781-A416-448D-9FAF-A2E4058E582D}"/>
    <cellStyle name="CustomizationGreenCells 3 2 2 28" xfId="14005" xr:uid="{DF9841FD-2A9A-4973-A7B7-6E74D965F6AA}"/>
    <cellStyle name="CustomizationGreenCells 3 2 2 29" xfId="14784" xr:uid="{B6FE6F9E-47EF-4166-B206-660C44E7C64C}"/>
    <cellStyle name="CustomizationGreenCells 3 2 2 3" xfId="1501" xr:uid="{A27ADCA1-A056-4284-A42D-8495D620E95C}"/>
    <cellStyle name="CustomizationGreenCells 3 2 2 30" xfId="15230" xr:uid="{C6439A02-29A6-48B4-B61C-8495519E51B9}"/>
    <cellStyle name="CustomizationGreenCells 3 2 2 31" xfId="15708" xr:uid="{5D9E159E-CF4A-41E7-ABFB-A9B87A53BBCD}"/>
    <cellStyle name="CustomizationGreenCells 3 2 2 32" xfId="15930" xr:uid="{A98D4D98-6129-416E-A9D5-D93A58BC6AE0}"/>
    <cellStyle name="CustomizationGreenCells 3 2 2 33" xfId="16874" xr:uid="{7117C194-ACB9-4EF6-AF2F-05CA8D0BC2C1}"/>
    <cellStyle name="CustomizationGreenCells 3 2 2 34" xfId="17255" xr:uid="{BAD9AF36-432A-4A77-B8DA-7EE6A84BC291}"/>
    <cellStyle name="CustomizationGreenCells 3 2 2 35" xfId="17699" xr:uid="{4B65626F-ECAD-4F96-83BF-04208830BB60}"/>
    <cellStyle name="CustomizationGreenCells 3 2 2 36" xfId="18168" xr:uid="{4AB121D8-2842-43E9-8C49-0396238AF6D6}"/>
    <cellStyle name="CustomizationGreenCells 3 2 2 37" xfId="18692" xr:uid="{6DA2D74C-B8D3-46F7-B8F6-E85098B5EC19}"/>
    <cellStyle name="CustomizationGreenCells 3 2 2 38" xfId="16417" xr:uid="{B296FC83-8CF8-4637-B2C7-E2DD8F787AE3}"/>
    <cellStyle name="CustomizationGreenCells 3 2 2 39" xfId="17588" xr:uid="{8ECA1A90-A59D-4537-9762-3A69BFD56481}"/>
    <cellStyle name="CustomizationGreenCells 3 2 2 4" xfId="2651" xr:uid="{F59C6490-07C3-462D-88DE-CD2513635DE5}"/>
    <cellStyle name="CustomizationGreenCells 3 2 2 40" xfId="20211" xr:uid="{70B0D87E-ECBE-4D7D-9D5D-A3C41E40E817}"/>
    <cellStyle name="CustomizationGreenCells 3 2 2 41" xfId="20605" xr:uid="{D769D214-A8BF-4E82-AD79-7B64E5E63A1C}"/>
    <cellStyle name="CustomizationGreenCells 3 2 2 42" xfId="21060" xr:uid="{7FF50310-A737-4944-8D16-407375F72286}"/>
    <cellStyle name="CustomizationGreenCells 3 2 2 43" xfId="19826" xr:uid="{71EE3971-402F-4C4D-B3CA-0290B6A7225F}"/>
    <cellStyle name="CustomizationGreenCells 3 2 2 44" xfId="21991" xr:uid="{553665CC-0E10-4926-91E6-EBAA826C29ED}"/>
    <cellStyle name="CustomizationGreenCells 3 2 2 45" xfId="22422" xr:uid="{F27F836D-4345-4190-9330-0FF47E28BEFB}"/>
    <cellStyle name="CustomizationGreenCells 3 2 2 46" xfId="21585" xr:uid="{AE2BAF64-0F91-47AA-A668-463CE6380D0E}"/>
    <cellStyle name="CustomizationGreenCells 3 2 2 47" xfId="22220" xr:uid="{C7DF6354-7105-4F96-B488-A05002615B3D}"/>
    <cellStyle name="CustomizationGreenCells 3 2 2 48" xfId="23041" xr:uid="{F7CE9329-E5DE-491B-968D-2D55E360E06A}"/>
    <cellStyle name="CustomizationGreenCells 3 2 2 49" xfId="24011" xr:uid="{1E43F653-B2D2-47DA-AE8B-C7032BCC0FAC}"/>
    <cellStyle name="CustomizationGreenCells 3 2 2 5" xfId="2290" xr:uid="{745BFD43-185F-4C6B-8F4E-287894725E54}"/>
    <cellStyle name="CustomizationGreenCells 3 2 2 50" xfId="24919" xr:uid="{A6477D16-5C43-4717-B1A9-3FE0781CEB9B}"/>
    <cellStyle name="CustomizationGreenCells 3 2 2 51" xfId="25314" xr:uid="{7003E77A-DC74-48FE-A2DA-01574B22EFC6}"/>
    <cellStyle name="CustomizationGreenCells 3 2 2 52" xfId="25835" xr:uid="{7674C63E-506A-47AE-9CCC-2D60883A5ED8}"/>
    <cellStyle name="CustomizationGreenCells 3 2 2 53" xfId="25488" xr:uid="{F5B7DF7B-5E64-44D8-82FC-CE5D6B1A48AE}"/>
    <cellStyle name="CustomizationGreenCells 3 2 2 54" xfId="26391" xr:uid="{942AFC39-593E-4DE0-928A-8DA912FA9783}"/>
    <cellStyle name="CustomizationGreenCells 3 2 2 55" xfId="27123" xr:uid="{87B0B390-05F4-41B9-9C32-0E1702E0F137}"/>
    <cellStyle name="CustomizationGreenCells 3 2 2 56" xfId="27542" xr:uid="{148D5F45-0261-43A9-AB05-1CC71177C8E6}"/>
    <cellStyle name="CustomizationGreenCells 3 2 2 57" xfId="25385" xr:uid="{13590FA7-3B7A-4905-8A1D-381F273F3CEB}"/>
    <cellStyle name="CustomizationGreenCells 3 2 2 58" xfId="28669" xr:uid="{D4AE626D-6863-4981-B32D-D6AEF35F8DF5}"/>
    <cellStyle name="CustomizationGreenCells 3 2 2 59" xfId="29136" xr:uid="{35E182F3-CC58-4514-8D09-B82F0F737E03}"/>
    <cellStyle name="CustomizationGreenCells 3 2 2 6" xfId="2894" xr:uid="{10582BDB-97D9-418B-BAEC-1944AE93B11F}"/>
    <cellStyle name="CustomizationGreenCells 3 2 2 60" xfId="29436" xr:uid="{2CDD7653-D73E-492C-9966-791E48B949A2}"/>
    <cellStyle name="CustomizationGreenCells 3 2 2 61" xfId="29925" xr:uid="{0BB47C78-8AD8-4921-92C6-959E1C9C4E75}"/>
    <cellStyle name="CustomizationGreenCells 3 2 2 62" xfId="30331" xr:uid="{18D461F1-6B18-4C4C-93F9-B76D46DEB798}"/>
    <cellStyle name="CustomizationGreenCells 3 2 2 63" xfId="30748" xr:uid="{2514AA34-9A1E-4CDC-9D0D-DA45ED8AB0F6}"/>
    <cellStyle name="CustomizationGreenCells 3 2 2 64" xfId="30948" xr:uid="{850E99C8-A05E-4E99-B773-60BFA3CC95BA}"/>
    <cellStyle name="CustomizationGreenCells 3 2 2 65" xfId="31364" xr:uid="{81312857-78E9-46BE-A88E-A3ABCBB1A49E}"/>
    <cellStyle name="CustomizationGreenCells 3 2 2 66" xfId="32055" xr:uid="{C7A427CE-469E-46F6-B4AD-B42B6084BBE3}"/>
    <cellStyle name="CustomizationGreenCells 3 2 2 67" xfId="32184" xr:uid="{04EBA1A1-A9ED-4CEE-8E89-57CE76B792B5}"/>
    <cellStyle name="CustomizationGreenCells 3 2 2 7" xfId="4147" xr:uid="{6C5926CC-B60D-42A7-87A5-BB983F4C2245}"/>
    <cellStyle name="CustomizationGreenCells 3 2 2 8" xfId="4584" xr:uid="{2D6F48DA-E558-4121-8F0B-D83AD7DE1FDD}"/>
    <cellStyle name="CustomizationGreenCells 3 2 2 9" xfId="3280" xr:uid="{26B70D19-642F-4793-BD72-5A60E94305A8}"/>
    <cellStyle name="CustomizationGreenCells 3 2 20" xfId="9968" xr:uid="{E9C1D739-290B-4FBA-8727-B319686C3BAC}"/>
    <cellStyle name="CustomizationGreenCells 3 2 21" xfId="10397" xr:uid="{43683611-4CCF-4B2B-BF9C-45885BC80727}"/>
    <cellStyle name="CustomizationGreenCells 3 2 22" xfId="10986" xr:uid="{7EC6FBDD-9D91-4F06-8A64-51767AC42168}"/>
    <cellStyle name="CustomizationGreenCells 3 2 23" xfId="11160" xr:uid="{BDB5F311-FE29-4F33-AC37-731AE20B4F33}"/>
    <cellStyle name="CustomizationGreenCells 3 2 24" xfId="11967" xr:uid="{B0A1C5F3-1608-4072-8F0B-70EE9D023926}"/>
    <cellStyle name="CustomizationGreenCells 3 2 25" xfId="12440" xr:uid="{E4A28A19-4404-4729-94E0-6D5A319D9AA2}"/>
    <cellStyle name="CustomizationGreenCells 3 2 26" xfId="12874" xr:uid="{449F273E-5D97-4A4F-824C-34F52641C3E9}"/>
    <cellStyle name="CustomizationGreenCells 3 2 27" xfId="13311" xr:uid="{23FAE649-9DB1-4EE4-A194-593795AA62A8}"/>
    <cellStyle name="CustomizationGreenCells 3 2 28" xfId="11542" xr:uid="{18BC4DD9-3521-410B-961A-E3246D83EBC1}"/>
    <cellStyle name="CustomizationGreenCells 3 2 29" xfId="14401" xr:uid="{51FDF649-5FE9-44A5-8851-3F01F8BD0262}"/>
    <cellStyle name="CustomizationGreenCells 3 2 3" xfId="1097" xr:uid="{EE60D360-FD07-4B06-A23B-080B6B059B38}"/>
    <cellStyle name="CustomizationGreenCells 3 2 30" xfId="14597" xr:uid="{6DCD035E-CDA5-4E9A-86B7-5C46D9439E62}"/>
    <cellStyle name="CustomizationGreenCells 3 2 31" xfId="15135" xr:uid="{7FDD44AB-6D02-4790-B442-10DD11BD2945}"/>
    <cellStyle name="CustomizationGreenCells 3 2 32" xfId="15466" xr:uid="{0B94B6C1-99B6-429B-BECB-3A32D83B1F21}"/>
    <cellStyle name="CustomizationGreenCells 3 2 33" xfId="15837" xr:uid="{EAA9E339-23F2-4336-AE94-9526092F0DFA}"/>
    <cellStyle name="CustomizationGreenCells 3 2 34" xfId="16659" xr:uid="{E823E632-18D2-47F2-A41A-0C4FE88AA559}"/>
    <cellStyle name="CustomizationGreenCells 3 2 35" xfId="17084" xr:uid="{4180CC51-9B43-4A51-A682-F22C1B9B4599}"/>
    <cellStyle name="CustomizationGreenCells 3 2 36" xfId="17531" xr:uid="{13059BB6-E978-41CC-BB28-8597D4D9E9F0}"/>
    <cellStyle name="CustomizationGreenCells 3 2 37" xfId="18214" xr:uid="{6CBC9811-8D4A-4D6C-A167-BBF6F028CF5E}"/>
    <cellStyle name="CustomizationGreenCells 3 2 38" xfId="18477" xr:uid="{D5E51ECC-C3F3-4B57-937A-D6CF3D9FBFEC}"/>
    <cellStyle name="CustomizationGreenCells 3 2 39" xfId="19045" xr:uid="{45497A25-15E8-4C35-B7F9-2DC99DE59E15}"/>
    <cellStyle name="CustomizationGreenCells 3 2 4" xfId="1748" xr:uid="{360DF4A0-96ED-4E02-B737-9A0C3926FD60}"/>
    <cellStyle name="CustomizationGreenCells 3 2 40" xfId="19330" xr:uid="{D33F3E05-4979-4B0F-BC97-F282A269174C}"/>
    <cellStyle name="CustomizationGreenCells 3 2 41" xfId="19996" xr:uid="{8675C3D8-1D77-4929-89BC-C8300ACC577C}"/>
    <cellStyle name="CustomizationGreenCells 3 2 42" xfId="20437" xr:uid="{03C33425-68EC-4B25-B572-8DB3481A7E87}"/>
    <cellStyle name="CustomizationGreenCells 3 2 43" xfId="20889" xr:uid="{871443C8-F7EF-4676-8628-5C9CC3477FE3}"/>
    <cellStyle name="CustomizationGreenCells 3 2 44" xfId="21335" xr:uid="{81652C95-1167-4D3F-B9EC-B46BAD6C1646}"/>
    <cellStyle name="CustomizationGreenCells 3 2 45" xfId="21821" xr:uid="{11A04722-7AC9-4E6B-90FC-660C8C3C9FA0}"/>
    <cellStyle name="CustomizationGreenCells 3 2 46" xfId="22255" xr:uid="{7500C295-BCCC-4D44-ADE3-2A1C770302C2}"/>
    <cellStyle name="CustomizationGreenCells 3 2 47" xfId="22355" xr:uid="{2848B894-59AA-4CDE-A005-11B07F5B8E61}"/>
    <cellStyle name="CustomizationGreenCells 3 2 48" xfId="23322" xr:uid="{C8906529-0E28-4925-B03C-DA7FC81BDE68}"/>
    <cellStyle name="CustomizationGreenCells 3 2 49" xfId="23537" xr:uid="{AC3F4A5F-5650-472B-B48B-E67F305830BF}"/>
    <cellStyle name="CustomizationGreenCells 3 2 5" xfId="2436" xr:uid="{D414DFB6-815D-4685-B673-1FC1DB6FF618}"/>
    <cellStyle name="CustomizationGreenCells 3 2 50" xfId="23805" xr:uid="{FE3E0BBC-EB7E-425E-88C6-AA19FC5918D6}"/>
    <cellStyle name="CustomizationGreenCells 3 2 51" xfId="24704" xr:uid="{510B99FC-DB06-4A1F-8EAD-C5D5C0B6D827}"/>
    <cellStyle name="CustomizationGreenCells 3 2 52" xfId="25144" xr:uid="{B0D40291-B746-484C-A60E-4542FA7487C4}"/>
    <cellStyle name="CustomizationGreenCells 3 2 53" xfId="25622" xr:uid="{2316E350-C23D-4411-A4BA-72B20B0F3553}"/>
    <cellStyle name="CustomizationGreenCells 3 2 54" xfId="25337" xr:uid="{B6EE3779-D192-40BD-BF07-B24C8887297C}"/>
    <cellStyle name="CustomizationGreenCells 3 2 55" xfId="26349" xr:uid="{ECF6A4CF-81A7-4AF7-A179-E21AA4B35759}"/>
    <cellStyle name="CustomizationGreenCells 3 2 56" xfId="26912" xr:uid="{732D7D90-6629-40A3-90AA-7C82FB4DFE47}"/>
    <cellStyle name="CustomizationGreenCells 3 2 57" xfId="27331" xr:uid="{E5FF5729-ECC0-45E0-ACF9-D5A0332E7D33}"/>
    <cellStyle name="CustomizationGreenCells 3 2 58" xfId="27757" xr:uid="{F97BA841-0FC9-4095-B12A-61DCC9668701}"/>
    <cellStyle name="CustomizationGreenCells 3 2 59" xfId="28454" xr:uid="{273A3E97-2BD5-4B09-89EF-170BF6BC85A1}"/>
    <cellStyle name="CustomizationGreenCells 3 2 6" xfId="2149" xr:uid="{8C7C7359-0640-482B-8D2C-3CE967D1D9BB}"/>
    <cellStyle name="CustomizationGreenCells 3 2 60" xfId="28922" xr:uid="{DDAF9C7A-E921-4A77-BEEE-C291E8EF15B9}"/>
    <cellStyle name="CustomizationGreenCells 3 2 61" xfId="29295" xr:uid="{D3638A4F-8940-408B-8F89-2A53614C06CE}"/>
    <cellStyle name="CustomizationGreenCells 3 2 62" xfId="29712" xr:uid="{355B683D-6994-4476-9185-0E3B762CA3AA}"/>
    <cellStyle name="CustomizationGreenCells 3 2 63" xfId="30120" xr:uid="{F2751321-DF35-4EA8-BE26-849BFEB59DBF}"/>
    <cellStyle name="CustomizationGreenCells 3 2 64" xfId="30534" xr:uid="{AF64F13E-43C4-45AF-ABF8-5836AC13320D}"/>
    <cellStyle name="CustomizationGreenCells 3 2 65" xfId="29425" xr:uid="{B473A671-BCFD-4228-9071-B6F54B16D868}"/>
    <cellStyle name="CustomizationGreenCells 3 2 66" xfId="31158" xr:uid="{6F7FE6C0-794B-4386-934F-CC280CE2AE86}"/>
    <cellStyle name="CustomizationGreenCells 3 2 67" xfId="31844" xr:uid="{D8EE788E-C527-4680-B550-B1B98998436F}"/>
    <cellStyle name="CustomizationGreenCells 3 2 68" xfId="31492" xr:uid="{26F4537C-CA7A-413B-A11F-01C8BE61DEC8}"/>
    <cellStyle name="CustomizationGreenCells 3 2 7" xfId="3208" xr:uid="{887EB5CB-29A6-42F9-9442-E59A7ED56C3F}"/>
    <cellStyle name="CustomizationGreenCells 3 2 8" xfId="3932" xr:uid="{9E44AC9B-1F81-4980-AFA8-323934A7FA03}"/>
    <cellStyle name="CustomizationGreenCells 3 2 9" xfId="4370" xr:uid="{6555B008-58E3-4A51-97D7-47E26F123B19}"/>
    <cellStyle name="CustomizationGreenCells 3 20" xfId="6736" xr:uid="{715DA860-D0CA-49EA-A53C-28B0B10FE299}"/>
    <cellStyle name="CustomizationGreenCells 3 21" xfId="8907" xr:uid="{D33FA0DD-3A1E-4481-AF0E-B20AD0446F22}"/>
    <cellStyle name="CustomizationGreenCells 3 22" xfId="9219" xr:uid="{C9758C64-284A-49FC-AB32-3438580F207A}"/>
    <cellStyle name="CustomizationGreenCells 3 23" xfId="9831" xr:uid="{DE5DCF98-AA97-4B7A-8BF0-F287EF7B32EB}"/>
    <cellStyle name="CustomizationGreenCells 3 24" xfId="10157" xr:uid="{2916B1C5-788E-4BEC-BE95-75C9649BB632}"/>
    <cellStyle name="CustomizationGreenCells 3 25" xfId="10905" xr:uid="{1AAAF37B-80B2-436A-A56D-DB3CBC304FDD}"/>
    <cellStyle name="CustomizationGreenCells 3 26" xfId="10914" xr:uid="{24081AA5-8E4E-48A2-84DF-3F1D8796CF39}"/>
    <cellStyle name="CustomizationGreenCells 3 27" xfId="11631" xr:uid="{10FDED83-AB5E-4897-B35C-0A0936B4FCD4}"/>
    <cellStyle name="CustomizationGreenCells 3 28" xfId="11364" xr:uid="{ADD58E68-33C7-45E2-8D0A-80CE04E6C852}"/>
    <cellStyle name="CustomizationGreenCells 3 29" xfId="11778" xr:uid="{4C0620F2-90EF-44F4-9F30-78A2205BED97}"/>
    <cellStyle name="CustomizationGreenCells 3 3" xfId="584" xr:uid="{07B54605-2A2B-4779-9C21-F0226D24A546}"/>
    <cellStyle name="CustomizationGreenCells 3 3 10" xfId="4710" xr:uid="{8F5ABCE8-45F1-4B9B-96B3-575065FDCA33}"/>
    <cellStyle name="CustomizationGreenCells 3 3 11" xfId="5232" xr:uid="{B6DBDC1A-EC4F-4D76-8DAD-4B8C4815B8F3}"/>
    <cellStyle name="CustomizationGreenCells 3 3 12" xfId="3082" xr:uid="{B7FFA331-D622-4440-B0C4-3B9B96A7C0D2}"/>
    <cellStyle name="CustomizationGreenCells 3 3 13" xfId="4845" xr:uid="{5E59BA24-F117-438B-A017-A65FA798C0D6}"/>
    <cellStyle name="CustomizationGreenCells 3 3 14" xfId="6189" xr:uid="{EEC1CD95-5B33-4257-BB16-978E651D13B7}"/>
    <cellStyle name="CustomizationGreenCells 3 3 15" xfId="7304" xr:uid="{517E4DD4-90FE-4B3F-9FEF-496F2A21FB37}"/>
    <cellStyle name="CustomizationGreenCells 3 3 16" xfId="7137" xr:uid="{44AAC5C6-99D1-498F-A0CE-3665DD2D22B1}"/>
    <cellStyle name="CustomizationGreenCells 3 3 17" xfId="6735" xr:uid="{61BECE7E-5C06-483F-817E-0E9A12871360}"/>
    <cellStyle name="CustomizationGreenCells 3 3 18" xfId="7030" xr:uid="{ED2D43D8-D0C9-42C8-9CEA-45D936FBBB9A}"/>
    <cellStyle name="CustomizationGreenCells 3 3 19" xfId="9518" xr:uid="{D377C4B0-6C98-4937-BB0D-3FE2219A22CE}"/>
    <cellStyle name="CustomizationGreenCells 3 3 2" xfId="799" xr:uid="{F9F8D991-1A26-49EB-A40F-E4DDA1C21A04}"/>
    <cellStyle name="CustomizationGreenCells 3 3 2 10" xfId="5447" xr:uid="{CA059C99-CD63-4667-94D4-3D32A0E89FA4}"/>
    <cellStyle name="CustomizationGreenCells 3 3 2 11" xfId="5818" xr:uid="{24537421-A741-4F29-AC19-3880DF044F05}"/>
    <cellStyle name="CustomizationGreenCells 3 3 2 12" xfId="4802" xr:uid="{92A6E27A-60B8-4374-80AA-1AF4B6AA9FBE}"/>
    <cellStyle name="CustomizationGreenCells 3 3 2 13" xfId="5662" xr:uid="{383D192D-44CE-48B6-9555-9F2B1DE1FC54}"/>
    <cellStyle name="CustomizationGreenCells 3 3 2 14" xfId="7519" xr:uid="{5DCBAB03-0A26-4E2B-B4C9-F5E2072EE2B3}"/>
    <cellStyle name="CustomizationGreenCells 3 3 2 15" xfId="7115" xr:uid="{C4BEA7A5-7086-4E2F-B230-7602DE15E123}"/>
    <cellStyle name="CustomizationGreenCells 3 3 2 16" xfId="8018" xr:uid="{ED3A1E64-1337-4480-A045-03BC4E0138F9}"/>
    <cellStyle name="CustomizationGreenCells 3 3 2 17" xfId="8638" xr:uid="{D2C84164-6BCD-483F-8F0A-5E35860FF4BF}"/>
    <cellStyle name="CustomizationGreenCells 3 3 2 18" xfId="9733" xr:uid="{03BE7768-8811-4605-B6D8-77147283D672}"/>
    <cellStyle name="CustomizationGreenCells 3 3 2 19" xfId="9201" xr:uid="{288E2B45-16C1-4E61-92E2-8E7E118F3D45}"/>
    <cellStyle name="CustomizationGreenCells 3 3 2 2" xfId="1273" xr:uid="{58675F23-401D-4B50-A672-56925A1CF2D2}"/>
    <cellStyle name="CustomizationGreenCells 3 3 2 20" xfId="9178" xr:uid="{7F3E924B-6481-4ADC-A886-7439820D37E9}"/>
    <cellStyle name="CustomizationGreenCells 3 3 2 21" xfId="9350" xr:uid="{FA026633-2D5B-45E6-B372-C95A1DC63416}"/>
    <cellStyle name="CustomizationGreenCells 3 3 2 22" xfId="11064" xr:uid="{9532EA83-9041-4793-8B35-7FF0D19D8482}"/>
    <cellStyle name="CustomizationGreenCells 3 3 2 23" xfId="12152" xr:uid="{4544FFE2-A1EB-4D17-8587-70F48F9FD4A4}"/>
    <cellStyle name="CustomizationGreenCells 3 3 2 24" xfId="12625" xr:uid="{A82C6162-E329-4736-A7A5-A8B1E42C81DE}"/>
    <cellStyle name="CustomizationGreenCells 3 3 2 25" xfId="13059" xr:uid="{EF24E178-6A72-482D-8E12-7608C094FFCC}"/>
    <cellStyle name="CustomizationGreenCells 3 3 2 26" xfId="13496" xr:uid="{D8082D95-76F1-4A60-A709-4A7878E9C93F}"/>
    <cellStyle name="CustomizationGreenCells 3 3 2 27" xfId="13726" xr:uid="{A9EB3AA4-1FF2-4286-8C35-2483A2EF2F09}"/>
    <cellStyle name="CustomizationGreenCells 3 3 2 28" xfId="11394" xr:uid="{D7FFDF0E-0AB7-49B7-81FD-9F6A819D71D9}"/>
    <cellStyle name="CustomizationGreenCells 3 3 2 29" xfId="14176" xr:uid="{09A1E5F5-834F-470F-88B1-99F148E85593}"/>
    <cellStyle name="CustomizationGreenCells 3 3 2 3" xfId="1649" xr:uid="{C56329AC-43A2-4D05-B135-E0ECA0482936}"/>
    <cellStyle name="CustomizationGreenCells 3 3 2 30" xfId="14559" xr:uid="{8A192AD8-3357-426A-8AB7-D4C4C6123730}"/>
    <cellStyle name="CustomizationGreenCells 3 3 2 31" xfId="15592" xr:uid="{1D2077E1-5A55-4BDD-8660-DC937D3C6FC6}"/>
    <cellStyle name="CustomizationGreenCells 3 3 2 32" xfId="15369" xr:uid="{74D069C2-776A-4F70-94CF-9B07281A1761}"/>
    <cellStyle name="CustomizationGreenCells 3 3 2 33" xfId="16844" xr:uid="{60A9D925-597A-41A3-BFBC-8B5D6683A586}"/>
    <cellStyle name="CustomizationGreenCells 3 3 2 34" xfId="16437" xr:uid="{60CE5921-2D94-41F4-B12C-A2015E6BBF4B}"/>
    <cellStyle name="CustomizationGreenCells 3 3 2 35" xfId="16991" xr:uid="{C18CE66D-9F84-491A-AD47-7B3AA56ECA64}"/>
    <cellStyle name="CustomizationGreenCells 3 3 2 36" xfId="17275" xr:uid="{E89A3BB6-62A3-4925-B165-6862543F78CA}"/>
    <cellStyle name="CustomizationGreenCells 3 3 2 37" xfId="18662" xr:uid="{03B217DE-9E15-4917-A39B-7F43929EC798}"/>
    <cellStyle name="CustomizationGreenCells 3 3 2 38" xfId="19037" xr:uid="{90257203-65B5-4153-B45E-1B245041B1DF}"/>
    <cellStyle name="CustomizationGreenCells 3 3 2 39" xfId="18078" xr:uid="{A7944DBD-4D97-4EEE-8F2E-66E83A9D04C1}"/>
    <cellStyle name="CustomizationGreenCells 3 3 2 4" xfId="2621" xr:uid="{AC3027C0-274D-48CD-A011-3B6636A5062D}"/>
    <cellStyle name="CustomizationGreenCells 3 3 2 40" xfId="20181" xr:uid="{6F9AB55B-28D5-46C9-9424-43BFAD457583}"/>
    <cellStyle name="CustomizationGreenCells 3 3 2 41" xfId="19769" xr:uid="{383D8109-1514-4915-B8C1-FF25827E6687}"/>
    <cellStyle name="CustomizationGreenCells 3 3 2 42" xfId="20338" xr:uid="{FE896222-0ABA-4D27-9F11-B9E7CAC0906D}"/>
    <cellStyle name="CustomizationGreenCells 3 3 2 43" xfId="19496" xr:uid="{C59196FC-F1D7-4D74-8DF5-0AD754609CF4}"/>
    <cellStyle name="CustomizationGreenCells 3 3 2 44" xfId="21398" xr:uid="{DB3E0C47-608E-4E5C-8EFD-CBC39BF57202}"/>
    <cellStyle name="CustomizationGreenCells 3 3 2 45" xfId="21450" xr:uid="{D367AFC5-148E-474F-9290-D77C2BF621D6}"/>
    <cellStyle name="CustomizationGreenCells 3 3 2 46" xfId="22722" xr:uid="{815651A9-E131-42E6-8ED9-15AD5AC51C02}"/>
    <cellStyle name="CustomizationGreenCells 3 3 2 47" xfId="23314" xr:uid="{2866EED7-B010-4C52-8CC1-A820863F0B6C}"/>
    <cellStyle name="CustomizationGreenCells 3 3 2 48" xfId="23379" xr:uid="{59076220-3A64-49EE-90C7-D9FCA18F6801}"/>
    <cellStyle name="CustomizationGreenCells 3 3 2 49" xfId="23981" xr:uid="{6665ECC3-885C-4BAF-BEF1-3384797A3BA1}"/>
    <cellStyle name="CustomizationGreenCells 3 3 2 5" xfId="2891" xr:uid="{696039FB-314C-4A96-9144-2A0A69CB407A}"/>
    <cellStyle name="CustomizationGreenCells 3 3 2 50" xfId="24889" xr:uid="{DFAA11D1-75DD-42BB-8746-89B48614F108}"/>
    <cellStyle name="CustomizationGreenCells 3 3 2 51" xfId="24315" xr:uid="{81D32FAE-42CC-4EC4-9A72-8A5AEA76F064}"/>
    <cellStyle name="CustomizationGreenCells 3 3 2 52" xfId="25805" xr:uid="{3B378E97-3DAD-46A5-8EEA-C947E8785D9D}"/>
    <cellStyle name="CustomizationGreenCells 3 3 2 53" xfId="26026" xr:uid="{CDF8DFAE-EE79-4217-87EC-5CF39FA7B0B4}"/>
    <cellStyle name="CustomizationGreenCells 3 3 2 54" xfId="26466" xr:uid="{30228582-FE4C-4849-9D28-AA5431752A41}"/>
    <cellStyle name="CustomizationGreenCells 3 3 2 55" xfId="27093" xr:uid="{42E23CE4-FAC2-418B-931C-0C23518CDF4B}"/>
    <cellStyle name="CustomizationGreenCells 3 3 2 56" xfId="27512" xr:uid="{1086EB0C-568B-4B81-8E15-E29736C8419D}"/>
    <cellStyle name="CustomizationGreenCells 3 3 2 57" xfId="26399" xr:uid="{62C4ECB1-174C-4348-9F05-A4DF72CFA99A}"/>
    <cellStyle name="CustomizationGreenCells 3 3 2 58" xfId="28639" xr:uid="{D7CE51E7-2E30-455C-8F72-5AA533DD96A5}"/>
    <cellStyle name="CustomizationGreenCells 3 3 2 59" xfId="29106" xr:uid="{0F052DE2-49B6-448A-8875-AFF82E544EC3}"/>
    <cellStyle name="CustomizationGreenCells 3 3 2 6" xfId="3240" xr:uid="{59726B1A-C568-4B49-8C87-97CD717AE2F9}"/>
    <cellStyle name="CustomizationGreenCells 3 3 2 60" xfId="28313" xr:uid="{FDA7841F-9DFD-4DEC-B00A-C5E64907236E}"/>
    <cellStyle name="CustomizationGreenCells 3 3 2 61" xfId="29895" xr:uid="{E5847583-2934-4B75-A54B-6801677CC841}"/>
    <cellStyle name="CustomizationGreenCells 3 3 2 62" xfId="30301" xr:uid="{45CC9270-F462-494F-9987-45D8877F0A73}"/>
    <cellStyle name="CustomizationGreenCells 3 3 2 63" xfId="30718" xr:uid="{D853725F-9936-4032-950F-EC76FBE08561}"/>
    <cellStyle name="CustomizationGreenCells 3 3 2 64" xfId="27955" xr:uid="{0D3AEF63-8F2F-4A08-B1D2-522D3829FD2A}"/>
    <cellStyle name="CustomizationGreenCells 3 3 2 65" xfId="31334" xr:uid="{4DD8CE61-F9DF-4608-B2E3-8B67189B71F8}"/>
    <cellStyle name="CustomizationGreenCells 3 3 2 66" xfId="32025" xr:uid="{DA5F699E-07E4-454F-99EA-7AF870C7A0E9}"/>
    <cellStyle name="CustomizationGreenCells 3 3 2 67" xfId="31690" xr:uid="{75EB4FB9-EF1D-4B80-B667-9AC8E90A990D}"/>
    <cellStyle name="CustomizationGreenCells 3 3 2 7" xfId="4117" xr:uid="{53182425-07A2-41AF-B349-61C7CA68F775}"/>
    <cellStyle name="CustomizationGreenCells 3 3 2 8" xfId="4554" xr:uid="{BD3A5AC7-E0DE-4871-9F51-07ED881D00D6}"/>
    <cellStyle name="CustomizationGreenCells 3 3 2 9" xfId="3120" xr:uid="{9BAF43ED-D968-4573-A69E-512042F131D6}"/>
    <cellStyle name="CustomizationGreenCells 3 3 20" xfId="8982" xr:uid="{F02C6694-32C5-4925-B7E8-ACD926F2B169}"/>
    <cellStyle name="CustomizationGreenCells 3 3 21" xfId="10236" xr:uid="{43D1AAC9-AF30-48D0-A76D-97D9A1FE0BE9}"/>
    <cellStyle name="CustomizationGreenCells 3 3 22" xfId="10321" xr:uid="{C6BE5593-3530-4217-AAE1-D6023C57926F}"/>
    <cellStyle name="CustomizationGreenCells 3 3 23" xfId="11088" xr:uid="{2BDDCE6B-9ABC-4582-9FCF-C29946D87701}"/>
    <cellStyle name="CustomizationGreenCells 3 3 24" xfId="11937" xr:uid="{4A6F43F1-01FC-4E8F-97F9-658674377754}"/>
    <cellStyle name="CustomizationGreenCells 3 3 25" xfId="12410" xr:uid="{89978E38-D597-4C97-8814-84F6EDF728F7}"/>
    <cellStyle name="CustomizationGreenCells 3 3 26" xfId="12844" xr:uid="{4B2EC25A-BAC3-4445-82B5-35C1C464EFF2}"/>
    <cellStyle name="CustomizationGreenCells 3 3 27" xfId="13281" xr:uid="{FED59A30-789D-41D5-9B35-7401DC4AEB7D}"/>
    <cellStyle name="CustomizationGreenCells 3 3 28" xfId="11804" xr:uid="{137BEAA0-D5D8-44E9-82D5-C713919E197B}"/>
    <cellStyle name="CustomizationGreenCells 3 3 29" xfId="13720" xr:uid="{9B239A0A-C4D4-4673-AC89-74C98C617987}"/>
    <cellStyle name="CustomizationGreenCells 3 3 3" xfId="1067" xr:uid="{A9CC69EA-44BE-49A9-896A-9C4B67AC8050}"/>
    <cellStyle name="CustomizationGreenCells 3 3 30" xfId="14689" xr:uid="{0EF18DAD-6D6B-495D-9DDD-49DFBDB8E289}"/>
    <cellStyle name="CustomizationGreenCells 3 3 31" xfId="14542" xr:uid="{CFC467CB-14AD-4CDF-B542-70103A4C94BB}"/>
    <cellStyle name="CustomizationGreenCells 3 3 32" xfId="13628" xr:uid="{880A5820-381B-46D1-8EEF-FEC60EC630C2}"/>
    <cellStyle name="CustomizationGreenCells 3 3 33" xfId="15801" xr:uid="{E32D48D1-E3C6-4850-838E-32D19559E99F}"/>
    <cellStyle name="CustomizationGreenCells 3 3 34" xfId="16629" xr:uid="{99E08CA0-58C9-4392-B902-C8182DFA7FA0}"/>
    <cellStyle name="CustomizationGreenCells 3 3 35" xfId="16460" xr:uid="{05AEC19F-FE06-4793-AD72-E8D5C797DA8A}"/>
    <cellStyle name="CustomizationGreenCells 3 3 36" xfId="17082" xr:uid="{4F0930F1-4BE3-4534-8E3F-1D5170F3E6F6}"/>
    <cellStyle name="CustomizationGreenCells 3 3 37" xfId="18243" xr:uid="{9119F8F3-EB35-442C-9919-9AE0E3E39E86}"/>
    <cellStyle name="CustomizationGreenCells 3 3 38" xfId="18447" xr:uid="{3A51A4F5-B259-42E2-9BA3-300D5248B93A}"/>
    <cellStyle name="CustomizationGreenCells 3 3 39" xfId="16347" xr:uid="{F503CEAE-DAFA-454A-8F70-1EF300CD5EA5}"/>
    <cellStyle name="CustomizationGreenCells 3 3 4" xfId="1729" xr:uid="{18DFFAF3-4595-43BA-9017-76779177FB76}"/>
    <cellStyle name="CustomizationGreenCells 3 3 40" xfId="18877" xr:uid="{E2945CAF-D0DC-4CA8-AEF9-F4AD4FCF2FCA}"/>
    <cellStyle name="CustomizationGreenCells 3 3 41" xfId="19966" xr:uid="{CF21028F-4B05-4F92-BACC-760F358F0413}"/>
    <cellStyle name="CustomizationGreenCells 3 3 42" xfId="20075" xr:uid="{B1202BF7-3EA4-4F21-B954-FDEAD2A3435E}"/>
    <cellStyle name="CustomizationGreenCells 3 3 43" xfId="20420" xr:uid="{BCC09C71-D6F9-47FB-8700-097B65DDF601}"/>
    <cellStyle name="CustomizationGreenCells 3 3 44" xfId="20985" xr:uid="{AA97B78B-E352-4135-8340-1CA1A6A04F7D}"/>
    <cellStyle name="CustomizationGreenCells 3 3 45" xfId="21717" xr:uid="{1B85309F-5901-4CCD-874B-23721F222B32}"/>
    <cellStyle name="CustomizationGreenCells 3 3 46" xfId="22156" xr:uid="{4CDB3DDF-BB61-45EF-AB81-5D7BCDB48748}"/>
    <cellStyle name="CustomizationGreenCells 3 3 47" xfId="21141" xr:uid="{E8ACD661-A442-43F4-A5F2-C1718685A352}"/>
    <cellStyle name="CustomizationGreenCells 3 3 48" xfId="21915" xr:uid="{1DB70EB4-6099-403E-A88B-701365066187}"/>
    <cellStyle name="CustomizationGreenCells 3 3 49" xfId="23339" xr:uid="{BC2D7A4B-390B-4FE7-BCB4-DF8F2F3FDAB5}"/>
    <cellStyle name="CustomizationGreenCells 3 3 5" xfId="2406" xr:uid="{A3CC0FE9-D79E-4CDB-A81A-C7E9F3D1E3D0}"/>
    <cellStyle name="CustomizationGreenCells 3 3 50" xfId="23775" xr:uid="{92A44B0D-8DFB-403A-A1E6-EAA758D5755A}"/>
    <cellStyle name="CustomizationGreenCells 3 3 51" xfId="24674" xr:uid="{4FC0B03E-A68E-4721-BFE4-7848328AB067}"/>
    <cellStyle name="CustomizationGreenCells 3 3 52" xfId="24502" xr:uid="{43213280-F139-4EF6-9D59-93A4D71AF00D}"/>
    <cellStyle name="CustomizationGreenCells 3 3 53" xfId="25592" xr:uid="{0060BB9C-CA4C-4EBB-9CA7-CA78BFF61381}"/>
    <cellStyle name="CustomizationGreenCells 3 3 54" xfId="24353" xr:uid="{4AEBF333-AF68-426F-B6A0-C815D6896372}"/>
    <cellStyle name="CustomizationGreenCells 3 3 55" xfId="26660" xr:uid="{7774D284-D176-4051-AB98-6B160AA6D28E}"/>
    <cellStyle name="CustomizationGreenCells 3 3 56" xfId="26882" xr:uid="{2BBAEE38-C92A-4E11-AA57-F2F3B24A3159}"/>
    <cellStyle name="CustomizationGreenCells 3 3 57" xfId="27301" xr:uid="{10081F88-8F08-45B8-AA41-C89095C519EE}"/>
    <cellStyle name="CustomizationGreenCells 3 3 58" xfId="26471" xr:uid="{EC0F8CC1-66B5-4D56-8BA8-76F36BB319BA}"/>
    <cellStyle name="CustomizationGreenCells 3 3 59" xfId="28424" xr:uid="{EF2D895E-4AD1-4B4A-9C9B-59E35C2E31DE}"/>
    <cellStyle name="CustomizationGreenCells 3 3 6" xfId="2044" xr:uid="{16DBD2A4-EAD4-41F6-BA10-F08044CB4838}"/>
    <cellStyle name="CustomizationGreenCells 3 3 60" xfId="28892" xr:uid="{1A979564-4323-4C91-B3F7-FAEEFD12FF03}"/>
    <cellStyle name="CustomizationGreenCells 3 3 61" xfId="28539" xr:uid="{3BAB2DF7-D8C6-4F48-8714-106A0309B343}"/>
    <cellStyle name="CustomizationGreenCells 3 3 62" xfId="29682" xr:uid="{C7B9AA53-3B2D-44AA-8A43-655E3524F7F1}"/>
    <cellStyle name="CustomizationGreenCells 3 3 63" xfId="30090" xr:uid="{21767A0E-FC63-4418-B721-AC0CF6C678DC}"/>
    <cellStyle name="CustomizationGreenCells 3 3 64" xfId="30504" xr:uid="{454C7365-8215-4CA9-9890-C3476B634C92}"/>
    <cellStyle name="CustomizationGreenCells 3 3 65" xfId="30972" xr:uid="{05CBB301-DBEA-4CEC-8FC4-BEA94869F566}"/>
    <cellStyle name="CustomizationGreenCells 3 3 66" xfId="31128" xr:uid="{FA875D52-8E1F-4EA5-ACDA-D47DED9AF2EB}"/>
    <cellStyle name="CustomizationGreenCells 3 3 67" xfId="31814" xr:uid="{F63D24BA-37BB-4980-8358-8CAF761E123A}"/>
    <cellStyle name="CustomizationGreenCells 3 3 68" xfId="31731" xr:uid="{0111A43F-8930-4B04-9ECA-FF49013EAE4F}"/>
    <cellStyle name="CustomizationGreenCells 3 3 7" xfId="2976" xr:uid="{CEAC23BC-8FC6-43EB-96E2-A577F314387F}"/>
    <cellStyle name="CustomizationGreenCells 3 3 8" xfId="3902" xr:uid="{F154578D-11BD-4F49-8932-1887BE03671B}"/>
    <cellStyle name="CustomizationGreenCells 3 3 9" xfId="4340" xr:uid="{B8CB5B95-7D0D-4023-A245-F159967D2D33}"/>
    <cellStyle name="CustomizationGreenCells 3 30" xfId="11590" xr:uid="{5B6965DA-E6F7-4508-96FA-A91E027589AA}"/>
    <cellStyle name="CustomizationGreenCells 3 31" xfId="14010" xr:uid="{1753ED59-D441-416B-843A-4F017BA173FF}"/>
    <cellStyle name="CustomizationGreenCells 3 32" xfId="13179" xr:uid="{75091119-70BA-492C-AA64-8E00EA52DC02}"/>
    <cellStyle name="CustomizationGreenCells 3 33" xfId="14172" xr:uid="{7565E62D-5E13-48E3-88F1-1426454C3022}"/>
    <cellStyle name="CustomizationGreenCells 3 34" xfId="15113" xr:uid="{8E1305D2-6C93-4FB0-AC6C-BD413E87189F}"/>
    <cellStyle name="CustomizationGreenCells 3 35" xfId="15698" xr:uid="{A9B2C7D7-B329-4C59-9697-7014E8F7F100}"/>
    <cellStyle name="CustomizationGreenCells 3 36" xfId="14528" xr:uid="{51795A64-5100-4872-93E4-916AFCC9E087}"/>
    <cellStyle name="CustomizationGreenCells 3 37" xfId="16326" xr:uid="{DF13EA40-3925-41DB-9FF8-AA82E1D1E5E6}"/>
    <cellStyle name="CustomizationGreenCells 3 38" xfId="16944" xr:uid="{37464944-69E4-452A-8BA9-DC8BA27E7333}"/>
    <cellStyle name="CustomizationGreenCells 3 39" xfId="17083" xr:uid="{23690F37-5243-45A1-A17E-C3AFF0B568A4}"/>
    <cellStyle name="CustomizationGreenCells 3 4" xfId="517" xr:uid="{9ECE9F69-FCDB-4ACB-86BA-33AE01D84D86}"/>
    <cellStyle name="CustomizationGreenCells 3 4 10" xfId="4932" xr:uid="{45C3A168-A0B2-42A2-B551-B80B5AFC41FF}"/>
    <cellStyle name="CustomizationGreenCells 3 4 11" xfId="5165" xr:uid="{993453C1-4611-4CBE-9A4A-2A5844E75E63}"/>
    <cellStyle name="CustomizationGreenCells 3 4 12" xfId="5110" xr:uid="{0B636050-80A8-4083-8032-B81E72375C88}"/>
    <cellStyle name="CustomizationGreenCells 3 4 13" xfId="6304" xr:uid="{7EEC1CD6-18D0-4256-8ACE-D9D774B30377}"/>
    <cellStyle name="CustomizationGreenCells 3 4 14" xfId="5992" xr:uid="{26B2E83D-84DE-4003-88BD-EA0328AB6368}"/>
    <cellStyle name="CustomizationGreenCells 3 4 15" xfId="7237" xr:uid="{6DC4669B-6B23-4991-810D-D3CC562C8E33}"/>
    <cellStyle name="CustomizationGreenCells 3 4 16" xfId="7857" xr:uid="{4E08CA7D-ECFF-445B-9D1E-E3AD69D34961}"/>
    <cellStyle name="CustomizationGreenCells 3 4 17" xfId="8249" xr:uid="{36DC6C88-3B0B-4090-A62A-CB7634CB5AA3}"/>
    <cellStyle name="CustomizationGreenCells 3 4 18" xfId="8101" xr:uid="{E3D04541-24DA-46C3-A497-99E145994D81}"/>
    <cellStyle name="CustomizationGreenCells 3 4 19" xfId="9451" xr:uid="{3D7D0920-64F9-4F3D-B132-E8F5D604234B}"/>
    <cellStyle name="CustomizationGreenCells 3 4 2" xfId="732" xr:uid="{17AE64D8-27E4-41D1-9185-7D166140EE7B}"/>
    <cellStyle name="CustomizationGreenCells 3 4 2 10" xfId="5380" xr:uid="{4F8E25FC-DB1D-4E13-8D20-96A905BF354E}"/>
    <cellStyle name="CustomizationGreenCells 3 4 2 11" xfId="5757" xr:uid="{208B54C4-6D10-4F7D-9574-AB75CFE70967}"/>
    <cellStyle name="CustomizationGreenCells 3 4 2 12" xfId="4899" xr:uid="{F069A61A-8DE3-4E83-A7F3-6D4925EA1052}"/>
    <cellStyle name="CustomizationGreenCells 3 4 2 13" xfId="6467" xr:uid="{F1B49EDA-431C-452D-8270-8AB390470519}"/>
    <cellStyle name="CustomizationGreenCells 3 4 2 14" xfId="7452" xr:uid="{56244D2A-80F5-4746-B7A4-04682CB0DFBE}"/>
    <cellStyle name="CustomizationGreenCells 3 4 2 15" xfId="6915" xr:uid="{2153041F-CE2B-4FA3-95B9-AC5CB467366E}"/>
    <cellStyle name="CustomizationGreenCells 3 4 2 16" xfId="8004" xr:uid="{4FEAEC9D-8455-4D38-8837-F6129BF51FD0}"/>
    <cellStyle name="CustomizationGreenCells 3 4 2 17" xfId="8707" xr:uid="{782D2C2C-BF82-4624-AED4-AC736B5E2036}"/>
    <cellStyle name="CustomizationGreenCells 3 4 2 18" xfId="9666" xr:uid="{63BC2F9C-205A-466A-983A-A811155DB1E7}"/>
    <cellStyle name="CustomizationGreenCells 3 4 2 19" xfId="9128" xr:uid="{38664CC3-2C14-48CD-BEBA-3FCB32438987}"/>
    <cellStyle name="CustomizationGreenCells 3 4 2 2" xfId="1206" xr:uid="{E6CB48D7-FD28-4136-9CA9-8EF9A1374A06}"/>
    <cellStyle name="CustomizationGreenCells 3 4 2 20" xfId="9895" xr:uid="{545B8D2B-7865-4EA3-BC7A-E97E05C34646}"/>
    <cellStyle name="CustomizationGreenCells 3 4 2 21" xfId="9978" xr:uid="{B685C56F-CCB7-490D-B100-717D49287960}"/>
    <cellStyle name="CustomizationGreenCells 3 4 2 22" xfId="11257" xr:uid="{94206B8B-BFE7-4C35-9883-6974AC815AF9}"/>
    <cellStyle name="CustomizationGreenCells 3 4 2 23" xfId="12085" xr:uid="{5CFD5559-5B68-427F-882A-14A9792130A3}"/>
    <cellStyle name="CustomizationGreenCells 3 4 2 24" xfId="12558" xr:uid="{2A96498C-3A7C-4352-9C3D-736C0AD97D76}"/>
    <cellStyle name="CustomizationGreenCells 3 4 2 25" xfId="12992" xr:uid="{2B38F0A1-5394-432B-9061-5ED072970A34}"/>
    <cellStyle name="CustomizationGreenCells 3 4 2 26" xfId="13429" xr:uid="{0CD9DA01-2FEB-4BD6-9EF2-5CD2E1734940}"/>
    <cellStyle name="CustomizationGreenCells 3 4 2 27" xfId="12244" xr:uid="{0C8EA68D-2D73-4323-AA98-FB004BD21E19}"/>
    <cellStyle name="CustomizationGreenCells 3 4 2 28" xfId="13818" xr:uid="{1DF593C1-F6D9-4789-8A31-E0337C9C6296}"/>
    <cellStyle name="CustomizationGreenCells 3 4 2 29" xfId="12526" xr:uid="{FA085BEB-8F87-4B30-89FE-17241F5C9EE1}"/>
    <cellStyle name="CustomizationGreenCells 3 4 2 3" xfId="1491" xr:uid="{B495961A-BB26-47B6-9BB7-0D717697FA24}"/>
    <cellStyle name="CustomizationGreenCells 3 4 2 30" xfId="15311" xr:uid="{036A298E-B31B-468B-86F7-6E3177F09E84}"/>
    <cellStyle name="CustomizationGreenCells 3 4 2 31" xfId="15713" xr:uid="{A73FEB36-1956-405D-939B-55177DE55924}"/>
    <cellStyle name="CustomizationGreenCells 3 4 2 32" xfId="15628" xr:uid="{AC77557E-518C-4316-B51C-43FC6EEBAC80}"/>
    <cellStyle name="CustomizationGreenCells 3 4 2 33" xfId="16777" xr:uid="{A5113EBC-9D56-4F20-A505-7EA7DB59385F}"/>
    <cellStyle name="CustomizationGreenCells 3 4 2 34" xfId="16232" xr:uid="{81905F54-C134-4ADE-B6F6-9A446D0CB189}"/>
    <cellStyle name="CustomizationGreenCells 3 4 2 35" xfId="17009" xr:uid="{5AB157DE-C2A6-4C06-96C5-812FCF6F5CCC}"/>
    <cellStyle name="CustomizationGreenCells 3 4 2 36" xfId="18050" xr:uid="{61F96B6D-87FA-4005-AA31-A768309BDFB8}"/>
    <cellStyle name="CustomizationGreenCells 3 4 2 37" xfId="18595" xr:uid="{81352900-4CCA-464C-9F1B-1A5A4E35929D}"/>
    <cellStyle name="CustomizationGreenCells 3 4 2 38" xfId="18787" xr:uid="{9C05A563-80C8-4BAA-9D18-6B7165E7B48E}"/>
    <cellStyle name="CustomizationGreenCells 3 4 2 39" xfId="18133" xr:uid="{E2382032-0BCD-4261-AD4F-EF5C7BFC7C4D}"/>
    <cellStyle name="CustomizationGreenCells 3 4 2 4" xfId="2554" xr:uid="{23B02267-FC0B-44D6-B2D1-19808D44B05A}"/>
    <cellStyle name="CustomizationGreenCells 3 4 2 40" xfId="20114" xr:uid="{19171DF9-494A-429C-8C31-96CE2298BF86}"/>
    <cellStyle name="CustomizationGreenCells 3 4 2 41" xfId="19565" xr:uid="{9D170EC5-890E-45A5-BDDD-04FF34EE0AD8}"/>
    <cellStyle name="CustomizationGreenCells 3 4 2 42" xfId="19521" xr:uid="{8174A68C-19B6-41BF-805A-4E5C5E86C67D}"/>
    <cellStyle name="CustomizationGreenCells 3 4 2 43" xfId="20290" xr:uid="{2C98FEFF-ED47-4FD3-B870-8EBF2A2475CE}"/>
    <cellStyle name="CustomizationGreenCells 3 4 2 44" xfId="20684" xr:uid="{299E2E48-E9BE-476D-8A5A-261939B97E52}"/>
    <cellStyle name="CustomizationGreenCells 3 4 2 45" xfId="21745" xr:uid="{77A8C565-9BA1-4938-B36F-144CE263EFAD}"/>
    <cellStyle name="CustomizationGreenCells 3 4 2 46" xfId="22200" xr:uid="{67197AB3-9ABF-4404-9FC1-E7DA1A45B37F}"/>
    <cellStyle name="CustomizationGreenCells 3 4 2 47" xfId="23059" xr:uid="{2E0D6847-6E67-4CC6-8007-2ABCACB0433B}"/>
    <cellStyle name="CustomizationGreenCells 3 4 2 48" xfId="23550" xr:uid="{BF1A70FD-2FC6-4CF3-991D-C4A8DB5A1754}"/>
    <cellStyle name="CustomizationGreenCells 3 4 2 49" xfId="23914" xr:uid="{23F3F2DC-4F78-4EC4-A431-A68DB267309D}"/>
    <cellStyle name="CustomizationGreenCells 3 4 2 5" xfId="1815" xr:uid="{BDE2F969-6CCA-479B-BC72-E3884FE8BACC}"/>
    <cellStyle name="CustomizationGreenCells 3 4 2 50" xfId="24822" xr:uid="{0A1E5219-E9FD-4C99-95A2-AB247AB2CF45}"/>
    <cellStyle name="CustomizationGreenCells 3 4 2 51" xfId="24286" xr:uid="{20D76290-4CB6-4758-AC85-1D7BECF1FCCF}"/>
    <cellStyle name="CustomizationGreenCells 3 4 2 52" xfId="25738" xr:uid="{FA92E4DE-978A-4E7A-9B16-C4DB0DA9AB9F}"/>
    <cellStyle name="CustomizationGreenCells 3 4 2 53" xfId="25054" xr:uid="{BDB6F257-D307-49AE-AC24-EA86A1FC5B14}"/>
    <cellStyle name="CustomizationGreenCells 3 4 2 54" xfId="26369" xr:uid="{DBD5DCFB-394A-438A-8760-9209E8479FC8}"/>
    <cellStyle name="CustomizationGreenCells 3 4 2 55" xfId="27026" xr:uid="{FB4E5AFA-E90F-4AFD-B376-7C3A9171F499}"/>
    <cellStyle name="CustomizationGreenCells 3 4 2 56" xfId="27445" xr:uid="{897AD3B2-7434-4922-82C5-9F654436A559}"/>
    <cellStyle name="CustomizationGreenCells 3 4 2 57" xfId="27779" xr:uid="{A3BAA042-A614-47D5-AD85-5ACE61A2CC21}"/>
    <cellStyle name="CustomizationGreenCells 3 4 2 58" xfId="28572" xr:uid="{7135439B-0E0E-49FA-AACF-1A3E68C094E8}"/>
    <cellStyle name="CustomizationGreenCells 3 4 2 59" xfId="29039" xr:uid="{658FFE21-71D5-45FB-9A77-807492BC0F95}"/>
    <cellStyle name="CustomizationGreenCells 3 4 2 6" xfId="3342" xr:uid="{1998FB54-89EF-4885-9501-1A047BA58A57}"/>
    <cellStyle name="CustomizationGreenCells 3 4 2 60" xfId="28510" xr:uid="{C38B6422-4581-4D7A-A11D-06C0CD76C032}"/>
    <cellStyle name="CustomizationGreenCells 3 4 2 61" xfId="29828" xr:uid="{5EFD828A-7045-4A8C-A162-4E4D1341CC2B}"/>
    <cellStyle name="CustomizationGreenCells 3 4 2 62" xfId="30234" xr:uid="{F3EC7E17-00BA-4509-999A-D06DB2B80900}"/>
    <cellStyle name="CustomizationGreenCells 3 4 2 63" xfId="30651" xr:uid="{539EA9D8-4DC7-42D7-9B63-A919983DCD0E}"/>
    <cellStyle name="CustomizationGreenCells 3 4 2 64" xfId="29261" xr:uid="{4ADE89E8-12F3-4497-8615-93C8E7F6B462}"/>
    <cellStyle name="CustomizationGreenCells 3 4 2 65" xfId="31267" xr:uid="{36E95BBF-6DF3-4A48-96C2-85AB833CA599}"/>
    <cellStyle name="CustomizationGreenCells 3 4 2 66" xfId="31958" xr:uid="{C71D933B-0206-445E-9659-213E577DE42A}"/>
    <cellStyle name="CustomizationGreenCells 3 4 2 67" xfId="32256" xr:uid="{BB8A5DF9-0404-42DD-83D9-587DE6305BBA}"/>
    <cellStyle name="CustomizationGreenCells 3 4 2 7" xfId="4050" xr:uid="{9AA502D5-739E-4C04-B30A-475161A59684}"/>
    <cellStyle name="CustomizationGreenCells 3 4 2 8" xfId="4487" xr:uid="{A326E2EA-006C-40D7-A09E-890C8960B189}"/>
    <cellStyle name="CustomizationGreenCells 3 4 2 9" xfId="3168" xr:uid="{4BD82A77-5948-4987-8734-5571C4581F76}"/>
    <cellStyle name="CustomizationGreenCells 3 4 20" xfId="10070" xr:uid="{4F64897D-2374-4D5D-9F34-0A4521DF3202}"/>
    <cellStyle name="CustomizationGreenCells 3 4 21" xfId="10487" xr:uid="{B9C325CB-196D-45F3-911C-9FD6D752CBCF}"/>
    <cellStyle name="CustomizationGreenCells 3 4 22" xfId="10980" xr:uid="{ACC4E315-EEE1-462F-9A8F-8CB3432852A6}"/>
    <cellStyle name="CustomizationGreenCells 3 4 23" xfId="9239" xr:uid="{E3CBFABA-7D50-4AE2-939F-E99517E67CF8}"/>
    <cellStyle name="CustomizationGreenCells 3 4 24" xfId="11870" xr:uid="{D47FF6EA-145C-47FC-8F10-6DCFA752A623}"/>
    <cellStyle name="CustomizationGreenCells 3 4 25" xfId="12343" xr:uid="{CF2F7A08-EABA-4DE0-8A18-D70811E6E13B}"/>
    <cellStyle name="CustomizationGreenCells 3 4 26" xfId="12777" xr:uid="{447857EF-D4DA-4472-AEFC-0C2BB2E52DAF}"/>
    <cellStyle name="CustomizationGreenCells 3 4 27" xfId="13214" xr:uid="{F2579478-38E0-4F59-8E4B-AAB2B13ABE3C}"/>
    <cellStyle name="CustomizationGreenCells 3 4 28" xfId="11454" xr:uid="{82586CB6-DFB1-4BB4-8BAD-C7940E8D8CEE}"/>
    <cellStyle name="CustomizationGreenCells 3 4 29" xfId="14146" xr:uid="{6D19F854-8E2C-419B-8CD6-93F390CDEF5F}"/>
    <cellStyle name="CustomizationGreenCells 3 4 3" xfId="1000" xr:uid="{42011DC1-A137-4F33-A1CD-BE2ECDFAE77D}"/>
    <cellStyle name="CustomizationGreenCells 3 4 30" xfId="14585" xr:uid="{94A72B57-09C0-40D2-86E7-2D2F2D0701B1}"/>
    <cellStyle name="CustomizationGreenCells 3 4 31" xfId="14945" xr:uid="{5902674E-70E1-441C-8278-E9EE61BCB794}"/>
    <cellStyle name="CustomizationGreenCells 3 4 32" xfId="14556" xr:uid="{8C6F9EE4-2C5F-4A5A-BC80-4B0C94696F59}"/>
    <cellStyle name="CustomizationGreenCells 3 4 33" xfId="15892" xr:uid="{F7E5127D-DB37-4FA8-A047-BA0D419D875E}"/>
    <cellStyle name="CustomizationGreenCells 3 4 34" xfId="16562" xr:uid="{48F71CC4-1709-4382-B177-F4EECADA33C2}"/>
    <cellStyle name="CustomizationGreenCells 3 4 35" xfId="17187" xr:uid="{DC958944-F50C-4CC3-B08A-72909E5955E6}"/>
    <cellStyle name="CustomizationGreenCells 3 4 36" xfId="17633" xr:uid="{91B0F91F-2408-4061-A3D2-B6DD9D0FF3C9}"/>
    <cellStyle name="CustomizationGreenCells 3 4 37" xfId="17464" xr:uid="{FC4E06D8-4909-4185-BA2B-406373B6B961}"/>
    <cellStyle name="CustomizationGreenCells 3 4 38" xfId="18380" xr:uid="{4B206AA8-7C3A-46CB-8499-BE08B15CDD80}"/>
    <cellStyle name="CustomizationGreenCells 3 4 39" xfId="18053" xr:uid="{88DAB83B-EC5C-4923-A7EB-D2B2B346EC2F}"/>
    <cellStyle name="CustomizationGreenCells 3 4 4" xfId="1680" xr:uid="{13FC4BE2-657B-4DDA-9B89-7D288AE06AA5}"/>
    <cellStyle name="CustomizationGreenCells 3 4 40" xfId="19244" xr:uid="{08F4C826-F11C-4699-86EC-43C994C67B15}"/>
    <cellStyle name="CustomizationGreenCells 3 4 41" xfId="19899" xr:uid="{85840D93-530F-4B7B-853F-0C96B56E302D}"/>
    <cellStyle name="CustomizationGreenCells 3 4 42" xfId="20540" xr:uid="{447F40C0-A92E-4F63-A636-735E8D4F3087}"/>
    <cellStyle name="CustomizationGreenCells 3 4 43" xfId="20993" xr:uid="{91407E57-72B3-432A-810D-C3224FB6FFDA}"/>
    <cellStyle name="CustomizationGreenCells 3 4 44" xfId="19823" xr:uid="{B5E39A94-C579-4CFF-AC08-28183192F0BA}"/>
    <cellStyle name="CustomizationGreenCells 3 4 45" xfId="21924" xr:uid="{F8E2E834-CA1A-4782-9F03-3794AE3B91A2}"/>
    <cellStyle name="CustomizationGreenCells 3 4 46" xfId="22358" xr:uid="{6489ECD9-EAE8-426B-BF5E-9EDB5AD5A3E2}"/>
    <cellStyle name="CustomizationGreenCells 3 4 47" xfId="21754" xr:uid="{E642745D-82BA-419F-B4AE-0918D384D8D1}"/>
    <cellStyle name="CustomizationGreenCells 3 4 48" xfId="22586" xr:uid="{59ABA36B-5A5F-4678-A549-17F863DD3544}"/>
    <cellStyle name="CustomizationGreenCells 3 4 49" xfId="23531" xr:uid="{2335E962-2F1C-4FDA-B613-F833B853E1B6}"/>
    <cellStyle name="CustomizationGreenCells 3 4 5" xfId="2339" xr:uid="{60367D11-6AE5-48AD-942D-4FA3BA3DAA32}"/>
    <cellStyle name="CustomizationGreenCells 3 4 50" xfId="23708" xr:uid="{06155926-B5EA-497B-A5FC-EE782ED928A1}"/>
    <cellStyle name="CustomizationGreenCells 3 4 51" xfId="24607" xr:uid="{CE0E475A-9C6E-454C-B06B-00D22F080AD2}"/>
    <cellStyle name="CustomizationGreenCells 3 4 52" xfId="25248" xr:uid="{DBD67862-0C87-4246-9A72-A5596AC588D5}"/>
    <cellStyle name="CustomizationGreenCells 3 4 53" xfId="25525" xr:uid="{7CDCABAE-383F-419E-92F5-D8A5B1DEE992}"/>
    <cellStyle name="CustomizationGreenCells 3 4 54" xfId="25066" xr:uid="{99A34F51-AB36-4E00-AAE6-3F6F35406D8B}"/>
    <cellStyle name="CustomizationGreenCells 3 4 55" xfId="26042" xr:uid="{D480DEC2-93AE-48F7-BA29-870448F54248}"/>
    <cellStyle name="CustomizationGreenCells 3 4 56" xfId="26815" xr:uid="{A80EF51A-0544-4286-BAAE-8C328D7CB9ED}"/>
    <cellStyle name="CustomizationGreenCells 3 4 57" xfId="27234" xr:uid="{206DB348-9FEA-44F4-AC27-F6188D0DBAE3}"/>
    <cellStyle name="CustomizationGreenCells 3 4 58" xfId="27709" xr:uid="{19C4C121-2E32-4B3E-904A-49D3AED0CEC9}"/>
    <cellStyle name="CustomizationGreenCells 3 4 59" xfId="28357" xr:uid="{8B3DC5BB-4889-4F3E-BB88-0CA8A2CF0AEA}"/>
    <cellStyle name="CustomizationGreenCells 3 4 6" xfId="2024" xr:uid="{C06F9978-DBA6-4040-A943-9507080B5132}"/>
    <cellStyle name="CustomizationGreenCells 3 4 60" xfId="28825" xr:uid="{5967B8D7-8254-4407-967F-82F7715D425F}"/>
    <cellStyle name="CustomizationGreenCells 3 4 61" xfId="29385" xr:uid="{521D72B0-C06C-4795-858C-7F1126D52D61}"/>
    <cellStyle name="CustomizationGreenCells 3 4 62" xfId="29615" xr:uid="{FC793F6C-1158-4978-9E6C-8F9718DE1421}"/>
    <cellStyle name="CustomizationGreenCells 3 4 63" xfId="30023" xr:uid="{FB7324F8-006F-47DB-860E-01D2783F5B71}"/>
    <cellStyle name="CustomizationGreenCells 3 4 64" xfId="30437" xr:uid="{208FC32D-0518-473D-9701-37B309422784}"/>
    <cellStyle name="CustomizationGreenCells 3 4 65" xfId="29391" xr:uid="{EA3FAB0C-2FF1-4D9C-8E51-3AE92ACD2701}"/>
    <cellStyle name="CustomizationGreenCells 3 4 66" xfId="31061" xr:uid="{8123FEDF-797D-4496-BA28-BD564A8848AE}"/>
    <cellStyle name="CustomizationGreenCells 3 4 67" xfId="31747" xr:uid="{72AC23F1-1DEF-4EAD-95C7-716BA2A3CABB}"/>
    <cellStyle name="CustomizationGreenCells 3 4 68" xfId="32368" xr:uid="{05678E54-17D8-4156-8A51-FD330C924FFE}"/>
    <cellStyle name="CustomizationGreenCells 3 4 7" xfId="3108" xr:uid="{233CF129-F4F1-4208-82E4-E714DEC876EF}"/>
    <cellStyle name="CustomizationGreenCells 3 4 8" xfId="3835" xr:uid="{545F7221-FE39-485C-9F9B-136B0AB4DC6C}"/>
    <cellStyle name="CustomizationGreenCells 3 4 9" xfId="4273" xr:uid="{931156DC-9F2F-4F21-B65B-5B5915BE6C81}"/>
    <cellStyle name="CustomizationGreenCells 3 40" xfId="18286" xr:uid="{33716F9D-434E-403B-A7C3-5568B7B7B11B}"/>
    <cellStyle name="CustomizationGreenCells 3 41" xfId="17950" xr:uid="{38D3972B-C3B7-4223-9A08-F5DE1E35CE87}"/>
    <cellStyle name="CustomizationGreenCells 3 42" xfId="19101" xr:uid="{E720578D-DA99-40A7-BA8A-BB1CF037FFC6}"/>
    <cellStyle name="CustomizationGreenCells 3 43" xfId="19235" xr:uid="{16623F2F-623A-42A6-AFEE-AA465681D4EA}"/>
    <cellStyle name="CustomizationGreenCells 3 44" xfId="19659" xr:uid="{D579F2F0-7EC1-4B78-96D5-6F3B3E4D22F0}"/>
    <cellStyle name="CustomizationGreenCells 3 45" xfId="20287" xr:uid="{CFF5C92F-C446-4C02-9806-9295215238C0}"/>
    <cellStyle name="CustomizationGreenCells 3 46" xfId="20644" xr:uid="{36B15E02-8981-4C82-AD44-23E7411AF952}"/>
    <cellStyle name="CustomizationGreenCells 3 47" xfId="21667" xr:uid="{D4469CF6-73F6-4260-B5F1-E171F899D817}"/>
    <cellStyle name="CustomizationGreenCells 3 48" xfId="21336" xr:uid="{6861C2C4-2395-42B6-86B4-27AFA458519E}"/>
    <cellStyle name="CustomizationGreenCells 3 49" xfId="21316" xr:uid="{2A7EA181-0B1A-47B7-808F-C849439B59AB}"/>
    <cellStyle name="CustomizationGreenCells 3 5" xfId="700" xr:uid="{DFA90F83-95EE-4ADF-AB28-864D9D0B1484}"/>
    <cellStyle name="CustomizationGreenCells 3 5 2" xfId="5348" xr:uid="{932FFE8C-B0BF-4F38-A141-ABA9BF482D8F}"/>
    <cellStyle name="CustomizationGreenCells 3 5 3" xfId="19014" xr:uid="{D45F0512-03A5-4770-A053-AAADFFB93DBF}"/>
    <cellStyle name="CustomizationGreenCells 3 50" xfId="22980" xr:uid="{573ABDBF-F9A0-4528-80C7-ECED999C8B26}"/>
    <cellStyle name="CustomizationGreenCells 3 51" xfId="23385" xr:uid="{DE3B3BC1-5D2A-4335-956D-B37C75732989}"/>
    <cellStyle name="CustomizationGreenCells 3 52" xfId="23474" xr:uid="{0B2B4825-7FB0-4071-B51D-95BDF8FF0EB4}"/>
    <cellStyle name="CustomizationGreenCells 3 53" xfId="19407" xr:uid="{D31B33DC-3D79-40CD-8953-2A88F02F32A7}"/>
    <cellStyle name="CustomizationGreenCells 3 54" xfId="24379" xr:uid="{8179E905-8E57-426A-BFF1-5FD89E5ECCB0}"/>
    <cellStyle name="CustomizationGreenCells 3 55" xfId="25028" xr:uid="{F74A7844-6CA7-40BD-A8C8-571E3912BBEE}"/>
    <cellStyle name="CustomizationGreenCells 3 56" xfId="25152" xr:uid="{7514D439-8A5D-4025-8E9C-A21D3A97A534}"/>
    <cellStyle name="CustomizationGreenCells 3 57" xfId="26150" xr:uid="{507D6D7F-A848-4E55-88A1-ACDC74CF611F}"/>
    <cellStyle name="CustomizationGreenCells 3 58" xfId="26094" xr:uid="{DC92846C-29A2-4271-A144-D52B6028E157}"/>
    <cellStyle name="CustomizationGreenCells 3 59" xfId="25340" xr:uid="{C2689C41-4140-42AB-81C9-535C682AC6BD}"/>
    <cellStyle name="CustomizationGreenCells 3 6" xfId="952" xr:uid="{A29D212F-3EA4-46D4-808D-029B882AF930}"/>
    <cellStyle name="CustomizationGreenCells 3 60" xfId="26091" xr:uid="{77A0C549-7DB7-477C-9394-876CADA47AD3}"/>
    <cellStyle name="CustomizationGreenCells 3 61" xfId="26808" xr:uid="{9686D3E7-85C3-4932-8082-7B0F92D06320}"/>
    <cellStyle name="CustomizationGreenCells 3 62" xfId="28150" xr:uid="{B91C90D5-3E52-44D8-A207-598F1057624F}"/>
    <cellStyle name="CustomizationGreenCells 3 63" xfId="28534" xr:uid="{08C84CC3-8CF2-4E3E-A609-49BF8621274B}"/>
    <cellStyle name="CustomizationGreenCells 3 64" xfId="28270" xr:uid="{A5A7AB6B-526C-404F-AE7B-F404D8204C7E}"/>
    <cellStyle name="CustomizationGreenCells 3 65" xfId="28775" xr:uid="{D7E88BCA-9A4C-4E24-8887-35A71BC7DE3D}"/>
    <cellStyle name="CustomizationGreenCells 3 66" xfId="28272" xr:uid="{53FF599A-D49C-43D9-8DAE-7E42802C23B5}"/>
    <cellStyle name="CustomizationGreenCells 3 67" xfId="30014" xr:uid="{2F33171B-4BB4-47FC-992B-3596485AA1BB}"/>
    <cellStyle name="CustomizationGreenCells 3 68" xfId="29336" xr:uid="{443043D9-3C17-4800-95DD-FF6252A98DBE}"/>
    <cellStyle name="CustomizationGreenCells 3 69" xfId="30856" xr:uid="{724FFA99-F4A6-4F35-8959-947897AEB880}"/>
    <cellStyle name="CustomizationGreenCells 3 7" xfId="1584" xr:uid="{FD189033-6091-408E-A692-D83840C6E07D}"/>
    <cellStyle name="CustomizationGreenCells 3 70" xfId="31602" xr:uid="{D58FCCF1-57AC-4A35-9733-27A6A54CE3D1}"/>
    <cellStyle name="CustomizationGreenCells 3 71" xfId="31511" xr:uid="{CCF602C9-FF40-4937-9D68-75AF8289E2CB}"/>
    <cellStyle name="CustomizationGreenCells 3 8" xfId="2099" xr:uid="{CBC5F6C9-B53E-406F-8D62-B7162FCF64AC}"/>
    <cellStyle name="CustomizationGreenCells 3 9" xfId="3182" xr:uid="{6BF73046-9E7F-487C-900B-D33EBDD3698F}"/>
    <cellStyle name="DocBox_EmptyRow" xfId="15" xr:uid="{0E983B7B-0025-438A-8AEE-CA3DB5662AD6}"/>
    <cellStyle name="Eingabe" xfId="2" xr:uid="{E0D7D84D-5758-486B-88BE-637DB6BC7FF6}"/>
    <cellStyle name="Eingabe 2" xfId="372" xr:uid="{EAB53CEA-AD2A-4F2F-98D5-A4108CF8A30F}"/>
    <cellStyle name="Eingabe 3" xfId="418" xr:uid="{D1BD14EE-E327-46CF-B4A0-24A5A44517A9}"/>
    <cellStyle name="Eingabe 3 10" xfId="3724" xr:uid="{F9451E32-2568-46CF-B9BC-AD9B7538927F}"/>
    <cellStyle name="Eingabe 3 11" xfId="4705" xr:uid="{C74CF674-F186-41FF-ACD0-CBD7273C3C1F}"/>
    <cellStyle name="Eingabe 3 12" xfId="4947" xr:uid="{60728EDE-8BA8-46DF-8871-825CDCCF2C99}"/>
    <cellStyle name="Eingabe 3 13" xfId="3614" xr:uid="{090D3BCD-CB33-4C9D-B842-90B71FB52A91}"/>
    <cellStyle name="Eingabe 3 14" xfId="6472" xr:uid="{3495FDBC-5CC2-4139-A2EF-2B59F9095E28}"/>
    <cellStyle name="Eingabe 3 15" xfId="7143" xr:uid="{8C5F0FA1-0D43-4D6C-A0FB-6564FBD43487}"/>
    <cellStyle name="Eingabe 3 16" xfId="7827" xr:uid="{B44AB4D7-A989-4281-8952-3761D4589C4E}"/>
    <cellStyle name="Eingabe 3 17" xfId="8604" xr:uid="{7C926E25-8F08-4C8E-AE45-F32B5699FBA4}"/>
    <cellStyle name="Eingabe 3 18" xfId="8719" xr:uid="{362F2C4C-8463-4EB9-82C3-E52E5563CB2F}"/>
    <cellStyle name="Eingabe 3 19" xfId="9358" xr:uid="{64A761F8-BAAB-4DB6-B115-9269056976D2}"/>
    <cellStyle name="Eingabe 3 2" xfId="654" xr:uid="{EF887CAE-2615-4D00-B92C-65EF39A4CB7E}"/>
    <cellStyle name="Eingabe 3 2 10" xfId="4914" xr:uid="{F468C520-2306-4F2C-BB9F-5C9FDD56D1DF}"/>
    <cellStyle name="Eingabe 3 2 11" xfId="5302" xr:uid="{2E398152-78EC-4904-B05F-10EE156D1B78}"/>
    <cellStyle name="Eingabe 3 2 12" xfId="5638" xr:uid="{C3DC84FF-6E9B-4F43-9AD2-1EC3F3D85B64}"/>
    <cellStyle name="Eingabe 3 2 13" xfId="5990" xr:uid="{D661566D-03F7-4E35-8FAF-ACBA999783A8}"/>
    <cellStyle name="Eingabe 3 2 14" xfId="6682" xr:uid="{500DCE59-F494-4D45-9FFA-63A830534180}"/>
    <cellStyle name="Eingabe 3 2 15" xfId="7374" xr:uid="{DF227A81-0067-4300-8970-AA8F0666E572}"/>
    <cellStyle name="Eingabe 3 2 16" xfId="6922" xr:uid="{27073681-E3F3-4D24-9D31-2E8AB6FEE448}"/>
    <cellStyle name="Eingabe 3 2 17" xfId="8098" xr:uid="{B024241C-8DE3-453E-AE2B-FB51EEBEBB2F}"/>
    <cellStyle name="Eingabe 3 2 18" xfId="8843" xr:uid="{2E1AE66B-090F-445E-AA6C-F605C18175B4}"/>
    <cellStyle name="Eingabe 3 2 19" xfId="9588" xr:uid="{A7726EDE-E32C-4591-91E1-1541609B7478}"/>
    <cellStyle name="Eingabe 3 2 2" xfId="869" xr:uid="{50BBFF85-97C3-4C2C-ABED-123DF58B5A75}"/>
    <cellStyle name="Eingabe 3 2 2 10" xfId="5517" xr:uid="{A1057280-8804-4BA7-8405-A1555131890F}"/>
    <cellStyle name="Eingabe 3 2 2 11" xfId="6011" xr:uid="{8641932D-F8DD-4024-B4A0-5C3A7F892325}"/>
    <cellStyle name="Eingabe 3 2 2 12" xfId="6370" xr:uid="{2FA8840C-CFEB-49C4-9242-8FDC2C9C3DF8}"/>
    <cellStyle name="Eingabe 3 2 2 13" xfId="6708" xr:uid="{48473138-BCFC-47D2-9732-998538E8C4B3}"/>
    <cellStyle name="Eingabe 3 2 2 14" xfId="7589" xr:uid="{B84A3465-ED03-4743-8D40-1021DB801352}"/>
    <cellStyle name="Eingabe 3 2 2 15" xfId="8053" xr:uid="{BEDB551D-82BC-49B3-BF64-4896A8D6C853}"/>
    <cellStyle name="Eingabe 3 2 2 16" xfId="8662" xr:uid="{91812A76-69C3-4934-BACD-4EE5C6FDCA51}"/>
    <cellStyle name="Eingabe 3 2 2 17" xfId="8921" xr:uid="{B8711481-F591-42E0-B0D7-9664486233B2}"/>
    <cellStyle name="Eingabe 3 2 2 18" xfId="9803" xr:uid="{35C5938E-2A57-4ECB-AD09-02BC30ACD22B}"/>
    <cellStyle name="Eingabe 3 2 2 19" xfId="10272" xr:uid="{E53F812B-7542-43E3-8A17-86B53DB89E4C}"/>
    <cellStyle name="Eingabe 3 2 2 2" xfId="1343" xr:uid="{ED64EE8E-ABE2-4947-AEFE-F99A8F32921F}"/>
    <cellStyle name="Eingabe 3 2 2 20" xfId="10666" xr:uid="{CE8CE689-0F10-4D09-87BB-CDF6817E64E0}"/>
    <cellStyle name="Eingabe 3 2 2 21" xfId="11015" xr:uid="{E0C9ED9B-CB3A-4B91-9D41-FC14D3495431}"/>
    <cellStyle name="Eingabe 3 2 2 22" xfId="11325" xr:uid="{DA0ED8C4-6E15-47F1-B9D7-F03F1E5197B6}"/>
    <cellStyle name="Eingabe 3 2 2 23" xfId="12222" xr:uid="{177C8103-389A-40E7-AE3A-4ABA15BF6D25}"/>
    <cellStyle name="Eingabe 3 2 2 24" xfId="12695" xr:uid="{2E696FEC-0BC7-489B-979E-14C416F524BE}"/>
    <cellStyle name="Eingabe 3 2 2 25" xfId="13129" xr:uid="{BE9D6D95-5E26-4CA2-9F60-82B1BE3C44A5}"/>
    <cellStyle name="Eingabe 3 2 2 26" xfId="13566" xr:uid="{A9524C0A-5BF4-4BFC-9482-980D61565696}"/>
    <cellStyle name="Eingabe 3 2 2 27" xfId="14038" xr:uid="{F61B3D05-AC01-407B-AF37-D49585DF309D}"/>
    <cellStyle name="Eingabe 3 2 2 28" xfId="14485" xr:uid="{4FD0C637-2CDE-43F6-90B3-0D22C28E6352}"/>
    <cellStyle name="Eingabe 3 2 2 29" xfId="14919" xr:uid="{D621D987-21A4-4241-BA15-C3D6553DB17F}"/>
    <cellStyle name="Eingabe 3 2 2 3" xfId="1792" xr:uid="{700C5427-4664-4538-B2D2-B97736EDCDF7}"/>
    <cellStyle name="Eingabe 3 2 2 30" xfId="15389" xr:uid="{FFC99BF0-899D-461D-8C87-901B5B41F4AC}"/>
    <cellStyle name="Eingabe 3 2 2 31" xfId="15779" xr:uid="{6B32CD64-F185-46BE-8011-B22435121CB0}"/>
    <cellStyle name="Eingabe 3 2 2 32" xfId="16001" xr:uid="{DC688CFC-B3B6-414C-A9BF-A33DE9A5E05D}"/>
    <cellStyle name="Eingabe 3 2 2 33" xfId="16914" xr:uid="{8CB047CD-4C77-44E8-A657-9B5ACE5D939F}"/>
    <cellStyle name="Eingabe 3 2 2 34" xfId="17395" xr:uid="{69E22B0B-CE30-4A63-A288-06DB580CB2BB}"/>
    <cellStyle name="Eingabe 3 2 2 35" xfId="17836" xr:uid="{C95647F1-FB46-4CF2-8427-48FC0C283305}"/>
    <cellStyle name="Eingabe 3 2 2 36" xfId="18311" xr:uid="{A8146135-0233-4D24-91BD-EA03AF7F4677}"/>
    <cellStyle name="Eingabe 3 2 2 37" xfId="18732" xr:uid="{6643CCFB-E1D2-4622-A1CB-77CE6EB357C0}"/>
    <cellStyle name="Eingabe 3 2 2 38" xfId="19119" xr:uid="{324AC385-B29A-40A1-85A7-1A5C39BDBE81}"/>
    <cellStyle name="Eingabe 3 2 2 39" xfId="19349" xr:uid="{77FFF3A5-4D89-47D3-9571-E6D6CE85D3A8}"/>
    <cellStyle name="Eingabe 3 2 2 4" xfId="2691" xr:uid="{D0F423A1-613F-4240-B3E2-56E3A048F47D}"/>
    <cellStyle name="Eingabe 3 2 2 40" xfId="20251" xr:uid="{2DC60B69-688F-4AC9-986B-95EDA7782F58}"/>
    <cellStyle name="Eingabe 3 2 2 41" xfId="20744" xr:uid="{E1D33D28-780D-4348-B7CC-0DA571D8E02F}"/>
    <cellStyle name="Eingabe 3 2 2 42" xfId="21203" xr:uid="{37A9FD6E-3469-48AC-8758-9C8200ADD920}"/>
    <cellStyle name="Eingabe 3 2 2 43" xfId="21695" xr:uid="{7C507A18-841D-40FB-80CD-D2097E343323}"/>
    <cellStyle name="Eingabe 3 2 2 44" xfId="22134" xr:uid="{BA513866-C83A-4463-AF04-C1AF6CA1F676}"/>
    <cellStyle name="Eingabe 3 2 2 45" xfId="22561" xr:uid="{BBF4A049-1CED-4BCD-85EB-AA186E87A29F}"/>
    <cellStyle name="Eingabe 3 2 2 46" xfId="23006" xr:uid="{2862B8A5-F4B6-4E66-822C-70764A66EF5D}"/>
    <cellStyle name="Eingabe 3 2 2 47" xfId="23408" xr:uid="{209B94BC-27B1-4B2A-A693-94E798B301AA}"/>
    <cellStyle name="Eingabe 3 2 2 48" xfId="23671" xr:uid="{F3AED53B-6E97-4AB8-8439-7F69395E920F}"/>
    <cellStyle name="Eingabe 3 2 2 49" xfId="24051" xr:uid="{92A58C15-6C55-438B-9D39-B6F9DC127CD6}"/>
    <cellStyle name="Eingabe 3 2 2 5" xfId="3211" xr:uid="{931FE8D4-C490-4AB6-9B90-1C1D53C55417}"/>
    <cellStyle name="Eingabe 3 2 2 50" xfId="24959" xr:uid="{9596BE4B-FF77-4AAF-A6BE-EC85B52C38F3}"/>
    <cellStyle name="Eingabe 3 2 2 51" xfId="25447" xr:uid="{111FAB0B-2384-4E18-B638-27DF1D5C27CB}"/>
    <cellStyle name="Eingabe 3 2 2 52" xfId="25875" xr:uid="{548D92FF-6AA6-43C2-80CD-0998AA55CC7E}"/>
    <cellStyle name="Eingabe 3 2 2 53" xfId="26313" xr:uid="{8F55A0C1-C90A-4CE1-BC2E-0E783FA6AA35}"/>
    <cellStyle name="Eingabe 3 2 2 54" xfId="26742" xr:uid="{6413C9DC-BAA4-4CC4-B67A-246F46519003}"/>
    <cellStyle name="Eingabe 3 2 2 55" xfId="27163" xr:uid="{A3C1B389-AB9F-43C1-8428-4E929A6FAEC5}"/>
    <cellStyle name="Eingabe 3 2 2 56" xfId="27582" xr:uid="{801C09DF-80F4-4734-B083-E48D632788F5}"/>
    <cellStyle name="Eingabe 3 2 2 57" xfId="25080" xr:uid="{7C61CB8C-9A46-4286-ABBA-EED8B2E3F517}"/>
    <cellStyle name="Eingabe 3 2 2 58" xfId="28709" xr:uid="{861F10F9-F177-4C32-8A12-1D5544D2C514}"/>
    <cellStyle name="Eingabe 3 2 2 59" xfId="29176" xr:uid="{AF63A925-FF95-48D2-8B9C-3CCF7A9524B8}"/>
    <cellStyle name="Eingabe 3 2 2 6" xfId="3766" xr:uid="{06AE26EC-34FE-452A-ACFF-8276782D5993}"/>
    <cellStyle name="Eingabe 3 2 2 60" xfId="29558" xr:uid="{D5E5669C-1331-4EAB-BC4F-BA29B8689AEF}"/>
    <cellStyle name="Eingabe 3 2 2 61" xfId="29965" xr:uid="{05A8E2DE-576F-4FEF-A23C-C5248ACA4E34}"/>
    <cellStyle name="Eingabe 3 2 2 62" xfId="30371" xr:uid="{D2CD8E62-DAA4-4726-9231-2C2CB759254F}"/>
    <cellStyle name="Eingabe 3 2 2 63" xfId="30788" xr:uid="{040C25C3-BCA9-47AD-BA96-E08C99CA89BD}"/>
    <cellStyle name="Eingabe 3 2 2 64" xfId="31033" xr:uid="{8CDBF9D3-5DA7-4A3A-B782-7B1AB3BC65FF}"/>
    <cellStyle name="Eingabe 3 2 2 65" xfId="31404" xr:uid="{F58F25DB-07AB-4C76-A8A8-751CE139C5BD}"/>
    <cellStyle name="Eingabe 3 2 2 66" xfId="32095" xr:uid="{367CCD92-AEBC-4D13-97EF-3A4FAEF50308}"/>
    <cellStyle name="Eingabe 3 2 2 67" xfId="32382" xr:uid="{878FF9CC-B445-494D-AC5A-CAE01AFA2331}"/>
    <cellStyle name="Eingabe 3 2 2 7" xfId="4187" xr:uid="{DCE3AC72-5C8E-4C4F-9ADA-8A5CBBF69E92}"/>
    <cellStyle name="Eingabe 3 2 2 8" xfId="4624" xr:uid="{5868CE45-C1F2-4B8B-9C55-D46078D59847}"/>
    <cellStyle name="Eingabe 3 2 2 9" xfId="5070" xr:uid="{48C9C7FD-F4C7-48EC-8FA6-D5C204DAFF21}"/>
    <cellStyle name="Eingabe 3 2 20" xfId="9135" xr:uid="{CAA34F39-109B-46E1-9A33-3B371985270B}"/>
    <cellStyle name="Eingabe 3 2 21" xfId="10256" xr:uid="{0E3DDA4B-9C41-4C89-A91F-A6DBD4A97975}"/>
    <cellStyle name="Eingabe 3 2 22" xfId="9308" xr:uid="{806DDE7B-32F6-4EAE-A5A7-6D36BEA4C306}"/>
    <cellStyle name="Eingabe 3 2 23" xfId="11299" xr:uid="{278CDE4F-C4FE-4F82-BFB5-FC92CB82ED20}"/>
    <cellStyle name="Eingabe 3 2 24" xfId="12007" xr:uid="{F86F8EFC-027E-4866-81BA-47713F79AC29}"/>
    <cellStyle name="Eingabe 3 2 25" xfId="12480" xr:uid="{757A30BA-7627-4F44-B356-424003709D0B}"/>
    <cellStyle name="Eingabe 3 2 26" xfId="12914" xr:uid="{AACE4A0E-08BB-4A87-9B4F-A44672B3AA45}"/>
    <cellStyle name="Eingabe 3 2 27" xfId="13351" xr:uid="{B3FF4D47-99E3-4F3D-A600-CFEE7F7AF2F5}"/>
    <cellStyle name="Eingabe 3 2 28" xfId="11571" xr:uid="{16DC109A-FB93-456A-AAA9-BBC33EBBB9A9}"/>
    <cellStyle name="Eingabe 3 2 29" xfId="14129" xr:uid="{FD58B2A1-B12F-4EB7-8CFE-4892056C9B44}"/>
    <cellStyle name="Eingabe 3 2 3" xfId="1137" xr:uid="{78069D8D-B6EA-4706-A9D6-BF8C404D9185}"/>
    <cellStyle name="Eingabe 3 2 30" xfId="14086" xr:uid="{1D4C92DF-2744-4F40-AA72-D6C724F620BB}"/>
    <cellStyle name="Eingabe 3 2 31" xfId="15078" xr:uid="{9B491536-CF5D-4E48-A2AB-E0F5178486B8}"/>
    <cellStyle name="Eingabe 3 2 32" xfId="14950" xr:uid="{C22C8D8B-4731-4B12-83F3-0666CECBF97F}"/>
    <cellStyle name="Eingabe 3 2 33" xfId="15765" xr:uid="{0D907042-B83B-402B-88C2-7DF675174082}"/>
    <cellStyle name="Eingabe 3 2 34" xfId="16699" xr:uid="{9149FF99-C927-42DD-BDC0-A8052774EE12}"/>
    <cellStyle name="Eingabe 3 2 35" xfId="16239" xr:uid="{33AD5D4A-3676-43A6-8989-C2638E692458}"/>
    <cellStyle name="Eingabe 3 2 36" xfId="17378" xr:uid="{8EFD1C65-2889-4962-8762-0C9468BCA82E}"/>
    <cellStyle name="Eingabe 3 2 37" xfId="18256" xr:uid="{F7936898-9BD5-4B8D-A628-E523471C0066}"/>
    <cellStyle name="Eingabe 3 2 38" xfId="18517" xr:uid="{D34BCF6F-78CB-4BDC-80BF-7154E69617FB}"/>
    <cellStyle name="Eingabe 3 2 39" xfId="19079" xr:uid="{FCC20E61-84DC-4093-9D5C-79A7026222C2}"/>
    <cellStyle name="Eingabe 3 2 4" xfId="1749" xr:uid="{F101BCC8-C4E5-4305-A402-7AB6001C7105}"/>
    <cellStyle name="Eingabe 3 2 40" xfId="17906" xr:uid="{88DC63DB-D2D1-40DD-9E4B-D8E2CCF85DE3}"/>
    <cellStyle name="Eingabe 3 2 41" xfId="20036" xr:uid="{C0631B1D-5729-4CA5-A746-D72A1A8AC5FE}"/>
    <cellStyle name="Eingabe 3 2 42" xfId="19572" xr:uid="{8605F57C-2DB1-41F7-B52E-8E73D38A8B42}"/>
    <cellStyle name="Eingabe 3 2 43" xfId="19584" xr:uid="{FDBBF8CE-A00B-4AA7-8D94-3C3F476F0D2A}"/>
    <cellStyle name="Eingabe 3 2 44" xfId="21117" xr:uid="{DBA4F5A1-AE98-4421-A988-8C38DA9984AE}"/>
    <cellStyle name="Eingabe 3 2 45" xfId="21678" xr:uid="{BB2ED7B4-B535-47CB-9C9E-AF8578060AC7}"/>
    <cellStyle name="Eingabe 3 2 46" xfId="22117" xr:uid="{743D5796-6120-407B-ACC6-B1DF89EDB0FA}"/>
    <cellStyle name="Eingabe 3 2 47" xfId="21342" xr:uid="{942015D2-8510-49EA-BE4D-6B967C3B9AC5}"/>
    <cellStyle name="Eingabe 3 2 48" xfId="23357" xr:uid="{C4A579E6-191E-44BD-820E-A63BB356EC7B}"/>
    <cellStyle name="Eingabe 3 2 49" xfId="23369" xr:uid="{13073AB2-CB6C-4F9F-8AD6-3B5E934BA2A4}"/>
    <cellStyle name="Eingabe 3 2 5" xfId="2476" xr:uid="{CD38B7D4-32E0-4FC4-B3B1-6739302F340E}"/>
    <cellStyle name="Eingabe 3 2 50" xfId="23845" xr:uid="{24E22BFB-FA15-4CB9-A383-722A62350B29}"/>
    <cellStyle name="Eingabe 3 2 51" xfId="24744" xr:uid="{7B716046-F433-47DD-953E-D21768074AF8}"/>
    <cellStyle name="Eingabe 3 2 52" xfId="24293" xr:uid="{08F7F030-2CA4-4F3C-BC79-C1A0A8248A04}"/>
    <cellStyle name="Eingabe 3 2 53" xfId="25662" xr:uid="{BC3AD1D5-A792-4041-A2EA-29D7AE2B785E}"/>
    <cellStyle name="Eingabe 3 2 54" xfId="25320" xr:uid="{840A538F-DA1D-418E-B274-DB78209901E8}"/>
    <cellStyle name="Eingabe 3 2 55" xfId="24482" xr:uid="{6C0EFB54-7A5E-4FC6-B5A6-510E5C986A06}"/>
    <cellStyle name="Eingabe 3 2 56" xfId="26952" xr:uid="{194EBFB9-389A-45CB-BCF0-E956255C3B42}"/>
    <cellStyle name="Eingabe 3 2 57" xfId="27371" xr:uid="{5FD76A48-384B-4D98-9590-76EDA01FB362}"/>
    <cellStyle name="Eingabe 3 2 58" xfId="26565" xr:uid="{F29A738E-1307-4180-B36F-5DC771A427A4}"/>
    <cellStyle name="Eingabe 3 2 59" xfId="28494" xr:uid="{0B223660-1124-41C1-806B-1148C97AE9AC}"/>
    <cellStyle name="Eingabe 3 2 6" xfId="2076" xr:uid="{C49B2C62-56BE-4D7A-A543-EDC5AD250F74}"/>
    <cellStyle name="Eingabe 3 2 60" xfId="28962" xr:uid="{EC3A82DC-D56B-4553-8B30-3AF63BB4352C}"/>
    <cellStyle name="Eingabe 3 2 61" xfId="28088" xr:uid="{AF54D838-08F5-4AA1-B3A5-FB0833418843}"/>
    <cellStyle name="Eingabe 3 2 62" xfId="29752" xr:uid="{81420F78-4CEE-4646-A393-33D624B8A390}"/>
    <cellStyle name="Eingabe 3 2 63" xfId="30160" xr:uid="{A433AE5D-6DD3-4780-B9D4-345963865F62}"/>
    <cellStyle name="Eingabe 3 2 64" xfId="30574" xr:uid="{E2E85ACB-1C9A-4F80-A9C7-86EA40A7A9DB}"/>
    <cellStyle name="Eingabe 3 2 65" xfId="30868" xr:uid="{C8FA2B81-88EC-493A-8807-EA88541640BE}"/>
    <cellStyle name="Eingabe 3 2 66" xfId="31198" xr:uid="{FE43E14D-FF56-44C5-BFCF-92DDBA7B3CAE}"/>
    <cellStyle name="Eingabe 3 2 67" xfId="31884" xr:uid="{E26454CD-C4DF-45C8-AF56-ACD7BD924E45}"/>
    <cellStyle name="Eingabe 3 2 68" xfId="32177" xr:uid="{57207699-C0F1-49A5-8185-C1CBDC657419}"/>
    <cellStyle name="Eingabe 3 2 7" xfId="2937" xr:uid="{1E73BCCF-C10D-4CA3-9A1B-99FFEA26364E}"/>
    <cellStyle name="Eingabe 3 2 8" xfId="3972" xr:uid="{CD21D0E9-6D2A-4ECA-B687-21DDDC4604D1}"/>
    <cellStyle name="Eingabe 3 2 9" xfId="4410" xr:uid="{080B32DA-5668-4ED1-8CED-865050F75F62}"/>
    <cellStyle name="Eingabe 3 20" xfId="10039" xr:uid="{E0986D24-0EC8-4D4A-9AB4-5B21B2A372CC}"/>
    <cellStyle name="Eingabe 3 21" xfId="10876" xr:uid="{BBD29806-CDBE-4905-B250-653268D94921}"/>
    <cellStyle name="Eingabe 3 22" xfId="11771" xr:uid="{4268DD64-BB63-41AA-8E80-3F6FB8F36A5C}"/>
    <cellStyle name="Eingabe 3 23" xfId="12245" xr:uid="{5C7D0111-113A-417D-9966-E5C3D81FD9C1}"/>
    <cellStyle name="Eingabe 3 24" xfId="11350" xr:uid="{C19D0FAE-4CC7-4EB6-B8F5-06FAA09A0DBE}"/>
    <cellStyle name="Eingabe 3 25" xfId="11437" xr:uid="{7C76B7A1-A4CA-4EB5-BC93-08541530C2B5}"/>
    <cellStyle name="Eingabe 3 26" xfId="12522" xr:uid="{C7224FF3-2FA8-4B62-8801-F82F193F19E2}"/>
    <cellStyle name="Eingabe 3 27" xfId="12731" xr:uid="{2DE5773B-FE41-4883-8DE1-D2C9E4AE0A37}"/>
    <cellStyle name="Eingabe 3 28" xfId="15874" xr:uid="{14370EC4-D40A-4923-B847-FE5DBE1812F5}"/>
    <cellStyle name="Eingabe 3 29" xfId="16465" xr:uid="{FCF1D3C4-3680-42D3-9833-EFAF10B2074C}"/>
    <cellStyle name="Eingabe 3 3" xfId="643" xr:uid="{9A973A5C-A347-40AA-9B66-633AF7268A86}"/>
    <cellStyle name="Eingabe 3 3 10" xfId="4951" xr:uid="{CFDF04FC-7224-43EE-B5D6-F899824F0B98}"/>
    <cellStyle name="Eingabe 3 3 11" xfId="5291" xr:uid="{4E1AE41B-FAD6-4AC3-B200-6257F04ACA5D}"/>
    <cellStyle name="Eingabe 3 3 12" xfId="5567" xr:uid="{82A0808D-B86C-4E4C-ADC9-26F2936D5FC9}"/>
    <cellStyle name="Eingabe 3 3 13" xfId="2813" xr:uid="{94201B47-AF66-430C-BAC8-B3FB7800F37B}"/>
    <cellStyle name="Eingabe 3 3 14" xfId="6538" xr:uid="{D119C2F4-84E1-41FF-97A9-55F854A2E9C4}"/>
    <cellStyle name="Eingabe 3 3 15" xfId="7363" xr:uid="{C87D300E-1B44-4FB2-99CD-8DA3CF1C8D31}"/>
    <cellStyle name="Eingabe 3 3 16" xfId="7891" xr:uid="{DB854BEA-02BE-4E14-B11F-1CC4D6669608}"/>
    <cellStyle name="Eingabe 3 3 17" xfId="8543" xr:uid="{423A1D54-0D83-4155-A8D7-4048FC1ED521}"/>
    <cellStyle name="Eingabe 3 3 18" xfId="8864" xr:uid="{0BE0187E-E880-4B41-8D63-4EE4C9A76D7C}"/>
    <cellStyle name="Eingabe 3 3 19" xfId="9577" xr:uid="{0898903B-D2E3-4182-88E4-D2AB68EDFA06}"/>
    <cellStyle name="Eingabe 3 3 2" xfId="858" xr:uid="{13F193EB-297C-435F-B9EA-5B2BF8AFFD5F}"/>
    <cellStyle name="Eingabe 3 3 2 10" xfId="5506" xr:uid="{E9B6905D-4DFF-41C0-BDF4-9AD12EFB3DC3}"/>
    <cellStyle name="Eingabe 3 3 2 11" xfId="4652" xr:uid="{697F26E3-085E-4C1A-8CFF-66C228D8D6C9}"/>
    <cellStyle name="Eingabe 3 3 2 12" xfId="5578" xr:uid="{F2955E60-4D87-4072-9AFB-90765582B0BF}"/>
    <cellStyle name="Eingabe 3 3 2 13" xfId="6484" xr:uid="{A98E1AC8-317A-4114-B9B8-AB3E63B1ABB7}"/>
    <cellStyle name="Eingabe 3 3 2 14" xfId="7578" xr:uid="{59DBF6D6-6175-4764-B110-10984D1531CE}"/>
    <cellStyle name="Eingabe 3 3 2 15" xfId="7228" xr:uid="{EDAEE99D-0BC6-4D9B-82EC-4D85787BD2D3}"/>
    <cellStyle name="Eingabe 3 3 2 16" xfId="7911" xr:uid="{B4F86054-020F-446D-B770-C3EE993F961E}"/>
    <cellStyle name="Eingabe 3 3 2 17" xfId="8871" xr:uid="{D89C2260-F616-41AB-A8BB-31099682393F}"/>
    <cellStyle name="Eingabe 3 3 2 18" xfId="9792" xr:uid="{FAAD4958-DC12-48F3-A43C-F3C88D0750E8}"/>
    <cellStyle name="Eingabe 3 3 2 19" xfId="9632" xr:uid="{128E6B73-4431-4F5B-A791-3230AB2CEAC5}"/>
    <cellStyle name="Eingabe 3 3 2 2" xfId="1332" xr:uid="{4EC6C2BE-FB86-44E6-A481-3664D5ED81A6}"/>
    <cellStyle name="Eingabe 3 3 2 20" xfId="10109" xr:uid="{DDA44FB6-ECB2-4DD0-B204-F555AE35D84B}"/>
    <cellStyle name="Eingabe 3 3 2 21" xfId="10400" xr:uid="{301A88BC-65B0-4CBF-8754-AD124932727D}"/>
    <cellStyle name="Eingabe 3 3 2 22" xfId="10788" xr:uid="{F7CDDD36-DC96-4C4C-9350-C74F849FF663}"/>
    <cellStyle name="Eingabe 3 3 2 23" xfId="12211" xr:uid="{8B528968-4462-42D5-AA2D-BE5C6E0CC5B1}"/>
    <cellStyle name="Eingabe 3 3 2 24" xfId="12684" xr:uid="{5F7B5A52-956E-42C7-AAF4-3E6891266E9C}"/>
    <cellStyle name="Eingabe 3 3 2 25" xfId="13118" xr:uid="{8F356854-7AF1-4F7F-86E4-47EFB7BAD640}"/>
    <cellStyle name="Eingabe 3 3 2 26" xfId="13555" xr:uid="{410DBF8D-E5D8-408E-9048-55C0F62530FB}"/>
    <cellStyle name="Eingabe 3 3 2 27" xfId="13597" xr:uid="{63A6DB46-0419-40E1-850A-F50E6F3C8AA1}"/>
    <cellStyle name="Eingabe 3 3 2 28" xfId="14474" xr:uid="{CD4073FD-76B3-45F0-9D7E-7C5BCB9FE307}"/>
    <cellStyle name="Eingabe 3 3 2 29" xfId="13886" xr:uid="{08EBBB0A-F3B9-4B7A-9117-CBC7CFAF4E90}"/>
    <cellStyle name="Eingabe 3 3 2 3" xfId="1781" xr:uid="{725EE099-915C-445E-B426-36409EFC6D00}"/>
    <cellStyle name="Eingabe 3 3 2 30" xfId="14727" xr:uid="{A97E3F60-D389-4735-9282-E51FE9C294E8}"/>
    <cellStyle name="Eingabe 3 3 2 31" xfId="15496" xr:uid="{A95ED36C-2646-459C-AC8C-F0E7B7DEE056}"/>
    <cellStyle name="Eingabe 3 3 2 32" xfId="14421" xr:uid="{A1C8307A-553C-4C4A-8595-FE58911022B6}"/>
    <cellStyle name="Eingabe 3 3 2 33" xfId="16903" xr:uid="{B8CE10A6-33D3-4DF0-896F-351B10C97E78}"/>
    <cellStyle name="Eingabe 3 3 2 34" xfId="16553" xr:uid="{F447FA53-C816-4EEF-A40B-C6BD7963CC0B}"/>
    <cellStyle name="Eingabe 3 3 2 35" xfId="17228" xr:uid="{C5821D4B-51E3-47DD-AC21-85CD83629327}"/>
    <cellStyle name="Eingabe 3 3 2 36" xfId="16259" xr:uid="{C9C36E3C-A51B-4D82-BB61-85289ED7D07E}"/>
    <cellStyle name="Eingabe 3 3 2 37" xfId="18721" xr:uid="{06C9A81E-CFF8-4FE6-8710-7D5828539C96}"/>
    <cellStyle name="Eingabe 3 3 2 38" xfId="19064" xr:uid="{93C957AC-12AF-4D8A-8893-D07CF4E00CBD}"/>
    <cellStyle name="Eingabe 3 3 2 39" xfId="19160" xr:uid="{2E0DF384-7F0F-4A95-9DE1-4E62686324EC}"/>
    <cellStyle name="Eingabe 3 3 2 4" xfId="2680" xr:uid="{14CECC56-F016-466A-A58F-B1DFC9FE0EC6}"/>
    <cellStyle name="Eingabe 3 3 2 40" xfId="20240" xr:uid="{16E323E5-D0BD-40EF-B819-D59DC79E36C0}"/>
    <cellStyle name="Eingabe 3 3 2 41" xfId="19517" xr:uid="{A1C557AD-9222-47A8-88E9-68784E8C14DB}"/>
    <cellStyle name="Eingabe 3 3 2 42" xfId="20628" xr:uid="{804865CD-21C0-4DF1-99B2-F362C35CF825}"/>
    <cellStyle name="Eingabe 3 3 2 43" xfId="21644" xr:uid="{18F2CCCF-BA90-4A80-89DA-17DA4DF23FDC}"/>
    <cellStyle name="Eingabe 3 3 2 44" xfId="21119" xr:uid="{220F42EF-7657-42FE-B8EC-6D72C19DC4ED}"/>
    <cellStyle name="Eingabe 3 3 2 45" xfId="21260" xr:uid="{77CCC893-C0CF-4FDF-A36C-CB41EDA5251C}"/>
    <cellStyle name="Eingabe 3 3 2 46" xfId="22606" xr:uid="{E2DABE1F-4797-47D7-A0B7-7FFC7E78C5B4}"/>
    <cellStyle name="Eingabe 3 3 2 47" xfId="23340" xr:uid="{5BEAD57C-D395-441F-A02A-A6CD3F67038B}"/>
    <cellStyle name="Eingabe 3 3 2 48" xfId="22681" xr:uid="{E22DE4F7-62BA-4E23-91C4-BA17F1AACF6F}"/>
    <cellStyle name="Eingabe 3 3 2 49" xfId="24040" xr:uid="{AA633AFC-A8FD-4502-ADD8-48F7DB7637BA}"/>
    <cellStyle name="Eingabe 3 3 2 5" xfId="2763" xr:uid="{67547562-1F1E-4CCF-99DE-25F341BE011D}"/>
    <cellStyle name="Eingabe 3 3 2 50" xfId="24948" xr:uid="{AF7045E5-E7B1-42E4-8B4E-66EF68BB7F3F}"/>
    <cellStyle name="Eingabe 3 3 2 51" xfId="24232" xr:uid="{51A642B2-CFD3-4331-A53B-D58751C7FF9E}"/>
    <cellStyle name="Eingabe 3 3 2 52" xfId="25864" xr:uid="{5ED5F79B-FB2E-49CE-A5F3-88259AD9CD94}"/>
    <cellStyle name="Eingabe 3 3 2 53" xfId="25910" xr:uid="{D67E06E8-0365-4006-9623-F172540FA9E1}"/>
    <cellStyle name="Eingabe 3 3 2 54" xfId="26731" xr:uid="{A979DC11-97EF-46EF-B33A-79385CF341E1}"/>
    <cellStyle name="Eingabe 3 3 2 55" xfId="27152" xr:uid="{F9D43C0E-0DF8-4DD6-8B5E-EDA4FA11EDC2}"/>
    <cellStyle name="Eingabe 3 3 2 56" xfId="27571" xr:uid="{7029613D-3AAF-447D-9A6F-225389048611}"/>
    <cellStyle name="Eingabe 3 3 2 57" xfId="27227" xr:uid="{0AA76519-0AD6-4759-AE0D-0160D0A77D4C}"/>
    <cellStyle name="Eingabe 3 3 2 58" xfId="28698" xr:uid="{229A3E8A-EF27-4A27-B7A2-2717D85D9B94}"/>
    <cellStyle name="Eingabe 3 3 2 59" xfId="29165" xr:uid="{DC833544-E6CA-4728-8DAB-EA64EFF772CF}"/>
    <cellStyle name="Eingabe 3 3 2 6" xfId="2880" xr:uid="{9216375A-96B2-4953-9AAB-8F91EB481070}"/>
    <cellStyle name="Eingabe 3 3 2 60" xfId="28185" xr:uid="{8A7E7976-3B7F-4A07-BD34-F9FC44676A73}"/>
    <cellStyle name="Eingabe 3 3 2 61" xfId="29954" xr:uid="{3D33A73E-07C3-4790-B3DE-8EB0E0B6E654}"/>
    <cellStyle name="Eingabe 3 3 2 62" xfId="30360" xr:uid="{4A4B73DA-6250-4A10-B44D-CC7CB805701D}"/>
    <cellStyle name="Eingabe 3 3 2 63" xfId="30777" xr:uid="{9925D170-C204-44DF-A987-26E2B902CF92}"/>
    <cellStyle name="Eingabe 3 3 2 64" xfId="29585" xr:uid="{C28F22EF-D5E9-4CF6-98AD-7E5C958E2A7C}"/>
    <cellStyle name="Eingabe 3 3 2 65" xfId="31393" xr:uid="{E9CB26CE-BB8D-4241-A16F-C06344FD1EA6}"/>
    <cellStyle name="Eingabe 3 3 2 66" xfId="32084" xr:uid="{04F2AE8B-9260-46D1-B92B-5D9AD00701A1}"/>
    <cellStyle name="Eingabe 3 3 2 67" xfId="32297" xr:uid="{EF4F2C2C-92D0-459D-9FF9-3FD6F8464104}"/>
    <cellStyle name="Eingabe 3 3 2 7" xfId="4176" xr:uid="{7BA527F3-1482-46A5-B77C-ECC96E562317}"/>
    <cellStyle name="Eingabe 3 3 2 8" xfId="4613" xr:uid="{D00413B3-6B83-489C-ADBC-44088C5EAFB1}"/>
    <cellStyle name="Eingabe 3 3 2 9" xfId="5059" xr:uid="{D8124410-A71E-490F-95D8-1C15521F5D9B}"/>
    <cellStyle name="Eingabe 3 3 20" xfId="10104" xr:uid="{71B4A937-BC3F-4D1C-9C69-B691029C5EB9}"/>
    <cellStyle name="Eingabe 3 3 21" xfId="10520" xr:uid="{DB4FAE5B-289F-48DA-B105-B104CCA0E12B}"/>
    <cellStyle name="Eingabe 3 3 22" xfId="10988" xr:uid="{C296E19C-EF78-48E0-8213-5B00FC99B9CD}"/>
    <cellStyle name="Eingabe 3 3 23" xfId="11241" xr:uid="{B861113A-799C-4669-8735-149F515261BA}"/>
    <cellStyle name="Eingabe 3 3 24" xfId="11996" xr:uid="{606CA317-3407-49D2-9A14-0E3A928994C2}"/>
    <cellStyle name="Eingabe 3 3 25" xfId="12469" xr:uid="{494D9424-E222-4A49-9FB6-FE203A49871B}"/>
    <cellStyle name="Eingabe 3 3 26" xfId="12903" xr:uid="{72C08854-9829-4B99-AA8B-18B1AADEEAB4}"/>
    <cellStyle name="Eingabe 3 3 27" xfId="13340" xr:uid="{743857BE-7167-4DF9-B905-295ABA513904}"/>
    <cellStyle name="Eingabe 3 3 28" xfId="13839" xr:uid="{404AC0B6-D3B5-46C6-B620-3929D5925C67}"/>
    <cellStyle name="Eingabe 3 3 29" xfId="14166" xr:uid="{ED630501-5D12-49AE-A11F-F5CB3F88E2F8}"/>
    <cellStyle name="Eingabe 3 3 3" xfId="1126" xr:uid="{D0005183-22FD-43DD-BC65-B84A26B8541C}"/>
    <cellStyle name="Eingabe 3 3 30" xfId="14690" xr:uid="{06836CA7-563C-488C-8D0C-415E6F8F21B7}"/>
    <cellStyle name="Eingabe 3 3 31" xfId="15321" xr:uid="{BBDDD999-F39A-4F1B-BF08-A2CB530B7B5C}"/>
    <cellStyle name="Eingabe 3 3 32" xfId="11659" xr:uid="{91310449-A4BC-44CE-BA07-C3680FCA4FD5}"/>
    <cellStyle name="Eingabe 3 3 33" xfId="15914" xr:uid="{4B2FF306-0556-492D-96CB-CDA054490D32}"/>
    <cellStyle name="Eingabe 3 3 34" xfId="16688" xr:uid="{FFCC55A3-60F5-4C82-AAC4-4EADFBD20098}"/>
    <cellStyle name="Eingabe 3 3 35" xfId="17223" xr:uid="{A2B0BB38-0E4E-4020-9560-4355EA69D92B}"/>
    <cellStyle name="Eingabe 3 3 36" xfId="17668" xr:uid="{CE5BA7B6-053A-4375-8B81-02C79ADC35A7}"/>
    <cellStyle name="Eingabe 3 3 37" xfId="17532" xr:uid="{6BAB9A0B-C345-4EEC-BE9E-94EC3D4C3641}"/>
    <cellStyle name="Eingabe 3 3 38" xfId="18506" xr:uid="{65708DC2-A315-4DE9-96A6-4CFDBAE39F63}"/>
    <cellStyle name="Eingabe 3 3 39" xfId="19057" xr:uid="{ED2E3FD5-03A0-434C-83A2-374CD4EF08BD}"/>
    <cellStyle name="Eingabe 3 3 4" xfId="1634" xr:uid="{6F1D6B51-A9BD-4126-897D-1C6A8A19EC4D}"/>
    <cellStyle name="Eingabe 3 3 40" xfId="19334" xr:uid="{E942D3D3-E839-4150-BCA0-B23EECCDF7F1}"/>
    <cellStyle name="Eingabe 3 3 41" xfId="20025" xr:uid="{1BE9E925-4E6F-4314-9DD4-CD1907FED932}"/>
    <cellStyle name="Eingabe 3 3 42" xfId="20576" xr:uid="{9050B071-7826-40B3-9565-7A973123E1F1}"/>
    <cellStyle name="Eingabe 3 3 43" xfId="21029" xr:uid="{2DD9BCBD-BFB1-4AF2-AADE-936776FD441A}"/>
    <cellStyle name="Eingabe 3 3 44" xfId="21356" xr:uid="{B78F01EE-E48C-4699-A1BB-848F3DB7FE8D}"/>
    <cellStyle name="Eingabe 3 3 45" xfId="21960" xr:uid="{650454E9-FD6D-42C3-9838-18AE46A140A2}"/>
    <cellStyle name="Eingabe 3 3 46" xfId="22391" xr:uid="{8C0E0D1B-B3EB-4224-868C-52934F90084E}"/>
    <cellStyle name="Eingabe 3 3 47" xfId="22825" xr:uid="{6BBC1028-19EB-4C52-9E93-45938C7B6385}"/>
    <cellStyle name="Eingabe 3 3 48" xfId="23334" xr:uid="{B4A61A39-4F3D-4CC5-A6CF-34712BB34382}"/>
    <cellStyle name="Eingabe 3 3 49" xfId="23539" xr:uid="{DCAE6A53-84C4-4BA5-B144-F4E7B1F68644}"/>
    <cellStyle name="Eingabe 3 3 5" xfId="2465" xr:uid="{1311E6E7-F8DC-4A9B-91C6-6F48D32FB2C8}"/>
    <cellStyle name="Eingabe 3 3 50" xfId="23834" xr:uid="{4033EAA1-0A21-49B0-9AF7-E8223E748A1A}"/>
    <cellStyle name="Eingabe 3 3 51" xfId="24733" xr:uid="{49B34E4D-97DC-48BB-8C47-781FEC8CB3B2}"/>
    <cellStyle name="Eingabe 3 3 52" xfId="25284" xr:uid="{E9C222F5-6A73-4C79-A9A2-969E34B765CB}"/>
    <cellStyle name="Eingabe 3 3 53" xfId="25651" xr:uid="{C33421EC-C041-4ED8-8FB0-639B9A757A42}"/>
    <cellStyle name="Eingabe 3 3 54" xfId="26129" xr:uid="{F89634AB-59CD-4429-AC54-BACFCD35973F}"/>
    <cellStyle name="Eingabe 3 3 55" xfId="26162" xr:uid="{C7C75C76-BE75-457B-8390-1054B5F73D29}"/>
    <cellStyle name="Eingabe 3 3 56" xfId="26941" xr:uid="{B822A0B1-4420-438F-8B24-CD36AE812EF5}"/>
    <cellStyle name="Eingabe 3 3 57" xfId="27360" xr:uid="{C478D749-0340-4B8D-93B7-23D538CA408C}"/>
    <cellStyle name="Eingabe 3 3 58" xfId="27417" xr:uid="{BA907004-C353-4F8D-9C2B-53168334F15F}"/>
    <cellStyle name="Eingabe 3 3 59" xfId="28483" xr:uid="{F21E1726-FC3A-4AE1-9206-85B16EDBAF7B}"/>
    <cellStyle name="Eingabe 3 3 6" xfId="3005" xr:uid="{E7F527D0-2F29-405A-A8C5-1D0046A5E93C}"/>
    <cellStyle name="Eingabe 3 3 60" xfId="28951" xr:uid="{C8CCE0D9-1E29-4D5C-A41B-6F5D803C53C0}"/>
    <cellStyle name="Eingabe 3 3 61" xfId="29412" xr:uid="{B15A67FA-F3D7-4843-B000-13A0AB605E89}"/>
    <cellStyle name="Eingabe 3 3 62" xfId="29741" xr:uid="{6A80227F-7E14-4112-842A-F51123C79521}"/>
    <cellStyle name="Eingabe 3 3 63" xfId="30149" xr:uid="{E4D1E8EF-45CF-47D2-AC4D-F4ACBEF608D3}"/>
    <cellStyle name="Eingabe 3 3 64" xfId="30563" xr:uid="{F72236F7-1794-4C8A-AF13-67E400D26942}"/>
    <cellStyle name="Eingabe 3 3 65" xfId="29238" xr:uid="{FEE003FA-BFD4-46B1-AB20-23FA90FD0464}"/>
    <cellStyle name="Eingabe 3 3 66" xfId="31187" xr:uid="{3CE90038-A6C2-4D5C-9099-5533D2E4362D}"/>
    <cellStyle name="Eingabe 3 3 67" xfId="31873" xr:uid="{3CC6191E-F840-4A28-8668-EA7D52525A19}"/>
    <cellStyle name="Eingabe 3 3 68" xfId="31437" xr:uid="{646A5038-0801-4C11-B6BE-B597B44473BD}"/>
    <cellStyle name="Eingabe 3 3 7" xfId="2787" xr:uid="{76227686-98DD-46B0-A4A5-74774C39374D}"/>
    <cellStyle name="Eingabe 3 3 8" xfId="3961" xr:uid="{662225BC-F709-425B-8F8E-3999A0E2664E}"/>
    <cellStyle name="Eingabe 3 3 9" xfId="4399" xr:uid="{8A375DDB-0D01-4972-9349-B3B45E08C612}"/>
    <cellStyle name="Eingabe 3 30" xfId="17157" xr:uid="{B7BE54AA-4A99-4D58-BB3F-8CF7E1800F4A}"/>
    <cellStyle name="Eingabe 3 31" xfId="17373" xr:uid="{095585C6-E57C-4D3B-869C-393B70E3A09B}"/>
    <cellStyle name="Eingabe 3 32" xfId="17264" xr:uid="{6B4197DE-A269-40EC-87E8-6D8FD9542DA5}"/>
    <cellStyle name="Eingabe 3 33" xfId="18803" xr:uid="{88B0779C-8933-4ECC-BF9E-8BDFEA0E67D4}"/>
    <cellStyle name="Eingabe 3 34" xfId="19801" xr:uid="{638B9A2A-7899-42AC-B098-2C00FDD3E1A9}"/>
    <cellStyle name="Eingabe 3 35" xfId="20509" xr:uid="{1A795402-05DD-4B61-9E38-7A24CC0CC720}"/>
    <cellStyle name="Eingabe 3 36" xfId="22329" xr:uid="{09C05F7A-78A7-4CE5-A0C8-0DB7A9342114}"/>
    <cellStyle name="Eingabe 3 37" xfId="22088" xr:uid="{E17A0CB8-1C46-441D-8F4C-C9455DF8F48B}"/>
    <cellStyle name="Eingabe 3 38" xfId="23460" xr:uid="{B681DC92-E691-49A9-A289-87187A2843F1}"/>
    <cellStyle name="Eingabe 3 39" xfId="24511" xr:uid="{2571181F-E956-4D90-84AC-A25D33338D45}"/>
    <cellStyle name="Eingabe 3 4" xfId="534" xr:uid="{CCD1D185-4C91-44FE-977A-A626E2FD960E}"/>
    <cellStyle name="Eingabe 3 4 10" xfId="4459" xr:uid="{EAF14560-599A-4EDC-A9BE-C96E421F0CB5}"/>
    <cellStyle name="Eingabe 3 4 11" xfId="5182" xr:uid="{C6976C2A-3590-42CC-9A93-AF05C59C05E2}"/>
    <cellStyle name="Eingabe 3 4 12" xfId="5706" xr:uid="{80893E34-2146-43BA-8938-CBB76F216B39}"/>
    <cellStyle name="Eingabe 3 4 13" xfId="5741" xr:uid="{3FF37011-CE38-47F5-B9DF-0E81CA1E6FA4}"/>
    <cellStyle name="Eingabe 3 4 14" xfId="6397" xr:uid="{6CD16B67-0E1D-4A79-9E88-865AB7A34CD7}"/>
    <cellStyle name="Eingabe 3 4 15" xfId="7254" xr:uid="{2F76AC9A-376E-45EB-8496-61EB2B86044F}"/>
    <cellStyle name="Eingabe 3 4 16" xfId="7947" xr:uid="{B13E458F-73DD-4516-8F70-C385305E93CF}"/>
    <cellStyle name="Eingabe 3 4 17" xfId="7678" xr:uid="{B5687F04-F9BD-4EA9-9701-FF3602DF0931}"/>
    <cellStyle name="Eingabe 3 4 18" xfId="7798" xr:uid="{D709F241-BDFB-4187-A937-719C628F722B}"/>
    <cellStyle name="Eingabe 3 4 19" xfId="9468" xr:uid="{3C3F3C29-D201-4D0D-BE0F-FC0AF5C6D673}"/>
    <cellStyle name="Eingabe 3 4 2" xfId="749" xr:uid="{6702D5F8-BB58-4569-BC45-B859B2EA4A88}"/>
    <cellStyle name="Eingabe 3 4 2 10" xfId="5397" xr:uid="{91671315-5CEE-4590-A2BB-F6DAADDAF728}"/>
    <cellStyle name="Eingabe 3 4 2 11" xfId="4997" xr:uid="{9E75DB36-D27F-424E-9A07-2F746E1CC96B}"/>
    <cellStyle name="Eingabe 3 4 2 12" xfId="5558" xr:uid="{F2149F1C-52D8-4A14-AE7F-F51ADD0567EA}"/>
    <cellStyle name="Eingabe 3 4 2 13" xfId="6087" xr:uid="{4FC1CAD0-83C0-4CC3-ADBE-7EA574B95776}"/>
    <cellStyle name="Eingabe 3 4 2 14" xfId="7469" xr:uid="{8E4640EF-8804-4200-A24C-87B8DA06D5AF}"/>
    <cellStyle name="Eingabe 3 4 2 15" xfId="7112" xr:uid="{ABE0DEFE-7D90-4F7F-A3B5-7F21BEA5781D}"/>
    <cellStyle name="Eingabe 3 4 2 16" xfId="8355" xr:uid="{72D6A368-939B-4233-8C28-0568BDA58F70}"/>
    <cellStyle name="Eingabe 3 4 2 17" xfId="8206" xr:uid="{D68F257C-5189-4DFA-80B8-1FF380B88B53}"/>
    <cellStyle name="Eingabe 3 4 2 18" xfId="9683" xr:uid="{406FDF9F-7B9E-47D7-92AB-790DEAEB5541}"/>
    <cellStyle name="Eingabe 3 4 2 19" xfId="9198" xr:uid="{201086FB-B013-43C4-9A8B-26FEE8F97CC9}"/>
    <cellStyle name="Eingabe 3 4 2 2" xfId="1223" xr:uid="{F0DB0A5D-0628-4ABB-9105-A2106857E96E}"/>
    <cellStyle name="Eingabe 3 4 2 20" xfId="9390" xr:uid="{B812128B-C9CE-4AFB-AA0A-B254802F6BC7}"/>
    <cellStyle name="Eingabe 3 4 2 21" xfId="10853" xr:uid="{759E7B0F-8870-436A-A3E8-227B9F96C615}"/>
    <cellStyle name="Eingabe 3 4 2 22" xfId="11263" xr:uid="{D47307AA-95EC-45D8-9D60-2E0888050D29}"/>
    <cellStyle name="Eingabe 3 4 2 23" xfId="12102" xr:uid="{F8E77D04-8798-42B0-9EDB-266453F8D2E6}"/>
    <cellStyle name="Eingabe 3 4 2 24" xfId="12575" xr:uid="{99439CCE-1E30-49FE-81F6-620D7B738D37}"/>
    <cellStyle name="Eingabe 3 4 2 25" xfId="13009" xr:uid="{1203D521-730C-49E2-9AF5-63A22A502EF3}"/>
    <cellStyle name="Eingabe 3 4 2 26" xfId="13446" xr:uid="{F199E183-21F8-4E31-B635-F16235E93481}"/>
    <cellStyle name="Eingabe 3 4 2 27" xfId="11561" xr:uid="{FDA4EF0F-ADA6-43ED-81DC-FABC24ED83BB}"/>
    <cellStyle name="Eingabe 3 4 2 28" xfId="13642" xr:uid="{3D26B606-5AEE-4CDF-A252-A33F86333051}"/>
    <cellStyle name="Eingabe 3 4 2 29" xfId="13709" xr:uid="{6FF2BAAD-E4D6-4363-AAE7-D0CFB28974DF}"/>
    <cellStyle name="Eingabe 3 4 2 3" xfId="1567" xr:uid="{791E7FA5-7CE3-404A-B4AF-17A6A829C303}"/>
    <cellStyle name="Eingabe 3 4 2 30" xfId="14712" xr:uid="{2C76EC2D-DB45-4586-96A3-75F6C73017ED}"/>
    <cellStyle name="Eingabe 3 4 2 31" xfId="15618" xr:uid="{75F4458F-A3A8-4288-BE43-BAF9538F16D1}"/>
    <cellStyle name="Eingabe 3 4 2 32" xfId="15590" xr:uid="{373BB4C8-0D69-4990-B608-7F10446017B7}"/>
    <cellStyle name="Eingabe 3 4 2 33" xfId="16794" xr:uid="{53A580BD-231D-43E5-8636-AE8F4176B4AF}"/>
    <cellStyle name="Eingabe 3 4 2 34" xfId="16434" xr:uid="{B0169276-350F-4360-A4C0-4597A6F4F446}"/>
    <cellStyle name="Eingabe 3 4 2 35" xfId="16269" xr:uid="{2056AD3A-78D0-4907-AB73-B00D1025EFF5}"/>
    <cellStyle name="Eingabe 3 4 2 36" xfId="16495" xr:uid="{1503431E-0EA5-4590-8485-FFCFC3C49AF4}"/>
    <cellStyle name="Eingabe 3 4 2 37" xfId="18612" xr:uid="{CB258FFC-4BBF-4BF7-8ADA-D5F772D8D2A8}"/>
    <cellStyle name="Eingabe 3 4 2 38" xfId="18041" xr:uid="{F9F24D55-94DF-46FE-B19C-A89AC5F5C473}"/>
    <cellStyle name="Eingabe 3 4 2 39" xfId="17886" xr:uid="{A0A210E4-E316-4B23-BFCD-5CCFB53E13F5}"/>
    <cellStyle name="Eingabe 3 4 2 4" xfId="2571" xr:uid="{D162E2A2-DF51-4118-BE4E-E01570D6371D}"/>
    <cellStyle name="Eingabe 3 4 2 40" xfId="20131" xr:uid="{9E77E04A-31D7-46DD-9A57-CE41BBB5E3EF}"/>
    <cellStyle name="Eingabe 3 4 2 41" xfId="19479" xr:uid="{2B3BF785-EA06-476A-ADF6-459791E4F834}"/>
    <cellStyle name="Eingabe 3 4 2 42" xfId="20340" xr:uid="{6ADE3E55-3A7F-4275-8B17-67D251E6A624}"/>
    <cellStyle name="Eingabe 3 4 2 43" xfId="20291" xr:uid="{5C4B0640-1CC2-4A55-9904-83320B095C3D}"/>
    <cellStyle name="Eingabe 3 4 2 44" xfId="21653" xr:uid="{57C49047-5827-4AC3-88AD-DABACED68B73}"/>
    <cellStyle name="Eingabe 3 4 2 45" xfId="21742" xr:uid="{7BDD4D56-EBBD-408D-84E8-ABDCFE6520EA}"/>
    <cellStyle name="Eingabe 3 4 2 46" xfId="22401" xr:uid="{D55B8FE8-B4D7-45DA-94DB-005A7477720D}"/>
    <cellStyle name="Eingabe 3 4 2 47" xfId="22460" xr:uid="{092662EB-ED27-4F52-A00C-87E1FB6FC397}"/>
    <cellStyle name="Eingabe 3 4 2 48" xfId="23582" xr:uid="{46E89E3B-051C-479F-AFD2-27B71527E133}"/>
    <cellStyle name="Eingabe 3 4 2 49" xfId="23931" xr:uid="{ED5C79B0-128B-4D10-A602-774E6A68ABD5}"/>
    <cellStyle name="Eingabe 3 4 2 5" xfId="1840" xr:uid="{66C8891D-A276-4D97-9C32-0DF00678FF57}"/>
    <cellStyle name="Eingabe 3 4 2 50" xfId="24839" xr:uid="{4F550003-24D0-4C08-A140-15CA734D5698}"/>
    <cellStyle name="Eingabe 3 4 2 51" xfId="24312" xr:uid="{8C05FC15-4C8C-48EC-BD95-799ED5676ECE}"/>
    <cellStyle name="Eingabe 3 4 2 52" xfId="25755" xr:uid="{11BC9469-651A-464E-BB72-E19644F6D74F}"/>
    <cellStyle name="Eingabe 3 4 2 53" xfId="24995" xr:uid="{9B4AD278-6B51-4C8B-A4B2-DC2469CD01DD}"/>
    <cellStyle name="Eingabe 3 4 2 54" xfId="26179" xr:uid="{D8F187F3-1220-4FD0-A3B1-F9F36BAD568B}"/>
    <cellStyle name="Eingabe 3 4 2 55" xfId="27043" xr:uid="{460F72A5-2562-4591-A51E-EB59B0396B0B}"/>
    <cellStyle name="Eingabe 3 4 2 56" xfId="27462" xr:uid="{F3CD32FB-F66C-4C06-867A-334CC4B3082A}"/>
    <cellStyle name="Eingabe 3 4 2 57" xfId="26694" xr:uid="{93D9EFA9-1945-4738-A688-6850B1225C5D}"/>
    <cellStyle name="Eingabe 3 4 2 58" xfId="28589" xr:uid="{3FCFB836-618A-4BDA-9CDA-9EA74354C55A}"/>
    <cellStyle name="Eingabe 3 4 2 59" xfId="29056" xr:uid="{2C3438E4-BFC6-4810-BE7F-C23C0A83F3A7}"/>
    <cellStyle name="Eingabe 3 4 2 6" xfId="2893" xr:uid="{3B8F5F92-E94F-4CDD-B1CD-D724EFCA20D1}"/>
    <cellStyle name="Eingabe 3 4 2 60" xfId="28171" xr:uid="{09023CC5-C89D-41AE-A490-74DECC1A1728}"/>
    <cellStyle name="Eingabe 3 4 2 61" xfId="29845" xr:uid="{000E1984-A97D-4868-ADB9-43E16927651B}"/>
    <cellStyle name="Eingabe 3 4 2 62" xfId="30251" xr:uid="{C7CA80D2-FDB4-4967-8388-527D024A0D3E}"/>
    <cellStyle name="Eingabe 3 4 2 63" xfId="30668" xr:uid="{95D2FA90-8A0E-4DAC-8063-0AF4BB6F9108}"/>
    <cellStyle name="Eingabe 3 4 2 64" xfId="30396" xr:uid="{E9C3D114-EA79-44B1-879C-F53C61E0DE72}"/>
    <cellStyle name="Eingabe 3 4 2 65" xfId="31284" xr:uid="{5378F1F5-0F82-47E3-AB8D-B45EC10CF1CB}"/>
    <cellStyle name="Eingabe 3 4 2 66" xfId="31975" xr:uid="{A14EF1CA-0B00-453E-9A90-2C99FA2857CB}"/>
    <cellStyle name="Eingabe 3 4 2 67" xfId="32323" xr:uid="{4F22C918-ED19-49D4-B61B-5DA15C83EE14}"/>
    <cellStyle name="Eingabe 3 4 2 7" xfId="4067" xr:uid="{A02F9BDD-011B-475C-9DB9-FE4A7B31B380}"/>
    <cellStyle name="Eingabe 3 4 2 8" xfId="4504" xr:uid="{32B25CFA-0F7C-4DC5-A057-393B0E49B438}"/>
    <cellStyle name="Eingabe 3 4 2 9" xfId="2741" xr:uid="{7B0FBA78-8658-4E86-B295-54190917D9E8}"/>
    <cellStyle name="Eingabe 3 4 20" xfId="10161" xr:uid="{80B7D361-5743-4613-B7F1-73C586194B7F}"/>
    <cellStyle name="Eingabe 3 4 21" xfId="10569" xr:uid="{41D87878-3A96-40BF-90CA-E02DCB0B9FB9}"/>
    <cellStyle name="Eingabe 3 4 22" xfId="9299" xr:uid="{6DDAC4BE-298F-47C9-AD44-47F2BF944361}"/>
    <cellStyle name="Eingabe 3 4 23" xfId="10813" xr:uid="{A2849D4F-F68F-4444-BFDB-A2B3ACF8AD65}"/>
    <cellStyle name="Eingabe 3 4 24" xfId="11887" xr:uid="{40419323-86A5-427B-B1C9-C4F5876B9973}"/>
    <cellStyle name="Eingabe 3 4 25" xfId="12360" xr:uid="{FD543278-5D0D-4DFA-B4FE-593F4EC581D2}"/>
    <cellStyle name="Eingabe 3 4 26" xfId="12794" xr:uid="{40C2B7C4-DEDD-4826-845D-B1F211D3DF63}"/>
    <cellStyle name="Eingabe 3 4 27" xfId="13231" xr:uid="{11702C35-3236-4F23-AF8D-C2AF2E44AF93}"/>
    <cellStyle name="Eingabe 3 4 28" xfId="13177" xr:uid="{5ACD181E-D590-40A2-B88D-03EAF1165B45}"/>
    <cellStyle name="Eingabe 3 4 29" xfId="13817" xr:uid="{1396846C-680B-4916-B36B-41CADAE50E5C}"/>
    <cellStyle name="Eingabe 3 4 3" xfId="1017" xr:uid="{642BA5C6-DD0D-47E3-9FF3-79546D00E7C0}"/>
    <cellStyle name="Eingabe 3 4 30" xfId="14798" xr:uid="{1E4E8552-94F8-44EC-9AD0-9029344301F5}"/>
    <cellStyle name="Eingabe 3 4 31" xfId="11794" xr:uid="{84390BA9-67F5-4E64-9F36-DE45548BDE5A}"/>
    <cellStyle name="Eingabe 3 4 32" xfId="15434" xr:uid="{F0956E39-1AF8-4B3B-B7A7-06FB205B64DF}"/>
    <cellStyle name="Eingabe 3 4 33" xfId="15942" xr:uid="{4071AF2A-AB81-4581-A916-9BA08B845D9E}"/>
    <cellStyle name="Eingabe 3 4 34" xfId="16579" xr:uid="{60C2D009-73F0-4D3C-8153-52E41B4AE774}"/>
    <cellStyle name="Eingabe 3 4 35" xfId="17280" xr:uid="{E5CBA05E-AB67-489E-AB87-9CB93BF9788A}"/>
    <cellStyle name="Eingabe 3 4 36" xfId="17723" xr:uid="{44C36BF3-3ED1-4B8A-AA64-5678867643F2}"/>
    <cellStyle name="Eingabe 3 4 37" xfId="18176" xr:uid="{943ACF7D-83DB-4A16-AABD-A2DCAA8D016B}"/>
    <cellStyle name="Eingabe 3 4 38" xfId="18397" xr:uid="{60109C9E-C323-42DC-9909-840D64C3F695}"/>
    <cellStyle name="Eingabe 3 4 39" xfId="17940" xr:uid="{4D8DF206-E907-40B3-91A9-39FEA7CC7DCE}"/>
    <cellStyle name="Eingabe 3 4 4" xfId="1700" xr:uid="{23C59E97-ABD4-4735-B769-DDF568018D46}"/>
    <cellStyle name="Eingabe 3 4 40" xfId="17860" xr:uid="{48984724-9E3E-4983-A385-16F20FE377C0}"/>
    <cellStyle name="Eingabe 3 4 41" xfId="19916" xr:uid="{61D766E0-8D85-41C4-A8E7-F0A21A1E14AA}"/>
    <cellStyle name="Eingabe 3 4 42" xfId="20631" xr:uid="{452D0846-9824-47B0-B1AB-AAC0E5632942}"/>
    <cellStyle name="Eingabe 3 4 43" xfId="21086" xr:uid="{72004DC2-12F9-4138-BA21-9A884CD4D22B}"/>
    <cellStyle name="Eingabe 3 4 44" xfId="20492" xr:uid="{725E3103-BAA2-4F34-8657-D7B1AC32B13A}"/>
    <cellStyle name="Eingabe 3 4 45" xfId="22017" xr:uid="{27A39B5A-8F6A-458A-A64D-DFAFB0AFB796}"/>
    <cellStyle name="Eingabe 3 4 46" xfId="22447" xr:uid="{C58D6D21-0711-4819-9557-346B3963AB54}"/>
    <cellStyle name="Eingabe 3 4 47" xfId="22374" xr:uid="{8C63DC98-8626-4EB7-B3F8-67CC2E69C22E}"/>
    <cellStyle name="Eingabe 3 4 48" xfId="22795" xr:uid="{5C5C76BC-0DBB-450D-96F3-E2E47E26A9B2}"/>
    <cellStyle name="Eingabe 3 4 49" xfId="23185" xr:uid="{95D78C95-A4C7-4AE1-8B36-40235CDD2B59}"/>
    <cellStyle name="Eingabe 3 4 5" xfId="2356" xr:uid="{49E00E53-9125-43AA-9814-81E4129D0BD5}"/>
    <cellStyle name="Eingabe 3 4 50" xfId="23725" xr:uid="{4B270B91-2E27-45A0-955A-B984E535497C}"/>
    <cellStyle name="Eingabe 3 4 51" xfId="24624" xr:uid="{D205353E-7877-4E59-BF75-5AB8FF8B2EB9}"/>
    <cellStyle name="Eingabe 3 4 52" xfId="25334" xr:uid="{3EAE02D2-493E-46FD-830F-C23F0A30D350}"/>
    <cellStyle name="Eingabe 3 4 53" xfId="25542" xr:uid="{AD093C45-932B-4CAD-9D44-D59D6D3CBEA1}"/>
    <cellStyle name="Eingabe 3 4 54" xfId="24255" xr:uid="{AF31947D-ED10-45F8-8FC4-EEA7B493287C}"/>
    <cellStyle name="Eingabe 3 4 55" xfId="26032" xr:uid="{BAA51CE8-2C3A-4937-9A87-FA04833E73FE}"/>
    <cellStyle name="Eingabe 3 4 56" xfId="26832" xr:uid="{402A80A3-ED8E-4AA9-866B-BAC2DB98641F}"/>
    <cellStyle name="Eingabe 3 4 57" xfId="27251" xr:uid="{A8D0A673-A80C-4261-BE9F-E701B5080087}"/>
    <cellStyle name="Eingabe 3 4 58" xfId="27705" xr:uid="{171F9CA2-48A1-4C89-8410-C2E3AD6BE809}"/>
    <cellStyle name="Eingabe 3 4 59" xfId="28374" xr:uid="{F935303E-D5E3-4C5D-8595-0B9925D1FBA1}"/>
    <cellStyle name="Eingabe 3 4 6" xfId="2152" xr:uid="{841E7792-5485-4658-A767-5F9FEBFF1CCF}"/>
    <cellStyle name="Eingabe 3 4 60" xfId="28842" xr:uid="{CC5871F4-5C05-43C2-9230-A520E3709604}"/>
    <cellStyle name="Eingabe 3 4 61" xfId="29458" xr:uid="{4B202883-7089-47F7-9DFC-15C877C9AFBA}"/>
    <cellStyle name="Eingabe 3 4 62" xfId="29632" xr:uid="{A6098D45-21EB-4039-8C11-7FAD986595F5}"/>
    <cellStyle name="Eingabe 3 4 63" xfId="30040" xr:uid="{72B27326-8D39-4A2D-8A99-91E93B096A20}"/>
    <cellStyle name="Eingabe 3 4 64" xfId="30454" xr:uid="{FC591C53-F6CD-40D7-BDCF-98EBC92AFF27}"/>
    <cellStyle name="Eingabe 3 4 65" xfId="30965" xr:uid="{B08FB85A-6D9A-4237-AB71-117FA24D0F91}"/>
    <cellStyle name="Eingabe 3 4 66" xfId="31078" xr:uid="{DAF4E378-36A8-4F5E-BEE9-ADD83451DD2B}"/>
    <cellStyle name="Eingabe 3 4 67" xfId="31764" xr:uid="{2C3E6819-20BF-4BFA-A326-28CE7D36A6A2}"/>
    <cellStyle name="Eingabe 3 4 68" xfId="32210" xr:uid="{A166D624-6A90-46E7-9497-3B5E802C7CB5}"/>
    <cellStyle name="Eingabe 3 4 7" xfId="3335" xr:uid="{EC1F4AC3-CF80-456B-BF2A-8F2939763F72}"/>
    <cellStyle name="Eingabe 3 4 8" xfId="3852" xr:uid="{7642E752-A8F5-4E00-9A55-F70CF43CF99E}"/>
    <cellStyle name="Eingabe 3 4 9" xfId="4290" xr:uid="{C6A17007-C4A8-496D-B9F8-1EBB9246C470}"/>
    <cellStyle name="Eingabe 3 40" xfId="25218" xr:uid="{67BCA9F6-20C4-42AA-A3FE-7B87F204B947}"/>
    <cellStyle name="Eingabe 3 41" xfId="25037" xr:uid="{BB49F1E3-49FC-4013-951E-A784F805BE58}"/>
    <cellStyle name="Eingabe 3 42" xfId="25062" xr:uid="{02349FB4-C175-4C90-A162-9A63AF1D9E18}"/>
    <cellStyle name="Eingabe 3 43" xfId="25060" xr:uid="{38AB81DB-B979-4953-8B47-93A0D9909349}"/>
    <cellStyle name="Eingabe 3 44" xfId="24539" xr:uid="{FEC9EED1-BEF3-4CC8-9CB7-6F59241C418B}"/>
    <cellStyle name="Eingabe 3 45" xfId="27672" xr:uid="{D638B384-3634-4069-BF0F-0140BB4C9277}"/>
    <cellStyle name="Eingabe 3 46" xfId="28273" xr:uid="{B4461C9E-E53D-4A7E-850E-0D835946AF3C}"/>
    <cellStyle name="Eingabe 3 47" xfId="28736" xr:uid="{AE73C48C-D453-47A4-8648-DF1B49FCBD9E}"/>
    <cellStyle name="Eingabe 3 48" xfId="28238" xr:uid="{FA25E4B8-01F6-4F68-B684-3D9F0B8D616E}"/>
    <cellStyle name="Eingabe 3 49" xfId="28335" xr:uid="{F083AF35-30E8-459E-A06A-DF5478E87C0B}"/>
    <cellStyle name="Eingabe 3 5" xfId="717" xr:uid="{2ADF658C-B8C9-4170-9705-BC1C66FE51A0}"/>
    <cellStyle name="Eingabe 3 5 10" xfId="5365" xr:uid="{B5B825E5-A728-4004-A7DB-039433DDBA17}"/>
    <cellStyle name="Eingabe 3 5 11" xfId="4867" xr:uid="{7C0140F2-E010-433A-957D-CAC0C84724A8}"/>
    <cellStyle name="Eingabe 3 5 12" xfId="5762" xr:uid="{85BB202F-7BD6-4AB1-AA02-48FECD55AD61}"/>
    <cellStyle name="Eingabe 3 5 13" xfId="6088" xr:uid="{2CCD8EC6-1AC0-4C11-B736-FA3D50278B64}"/>
    <cellStyle name="Eingabe 3 5 14" xfId="7437" xr:uid="{1AA6216D-7B52-413B-9781-75FB025A4C85}"/>
    <cellStyle name="Eingabe 3 5 15" xfId="7918" xr:uid="{8D835EAA-5DA8-4598-A724-4EDA9B2BCCEA}"/>
    <cellStyle name="Eingabe 3 5 16" xfId="8629" xr:uid="{FD60769A-839C-4BC9-AA4E-1FB77095E03D}"/>
    <cellStyle name="Eingabe 3 5 17" xfId="8746" xr:uid="{6E238CD8-9451-46D1-B707-4E213C58EB6E}"/>
    <cellStyle name="Eingabe 3 5 18" xfId="9651" xr:uid="{1840C96C-802C-4FBD-8166-D99F8E155534}"/>
    <cellStyle name="Eingabe 3 5 19" xfId="10132" xr:uid="{F708686B-DCFC-44B1-A22E-FDFC9997BD0B}"/>
    <cellStyle name="Eingabe 3 5 2" xfId="1191" xr:uid="{E45E5F34-170E-44C1-903D-226CB6BB4114}"/>
    <cellStyle name="Eingabe 3 5 20" xfId="10542" xr:uid="{F8032C14-73FF-4D96-B59D-667A230EA75C}"/>
    <cellStyle name="Eingabe 3 5 21" xfId="10224" xr:uid="{5CAC239A-6AB4-46C2-82F5-8C29B76546DC}"/>
    <cellStyle name="Eingabe 3 5 22" xfId="11083" xr:uid="{46C56441-92EB-43E8-9B03-518C8FD2CDE0}"/>
    <cellStyle name="Eingabe 3 5 23" xfId="12070" xr:uid="{0851499E-E137-401A-A525-F4BC5DC41F7B}"/>
    <cellStyle name="Eingabe 3 5 24" xfId="12543" xr:uid="{3E943C4D-A6A4-47E9-A285-8F446E70389B}"/>
    <cellStyle name="Eingabe 3 5 25" xfId="12977" xr:uid="{A24B1722-8382-4D3A-980C-54C11644382B}"/>
    <cellStyle name="Eingabe 3 5 26" xfId="13414" xr:uid="{562DBFFC-1D7C-4A8B-BDC6-26497AD1FB59}"/>
    <cellStyle name="Eingabe 3 5 27" xfId="12336" xr:uid="{9DD95921-3261-4936-B898-2408DF894090}"/>
    <cellStyle name="Eingabe 3 5 28" xfId="13804" xr:uid="{25FC97B5-54EB-4751-877B-E64B62227F63}"/>
    <cellStyle name="Eingabe 3 5 29" xfId="14781" xr:uid="{72B648FD-3537-4603-9954-160AF0DAB746}"/>
    <cellStyle name="Eingabe 3 5 3" xfId="1496" xr:uid="{5BCA9401-CB40-4EF5-8EFE-0CCF80DACE48}"/>
    <cellStyle name="Eingabe 3 5 30" xfId="15147" xr:uid="{2121E5BC-823E-4E4B-8D03-2E2DAEC74ECE}"/>
    <cellStyle name="Eingabe 3 5 31" xfId="14641" xr:uid="{8EA959F4-7222-4E60-BCCB-4A77594E0908}"/>
    <cellStyle name="Eingabe 3 5 32" xfId="15926" xr:uid="{C855A3FD-5015-4FAB-8009-D28D022B6D45}"/>
    <cellStyle name="Eingabe 3 5 33" xfId="16762" xr:uid="{091802BB-C6EA-4A63-B19B-4CC1FBB472AA}"/>
    <cellStyle name="Eingabe 3 5 34" xfId="17251" xr:uid="{ECCAC7BD-BDB2-40B8-96F1-7EC0155CEFDA}"/>
    <cellStyle name="Eingabe 3 5 35" xfId="17695" xr:uid="{A1DC5B8C-4C59-43B2-8DD7-16786EED9266}"/>
    <cellStyle name="Eingabe 3 5 36" xfId="18025" xr:uid="{15AB9809-002E-4BB4-AFE0-0A71A0073008}"/>
    <cellStyle name="Eingabe 3 5 37" xfId="18580" xr:uid="{A9D9932F-65FC-4EE6-8AB0-53A4D96D694F}"/>
    <cellStyle name="Eingabe 3 5 38" xfId="18841" xr:uid="{EAEFE747-8D8E-48B5-B098-37BF2C456E60}"/>
    <cellStyle name="Eingabe 3 5 39" xfId="19067" xr:uid="{7258382F-5D12-4656-9F91-D8C951115F1F}"/>
    <cellStyle name="Eingabe 3 5 4" xfId="2539" xr:uid="{231F4A04-DC74-4B0C-B211-2A5CE54E8F05}"/>
    <cellStyle name="Eingabe 3 5 40" xfId="20099" xr:uid="{07A0239D-33F8-41C7-86A8-14B4AF0CBEE2}"/>
    <cellStyle name="Eingabe 3 5 41" xfId="20601" xr:uid="{EF2BBCF8-72DC-46B9-A8AC-14006839B965}"/>
    <cellStyle name="Eingabe 3 5 42" xfId="21056" xr:uid="{31DFC326-0297-48A4-BC24-96408BBC9718}"/>
    <cellStyle name="Eingabe 3 5 43" xfId="21264" xr:uid="{EDEEE30F-C128-470B-9443-E88E4EA36E0E}"/>
    <cellStyle name="Eingabe 3 5 44" xfId="21987" xr:uid="{5890211C-F24E-4601-ADE8-56675518B2B1}"/>
    <cellStyle name="Eingabe 3 5 45" xfId="22418" xr:uid="{93E867B8-D90B-47D2-802F-78150D94FA9A}"/>
    <cellStyle name="Eingabe 3 5 46" xfId="22500" xr:uid="{B1CA88B3-DDF5-4D23-96FC-159D0AD5D270}"/>
    <cellStyle name="Eingabe 3 5 47" xfId="23117" xr:uid="{2ABD811E-DB33-4DC5-8602-DB6027F0691A}"/>
    <cellStyle name="Eingabe 3 5 48" xfId="23374" xr:uid="{E58AC166-CCBE-4803-BD63-2532778D291D}"/>
    <cellStyle name="Eingabe 3 5 49" xfId="23899" xr:uid="{1746F0C5-52F6-429B-AFD1-2539590852EC}"/>
    <cellStyle name="Eingabe 3 5 5" xfId="1995" xr:uid="{0BBE6A8F-B468-4F81-B226-BD7118D29A52}"/>
    <cellStyle name="Eingabe 3 5 50" xfId="24807" xr:uid="{C5C99DB4-FD0A-460E-BD07-1D9152868520}"/>
    <cellStyle name="Eingabe 3 5 51" xfId="25310" xr:uid="{860164F1-C5D9-4ADA-995C-3F14E6C5D6C3}"/>
    <cellStyle name="Eingabe 3 5 52" xfId="25723" xr:uid="{CDE0647F-5F1B-4322-98F4-DC67C2094C7E}"/>
    <cellStyle name="Eingabe 3 5 53" xfId="25226" xr:uid="{9ED3AA09-7B6D-4A06-9822-EB32FBBAE550}"/>
    <cellStyle name="Eingabe 3 5 54" xfId="24124" xr:uid="{827A9C0E-4C58-43F2-9F93-C67B75587317}"/>
    <cellStyle name="Eingabe 3 5 55" xfId="27011" xr:uid="{E4E70DF1-5B74-436D-A5CC-1166A0590D86}"/>
    <cellStyle name="Eingabe 3 5 56" xfId="27430" xr:uid="{1EF289BD-B900-458E-9EA3-81BA2A88F375}"/>
    <cellStyle name="Eingabe 3 5 57" xfId="27797" xr:uid="{5AC2AB60-60CA-4C4C-941B-612B7B1DA667}"/>
    <cellStyle name="Eingabe 3 5 58" xfId="28557" xr:uid="{844AC79D-665F-494D-9B5F-5E5A78F54BC7}"/>
    <cellStyle name="Eingabe 3 5 59" xfId="29024" xr:uid="{FF6C0451-2F07-415E-9194-640A20A7E18F}"/>
    <cellStyle name="Eingabe 3 5 6" xfId="3727" xr:uid="{31D40574-0952-423C-8BC3-26F47A478E93}"/>
    <cellStyle name="Eingabe 3 5 60" xfId="29432" xr:uid="{156793D1-80B4-4F34-9D17-DED87BB45454}"/>
    <cellStyle name="Eingabe 3 5 61" xfId="29813" xr:uid="{9C93C5A5-F510-4336-9052-29511E03516A}"/>
    <cellStyle name="Eingabe 3 5 62" xfId="30219" xr:uid="{C8533919-659C-4CA6-BAEF-479829EB635D}"/>
    <cellStyle name="Eingabe 3 5 63" xfId="30636" xr:uid="{E0EACB8B-50AC-460F-9A0D-8260FF438663}"/>
    <cellStyle name="Eingabe 3 5 64" xfId="30865" xr:uid="{D2B037EF-02CB-457E-ADA9-8FE00F11039A}"/>
    <cellStyle name="Eingabe 3 5 65" xfId="31252" xr:uid="{B30644B9-24AE-4BBF-9561-E2498655589C}"/>
    <cellStyle name="Eingabe 3 5 66" xfId="31943" xr:uid="{52ED2D85-693C-46AB-98F7-AC5AF58936D6}"/>
    <cellStyle name="Eingabe 3 5 67" xfId="31439" xr:uid="{96447792-B800-49A7-83B6-E1B4FC32543E}"/>
    <cellStyle name="Eingabe 3 5 7" xfId="4035" xr:uid="{C9A4F110-CDE1-4E4A-BCF8-49B9EA88B69C}"/>
    <cellStyle name="Eingabe 3 5 8" xfId="4472" xr:uid="{17EF9FB7-12E1-4CDC-8816-6906BF85C8DE}"/>
    <cellStyle name="Eingabe 3 5 9" xfId="4231" xr:uid="{006C316A-05EA-408B-8426-6CE29DF7C533}"/>
    <cellStyle name="Eingabe 3 50" xfId="30996" xr:uid="{2D66D734-489F-489F-AFC4-33DE1624A20C}"/>
    <cellStyle name="Eingabe 3 51" xfId="29250" xr:uid="{FF3AC0F0-3D50-43CC-AE92-E39ED1F4158E}"/>
    <cellStyle name="Eingabe 3 52" xfId="31689" xr:uid="{9C2E1A20-25CF-452F-9075-0D96F9930F2D}"/>
    <cellStyle name="Eingabe 3 53" xfId="32308" xr:uid="{B27D4395-20F5-42F7-9837-6DD03B5845BA}"/>
    <cellStyle name="Eingabe 3 6" xfId="980" xr:uid="{99F79151-64A4-4DEC-AA5B-D6396FCE2BDE}"/>
    <cellStyle name="Eingabe 3 7" xfId="2240" xr:uid="{E280F348-CC52-404C-B122-E9EE4C1B7DF7}"/>
    <cellStyle name="Eingabe 3 8" xfId="2256" xr:uid="{4F94F226-A325-4599-9CED-0ACC565BD545}"/>
    <cellStyle name="Eingabe 3 9" xfId="3356" xr:uid="{95C858DD-CEDD-457F-BB29-5F3F4B20BB9A}"/>
    <cellStyle name="Eingabe 4" xfId="277" xr:uid="{7EC864BB-A788-4521-A163-D170778AF113}"/>
    <cellStyle name="Eingabe 4 10" xfId="3435" xr:uid="{71DB8272-FCA7-45AA-AC7E-67DF301DED26}"/>
    <cellStyle name="Eingabe 4 11" xfId="3479" xr:uid="{DF19F3D1-3C22-43E7-9FBE-F1720552629F}"/>
    <cellStyle name="Eingabe 4 12" xfId="5009" xr:uid="{64F78231-03E2-41FA-A871-5372044E803B}"/>
    <cellStyle name="Eingabe 4 13" xfId="3672" xr:uid="{6CD23A38-123F-4E35-8AA8-FD6B936CFD01}"/>
    <cellStyle name="Eingabe 4 14" xfId="6119" xr:uid="{A08102EB-D4B9-4FB0-9961-F38AE3B12F3C}"/>
    <cellStyle name="Eingabe 4 15" xfId="7007" xr:uid="{1B5FB74A-1D12-430E-9169-B52A4BC11FF3}"/>
    <cellStyle name="Eingabe 4 16" xfId="6954" xr:uid="{4558B13C-AAC6-4850-A430-D1EF951697CC}"/>
    <cellStyle name="Eingabe 4 17" xfId="7227" xr:uid="{03C0E1BC-22E6-410A-A117-C25389DB4341}"/>
    <cellStyle name="Eingabe 4 18" xfId="8584" xr:uid="{D868D41D-1259-46E7-AC64-E3109739F5E6}"/>
    <cellStyle name="Eingabe 4 19" xfId="9220" xr:uid="{B1EB79CE-F8A1-42FE-A015-2BBBC93E6463}"/>
    <cellStyle name="Eingabe 4 2" xfId="615" xr:uid="{3555DFF9-4A26-4A02-8D0E-ADE7CE7C7F2B}"/>
    <cellStyle name="Eingabe 4 2 10" xfId="4988" xr:uid="{25F7DDAE-3807-47D7-B925-7E41D9F06647}"/>
    <cellStyle name="Eingabe 4 2 11" xfId="5263" xr:uid="{C171A145-7271-49E0-86D7-DDBDCDC0ABDC}"/>
    <cellStyle name="Eingabe 4 2 12" xfId="4668" xr:uid="{8247A5D3-41A3-42E8-98C6-753199FA8C55}"/>
    <cellStyle name="Eingabe 4 2 13" xfId="5797" xr:uid="{C2ECC11B-09A8-43AC-A69C-C888777DD500}"/>
    <cellStyle name="Eingabe 4 2 14" xfId="6094" xr:uid="{D4AF80F6-FA6E-4354-B9FB-5B9860DAECEC}"/>
    <cellStyle name="Eingabe 4 2 15" xfId="7335" xr:uid="{12F35A83-317B-4C2A-B72B-73778056B96C}"/>
    <cellStyle name="Eingabe 4 2 16" xfId="7937" xr:uid="{07482D5E-A487-4FE1-BF69-130E5EAFE91C}"/>
    <cellStyle name="Eingabe 4 2 17" xfId="7924" xr:uid="{56BBB59B-F258-4E69-915D-9E73ADBC4D0C}"/>
    <cellStyle name="Eingabe 4 2 18" xfId="8505" xr:uid="{86FD3012-CD7B-4FA4-8D24-0340C27AE09D}"/>
    <cellStyle name="Eingabe 4 2 19" xfId="9549" xr:uid="{7AFEF054-65F5-4699-B40F-9D1932F6BB3B}"/>
    <cellStyle name="Eingabe 4 2 2" xfId="830" xr:uid="{A7CAA3B0-0F19-4E99-A6AE-9C5B39E05B72}"/>
    <cellStyle name="Eingabe 4 2 2 10" xfId="5478" xr:uid="{47F3AB10-54F9-4612-9F5E-6BE7FF815DDE}"/>
    <cellStyle name="Eingabe 4 2 2 11" xfId="5119" xr:uid="{FE7D6DDA-DF91-44E1-BC61-98B605C6CF9D}"/>
    <cellStyle name="Eingabe 4 2 2 12" xfId="6104" xr:uid="{A7ED58D4-33C4-4F9D-B57E-2F941ACF4C78}"/>
    <cellStyle name="Eingabe 4 2 2 13" xfId="5559" xr:uid="{E9FA0188-6A63-459F-A84E-61A2DD691689}"/>
    <cellStyle name="Eingabe 4 2 2 14" xfId="7550" xr:uid="{856B20D5-20F0-4EBF-AA3E-7BDD250A4B9F}"/>
    <cellStyle name="Eingabe 4 2 2 15" xfId="7716" xr:uid="{5987B0C6-FB62-4EBC-BEA6-A29CFA1D02F4}"/>
    <cellStyle name="Eingabe 4 2 2 16" xfId="7971" xr:uid="{5A3C50C2-CBE0-4E62-AB8A-4E286659EB06}"/>
    <cellStyle name="Eingabe 4 2 2 17" xfId="8810" xr:uid="{000E1616-84F2-4BAE-8E78-780332C0F4D5}"/>
    <cellStyle name="Eingabe 4 2 2 18" xfId="9764" xr:uid="{B0191E80-7BD7-4E68-9DDC-8F81CAF274BB}"/>
    <cellStyle name="Eingabe 4 2 2 19" xfId="9930" xr:uid="{5BBB8AB6-6EC2-4ABA-AD56-1A6B64463663}"/>
    <cellStyle name="Eingabe 4 2 2 2" xfId="1304" xr:uid="{B3676F41-9DEE-450E-8524-677C6F05ADA5}"/>
    <cellStyle name="Eingabe 4 2 2 20" xfId="10361" xr:uid="{5077C905-2E98-4AA3-A8AE-4767A92F6480}"/>
    <cellStyle name="Eingabe 4 2 2 21" xfId="10750" xr:uid="{D1A54D14-86A4-4C46-8729-F9323E6AB91C}"/>
    <cellStyle name="Eingabe 4 2 2 22" xfId="11229" xr:uid="{895A6CBC-6CF3-493B-AC9F-F6A42A62FEB5}"/>
    <cellStyle name="Eingabe 4 2 2 23" xfId="12183" xr:uid="{159911B3-31EF-4940-AFB3-B0870D37460C}"/>
    <cellStyle name="Eingabe 4 2 2 24" xfId="12656" xr:uid="{055F65F1-78F7-4B4D-AEB0-58206AB31732}"/>
    <cellStyle name="Eingabe 4 2 2 25" xfId="13090" xr:uid="{C47CF64F-FDE1-4AA1-A2E2-6F087132DE61}"/>
    <cellStyle name="Eingabe 4 2 2 26" xfId="13527" xr:uid="{7B16DD60-AA75-49E7-BA1A-AA11BF86C6C1}"/>
    <cellStyle name="Eingabe 4 2 2 27" xfId="13827" xr:uid="{84C54811-17FB-4A46-9CE2-C5ED41630C79}"/>
    <cellStyle name="Eingabe 4 2 2 28" xfId="11736" xr:uid="{FC948B51-CAAC-4CC7-9CA8-29C28B9FCF7E}"/>
    <cellStyle name="Eingabe 4 2 2 29" xfId="14582" xr:uid="{CACF7D57-B74F-4BAD-B1A4-E65C5FC12882}"/>
    <cellStyle name="Eingabe 4 2 2 3" xfId="1553" xr:uid="{8F783D9C-4E71-4B11-8189-6220C0F64256}"/>
    <cellStyle name="Eingabe 4 2 2 30" xfId="14566" xr:uid="{74D15FE1-90A0-41ED-A98D-1B72E7CD3CEA}"/>
    <cellStyle name="Eingabe 4 2 2 31" xfId="15753" xr:uid="{F958D6A2-E358-4636-A50C-541E22D599E7}"/>
    <cellStyle name="Eingabe 4 2 2 32" xfId="15818" xr:uid="{28687F91-C6F7-43F0-8344-40FCF8BA9B8F}"/>
    <cellStyle name="Eingabe 4 2 2 33" xfId="16875" xr:uid="{B05C20F1-D1C3-46DA-B0E6-F77A31D25B7C}"/>
    <cellStyle name="Eingabe 4 2 2 34" xfId="17044" xr:uid="{F2A2960E-0366-4BBC-9905-C5F90B0E7BA3}"/>
    <cellStyle name="Eingabe 4 2 2 35" xfId="17492" xr:uid="{8DC43F65-2E84-4897-B3CE-D0558E3E81FE}"/>
    <cellStyle name="Eingabe 4 2 2 36" xfId="16447" xr:uid="{8520D33B-3B8D-445A-A20A-9608F482744B}"/>
    <cellStyle name="Eingabe 4 2 2 37" xfId="18693" xr:uid="{AF1B241F-7F0C-4C47-8EBC-B0016570C10D}"/>
    <cellStyle name="Eingabe 4 2 2 38" xfId="19030" xr:uid="{8DDE2D49-8B2B-4C7B-A38F-B8B0F03AC387}"/>
    <cellStyle name="Eingabe 4 2 2 39" xfId="19285" xr:uid="{85BDD94B-11D2-40FA-A977-B264167133E4}"/>
    <cellStyle name="Eingabe 4 2 2 4" xfId="2652" xr:uid="{CFDB3BFE-EE7A-4823-A5D1-0EA5DB4B5F0B}"/>
    <cellStyle name="Eingabe 4 2 2 40" xfId="20212" xr:uid="{745B2F70-0ADD-4E2D-A837-F70FEBAE9569}"/>
    <cellStyle name="Eingabe 4 2 2 41" xfId="20396" xr:uid="{DC9F3B4D-D7C9-4F06-BB8F-40267001CBA0}"/>
    <cellStyle name="Eingabe 4 2 2 42" xfId="20849" xr:uid="{AE9BFF91-9A21-4E3C-9713-87F6000226CB}"/>
    <cellStyle name="Eingabe 4 2 2 43" xfId="21355" xr:uid="{5D7BC881-C0B1-42C4-8ACE-D65D4D366B0F}"/>
    <cellStyle name="Eingabe 4 2 2 44" xfId="21782" xr:uid="{EF6B459A-7347-4504-A07D-849E21BFD311}"/>
    <cellStyle name="Eingabe 4 2 2 45" xfId="22219" xr:uid="{AFC36A08-EB28-4E58-9C5D-9AED26AFD1ED}"/>
    <cellStyle name="Eingabe 4 2 2 46" xfId="22815" xr:uid="{9EF60F4A-1CC4-4242-8158-B3512B32070C}"/>
    <cellStyle name="Eingabe 4 2 2 47" xfId="23308" xr:uid="{040DCB48-A969-4DC0-960E-DC8261FDE45E}"/>
    <cellStyle name="Eingabe 4 2 2 48" xfId="23626" xr:uid="{44D61E0F-13AF-4C1B-A8C3-D06CB8BF41D4}"/>
    <cellStyle name="Eingabe 4 2 2 49" xfId="24012" xr:uid="{81A71A4B-EBE8-434B-93DA-EF07027370AB}"/>
    <cellStyle name="Eingabe 4 2 2 5" xfId="2993" xr:uid="{2DFD7423-5D14-4C61-9229-6CE56BE96221}"/>
    <cellStyle name="Eingabe 4 2 2 50" xfId="24920" xr:uid="{CF9271DE-31F6-47AC-BB26-B87F50742FD2}"/>
    <cellStyle name="Eingabe 4 2 2 51" xfId="25106" xr:uid="{ED158952-EC03-4AC0-BD6E-0D64EB8003FE}"/>
    <cellStyle name="Eingabe 4 2 2 52" xfId="25836" xr:uid="{8371E1FE-9722-4355-A1CA-D866B38E5630}"/>
    <cellStyle name="Eingabe 4 2 2 53" xfId="26117" xr:uid="{92DBADA8-85CE-480B-A3C9-DC152FED101F}"/>
    <cellStyle name="Eingabe 4 2 2 54" xfId="26689" xr:uid="{9156126B-0650-4E48-A9C4-0A0D4670EDD0}"/>
    <cellStyle name="Eingabe 4 2 2 55" xfId="27124" xr:uid="{56AA2E08-0034-40BE-A57B-3D592B5D889A}"/>
    <cellStyle name="Eingabe 4 2 2 56" xfId="27543" xr:uid="{65CAB974-B8A0-4F94-A182-437E760A3CAA}"/>
    <cellStyle name="Eingabe 4 2 2 57" xfId="26789" xr:uid="{B16E0162-DB72-468B-8804-DA90D94F2454}"/>
    <cellStyle name="Eingabe 4 2 2 58" xfId="28670" xr:uid="{81D9F751-CF3D-4A98-9A85-350D65E39FE2}"/>
    <cellStyle name="Eingabe 4 2 2 59" xfId="29137" xr:uid="{E8D0A0DE-5BF9-4964-98D2-C634F63148EA}"/>
    <cellStyle name="Eingabe 4 2 2 6" xfId="3555" xr:uid="{C3AF5F28-2E9D-4AB4-91B1-5FC8D624B230}"/>
    <cellStyle name="Eingabe 4 2 2 60" xfId="29260" xr:uid="{5DA5849A-946A-4ACD-81C7-42202E846171}"/>
    <cellStyle name="Eingabe 4 2 2 61" xfId="29926" xr:uid="{D77459B2-D4DC-49E1-B69F-05D3A2B1FE7D}"/>
    <cellStyle name="Eingabe 4 2 2 62" xfId="30332" xr:uid="{45DEEB4C-42B4-44B7-A596-64BEB3A4700C}"/>
    <cellStyle name="Eingabe 4 2 2 63" xfId="30749" xr:uid="{3FCAC748-8343-43EC-8612-DBF6DE026C33}"/>
    <cellStyle name="Eingabe 4 2 2 64" xfId="30831" xr:uid="{B49B5AF8-01EC-4DEC-8379-C0B27F7E6A59}"/>
    <cellStyle name="Eingabe 4 2 2 65" xfId="31365" xr:uid="{C10BE463-A0C2-4782-9C4C-D9288C9C47F8}"/>
    <cellStyle name="Eingabe 4 2 2 66" xfId="32056" xr:uid="{AF32F294-1947-43DD-B26D-B02F9B6C83CB}"/>
    <cellStyle name="Eingabe 4 2 2 67" xfId="31607" xr:uid="{F09B379B-C4C1-4B2D-B5B7-002E06707A5F}"/>
    <cellStyle name="Eingabe 4 2 2 7" xfId="4148" xr:uid="{6A9CF7D3-377E-4487-8BF6-8D630205E9C1}"/>
    <cellStyle name="Eingabe 4 2 2 8" xfId="4585" xr:uid="{53549316-F312-4358-B459-51E350164C7C}"/>
    <cellStyle name="Eingabe 4 2 2 9" xfId="3583" xr:uid="{05FB9B00-D3CC-46DA-A9BF-5742C65EC37E}"/>
    <cellStyle name="Eingabe 4 2 20" xfId="10150" xr:uid="{E0AB4C76-0822-4D7B-9F1F-6AE26BE984D1}"/>
    <cellStyle name="Eingabe 4 2 21" xfId="10560" xr:uid="{FCE38ED5-8238-4FDF-B829-94C4B8CA21D1}"/>
    <cellStyle name="Eingabe 4 2 22" xfId="8976" xr:uid="{852FAB97-87DA-410D-B49A-EBD924DB36C2}"/>
    <cellStyle name="Eingabe 4 2 23" xfId="11041" xr:uid="{61D923C6-355E-44D7-80AC-76DF1E51EAFA}"/>
    <cellStyle name="Eingabe 4 2 24" xfId="11968" xr:uid="{2D09E158-6C7C-4847-A4B0-FA4C51E7937A}"/>
    <cellStyle name="Eingabe 4 2 25" xfId="12441" xr:uid="{853EBE04-4628-49C1-8F18-028A2C7651C1}"/>
    <cellStyle name="Eingabe 4 2 26" xfId="12875" xr:uid="{8AC1DF8C-2D29-4D8B-B710-0889EE078380}"/>
    <cellStyle name="Eingabe 4 2 27" xfId="13312" xr:uid="{7B5B2866-40AA-4AE5-8806-6A7132E4B0E6}"/>
    <cellStyle name="Eingabe 4 2 28" xfId="12023" xr:uid="{3A223971-E618-4D95-83AE-2F0BE2FFB38D}"/>
    <cellStyle name="Eingabe 4 2 29" xfId="14203" xr:uid="{EA0D3E9E-3A10-46AF-B793-8AB3E57BC6E8}"/>
    <cellStyle name="Eingabe 4 2 3" xfId="1098" xr:uid="{9A12CED4-42CE-4762-8D7F-FDF6D262E99A}"/>
    <cellStyle name="Eingabe 4 2 30" xfId="14856" xr:uid="{68FDA5F4-2F8A-494F-BDB6-52857F6E984C}"/>
    <cellStyle name="Eingabe 4 2 31" xfId="14156" xr:uid="{4AE4FCDD-949B-4D50-B4E9-7E3AA1B16834}"/>
    <cellStyle name="Eingabe 4 2 32" xfId="15435" xr:uid="{37663ABD-EDA5-4546-AA1A-FC1588B1375B}"/>
    <cellStyle name="Eingabe 4 2 33" xfId="15939" xr:uid="{CB9C9388-1D0C-4E10-8943-6C7CD9FC4BBF}"/>
    <cellStyle name="Eingabe 4 2 34" xfId="16660" xr:uid="{901CD6BA-0888-4FE5-B2AC-B8229084D477}"/>
    <cellStyle name="Eingabe 4 2 35" xfId="17270" xr:uid="{5953702B-0E50-45DC-B916-27A6BDF3514B}"/>
    <cellStyle name="Eingabe 4 2 36" xfId="17714" xr:uid="{7AE35307-DA0C-4985-854C-7526A55B1D79}"/>
    <cellStyle name="Eingabe 4 2 37" xfId="18062" xr:uid="{03B05DB2-9B00-4A3B-B8A9-1960681104CF}"/>
    <cellStyle name="Eingabe 4 2 38" xfId="18478" xr:uid="{9BEF0D16-79A5-43FA-A470-39AFF75F0A51}"/>
    <cellStyle name="Eingabe 4 2 39" xfId="18251" xr:uid="{1D7B27B3-B709-44AA-A69F-BA5314F0F326}"/>
    <cellStyle name="Eingabe 4 2 4" xfId="1657" xr:uid="{446FA318-48AF-47C4-9C1D-FEF279811E82}"/>
    <cellStyle name="Eingabe 4 2 40" xfId="18372" xr:uid="{9A6A46D4-4355-40DC-B0C8-625D7F8E10B8}"/>
    <cellStyle name="Eingabe 4 2 41" xfId="19997" xr:uid="{5C4792A4-1EBA-404E-B38C-C8BE696F8CC1}"/>
    <cellStyle name="Eingabe 4 2 42" xfId="20620" xr:uid="{50A54BE8-D03A-4116-9C12-BF2BAC80AFD7}"/>
    <cellStyle name="Eingabe 4 2 43" xfId="21075" xr:uid="{F80FD31D-CA9E-4A04-82A0-C65F75F630A2}"/>
    <cellStyle name="Eingabe 4 2 44" xfId="19418" xr:uid="{8971E29C-5719-48D7-A58A-8AAC0DE18D20}"/>
    <cellStyle name="Eingabe 4 2 45" xfId="22006" xr:uid="{4E465D09-9255-4C2F-9BB2-30AC7CB206A8}"/>
    <cellStyle name="Eingabe 4 2 46" xfId="22437" xr:uid="{E0EE10B8-F39F-4516-A29C-3DCD934E145C}"/>
    <cellStyle name="Eingabe 4 2 47" xfId="21803" xr:uid="{36814C7B-FE86-4C08-B832-492C489D9F8D}"/>
    <cellStyle name="Eingabe 4 2 48" xfId="22824" xr:uid="{883A4FEE-4D2F-4E9F-AE5A-F2527CF812E9}"/>
    <cellStyle name="Eingabe 4 2 49" xfId="23173" xr:uid="{5A221B77-2829-40BF-8D99-D592ABD890A5}"/>
    <cellStyle name="Eingabe 4 2 5" xfId="2437" xr:uid="{4C1956FC-344A-4C71-B231-10AFA754E083}"/>
    <cellStyle name="Eingabe 4 2 50" xfId="23806" xr:uid="{E697C826-E9F7-4B86-B19D-A86AB0C4E14D}"/>
    <cellStyle name="Eingabe 4 2 51" xfId="24705" xr:uid="{9DF676CF-3047-41FA-B5B5-E4112EDFAAB3}"/>
    <cellStyle name="Eingabe 4 2 52" xfId="25326" xr:uid="{6ED4D8C6-4761-462C-B947-85113F378393}"/>
    <cellStyle name="Eingabe 4 2 53" xfId="25623" xr:uid="{A87612B0-4D72-4F6F-A551-215E879D7A1D}"/>
    <cellStyle name="Eingabe 4 2 54" xfId="25135" xr:uid="{F0BA0939-3CEC-46F2-B40D-0A47D6CEECCC}"/>
    <cellStyle name="Eingabe 4 2 55" xfId="24417" xr:uid="{E2FA8D8B-3526-470D-8E06-83A8DA006C6A}"/>
    <cellStyle name="Eingabe 4 2 56" xfId="26913" xr:uid="{87247397-CF39-48BF-9D31-D2E48987F019}"/>
    <cellStyle name="Eingabe 4 2 57" xfId="27332" xr:uid="{0C2434F3-57A0-434E-8DC4-8303C42F5A8F}"/>
    <cellStyle name="Eingabe 4 2 58" xfId="27634" xr:uid="{027E6189-7A5C-4774-8EDE-54E49CEF9F7A}"/>
    <cellStyle name="Eingabe 4 2 59" xfId="28455" xr:uid="{56579B1A-1EF2-4E8A-A2FC-B334FB989128}"/>
    <cellStyle name="Eingabe 4 2 6" xfId="2123" xr:uid="{4855A67D-C225-4E10-A1B8-E76DBC51D572}"/>
    <cellStyle name="Eingabe 4 2 60" xfId="28923" xr:uid="{EF2F86B7-8939-4345-ACC7-1533D2C2D3E2}"/>
    <cellStyle name="Eingabe 4 2 61" xfId="29449" xr:uid="{1F291982-892D-48C9-B961-6974A182B7F9}"/>
    <cellStyle name="Eingabe 4 2 62" xfId="29713" xr:uid="{C35C36A2-10C2-4497-96C4-231A7963FD3F}"/>
    <cellStyle name="Eingabe 4 2 63" xfId="30121" xr:uid="{94CB8479-2B42-42D5-B1AE-E8E8781BF57E}"/>
    <cellStyle name="Eingabe 4 2 64" xfId="30535" xr:uid="{904A221F-7355-4E1A-8470-266698AAB2CB}"/>
    <cellStyle name="Eingabe 4 2 65" xfId="30427" xr:uid="{493AA3FC-A839-44A9-A016-FFB241254A94}"/>
    <cellStyle name="Eingabe 4 2 66" xfId="31159" xr:uid="{3FA42FE8-3073-453E-A496-68A2AF7A18F5}"/>
    <cellStyle name="Eingabe 4 2 67" xfId="31845" xr:uid="{78DD3D75-9C86-48B8-850F-DA523A7C1769}"/>
    <cellStyle name="Eingabe 4 2 68" xfId="32121" xr:uid="{8063A6C6-9412-4533-9942-6D4C672A226D}"/>
    <cellStyle name="Eingabe 4 2 7" xfId="1992" xr:uid="{A3577578-F8C6-43B9-9FFD-54B3151329E1}"/>
    <cellStyle name="Eingabe 4 2 8" xfId="3933" xr:uid="{5037DE16-7335-4D4E-B375-C6ECA54DF286}"/>
    <cellStyle name="Eingabe 4 2 9" xfId="4371" xr:uid="{E2D662F1-78E2-41A0-AAC2-0B5CA898CB30}"/>
    <cellStyle name="Eingabe 4 20" xfId="9296" xr:uid="{4A947B8D-6528-45C4-8B9C-4801F9F402F5}"/>
    <cellStyle name="Eingabe 4 21" xfId="11255" xr:uid="{749E365D-3297-4AFB-941B-79848CFE617B}"/>
    <cellStyle name="Eingabe 4 22" xfId="11633" xr:uid="{97B850E7-871D-4E1A-BAA7-966F6F33AB09}"/>
    <cellStyle name="Eingabe 4 23" xfId="12046" xr:uid="{42C28C52-0468-4285-9647-AEB274BC71BC}"/>
    <cellStyle name="Eingabe 4 24" xfId="11497" xr:uid="{CB2A9B41-1082-4E67-9DD2-3058E3C81A69}"/>
    <cellStyle name="Eingabe 4 25" xfId="12294" xr:uid="{1739EFA0-6BCB-4FE0-A9E2-609DE60C30C8}"/>
    <cellStyle name="Eingabe 4 26" xfId="12762" xr:uid="{B1197FE8-B650-4534-B916-FE717C765491}"/>
    <cellStyle name="Eingabe 4 27" xfId="13668" xr:uid="{89E110A0-18EB-4A14-8DEB-4C79E9FBEAE4}"/>
    <cellStyle name="Eingabe 4 28" xfId="15473" xr:uid="{6B930664-0CA4-4272-8F90-8A92751578C4}"/>
    <cellStyle name="Eingabe 4 29" xfId="16328" xr:uid="{299A0304-D0CA-4FCC-A346-6B5C6C693AF5}"/>
    <cellStyle name="Eingabe 4 3" xfId="542" xr:uid="{EC8B4FA0-BB84-4A2A-B523-A4DAB0D25CB4}"/>
    <cellStyle name="Eingabe 4 3 10" xfId="4728" xr:uid="{5BF5E35F-623C-4ADE-A6BD-0389456B0322}"/>
    <cellStyle name="Eingabe 4 3 11" xfId="5190" xr:uid="{126D28DF-BBBC-4080-93B6-91100270630D}"/>
    <cellStyle name="Eingabe 4 3 12" xfId="5723" xr:uid="{00CF6021-D460-4EB5-8235-929ADFCD521F}"/>
    <cellStyle name="Eingabe 4 3 13" xfId="6278" xr:uid="{6B69DC54-DFBA-4480-97FE-75067D7F5126}"/>
    <cellStyle name="Eingabe 4 3 14" xfId="4726" xr:uid="{19CB68A6-A893-415C-AC37-D4EE0233983F}"/>
    <cellStyle name="Eingabe 4 3 15" xfId="7262" xr:uid="{9A67F4E7-694F-4563-9753-BBCF1C90BE87}"/>
    <cellStyle name="Eingabe 4 3 16" xfId="7955" xr:uid="{B55F925F-F6D8-40A1-971E-5A2E30042B2A}"/>
    <cellStyle name="Eingabe 4 3 17" xfId="8593" xr:uid="{D812650A-F56D-4366-8E30-8E880BC5806C}"/>
    <cellStyle name="Eingabe 4 3 18" xfId="7756" xr:uid="{6CFFB722-5839-4E1B-8D72-1D9453F48FB1}"/>
    <cellStyle name="Eingabe 4 3 19" xfId="9476" xr:uid="{4A0AB20B-DC13-45FA-AD52-CC51C0E0469A}"/>
    <cellStyle name="Eingabe 4 3 2" xfId="757" xr:uid="{25923740-6311-4636-910B-EB3D90F0B298}"/>
    <cellStyle name="Eingabe 4 3 2 10" xfId="5405" xr:uid="{F64F3218-7390-4D95-815B-2D7F676B8545}"/>
    <cellStyle name="Eingabe 4 3 2 11" xfId="4908" xr:uid="{D6583746-2A6B-4071-8662-2AAEE69AB6AE}"/>
    <cellStyle name="Eingabe 4 3 2 12" xfId="5841" xr:uid="{176F61E5-E46F-4605-ACC4-00BF98AC5E66}"/>
    <cellStyle name="Eingabe 4 3 2 13" xfId="6492" xr:uid="{26C7A181-96C4-4F69-86BC-810FF9219258}"/>
    <cellStyle name="Eingabe 4 3 2 14" xfId="7477" xr:uid="{9CD0060F-D20A-4135-A2C9-B422FBA95770}"/>
    <cellStyle name="Eingabe 4 3 2 15" xfId="7057" xr:uid="{29886052-9E85-42FD-8E2B-6B7D6FB4433D}"/>
    <cellStyle name="Eingabe 4 3 2 16" xfId="8533" xr:uid="{9A3EBC73-1E98-4C1B-B610-FBCEA2069A29}"/>
    <cellStyle name="Eingabe 4 3 2 17" xfId="8084" xr:uid="{8A8A59A0-01C4-4394-A68F-E6B24E807DD0}"/>
    <cellStyle name="Eingabe 4 3 2 18" xfId="9691" xr:uid="{CE2193A3-4AD6-4B83-9E9A-84F0F3E6627C}"/>
    <cellStyle name="Eingabe 4 3 2 19" xfId="9270" xr:uid="{05E40FBB-7CD3-4AA8-8EF8-01DF4E805F8B}"/>
    <cellStyle name="Eingabe 4 3 2 2" xfId="1231" xr:uid="{05F3E203-5E2E-4E01-A7D2-55DBDF4CEE79}"/>
    <cellStyle name="Eingabe 4 3 2 20" xfId="10124" xr:uid="{0C7AF562-8749-443F-B587-4C2B655D727E}"/>
    <cellStyle name="Eingabe 4 3 2 21" xfId="10079" xr:uid="{6D7E88B0-7D20-4E92-8011-6B5BC6A19845}"/>
    <cellStyle name="Eingabe 4 3 2 22" xfId="11242" xr:uid="{4F15DA37-5329-4600-B746-02A4486F1A30}"/>
    <cellStyle name="Eingabe 4 3 2 23" xfId="12110" xr:uid="{52F4D1FC-C7A9-4E15-8EEB-F7FCA5643272}"/>
    <cellStyle name="Eingabe 4 3 2 24" xfId="12583" xr:uid="{0BF1E46F-5336-4258-A01F-D2480294DFCA}"/>
    <cellStyle name="Eingabe 4 3 2 25" xfId="13017" xr:uid="{7B98319E-2027-49EF-BFEE-8DF5BF91CDD8}"/>
    <cellStyle name="Eingabe 4 3 2 26" xfId="13454" xr:uid="{2DB20955-8D16-45A6-BE23-2683BD83DA53}"/>
    <cellStyle name="Eingabe 4 3 2 27" xfId="12298" xr:uid="{C1A8CFEC-A415-4304-84A5-C83426295280}"/>
    <cellStyle name="Eingabe 4 3 2 28" xfId="11713" xr:uid="{258E537B-303E-4CBD-8388-6C4A120A327D}"/>
    <cellStyle name="Eingabe 4 3 2 29" xfId="13977" xr:uid="{FDCCF03B-F9BF-4F4C-B3B6-530A8F016ACE}"/>
    <cellStyle name="Eingabe 4 3 2 3" xfId="1563" xr:uid="{D8B2C1A5-AEEC-4991-97C0-A4B88C5E475C}"/>
    <cellStyle name="Eingabe 4 3 2 30" xfId="15014" xr:uid="{EB10A82D-4549-45D6-92C1-7F3425809454}"/>
    <cellStyle name="Eingabe 4 3 2 31" xfId="15462" xr:uid="{2A8AAE27-8F05-4EA9-8BD5-FCA20F09DEDC}"/>
    <cellStyle name="Eingabe 4 3 2 32" xfId="15505" xr:uid="{EE58D020-8E97-4163-932D-35B14E9FAE78}"/>
    <cellStyle name="Eingabe 4 3 2 33" xfId="16802" xr:uid="{ED328A55-70AA-4FF7-B3BE-3806D7DE96D4}"/>
    <cellStyle name="Eingabe 4 3 2 34" xfId="16379" xr:uid="{38F4E531-AA76-4E39-A63C-30DC88B146B4}"/>
    <cellStyle name="Eingabe 4 3 2 35" xfId="17243" xr:uid="{ECDC977B-B0E4-4179-9E76-B5BBC0021596}"/>
    <cellStyle name="Eingabe 4 3 2 36" xfId="17899" xr:uid="{DCE96B94-E7DD-4369-922C-C6F9F7BF9EB7}"/>
    <cellStyle name="Eingabe 4 3 2 37" xfId="18620" xr:uid="{FA38BE91-6908-4C53-B889-7DB365304662}"/>
    <cellStyle name="Eingabe 4 3 2 38" xfId="16401" xr:uid="{F9004B78-DE1A-4695-B0FE-0CC8B52D4E53}"/>
    <cellStyle name="Eingabe 4 3 2 39" xfId="18101" xr:uid="{A5ABB2E7-3642-49C7-A699-0FFA2C1AB835}"/>
    <cellStyle name="Eingabe 4 3 2 4" xfId="2579" xr:uid="{261A5440-E78D-4C89-BBD0-393E1DF9EBE3}"/>
    <cellStyle name="Eingabe 4 3 2 40" xfId="20139" xr:uid="{41D968A8-7266-4FC9-9B3C-6E94E2CA9AB7}"/>
    <cellStyle name="Eingabe 4 3 2 41" xfId="19713" xr:uid="{213B390B-46A4-4146-99B6-6EDD4E69B99E}"/>
    <cellStyle name="Eingabe 4 3 2 42" xfId="19807" xr:uid="{40E448AE-7EBC-43D0-83EE-0C1F7B3CCB20}"/>
    <cellStyle name="Eingabe 4 3 2 43" xfId="21257" xr:uid="{F6B3E45B-71EB-48E5-8624-D73541382973}"/>
    <cellStyle name="Eingabe 4 3 2 44" xfId="21306" xr:uid="{C115BF84-5CF7-4E4E-AA9C-149AC73CE82F}"/>
    <cellStyle name="Eingabe 4 3 2 45" xfId="21942" xr:uid="{5C6DE950-FAF7-4EAA-8D04-44BEA0B51699}"/>
    <cellStyle name="Eingabe 4 3 2 46" xfId="21143" xr:uid="{11DD1DC2-295A-46AE-A5DC-AF4F8B8C1D15}"/>
    <cellStyle name="Eingabe 4 3 2 47" xfId="22665" xr:uid="{FF4FC067-A306-4293-8962-725632F36FBA}"/>
    <cellStyle name="Eingabe 4 3 2 48" xfId="23404" xr:uid="{536FB395-240B-4355-BEBB-B7005D26E38D}"/>
    <cellStyle name="Eingabe 4 3 2 49" xfId="23939" xr:uid="{D56FE75C-A9D3-4A94-ADD1-E9401641078B}"/>
    <cellStyle name="Eingabe 4 3 2 5" xfId="2180" xr:uid="{B353F893-66C2-4A78-908C-864B9BAD2548}"/>
    <cellStyle name="Eingabe 4 3 2 50" xfId="24847" xr:uid="{D1AA2FF3-C86C-4FD7-A76C-4D5D76846DD3}"/>
    <cellStyle name="Eingabe 4 3 2 51" xfId="24422" xr:uid="{BAAF968C-BA40-4514-AB3A-CDBC1A2EEB4F}"/>
    <cellStyle name="Eingabe 4 3 2 52" xfId="25763" xr:uid="{38D89DD3-A8AB-40D9-A05E-EEA64DD6B213}"/>
    <cellStyle name="Eingabe 4 3 2 53" xfId="24239" xr:uid="{5C51D846-E861-4311-8EB0-2CE0FB15E9FC}"/>
    <cellStyle name="Eingabe 4 3 2 54" xfId="26411" xr:uid="{643F364F-061B-4E6D-B18E-1FE53E459B4B}"/>
    <cellStyle name="Eingabe 4 3 2 55" xfId="27051" xr:uid="{CAA5E637-5E5F-4BEC-A866-A694FC0E5EF6}"/>
    <cellStyle name="Eingabe 4 3 2 56" xfId="27470" xr:uid="{3394AC1D-0B30-4283-9D9C-AAEE4EAA5938}"/>
    <cellStyle name="Eingabe 4 3 2 57" xfId="26707" xr:uid="{3E52E12E-93E9-4685-B75C-40D8128EBDB3}"/>
    <cellStyle name="Eingabe 4 3 2 58" xfId="28597" xr:uid="{47199812-0F6A-41BB-909F-9D1E0771A9B4}"/>
    <cellStyle name="Eingabe 4 3 2 59" xfId="29064" xr:uid="{54FB50A3-8627-46E5-9C36-8083D3413D6B}"/>
    <cellStyle name="Eingabe 4 3 2 6" xfId="3601" xr:uid="{5565DA75-CC20-4FE0-A3AA-E44A98A2FC58}"/>
    <cellStyle name="Eingabe 4 3 2 60" xfId="28005" xr:uid="{A3FC8DF1-64FF-4A0D-BF23-26873460E566}"/>
    <cellStyle name="Eingabe 4 3 2 61" xfId="29853" xr:uid="{493E8CC1-2071-42A1-86C7-2B1F18EC0DF8}"/>
    <cellStyle name="Eingabe 4 3 2 62" xfId="30259" xr:uid="{CB7C88C1-4F79-4A94-9BFF-961842690EE9}"/>
    <cellStyle name="Eingabe 4 3 2 63" xfId="30676" xr:uid="{0268C876-D5A3-4B3C-85AD-2CCF69CFE6A9}"/>
    <cellStyle name="Eingabe 4 3 2 64" xfId="29201" xr:uid="{B5B92A13-2E56-4074-8AD9-3B59413C4D4D}"/>
    <cellStyle name="Eingabe 4 3 2 65" xfId="31292" xr:uid="{A442EDA5-84B4-4A18-8ECB-1D6B1D4F6C1B}"/>
    <cellStyle name="Eingabe 4 3 2 66" xfId="31983" xr:uid="{DF11AD81-58B3-417D-A826-72CA0EDBF617}"/>
    <cellStyle name="Eingabe 4 3 2 67" xfId="31467" xr:uid="{5EB34E80-B6B7-4069-AAF1-55D40E07216B}"/>
    <cellStyle name="Eingabe 4 3 2 7" xfId="4075" xr:uid="{47B28BA0-DE90-4D6F-AA6F-59E550F3EA29}"/>
    <cellStyle name="Eingabe 4 3 2 8" xfId="4512" xr:uid="{D0E6D163-C10B-48FC-B97C-C18D5A4220B3}"/>
    <cellStyle name="Eingabe 4 3 2 9" xfId="3508" xr:uid="{CEC3C7D1-A993-495D-92F7-9A11CA273AE7}"/>
    <cellStyle name="Eingabe 4 3 20" xfId="10170" xr:uid="{F337892C-31BB-4923-86E0-B120C3106F3E}"/>
    <cellStyle name="Eingabe 4 3 21" xfId="10577" xr:uid="{5031F19D-888E-404D-8658-271E9CED25C7}"/>
    <cellStyle name="Eingabe 4 3 22" xfId="9896" xr:uid="{C52A994E-B50D-4C3D-8442-68E399337F83}"/>
    <cellStyle name="Eingabe 4 3 23" xfId="11254" xr:uid="{762DD66C-0020-46DE-83EB-69DAEA8251FD}"/>
    <cellStyle name="Eingabe 4 3 24" xfId="11895" xr:uid="{E32D9078-CB0B-41AB-9574-D064A33FD51E}"/>
    <cellStyle name="Eingabe 4 3 25" xfId="12368" xr:uid="{5B76A32B-D4BE-418F-BC16-453934ABEE40}"/>
    <cellStyle name="Eingabe 4 3 26" xfId="12802" xr:uid="{89F653EE-2670-4D51-99E4-235368EA7B69}"/>
    <cellStyle name="Eingabe 4 3 27" xfId="13239" xr:uid="{061A091C-6A5C-471A-8105-A485D9B51114}"/>
    <cellStyle name="Eingabe 4 3 28" xfId="11735" xr:uid="{947A1283-F30B-47A4-85C9-A4051B02109A}"/>
    <cellStyle name="Eingabe 4 3 29" xfId="14291" xr:uid="{859BB7AE-77FC-40DE-A3B0-1CB67E49B9E2}"/>
    <cellStyle name="Eingabe 4 3 3" xfId="1025" xr:uid="{1425F744-48EF-48BC-9787-DB623C9E7D06}"/>
    <cellStyle name="Eingabe 4 3 30" xfId="14765" xr:uid="{9A4032AE-6C11-4748-BA3F-1D76810C318B}"/>
    <cellStyle name="Eingabe 4 3 31" xfId="15299" xr:uid="{55E6E015-25DC-45AD-90F9-E270CE1A65C5}"/>
    <cellStyle name="Eingabe 4 3 32" xfId="15171" xr:uid="{DB4ACE7E-FE87-4077-A16C-533611C0C066}"/>
    <cellStyle name="Eingabe 4 3 33" xfId="15945" xr:uid="{B17E4558-C798-4465-8416-1DF22A30FB18}"/>
    <cellStyle name="Eingabe 4 3 34" xfId="16587" xr:uid="{9136D4AD-0A68-4E8B-A71C-08253E1AAD74}"/>
    <cellStyle name="Eingabe 4 3 35" xfId="17290" xr:uid="{3B1B50AD-1716-4921-9955-CDF8D0179CCA}"/>
    <cellStyle name="Eingabe 4 3 36" xfId="17733" xr:uid="{13518D0C-C1A9-4F0C-AA1D-413E7A62A198}"/>
    <cellStyle name="Eingabe 4 3 37" xfId="17132" xr:uid="{545C7A0E-3394-449A-9B82-C71703770141}"/>
    <cellStyle name="Eingabe 4 3 38" xfId="18405" xr:uid="{EDE8D692-6830-47A4-804F-9B3355622566}"/>
    <cellStyle name="Eingabe 4 3 39" xfId="16483" xr:uid="{73A78524-DC10-4520-8044-533C2694D83A}"/>
    <cellStyle name="Eingabe 4 3 4" xfId="1746" xr:uid="{3C1F2D20-E33A-47F7-A258-91E9A4963DE9}"/>
    <cellStyle name="Eingabe 4 3 40" xfId="18561" xr:uid="{F39C8759-49BB-48A5-9ABF-A65014F0570E}"/>
    <cellStyle name="Eingabe 4 3 41" xfId="19924" xr:uid="{3988B514-7728-4412-A12A-AB0CF6940450}"/>
    <cellStyle name="Eingabe 4 3 42" xfId="20640" xr:uid="{7621E866-7779-4B63-BB90-0B2A66C12DEA}"/>
    <cellStyle name="Eingabe 4 3 43" xfId="21096" xr:uid="{02D2B4F5-7B81-4C60-8514-43DDDB92019B}"/>
    <cellStyle name="Eingabe 4 3 44" xfId="20582" xr:uid="{7EF26757-D7F0-4E45-A4B8-2782077FFA60}"/>
    <cellStyle name="Eingabe 4 3 45" xfId="22027" xr:uid="{EDCBCC8E-4DE1-40AC-90B7-42A1006A3217}"/>
    <cellStyle name="Eingabe 4 3 46" xfId="22457" xr:uid="{5CEFACED-0A38-40D0-9D40-5483C380C1C2}"/>
    <cellStyle name="Eingabe 4 3 47" xfId="22409" xr:uid="{54C4634F-FCC4-44A4-BD83-754DFAE06B76}"/>
    <cellStyle name="Eingabe 4 3 48" xfId="22668" xr:uid="{60AD9055-DEAE-46D4-B1E1-814F1760C43C}"/>
    <cellStyle name="Eingabe 4 3 49" xfId="23193" xr:uid="{502D61CB-7E7C-4353-B7F8-C94A9A82BE7D}"/>
    <cellStyle name="Eingabe 4 3 5" xfId="2364" xr:uid="{FBE68D9D-B73A-431A-A233-BEEFEC5A3C5B}"/>
    <cellStyle name="Eingabe 4 3 50" xfId="23733" xr:uid="{E25B6F80-4A43-400B-B6ED-A5CA71D4D30D}"/>
    <cellStyle name="Eingabe 4 3 51" xfId="24632" xr:uid="{1B2FA057-37E3-43A9-A4DE-9AC370CB5FAE}"/>
    <cellStyle name="Eingabe 4 3 52" xfId="25344" xr:uid="{6251F508-EAE4-4855-8274-ECE9006E38E4}"/>
    <cellStyle name="Eingabe 4 3 53" xfId="25550" xr:uid="{83CA477B-710A-49D3-A430-18A9A69F5906}"/>
    <cellStyle name="Eingabe 4 3 54" xfId="24544" xr:uid="{4BD2DDE7-CDB0-4357-8E12-14EB5FE7374A}"/>
    <cellStyle name="Eingabe 4 3 55" xfId="24345" xr:uid="{6184EBFC-57AE-40D6-B589-C5D6014EE845}"/>
    <cellStyle name="Eingabe 4 3 56" xfId="26840" xr:uid="{1946FFC3-5CFB-44BE-8E86-B0C65B7DC7D4}"/>
    <cellStyle name="Eingabe 4 3 57" xfId="27259" xr:uid="{C2C4CFC0-6B39-4ACE-BBD1-B58C12D3B9AC}"/>
    <cellStyle name="Eingabe 4 3 58" xfId="27760" xr:uid="{94E2664C-52BE-4A39-8024-5BF43BD64499}"/>
    <cellStyle name="Eingabe 4 3 59" xfId="28382" xr:uid="{6A3F6FA7-B689-4467-93DB-5526076EA803}"/>
    <cellStyle name="Eingabe 4 3 6" xfId="1911" xr:uid="{B997BB3C-733F-44CB-A3D3-DDEC75833839}"/>
    <cellStyle name="Eingabe 4 3 60" xfId="28850" xr:uid="{A56025AD-7247-4883-87F1-11692C3C5151}"/>
    <cellStyle name="Eingabe 4 3 61" xfId="29468" xr:uid="{04DA0A66-3DEF-4B70-AE16-8ACF31065EDD}"/>
    <cellStyle name="Eingabe 4 3 62" xfId="29640" xr:uid="{1CF93455-8892-4551-A5F2-1FC14C963795}"/>
    <cellStyle name="Eingabe 4 3 63" xfId="30048" xr:uid="{84EAA656-BAE7-4E4F-8A53-63B754465CF3}"/>
    <cellStyle name="Eingabe 4 3 64" xfId="30462" xr:uid="{B2CE5B44-44EF-422B-B072-B05950E51357}"/>
    <cellStyle name="Eingabe 4 3 65" xfId="29229" xr:uid="{0F501A5D-E488-462B-889A-7A129EC121BA}"/>
    <cellStyle name="Eingabe 4 3 66" xfId="31086" xr:uid="{808780E0-C4F1-40F9-828C-7ABF952A526D}"/>
    <cellStyle name="Eingabe 4 3 67" xfId="31772" xr:uid="{4A9AF897-6F11-4BFA-80A6-FF4EB2A3AAC8}"/>
    <cellStyle name="Eingabe 4 3 68" xfId="31451" xr:uid="{C084E896-B8AA-4838-8354-8684D2597BEE}"/>
    <cellStyle name="Eingabe 4 3 7" xfId="3069" xr:uid="{755FEE82-C16D-4E89-95EA-322971624366}"/>
    <cellStyle name="Eingabe 4 3 8" xfId="3860" xr:uid="{9292BEA3-DF5C-41F9-AFBD-E447F080DB16}"/>
    <cellStyle name="Eingabe 4 3 9" xfId="4298" xr:uid="{AB8A0E00-2B80-434A-8270-8474844644F8}"/>
    <cellStyle name="Eingabe 4 30" xfId="16273" xr:uid="{01C6E296-ECDF-4AA3-88F6-070BD0B61BB5}"/>
    <cellStyle name="Eingabe 4 31" xfId="18220" xr:uid="{E07E67A5-EF77-4A4E-9FAC-66E67103270D}"/>
    <cellStyle name="Eingabe 4 32" xfId="17989" xr:uid="{1E13DE65-0AD7-48C4-B644-F605FCBADE15}"/>
    <cellStyle name="Eingabe 4 33" xfId="18367" xr:uid="{7B37EF44-509D-4CF9-BDDF-C182C6E0F746}"/>
    <cellStyle name="Eingabe 4 34" xfId="19661" xr:uid="{54416302-D7BB-4027-8942-56EC22F29A5C}"/>
    <cellStyle name="Eingabe 4 35" xfId="19604" xr:uid="{D794F295-F0E2-4B59-BD07-3D63766A226A}"/>
    <cellStyle name="Eingabe 4 36" xfId="21875" xr:uid="{7730796E-75DA-4FCA-A147-A8818962FC3E}"/>
    <cellStyle name="Eingabe 4 37" xfId="22526" xr:uid="{57BCE8FB-513F-4610-B46E-A942BFA98A00}"/>
    <cellStyle name="Eingabe 4 38" xfId="23645" xr:uid="{13FF8F29-791F-45AF-A61F-3103B8C0B28D}"/>
    <cellStyle name="Eingabe 4 39" xfId="24381" xr:uid="{D183CC35-739F-4852-96E5-E2435497AD5B}"/>
    <cellStyle name="Eingabe 4 4" xfId="518" xr:uid="{35070198-6ED0-40B5-A81B-595AE4FD849C}"/>
    <cellStyle name="Eingabe 4 4 10" xfId="4729" xr:uid="{E11944D9-9470-4DE7-AFFD-5DFCAB3BB5F2}"/>
    <cellStyle name="Eingabe 4 4 11" xfId="5166" xr:uid="{B2F345B4-6352-4DF4-98EA-BD4BF7A9708B}"/>
    <cellStyle name="Eingabe 4 4 12" xfId="3648" xr:uid="{387BDB18-5A24-4991-8FC1-787CAB130938}"/>
    <cellStyle name="Eingabe 4 4 13" xfId="2981" xr:uid="{1913B406-0266-41AA-B915-7C2A0A72062A}"/>
    <cellStyle name="Eingabe 4 4 14" xfId="6411" xr:uid="{C334B5BC-C655-4C62-BD53-F0B80E581884}"/>
    <cellStyle name="Eingabe 4 4 15" xfId="7238" xr:uid="{436CB343-76D1-4A34-84A8-9C6EA87D493A}"/>
    <cellStyle name="Eingabe 4 4 16" xfId="7925" xr:uid="{7A31413A-B673-4547-8BE1-81E0F372CDB4}"/>
    <cellStyle name="Eingabe 4 4 17" xfId="8047" xr:uid="{AAFCA581-94BE-431A-ABF5-82423A0F9C7A}"/>
    <cellStyle name="Eingabe 4 4 18" xfId="8234" xr:uid="{A721C579-62B5-426A-BBD4-D25898D73BCA}"/>
    <cellStyle name="Eingabe 4 4 19" xfId="9452" xr:uid="{40771209-E672-4614-8472-28A852D7F231}"/>
    <cellStyle name="Eingabe 4 4 2" xfId="733" xr:uid="{A8748FCD-B7DA-4241-B902-4E52A304BF5B}"/>
    <cellStyle name="Eingabe 4 4 2 10" xfId="5381" xr:uid="{1F065FD1-746E-4D66-9E1B-84093A59453F}"/>
    <cellStyle name="Eingabe 4 4 2 11" xfId="5131" xr:uid="{DE722EA6-6C0A-4B17-B2E6-1C843DCCAEB0}"/>
    <cellStyle name="Eingabe 4 4 2 12" xfId="5867" xr:uid="{1CE53549-4263-402C-B797-CD440F7A282B}"/>
    <cellStyle name="Eingabe 4 4 2 13" xfId="6407" xr:uid="{7C25861E-02C4-44AA-89A4-D5B570443387}"/>
    <cellStyle name="Eingabe 4 4 2 14" xfId="7453" xr:uid="{EBBEA94D-8ACF-49D7-988C-B06332408E6E}"/>
    <cellStyle name="Eingabe 4 4 2 15" xfId="6782" xr:uid="{3AC76CE8-6443-405D-8D72-846BC4810E05}"/>
    <cellStyle name="Eingabe 4 4 2 16" xfId="8452" xr:uid="{1434C0EA-6E79-4E8B-A37B-83625441B8C9}"/>
    <cellStyle name="Eingabe 4 4 2 17" xfId="8768" xr:uid="{8B6A2CD3-621A-4416-BF66-9BBC29A65A55}"/>
    <cellStyle name="Eingabe 4 4 2 18" xfId="9667" xr:uid="{6FF0FBAB-6EF8-46AE-940F-F0245C0FED3C}"/>
    <cellStyle name="Eingabe 4 4 2 19" xfId="8994" xr:uid="{1038797E-9EFC-4AB6-87CD-12B5E7300B88}"/>
    <cellStyle name="Eingabe 4 4 2 2" xfId="1207" xr:uid="{7A9C4534-4677-43C1-B40A-57DE3A2718EA}"/>
    <cellStyle name="Eingabe 4 4 2 20" xfId="10015" xr:uid="{BE690946-DA12-4117-8BE2-F358AA0A98EE}"/>
    <cellStyle name="Eingabe 4 4 2 21" xfId="9984" xr:uid="{B87652B1-EB5E-421F-88A2-44B401DEE686}"/>
    <cellStyle name="Eingabe 4 4 2 22" xfId="11070" xr:uid="{43E3949E-9A2F-47FD-B17B-610B841C43E5}"/>
    <cellStyle name="Eingabe 4 4 2 23" xfId="12086" xr:uid="{F718E14D-6812-4933-9E44-DD5F883ED073}"/>
    <cellStyle name="Eingabe 4 4 2 24" xfId="12559" xr:uid="{16C3BBA1-E397-4B5B-8759-45D22994FB9A}"/>
    <cellStyle name="Eingabe 4 4 2 25" xfId="12993" xr:uid="{B5227708-80F1-4D85-8B69-CBEA32CDADFB}"/>
    <cellStyle name="Eingabe 4 4 2 26" xfId="13430" xr:uid="{FA0FD21F-D1F1-4006-A3BB-861DAE00AD5F}"/>
    <cellStyle name="Eingabe 4 4 2 27" xfId="11862" xr:uid="{7CCEFCEC-5401-4C14-8ACF-8F4FEE308235}"/>
    <cellStyle name="Eingabe 4 4 2 28" xfId="13844" xr:uid="{A78A6A7C-C35F-49E4-B709-3B27E4D293D3}"/>
    <cellStyle name="Eingabe 4 4 2 29" xfId="14188" xr:uid="{73FD5064-D91E-4B24-9970-7421F2720027}"/>
    <cellStyle name="Eingabe 4 4 2 3" xfId="1440" xr:uid="{EC59E080-E5E5-4A9B-8822-471CCC7F5A41}"/>
    <cellStyle name="Eingabe 4 4 2 30" xfId="15008" xr:uid="{84966F9F-1046-4C1E-9EFD-58B6BCC6FC03}"/>
    <cellStyle name="Eingabe 4 4 2 31" xfId="15224" xr:uid="{08C28DD5-FBBC-451F-87D8-B615E87F299A}"/>
    <cellStyle name="Eingabe 4 4 2 32" xfId="15312" xr:uid="{E66AB616-BA9C-4526-A9C6-8FC3259EAB34}"/>
    <cellStyle name="Eingabe 4 4 2 33" xfId="16778" xr:uid="{174ACF8E-404F-4299-BC8E-8A014492BF8C}"/>
    <cellStyle name="Eingabe 4 4 2 34" xfId="16091" xr:uid="{862D4321-F650-46BA-B557-5881AB502A45}"/>
    <cellStyle name="Eingabe 4 4 2 35" xfId="17131" xr:uid="{2D7B841E-EC14-4D57-83CE-C15E2A00B847}"/>
    <cellStyle name="Eingabe 4 4 2 36" xfId="17984" xr:uid="{C5EBCF29-D7E1-4FD4-91F3-A5BB757076E7}"/>
    <cellStyle name="Eingabe 4 4 2 37" xfId="18596" xr:uid="{4AF40857-048A-46E9-80A2-1C67DE0A486C}"/>
    <cellStyle name="Eingabe 4 4 2 38" xfId="18882" xr:uid="{1230AB99-1123-472C-B735-0C43A1C3EDA1}"/>
    <cellStyle name="Eingabe 4 4 2 39" xfId="18163" xr:uid="{EAE5CFF2-E895-410D-9958-CCB796B67B41}"/>
    <cellStyle name="Eingabe 4 4 2 4" xfId="2555" xr:uid="{5290FE32-2DB4-4F55-AB32-EA337D64417D}"/>
    <cellStyle name="Eingabe 4 4 2 40" xfId="20115" xr:uid="{D35564A9-9A46-43CA-B908-6D3F22AC9655}"/>
    <cellStyle name="Eingabe 4 4 2 41" xfId="19424" xr:uid="{DD406387-8B80-4004-A864-2FC37D8CAE2E}"/>
    <cellStyle name="Eingabe 4 4 2 42" xfId="19548" xr:uid="{E63713FE-496E-435C-BD5D-CF704CAC1E06}"/>
    <cellStyle name="Eingabe 4 4 2 43" xfId="21377" xr:uid="{A360A1C3-E4F2-498F-AAD3-B41E74F61201}"/>
    <cellStyle name="Eingabe 4 4 2 44" xfId="21100" xr:uid="{C9112D81-9AD8-42BF-8A3C-FF59370A9F36}"/>
    <cellStyle name="Eingabe 4 4 2 45" xfId="21866" xr:uid="{9C3F5D92-432F-46E6-B7F2-63C66FB6054E}"/>
    <cellStyle name="Eingabe 4 4 2 46" xfId="22190" xr:uid="{1B5EA439-14C5-4688-8268-67B46C787183}"/>
    <cellStyle name="Eingabe 4 4 2 47" xfId="23157" xr:uid="{188E0180-A0D1-4362-BF19-E65AE7F52045}"/>
    <cellStyle name="Eingabe 4 4 2 48" xfId="22241" xr:uid="{0D248825-1E46-437E-9BA4-AE939574624E}"/>
    <cellStyle name="Eingabe 4 4 2 49" xfId="23915" xr:uid="{5BC322CE-0A4B-4DC5-8ADB-E148CB167E2F}"/>
    <cellStyle name="Eingabe 4 4 2 5" xfId="2310" xr:uid="{BA68C170-C3A7-4A31-B4E7-C1B9FDE1899E}"/>
    <cellStyle name="Eingabe 4 4 2 50" xfId="24823" xr:uid="{421E33F3-9231-4082-ADE3-BF096F57AB90}"/>
    <cellStyle name="Eingabe 4 4 2 51" xfId="24147" xr:uid="{74F13F9D-3901-4C05-9128-29AA620E64DE}"/>
    <cellStyle name="Eingabe 4 4 2 52" xfId="25739" xr:uid="{A2F47EA3-AC48-4DA4-9B38-E6443FA4FA9D}"/>
    <cellStyle name="Eingabe 4 4 2 53" xfId="25244" xr:uid="{B372CC9B-732A-4072-AE21-518F84C50B80}"/>
    <cellStyle name="Eingabe 4 4 2 54" xfId="26360" xr:uid="{94BA0F22-F490-452E-8936-62804632CA25}"/>
    <cellStyle name="Eingabe 4 4 2 55" xfId="27027" xr:uid="{EDC88DB7-0B5E-4961-B683-08884AA4E95A}"/>
    <cellStyle name="Eingabe 4 4 2 56" xfId="27446" xr:uid="{C3ECE681-A8FB-488C-B1BC-FF6FB9C76AD1}"/>
    <cellStyle name="Eingabe 4 4 2 57" xfId="27659" xr:uid="{D7A39A37-7AA0-43D7-95D3-F2652BCAF59E}"/>
    <cellStyle name="Eingabe 4 4 2 58" xfId="28573" xr:uid="{58600DD0-D860-4253-A4BE-A804EAEF3272}"/>
    <cellStyle name="Eingabe 4 4 2 59" xfId="29040" xr:uid="{3426A54A-BC37-4FFD-AF8C-BD9BEAC518AA}"/>
    <cellStyle name="Eingabe 4 4 2 6" xfId="2882" xr:uid="{C321CB59-F633-4020-BE99-23BE8E2DBB86}"/>
    <cellStyle name="Eingabe 4 4 2 60" xfId="28331" xr:uid="{7090EB60-D976-473E-9D8F-05511166B76A}"/>
    <cellStyle name="Eingabe 4 4 2 61" xfId="29829" xr:uid="{FC6FB243-43CB-42E7-AC22-8E98CB3F27A8}"/>
    <cellStyle name="Eingabe 4 4 2 62" xfId="30235" xr:uid="{4A551C67-FCB9-4CCB-BF53-65E503FFD995}"/>
    <cellStyle name="Eingabe 4 4 2 63" xfId="30652" xr:uid="{1D69C06A-6743-40FA-A06C-9B4474C11B8F}"/>
    <cellStyle name="Eingabe 4 4 2 64" xfId="29343" xr:uid="{C6A0B51B-E44C-4A2A-9A5E-DA90E3475E42}"/>
    <cellStyle name="Eingabe 4 4 2 65" xfId="31268" xr:uid="{BEDF5DBF-3EA9-48BD-867F-0D1496B2210E}"/>
    <cellStyle name="Eingabe 4 4 2 66" xfId="31959" xr:uid="{1AC75BD4-C4ED-4505-93BF-70A1A591FE68}"/>
    <cellStyle name="Eingabe 4 4 2 67" xfId="31697" xr:uid="{B4A2C37D-3573-4A68-B4A4-FD51E611F373}"/>
    <cellStyle name="Eingabe 4 4 2 7" xfId="4051" xr:uid="{A9E436A1-FE91-4D02-8316-ED5BFDF72383}"/>
    <cellStyle name="Eingabe 4 4 2 8" xfId="4488" xr:uid="{622A74E1-A95B-4D77-8DA2-E5A9884F9218}"/>
    <cellStyle name="Eingabe 4 4 2 9" xfId="4233" xr:uid="{0759532C-A939-4C40-BF78-529F8B2383E5}"/>
    <cellStyle name="Eingabe 4 4 20" xfId="10139" xr:uid="{80D7D792-EFF2-4F17-ABCA-A8D57D31E1F7}"/>
    <cellStyle name="Eingabe 4 4 21" xfId="10549" xr:uid="{B0B0AAF6-A87B-4DC1-ABC4-485E3CFB4F8C}"/>
    <cellStyle name="Eingabe 4 4 22" xfId="9430" xr:uid="{D460979C-6F2E-4192-AA02-1AB102E473A2}"/>
    <cellStyle name="Eingabe 4 4 23" xfId="10881" xr:uid="{87708FFE-4D85-4ADD-8BA3-E94AF4F71AB3}"/>
    <cellStyle name="Eingabe 4 4 24" xfId="11871" xr:uid="{D309F6B6-FDE4-47C8-9675-5C2C59027B6A}"/>
    <cellStyle name="Eingabe 4 4 25" xfId="12344" xr:uid="{D976E1D6-034A-4A1E-9DE2-062232552259}"/>
    <cellStyle name="Eingabe 4 4 26" xfId="12778" xr:uid="{A0C088E5-E154-4616-8526-035E88C836AC}"/>
    <cellStyle name="Eingabe 4 4 27" xfId="13215" xr:uid="{A57A52C3-7A1C-4E12-BA83-71BE7071E02B}"/>
    <cellStyle name="Eingabe 4 4 28" xfId="13176" xr:uid="{585B05C6-9E64-4553-BB85-F1A206E43211}"/>
    <cellStyle name="Eingabe 4 4 29" xfId="14286" xr:uid="{35AAF0EC-55EF-4083-82C3-243DAFF73DF7}"/>
    <cellStyle name="Eingabe 4 4 3" xfId="1001" xr:uid="{D0F46336-42F8-4AF6-940B-285891C80C9B}"/>
    <cellStyle name="Eingabe 4 4 30" xfId="14875" xr:uid="{841A09BE-CDE6-4731-931E-5908636C6A53}"/>
    <cellStyle name="Eingabe 4 4 31" xfId="15163" xr:uid="{8AC35845-3DA5-4185-A322-526BFE734DE9}"/>
    <cellStyle name="Eingabe 4 4 32" xfId="14790" xr:uid="{10136BA5-E5C5-445F-A52E-06F8884DCBF9}"/>
    <cellStyle name="Eingabe 4 4 33" xfId="15932" xr:uid="{956323F0-B648-464A-8EF3-044EB19A2A34}"/>
    <cellStyle name="Eingabe 4 4 34" xfId="16563" xr:uid="{F53C4B94-1BD9-482C-B5DC-A29D4CB3776A}"/>
    <cellStyle name="Eingabe 4 4 35" xfId="17258" xr:uid="{C7A080E8-BAD4-4097-968F-679B6D5460A7}"/>
    <cellStyle name="Eingabe 4 4 36" xfId="17702" xr:uid="{4D1762DF-DFC6-4A61-AC43-E5FC274C3C73}"/>
    <cellStyle name="Eingabe 4 4 37" xfId="17894" xr:uid="{4314659A-0617-4176-AC06-1D3B1CFE0FE8}"/>
    <cellStyle name="Eingabe 4 4 38" xfId="18381" xr:uid="{365372EA-C9B4-4897-AC8B-33A2D61B2EF4}"/>
    <cellStyle name="Eingabe 4 4 39" xfId="18276" xr:uid="{108EBFDE-13B4-4F47-8A83-879CA780FD28}"/>
    <cellStyle name="Eingabe 4 4 4" xfId="1710" xr:uid="{9F9DEFF6-5E6F-4BA6-8B7B-0239F3A53BAD}"/>
    <cellStyle name="Eingabe 4 4 40" xfId="17742" xr:uid="{38465016-9D04-4647-8769-D822F708659A}"/>
    <cellStyle name="Eingabe 4 4 41" xfId="19900" xr:uid="{2147B4F4-8EE6-498B-ABEA-5906CE58FC03}"/>
    <cellStyle name="Eingabe 4 4 42" xfId="20608" xr:uid="{D3A6C7FF-7291-4A79-B9C4-2F8A31E7C48C}"/>
    <cellStyle name="Eingabe 4 4 43" xfId="21063" xr:uid="{00D399D8-2FF3-45D7-A17E-55DF65B7519F}"/>
    <cellStyle name="Eingabe 4 4 44" xfId="21180" xr:uid="{70220C6C-9EE6-46B0-9880-DCFAFEB48552}"/>
    <cellStyle name="Eingabe 4 4 45" xfId="21994" xr:uid="{6F1860CD-5A53-454A-95E4-A20610EEC882}"/>
    <cellStyle name="Eingabe 4 4 46" xfId="22425" xr:uid="{11CFE7E8-9CDB-4303-83A8-0DAF0DC6F703}"/>
    <cellStyle name="Eingabe 4 4 47" xfId="22203" xr:uid="{5029FD67-1FD9-4883-ACBD-B2912C125FBD}"/>
    <cellStyle name="Eingabe 4 4 48" xfId="22227" xr:uid="{C51F4E5D-DE6C-4192-88C0-831E7820767A}"/>
    <cellStyle name="Eingabe 4 4 49" xfId="22894" xr:uid="{3E1CECB0-2AD3-41A7-B634-85CB6B79A628}"/>
    <cellStyle name="Eingabe 4 4 5" xfId="2340" xr:uid="{C28EAC10-E295-48D7-876C-645CB2FD927F}"/>
    <cellStyle name="Eingabe 4 4 50" xfId="23709" xr:uid="{A01ECFF3-0D0E-431B-8BD0-30270D367E43}"/>
    <cellStyle name="Eingabe 4 4 51" xfId="24608" xr:uid="{E329AAC7-26E8-4A53-A0CB-EC838F427597}"/>
    <cellStyle name="Eingabe 4 4 52" xfId="25317" xr:uid="{66BA5D55-AAD8-4393-B15E-68E6B774F0D5}"/>
    <cellStyle name="Eingabe 4 4 53" xfId="25526" xr:uid="{7D212C99-02E2-4D41-BADF-87AF57289A9E}"/>
    <cellStyle name="Eingabe 4 4 54" xfId="25487" xr:uid="{623C91ED-19AA-4C92-94A6-643820E52C81}"/>
    <cellStyle name="Eingabe 4 4 55" xfId="25963" xr:uid="{BC6B90C0-50EF-4E06-9878-4961E96C73F9}"/>
    <cellStyle name="Eingabe 4 4 56" xfId="26816" xr:uid="{11F6B2BC-88C4-4AD0-A549-D5AD0DD87C77}"/>
    <cellStyle name="Eingabe 4 4 57" xfId="27235" xr:uid="{14FFBF02-9967-478A-B452-BEC9D6CD73A2}"/>
    <cellStyle name="Eingabe 4 4 58" xfId="27813" xr:uid="{9A13E6CD-3A19-477D-A3E4-DDA218B7674D}"/>
    <cellStyle name="Eingabe 4 4 59" xfId="28358" xr:uid="{CA245A87-860A-4995-A1F5-3BFD3663A527}"/>
    <cellStyle name="Eingabe 4 4 6" xfId="2248" xr:uid="{A0A556E7-19B6-48FE-9447-F3872FAACED4}"/>
    <cellStyle name="Eingabe 4 4 60" xfId="28826" xr:uid="{747D883D-02A8-4E33-AC23-7809C36665FB}"/>
    <cellStyle name="Eingabe 4 4 61" xfId="29439" xr:uid="{568FDC6D-9F8D-42E7-B609-5F1C1132C460}"/>
    <cellStyle name="Eingabe 4 4 62" xfId="29616" xr:uid="{AB6DC529-2060-485E-AFC4-D656B049A24B}"/>
    <cellStyle name="Eingabe 4 4 63" xfId="30024" xr:uid="{8C6AB2E2-A052-4A29-A360-B6B2F725C154}"/>
    <cellStyle name="Eingabe 4 4 64" xfId="30438" xr:uid="{350F17A1-5396-46EB-ACAC-94958EDBAFD1}"/>
    <cellStyle name="Eingabe 4 4 65" xfId="30911" xr:uid="{78AA2CDA-E910-459A-80A4-12E7456FD264}"/>
    <cellStyle name="Eingabe 4 4 66" xfId="31062" xr:uid="{2F566551-AD15-45E4-92F6-3CA608FE6530}"/>
    <cellStyle name="Eingabe 4 4 67" xfId="31748" xr:uid="{6EE3C6BB-3642-4D91-9A87-6A32ED29F8B0}"/>
    <cellStyle name="Eingabe 4 4 68" xfId="32163" xr:uid="{25D6DABB-555A-4B56-B3C1-CFE1C1AA88E2}"/>
    <cellStyle name="Eingabe 4 4 7" xfId="3289" xr:uid="{B134546B-5F89-4619-BD3A-E5C0D53963F6}"/>
    <cellStyle name="Eingabe 4 4 8" xfId="3836" xr:uid="{A68CF9BD-1D13-494E-995C-B8D42C5833C3}"/>
    <cellStyle name="Eingabe 4 4 9" xfId="4274" xr:uid="{FBC4AEF0-332B-4D78-B59C-00B3DD11394D}"/>
    <cellStyle name="Eingabe 4 40" xfId="25026" xr:uid="{668D789D-AA56-416E-BA78-C0D5F0A857D8}"/>
    <cellStyle name="Eingabe 4 41" xfId="25052" xr:uid="{AD1325EA-2B43-4EEC-AF68-FD83D1862D8C}"/>
    <cellStyle name="Eingabe 4 42" xfId="24358" xr:uid="{E9687A44-A31F-4F59-BA1E-04EEC0CCCCFD}"/>
    <cellStyle name="Eingabe 4 43" xfId="25491" xr:uid="{05476491-BD5C-454D-9C9A-79801FC0BA99}"/>
    <cellStyle name="Eingabe 4 44" xfId="26602" xr:uid="{8CF5760C-93FE-4A4B-AD5E-E42AAF825A9C}"/>
    <cellStyle name="Eingabe 4 45" xfId="26799" xr:uid="{6940DD68-5648-44BB-AFB2-81FA154D2720}"/>
    <cellStyle name="Eingabe 4 46" xfId="28152" xr:uid="{4BDB8BB6-2914-47C8-9459-1BE4ABDE6CA6}"/>
    <cellStyle name="Eingabe 4 47" xfId="28013" xr:uid="{83D2534E-5C05-4322-9AB3-B7701AE3AAC6}"/>
    <cellStyle name="Eingabe 4 48" xfId="29349" xr:uid="{BC2CF399-5ED8-4B59-A6D3-7A8E4D4CD1D2}"/>
    <cellStyle name="Eingabe 4 49" xfId="28747" xr:uid="{88894E0F-4DB5-4F60-A5BD-D19440EC2985}"/>
    <cellStyle name="Eingabe 4 5" xfId="701" xr:uid="{1FB3C6B0-AFA7-4EED-8D74-73264D0E70AD}"/>
    <cellStyle name="Eingabe 4 5 10" xfId="5349" xr:uid="{73768721-F851-4047-AF1E-9BCF008E8A5B}"/>
    <cellStyle name="Eingabe 4 5 11" xfId="5832" xr:uid="{9048C687-D4F0-445B-BD4B-823F72900DF6}"/>
    <cellStyle name="Eingabe 4 5 12" xfId="5133" xr:uid="{A978B913-0464-4728-9C59-59BD72E52106}"/>
    <cellStyle name="Eingabe 4 5 13" xfId="6135" xr:uid="{B1A20847-B3F6-48CA-A493-4C30CB1294AA}"/>
    <cellStyle name="Eingabe 4 5 14" xfId="7421" xr:uid="{C2BCEFEE-7BD4-4460-A314-B530C80278BE}"/>
    <cellStyle name="Eingabe 4 5 15" xfId="7980" xr:uid="{FD43CAD5-4252-46A4-BCC0-9FD2845D63EB}"/>
    <cellStyle name="Eingabe 4 5 16" xfId="6765" xr:uid="{89F00370-F6F4-4036-84F9-672ED10B5D3F}"/>
    <cellStyle name="Eingabe 4 5 17" xfId="8700" xr:uid="{322BBD6C-89BA-4A9B-967E-F6C11C8D1E09}"/>
    <cellStyle name="Eingabe 4 5 18" xfId="9635" xr:uid="{CB260773-454E-43D7-99B4-A18A521EA6CD}"/>
    <cellStyle name="Eingabe 4 5 19" xfId="10196" xr:uid="{1D49C75D-2575-49A9-8A0E-7E0E519F198F}"/>
    <cellStyle name="Eingabe 4 5 2" xfId="1176" xr:uid="{D44CC2AE-0DB4-4E48-9892-1E5C565662EA}"/>
    <cellStyle name="Eingabe 4 5 20" xfId="10600" xr:uid="{A7BAA882-EA40-4A60-B172-D282A7E82550}"/>
    <cellStyle name="Eingabe 4 5 21" xfId="9953" xr:uid="{3B0B599F-7CC8-45CE-98DD-FE53756F91DF}"/>
    <cellStyle name="Eingabe 4 5 22" xfId="11011" xr:uid="{BDAC7527-8716-4681-8C5E-0D8516710D36}"/>
    <cellStyle name="Eingabe 4 5 23" xfId="12054" xr:uid="{06161BF1-FD46-49C0-A254-DD6AF634152A}"/>
    <cellStyle name="Eingabe 4 5 24" xfId="12527" xr:uid="{483F06AF-98CB-4678-B8C6-6593B7D6761E}"/>
    <cellStyle name="Eingabe 4 5 25" xfId="12961" xr:uid="{58493730-C398-4C2A-9111-D556FC5BF880}"/>
    <cellStyle name="Eingabe 4 5 26" xfId="13398" xr:uid="{B9FD127E-B353-4C31-A731-610A7860B19D}"/>
    <cellStyle name="Eingabe 4 5 27" xfId="12718" xr:uid="{3FB84FE5-F298-44B2-BAA8-2AF514D735A6}"/>
    <cellStyle name="Eingabe 4 5 28" xfId="14298" xr:uid="{DBDA0B6E-9460-4999-A400-B8584DAB4362}"/>
    <cellStyle name="Eingabe 4 5 29" xfId="14846" xr:uid="{3132F034-0E78-4697-ADFF-ADDEE789556E}"/>
    <cellStyle name="Eingabe 4 5 3" xfId="1374" xr:uid="{E16B3E19-DA5C-48BE-9920-08BCCDE262A9}"/>
    <cellStyle name="Eingabe 4 5 30" xfId="14635" xr:uid="{EC98450B-2E9F-4367-82D4-E774D478C54F}"/>
    <cellStyle name="Eingabe 4 5 31" xfId="15484" xr:uid="{30AFED37-178C-4E58-9505-87E6EE82E280}"/>
    <cellStyle name="Eingabe 4 5 32" xfId="15959" xr:uid="{9D391C0F-0785-4D1D-ADF9-27771C678A8D}"/>
    <cellStyle name="Eingabe 4 5 33" xfId="16746" xr:uid="{40C94E07-2610-4D44-8C31-4EA84830C008}"/>
    <cellStyle name="Eingabe 4 5 34" xfId="17317" xr:uid="{65FCDF90-8DA4-4213-91CB-094D9EDCE38A}"/>
    <cellStyle name="Eingabe 4 5 35" xfId="17760" xr:uid="{ADB5B5CC-8724-46CC-A379-43046DB2EC10}"/>
    <cellStyle name="Eingabe 4 5 36" xfId="17946" xr:uid="{BEE2FB46-5E4B-4CCD-8CFA-5CD699D13145}"/>
    <cellStyle name="Eingabe 4 5 37" xfId="18564" xr:uid="{6DFA444E-D2C9-494E-AD03-DC75E98CCE9F}"/>
    <cellStyle name="Eingabe 4 5 38" xfId="18777" xr:uid="{ADB6A1A6-789D-44FF-92C1-18E11556FBB6}"/>
    <cellStyle name="Eingabe 4 5 39" xfId="18976" xr:uid="{11CF398C-5884-4AD1-91ED-F064404FEFC5}"/>
    <cellStyle name="Eingabe 4 5 4" xfId="2523" xr:uid="{2CD5C536-4E2B-47F0-B539-855092B26D98}"/>
    <cellStyle name="Eingabe 4 5 40" xfId="20083" xr:uid="{A581AE55-2415-40A5-8773-B4162F17AB99}"/>
    <cellStyle name="Eingabe 4 5 41" xfId="20668" xr:uid="{AB9D247C-F450-4F08-AA6C-6EFC4F9C4008}"/>
    <cellStyle name="Eingabe 4 5 42" xfId="21124" xr:uid="{A7EB9B5E-4E96-42B3-8549-4577F1E5CC84}"/>
    <cellStyle name="Eingabe 4 5 43" xfId="21239" xr:uid="{C1DEC66A-B15C-4D67-8864-7F16D4D00E96}"/>
    <cellStyle name="Eingabe 4 5 44" xfId="22056" xr:uid="{E9E75937-B938-4C39-922A-EEFAB3C0335B}"/>
    <cellStyle name="Eingabe 4 5 45" xfId="22484" xr:uid="{F68681D7-D2EF-4842-BA8D-C499A84B3360}"/>
    <cellStyle name="Eingabe 4 5 46" xfId="21832" xr:uid="{A8D4E8D6-645F-47BA-BC82-C41F07F20EAB}"/>
    <cellStyle name="Eingabe 4 5 47" xfId="23048" xr:uid="{93AB88D6-D172-4F74-9F85-9231B628ECAC}"/>
    <cellStyle name="Eingabe 4 5 48" xfId="22443" xr:uid="{15EE1D1A-4E50-4C48-8108-123FBB643407}"/>
    <cellStyle name="Eingabe 4 5 49" xfId="23884" xr:uid="{ECDF2761-0BE8-4407-AC82-96490E2397F8}"/>
    <cellStyle name="Eingabe 4 5 5" xfId="1817" xr:uid="{109C429A-407C-433F-8CFC-795C8292875E}"/>
    <cellStyle name="Eingabe 4 5 50" xfId="24791" xr:uid="{BB6588AB-795D-4AF7-877C-18F81E9D269F}"/>
    <cellStyle name="Eingabe 4 5 51" xfId="25371" xr:uid="{4832D7B2-2F7F-4D84-A4B5-8A6F61C77F8A}"/>
    <cellStyle name="Eingabe 4 5 52" xfId="25707" xr:uid="{276B7754-52CA-41DD-A78C-7C836F744D9B}"/>
    <cellStyle name="Eingabe 4 5 53" xfId="24545" xr:uid="{25A72312-BC14-450B-85CA-9DA98FFA6464}"/>
    <cellStyle name="Eingabe 4 5 54" xfId="26139" xr:uid="{1DC2A987-623D-4DF1-9B88-3827C74A1770}"/>
    <cellStyle name="Eingabe 4 5 55" xfId="26995" xr:uid="{6988F765-BFD6-47C5-82D4-169954B9D5E9}"/>
    <cellStyle name="Eingabe 4 5 56" xfId="27414" xr:uid="{F512E7B7-7393-4C1A-A45B-4F5CAD6CFD1F}"/>
    <cellStyle name="Eingabe 4 5 57" xfId="27796" xr:uid="{20C0306F-E43A-44D7-95BC-7F27ED535AF7}"/>
    <cellStyle name="Eingabe 4 5 58" xfId="28541" xr:uid="{4D4EB36D-BF94-49C5-BDD6-EA9F99534BEA}"/>
    <cellStyle name="Eingabe 4 5 59" xfId="29008" xr:uid="{A53817E0-DAF9-4CA5-B8E0-5303DDA28FB0}"/>
    <cellStyle name="Eingabe 4 5 6" xfId="3625" xr:uid="{33638E2B-A89E-4628-9456-FAC1401F686E}"/>
    <cellStyle name="Eingabe 4 5 60" xfId="29493" xr:uid="{04DA30BF-30F5-41E8-83F3-1C6AB4A2FCF1}"/>
    <cellStyle name="Eingabe 4 5 61" xfId="29798" xr:uid="{C443DC61-FEF8-4494-98C7-15D34F70A984}"/>
    <cellStyle name="Eingabe 4 5 62" xfId="30204" xr:uid="{19CD23B6-3C7F-4137-9E14-F7D5B678C884}"/>
    <cellStyle name="Eingabe 4 5 63" xfId="30620" xr:uid="{538982F2-45DF-47CE-A2E1-EFE26AD3C99C}"/>
    <cellStyle name="Eingabe 4 5 64" xfId="30999" xr:uid="{46E48E66-B20F-443A-A47D-AC6309F6CE7A}"/>
    <cellStyle name="Eingabe 4 5 65" xfId="31237" xr:uid="{3DD12B5F-62EF-41C0-A955-5263B5FE5B51}"/>
    <cellStyle name="Eingabe 4 5 66" xfId="31928" xr:uid="{691641DF-4A6C-4DA2-88C4-2EA6B2E41756}"/>
    <cellStyle name="Eingabe 4 5 67" xfId="32270" xr:uid="{8DBF829A-6C5C-4F6B-BC9A-8BB30A5E7265}"/>
    <cellStyle name="Eingabe 4 5 7" xfId="4019" xr:uid="{CC5BB9A9-0C45-41A5-83A3-6FCA94A71602}"/>
    <cellStyle name="Eingabe 4 5 8" xfId="4456" xr:uid="{DC1A24DE-963F-4671-88E7-164136D2849B}"/>
    <cellStyle name="Eingabe 4 5 9" xfId="4646" xr:uid="{53F782C2-E3FD-474D-943E-CE49936AFF19}"/>
    <cellStyle name="Eingabe 4 50" xfId="27932" xr:uid="{046E7A5F-79DA-4903-80D4-7460D82672DE}"/>
    <cellStyle name="Eingabe 4 51" xfId="30846" xr:uid="{41292BE0-C900-42AB-85F2-5DFB7AC95621}"/>
    <cellStyle name="Eingabe 4 52" xfId="31604" xr:uid="{47F6113D-6209-4C3B-B23F-E785F893199B}"/>
    <cellStyle name="Eingabe 4 53" xfId="31672" xr:uid="{67EF324D-D7FD-401B-824E-282FEDA2AB8F}"/>
    <cellStyle name="Eingabe 4 6" xfId="953" xr:uid="{348FC9C9-2483-44F1-882D-22F640684867}"/>
    <cellStyle name="Eingabe 4 7" xfId="2101" xr:uid="{EBBE3A41-9BAF-46D7-8B0A-75D79EBAB53F}"/>
    <cellStyle name="Eingabe 4 8" xfId="1893" xr:uid="{8022ACF6-A7CA-4BC5-8242-9850EF806E9C}"/>
    <cellStyle name="Eingabe 4 9" xfId="3260" xr:uid="{1B50DC7A-9994-4106-A82F-B0FCF91D10A2}"/>
    <cellStyle name="Eingabe 5" xfId="552" xr:uid="{5810992B-E58A-4D10-90D0-103BAAFFAD27}"/>
    <cellStyle name="Eingabe 5 10" xfId="5027" xr:uid="{7A892D4B-F517-480C-A74A-C4CFAF31E60C}"/>
    <cellStyle name="Eingabe 5 11" xfId="5200" xr:uid="{F5444AE4-84A5-4E33-8F72-B3F8FC88CD36}"/>
    <cellStyle name="Eingabe 5 12" xfId="5117" xr:uid="{DB11495C-2F73-409D-9D7A-88B13BCF0C4D}"/>
    <cellStyle name="Eingabe 5 13" xfId="6141" xr:uid="{58BC8BD8-FDEC-4473-A939-DFB5F9FC9801}"/>
    <cellStyle name="Eingabe 5 14" xfId="5591" xr:uid="{CA6CFD61-D05E-4650-87CC-43C6CA4E903D}"/>
    <cellStyle name="Eingabe 5 15" xfId="7272" xr:uid="{D907AEA1-34CF-4B6D-85D4-493C6328D863}"/>
    <cellStyle name="Eingabe 5 16" xfId="7855" xr:uid="{8D2E2C14-AEF9-437C-87DE-AE471C428925}"/>
    <cellStyle name="Eingabe 5 17" xfId="8648" xr:uid="{19A24864-CEFA-4640-A5BE-999FAABBC515}"/>
    <cellStyle name="Eingabe 5 18" xfId="8877" xr:uid="{67F13E99-EB19-4DAA-8022-54B138927322}"/>
    <cellStyle name="Eingabe 5 19" xfId="9486" xr:uid="{B7E1DA4C-9591-401B-AF94-9C3365A2C90C}"/>
    <cellStyle name="Eingabe 5 2" xfId="767" xr:uid="{3FEC3DCA-626E-4E19-A099-212B989FF8B0}"/>
    <cellStyle name="Eingabe 5 2 10" xfId="5415" xr:uid="{35058794-A3FE-4C17-85C6-1B23D5DECFFE}"/>
    <cellStyle name="Eingabe 5 2 11" xfId="5921" xr:uid="{51C47446-A1B2-4FEE-87E5-9B80380D856C}"/>
    <cellStyle name="Eingabe 5 2 12" xfId="6040" xr:uid="{F6A48D12-15B5-478C-A67B-FA7DA7B52B21}"/>
    <cellStyle name="Eingabe 5 2 13" xfId="6551" xr:uid="{17F9E993-C20D-4046-B043-47E2F4CF025F}"/>
    <cellStyle name="Eingabe 5 2 14" xfId="7487" xr:uid="{4C21F6A3-9867-4B87-A637-520F4B569350}"/>
    <cellStyle name="Eingabe 5 2 15" xfId="7093" xr:uid="{05506B4A-8D90-4C0A-8D6B-430B479ED01B}"/>
    <cellStyle name="Eingabe 5 2 16" xfId="8013" xr:uid="{07F9977E-77CB-481E-AD82-158E7F2EBE54}"/>
    <cellStyle name="Eingabe 5 2 17" xfId="8789" xr:uid="{6FA94F46-82E9-4F4C-9922-B057B7AEBE86}"/>
    <cellStyle name="Eingabe 5 2 18" xfId="9701" xr:uid="{632203C6-BB9D-4617-929C-73753CD25C51}"/>
    <cellStyle name="Eingabe 5 2 19" xfId="9306" xr:uid="{2BFA8141-B05C-4F56-9094-85FE8F746A74}"/>
    <cellStyle name="Eingabe 5 2 2" xfId="1241" xr:uid="{BAC1BF07-CC86-4AC2-900D-16E718A230D8}"/>
    <cellStyle name="Eingabe 5 2 20" xfId="9960" xr:uid="{AA9533EB-B343-43AC-9594-54E5A41FB7C0}"/>
    <cellStyle name="Eingabe 5 2 21" xfId="9872" xr:uid="{3F91C0C4-3DA6-42C7-866D-6AD49EBB2A3D}"/>
    <cellStyle name="Eingabe 5 2 22" xfId="11081" xr:uid="{7C196A65-E3CA-43EF-9D07-2722710893B5}"/>
    <cellStyle name="Eingabe 5 2 23" xfId="12120" xr:uid="{F88CB068-21CD-43CB-BE03-2315F40DB3F9}"/>
    <cellStyle name="Eingabe 5 2 24" xfId="12593" xr:uid="{AAE777BD-2E5D-4D34-ABBC-78B223F90604}"/>
    <cellStyle name="Eingabe 5 2 25" xfId="13027" xr:uid="{33D5BAE5-277A-40AA-BDAD-63ED2287758E}"/>
    <cellStyle name="Eingabe 5 2 26" xfId="13464" xr:uid="{CC42C81E-EA9C-4E45-9388-F62EEF4B010C}"/>
    <cellStyle name="Eingabe 5 2 27" xfId="12313" xr:uid="{F9497F68-AD54-46BD-BCBF-0912D57B198B}"/>
    <cellStyle name="Eingabe 5 2 28" xfId="13802" xr:uid="{9634DA74-05AE-40A1-811F-121E904A2AD6}"/>
    <cellStyle name="Eingabe 5 2 29" xfId="13622" xr:uid="{BB942A81-349A-4663-880C-30B32BB17DAB}"/>
    <cellStyle name="Eingabe 5 2 3" xfId="1572" xr:uid="{1999158B-5A03-41F7-B2DA-A2C9A1B005CC}"/>
    <cellStyle name="Eingabe 5 2 30" xfId="15111" xr:uid="{41D4DAB9-A0A4-4C55-92F7-A0FB2F34862C}"/>
    <cellStyle name="Eingabe 5 2 31" xfId="15458" xr:uid="{553FA110-DD8C-4ABF-B8C9-E216D9B3F98E}"/>
    <cellStyle name="Eingabe 5 2 32" xfId="14246" xr:uid="{A7DE5D71-5104-4D07-A197-E43E5159FA46}"/>
    <cellStyle name="Eingabe 5 2 33" xfId="16812" xr:uid="{92F57F38-8066-4D08-83FC-5C6CB0AC9C16}"/>
    <cellStyle name="Eingabe 5 2 34" xfId="16415" xr:uid="{603784CC-CF8D-4171-89B2-5C86265CF835}"/>
    <cellStyle name="Eingabe 5 2 35" xfId="17073" xr:uid="{1BF9EA05-49B4-4E20-AABB-402E6670A93C}"/>
    <cellStyle name="Eingabe 5 2 36" xfId="18096" xr:uid="{3C90675B-B599-488E-B0A9-896D55094EC0}"/>
    <cellStyle name="Eingabe 5 2 37" xfId="18630" xr:uid="{CF32B823-D74F-4365-90FD-CA1A52F00EB1}"/>
    <cellStyle name="Eingabe 5 2 38" xfId="18916" xr:uid="{30E0A3A7-7508-4A6D-9C10-08E6F48E6C2B}"/>
    <cellStyle name="Eingabe 5 2 39" xfId="19099" xr:uid="{F8353B03-8992-4DAE-BB71-23E698EBE64D}"/>
    <cellStyle name="Eingabe 5 2 4" xfId="2589" xr:uid="{934E99B6-F6CB-42CB-9372-329BAF049E85}"/>
    <cellStyle name="Eingabe 5 2 40" xfId="20149" xr:uid="{5F26D285-39A9-434E-ADF3-242BFC53179D}"/>
    <cellStyle name="Eingabe 5 2 41" xfId="19750" xr:uid="{FC1E185C-A765-4AF7-BAAA-25A4F6EC2309}"/>
    <cellStyle name="Eingabe 5 2 42" xfId="19501" xr:uid="{E558773D-67C6-4E92-B82D-1E00B360CFCC}"/>
    <cellStyle name="Eingabe 5 2 43" xfId="20280" xr:uid="{7C2EA50B-C15E-4B82-A9DB-8007CBEEF1E6}"/>
    <cellStyle name="Eingabe 5 2 44" xfId="21358" xr:uid="{F9182C93-89E0-44AD-96BB-28A7032BD5CC}"/>
    <cellStyle name="Eingabe 5 2 45" xfId="21564" xr:uid="{77A5BA8E-9623-41EF-8B1E-B577D86EAC41}"/>
    <cellStyle name="Eingabe 5 2 46" xfId="22426" xr:uid="{043EA5B7-C3FD-45C3-8BEB-4D4E759BA6A3}"/>
    <cellStyle name="Eingabe 5 2 47" xfId="23197" xr:uid="{06474C10-EC3F-450E-B3EF-AEC80EA1F25F}"/>
    <cellStyle name="Eingabe 5 2 48" xfId="23435" xr:uid="{1C4678CF-6083-48F4-AB8B-F318E24AD628}"/>
    <cellStyle name="Eingabe 5 2 49" xfId="23949" xr:uid="{D4ED47B4-1BF9-4C7F-A5CA-EF7A0CA859CA}"/>
    <cellStyle name="Eingabe 5 2 5" xfId="1935" xr:uid="{E6D71D0B-F06A-452D-99E5-62CA0D038A3E}"/>
    <cellStyle name="Eingabe 5 2 50" xfId="24857" xr:uid="{E4FB95F7-3A02-4321-ACE0-705B7BE9827B}"/>
    <cellStyle name="Eingabe 5 2 51" xfId="24243" xr:uid="{3556DDAE-788F-45DE-8938-06A1D3848822}"/>
    <cellStyle name="Eingabe 5 2 52" xfId="25773" xr:uid="{7C6F6146-E595-4E6E-98DE-4C959A55D508}"/>
    <cellStyle name="Eingabe 5 2 53" xfId="25297" xr:uid="{BA84069E-9918-4BD2-9409-7AE4C9EBCFA7}"/>
    <cellStyle name="Eingabe 5 2 54" xfId="26615" xr:uid="{3523939B-B821-4747-989E-8F64ECD05CE1}"/>
    <cellStyle name="Eingabe 5 2 55" xfId="27061" xr:uid="{CE5339BB-65E3-452F-A8CA-55BE0C346334}"/>
    <cellStyle name="Eingabe 5 2 56" xfId="27480" xr:uid="{2C8F267E-634C-46C3-A814-B373150DEFC9}"/>
    <cellStyle name="Eingabe 5 2 57" xfId="26392" xr:uid="{ABD2627E-DFBF-443B-9AF1-D863CC4C33D1}"/>
    <cellStyle name="Eingabe 5 2 58" xfId="28607" xr:uid="{020D505E-B08A-473F-A452-C56524A17765}"/>
    <cellStyle name="Eingabe 5 2 59" xfId="29074" xr:uid="{E6F62A3A-740E-4471-A3D1-03B68BE5B3A4}"/>
    <cellStyle name="Eingabe 5 2 6" xfId="2314" xr:uid="{78D3B845-FBD1-4BDA-96AB-6EA1E4F12BF3}"/>
    <cellStyle name="Eingabe 5 2 60" xfId="28072" xr:uid="{B0CD4729-6AD6-4122-AA00-10D0355EF8A5}"/>
    <cellStyle name="Eingabe 5 2 61" xfId="29863" xr:uid="{99E39AAD-6F17-44C6-8AF2-6D703F320355}"/>
    <cellStyle name="Eingabe 5 2 62" xfId="30269" xr:uid="{DEBE3131-FE5C-4871-A4D5-F1133D8A0DBE}"/>
    <cellStyle name="Eingabe 5 2 63" xfId="30686" xr:uid="{8090FA81-8662-4429-976B-FF1636D145EE}"/>
    <cellStyle name="Eingabe 5 2 64" xfId="28193" xr:uid="{1226CD8B-29E0-412F-AE5E-E78BBF058B75}"/>
    <cellStyle name="Eingabe 5 2 65" xfId="31302" xr:uid="{F990FA7D-6A2C-4D35-BECD-CA5A5F1C7695}"/>
    <cellStyle name="Eingabe 5 2 66" xfId="31993" xr:uid="{C5CE9723-38A3-4822-B7BE-7917818265BD}"/>
    <cellStyle name="Eingabe 5 2 67" xfId="32152" xr:uid="{C7BA0F99-3B99-44CD-9D4C-B677B705565D}"/>
    <cellStyle name="Eingabe 5 2 7" xfId="4085" xr:uid="{1564D6D0-C951-4C0B-B3E7-5AD8D73B013B}"/>
    <cellStyle name="Eingabe 5 2 8" xfId="4522" xr:uid="{15E54CBC-6BF7-4BDA-9D70-8842F74DB4BC}"/>
    <cellStyle name="Eingabe 5 2 9" xfId="3657" xr:uid="{915EFAEF-3A4B-448D-8DB2-6771A1CD8615}"/>
    <cellStyle name="Eingabe 5 20" xfId="10068" xr:uid="{FF4F36D7-9783-4251-9A4E-1175C42E4A2D}"/>
    <cellStyle name="Eingabe 5 21" xfId="10485" xr:uid="{54F2C4C8-0708-4714-939E-B1B8E9F281EC}"/>
    <cellStyle name="Eingabe 5 22" xfId="10987" xr:uid="{7E35B9F9-DF70-4288-91B6-CA50F14150A1}"/>
    <cellStyle name="Eingabe 5 23" xfId="10978" xr:uid="{46C49C9A-9935-4F8C-93C8-A40415048676}"/>
    <cellStyle name="Eingabe 5 24" xfId="11905" xr:uid="{97526F23-8052-49BA-A133-C7E371F95137}"/>
    <cellStyle name="Eingabe 5 25" xfId="12378" xr:uid="{0C99C226-2F83-4A17-AD2C-4B30A794BD12}"/>
    <cellStyle name="Eingabe 5 26" xfId="12812" xr:uid="{FF504461-9CD7-422F-8017-90E1B7011D6D}"/>
    <cellStyle name="Eingabe 5 27" xfId="13249" xr:uid="{E4338732-D9AD-4F1F-991E-32AA64F2EC56}"/>
    <cellStyle name="Eingabe 5 28" xfId="12057" xr:uid="{BCF8DEA5-5285-4479-8F01-DCAD972F1336}"/>
    <cellStyle name="Eingabe 5 29" xfId="14241" xr:uid="{6196BEF1-6F8E-4E87-8710-F36231C1F6FF}"/>
    <cellStyle name="Eingabe 5 3" xfId="1035" xr:uid="{561E0E3F-A31E-4FB7-8090-4A2B4C6CB377}"/>
    <cellStyle name="Eingabe 5 30" xfId="14706" xr:uid="{3188445E-2938-447D-8A2C-204B83138E71}"/>
    <cellStyle name="Eingabe 5 31" xfId="14558" xr:uid="{75A59A30-93DD-4F35-8A5E-75D9E8E1B2F4}"/>
    <cellStyle name="Eingabe 5 32" xfId="14961" xr:uid="{AF95E4D2-8C66-4A86-B50B-9B264342E4CD}"/>
    <cellStyle name="Eingabe 5 33" xfId="15890" xr:uid="{BB977160-1BAE-4B0A-86FA-9991DCEFB3A3}"/>
    <cellStyle name="Eingabe 5 34" xfId="16597" xr:uid="{BE81248A-8FE2-4B83-B88C-5FED687CF9A0}"/>
    <cellStyle name="Eingabe 5 35" xfId="17185" xr:uid="{93A9F6C7-B58B-44FB-8505-2BDE623EB8F3}"/>
    <cellStyle name="Eingabe 5 36" xfId="17631" xr:uid="{FF7CA752-1B3F-4070-AC7E-74120A55D2FA}"/>
    <cellStyle name="Eingabe 5 37" xfId="17451" xr:uid="{F8EAD0C1-7BBB-4415-98F6-6ADDEE032949}"/>
    <cellStyle name="Eingabe 5 38" xfId="18415" xr:uid="{0F9E5CAA-9DA6-42F4-8B2B-C8CED06EEE55}"/>
    <cellStyle name="Eingabe 5 39" xfId="18975" xr:uid="{DBC0FC7A-6E12-4A0A-82E7-694C6910A885}"/>
    <cellStyle name="Eingabe 5 4" xfId="1411" xr:uid="{E34AE605-C262-4A80-98F5-3B6BD5027B1F}"/>
    <cellStyle name="Eingabe 5 40" xfId="19246" xr:uid="{8D86807C-2EC9-4B62-B499-27575813BD9B}"/>
    <cellStyle name="Eingabe 5 41" xfId="19934" xr:uid="{4A50E072-9781-4159-910C-8B3653F4D981}"/>
    <cellStyle name="Eingabe 5 42" xfId="20538" xr:uid="{C167E4EC-03A6-4FBC-845D-58BA0C5AAE4B}"/>
    <cellStyle name="Eingabe 5 43" xfId="20991" xr:uid="{235A9121-3512-47EC-9EE8-0E88831C3626}"/>
    <cellStyle name="Eingabe 5 44" xfId="21462" xr:uid="{D2BEBDE9-81D3-4EC3-A411-083E302BB0A3}"/>
    <cellStyle name="Eingabe 5 45" xfId="21922" xr:uid="{8EACBF08-B8A9-48A1-B4FF-39E80D775B7D}"/>
    <cellStyle name="Eingabe 5 46" xfId="22356" xr:uid="{C4280768-7E80-4612-9C73-C206BE1D9094}"/>
    <cellStyle name="Eingabe 5 47" xfId="21765" xr:uid="{2609201A-68FC-4FDC-A774-6EC6F91403BE}"/>
    <cellStyle name="Eingabe 5 48" xfId="23261" xr:uid="{6135FB67-57CC-4367-991A-49CB5561B4B0}"/>
    <cellStyle name="Eingabe 5 49" xfId="23538" xr:uid="{1A9C61AE-9B84-4FFA-975A-A9BD7DCC38C9}"/>
    <cellStyle name="Eingabe 5 5" xfId="2374" xr:uid="{262292E1-1B4A-4BD1-BF3A-886B83BE4AFF}"/>
    <cellStyle name="Eingabe 5 50" xfId="23743" xr:uid="{1CAB7344-D947-4E36-A879-85AE1AACEDA4}"/>
    <cellStyle name="Eingabe 5 51" xfId="24642" xr:uid="{8EFCBE64-61BC-4F2E-A816-BF67B14108BA}"/>
    <cellStyle name="Eingabe 5 52" xfId="25246" xr:uid="{B4AD1130-A6C9-48AA-8870-BB45F3D6CE7B}"/>
    <cellStyle name="Eingabe 5 53" xfId="25560" xr:uid="{58AFCCD8-DF8C-41B5-97BB-FF795C3D453E}"/>
    <cellStyle name="Eingabe 5 54" xfId="25182" xr:uid="{4B9D3412-C902-4C34-ACB9-ABC484450124}"/>
    <cellStyle name="Eingabe 5 55" xfId="26088" xr:uid="{C614844A-F7D8-4F9C-89A6-5CF391642C81}"/>
    <cellStyle name="Eingabe 5 56" xfId="26850" xr:uid="{E95A7D72-E621-4F60-865F-3C2136139056}"/>
    <cellStyle name="Eingabe 5 57" xfId="27269" xr:uid="{D5DE9566-C819-4563-A139-196DDDBEC899}"/>
    <cellStyle name="Eingabe 5 58" xfId="27736" xr:uid="{5A1CBDAA-BB58-4D65-A727-AB42068BAC05}"/>
    <cellStyle name="Eingabe 5 59" xfId="28392" xr:uid="{98BA9A79-FA4F-4F41-AE75-61389720D948}"/>
    <cellStyle name="Eingabe 5 6" xfId="2067" xr:uid="{E594FF1E-9CBB-493B-AD03-D630D1A18AF6}"/>
    <cellStyle name="Eingabe 5 60" xfId="28860" xr:uid="{FF35AE42-9BC2-41C1-A1D2-B0916FE54312}"/>
    <cellStyle name="Eingabe 5 61" xfId="29383" xr:uid="{D8DD71E0-DD96-41FD-9412-67EB26840D03}"/>
    <cellStyle name="Eingabe 5 62" xfId="29650" xr:uid="{F8A77FFA-0D9D-42E6-961E-7EE544F97208}"/>
    <cellStyle name="Eingabe 5 63" xfId="30058" xr:uid="{2292B7F9-9063-419D-8923-2D60B049A485}"/>
    <cellStyle name="Eingabe 5 64" xfId="30472" xr:uid="{469D9731-ACE6-42F4-ACBD-3F37174A9C9D}"/>
    <cellStyle name="Eingabe 5 65" xfId="30993" xr:uid="{443380F1-F1E7-4244-889C-9369BAFB767B}"/>
    <cellStyle name="Eingabe 5 66" xfId="31096" xr:uid="{80E065A3-1CB0-421A-8FC5-D8F656CCE32A}"/>
    <cellStyle name="Eingabe 5 67" xfId="31782" xr:uid="{9026C4AF-B8EA-4124-B13F-1D385A0331FE}"/>
    <cellStyle name="Eingabe 5 68" xfId="32158" xr:uid="{89576FFF-03F7-48B9-83A8-D56CCEAD6F61}"/>
    <cellStyle name="Eingabe 5 7" xfId="3750" xr:uid="{C3FF8039-E388-41C6-BB97-039698EA5C32}"/>
    <cellStyle name="Eingabe 5 8" xfId="3870" xr:uid="{4A19FA68-21A0-46C0-898C-0BA21BE2C245}"/>
    <cellStyle name="Eingabe 5 9" xfId="4308" xr:uid="{65893A50-7DD4-4BA7-89B6-48E62A2085F1}"/>
    <cellStyle name="Eingabe 6" xfId="629" xr:uid="{B190DC21-AB64-42ED-A864-4F0CE325EE4C}"/>
    <cellStyle name="Eingabe 6 10" xfId="4893" xr:uid="{45A9296C-3480-4986-B2EF-8F793BA3E15F}"/>
    <cellStyle name="Eingabe 6 11" xfId="5277" xr:uid="{CB7E23E3-C3FD-4841-848A-5B2A02BF884F}"/>
    <cellStyle name="Eingabe 6 12" xfId="5049" xr:uid="{4EC62F3F-9D03-4211-93C6-8B0119889B00}"/>
    <cellStyle name="Eingabe 6 13" xfId="5054" xr:uid="{BCB71A98-6329-4F37-B597-345B4427D4B3}"/>
    <cellStyle name="Eingabe 6 14" xfId="5540" xr:uid="{0721F161-B07D-4D67-8F15-C6DD384B3337}"/>
    <cellStyle name="Eingabe 6 15" xfId="7349" xr:uid="{FE992923-7888-4E0B-9D92-6392ADA881DF}"/>
    <cellStyle name="Eingabe 6 16" xfId="7987" xr:uid="{97020031-7923-4326-959F-B9163B1CF63C}"/>
    <cellStyle name="Eingabe 6 17" xfId="8581" xr:uid="{68CB401D-29B9-4DB5-8540-E3879D9670EA}"/>
    <cellStyle name="Eingabe 6 18" xfId="8506" xr:uid="{1101F830-349D-413E-BB15-69AB98A0D23F}"/>
    <cellStyle name="Eingabe 6 19" xfId="9563" xr:uid="{AFAD1BD7-4E63-4015-8AD4-4CF403AB8D2A}"/>
    <cellStyle name="Eingabe 6 2" xfId="844" xr:uid="{5116CD5D-D055-4AE6-B8CF-9FDBF1074D0F}"/>
    <cellStyle name="Eingabe 6 2 10" xfId="5492" xr:uid="{7A90B166-266F-4077-A513-4E2DC600440F}"/>
    <cellStyle name="Eingabe 6 2 11" xfId="5802" xr:uid="{8E8EEF2A-3A06-4261-A855-C892329F436C}"/>
    <cellStyle name="Eingabe 6 2 12" xfId="5820" xr:uid="{5B8C1793-2DCA-40B4-B22D-54E85995D79A}"/>
    <cellStyle name="Eingabe 6 2 13" xfId="5970" xr:uid="{73196EEB-0F7D-42C1-8990-2FB0FD040FFB}"/>
    <cellStyle name="Eingabe 6 2 14" xfId="7564" xr:uid="{DE66068A-BB3E-4A38-B59E-0D1660CB8A5F}"/>
    <cellStyle name="Eingabe 6 2 15" xfId="6748" xr:uid="{99FF3024-4875-404A-89C2-CBCF9CA40FCA}"/>
    <cellStyle name="Eingabe 6 2 16" xfId="7070" xr:uid="{2724185B-3AF5-411F-A61F-756F544825CE}"/>
    <cellStyle name="Eingabe 6 2 17" xfId="8763" xr:uid="{ECF170BD-CE7F-4B94-B42A-DD86E4061744}"/>
    <cellStyle name="Eingabe 6 2 18" xfId="9778" xr:uid="{C890D3A4-F16E-4DE8-BD0E-4328FD036CBC}"/>
    <cellStyle name="Eingabe 6 2 19" xfId="8960" xr:uid="{9125A936-07F1-40F3-9578-A80DEDDB113A}"/>
    <cellStyle name="Eingabe 6 2 2" xfId="1318" xr:uid="{C122B110-D60B-41BC-A03B-E2C26C5F9AB1}"/>
    <cellStyle name="Eingabe 6 2 20" xfId="10108" xr:uid="{CBCAAA9D-760D-4F45-8FFB-62E7B9E4D5DF}"/>
    <cellStyle name="Eingabe 6 2 21" xfId="10388" xr:uid="{FFDA2D93-900E-45FA-A940-C9202ED0104A}"/>
    <cellStyle name="Eingabe 6 2 22" xfId="10434" xr:uid="{366521D5-5115-48DF-BA8F-121A2015E6D4}"/>
    <cellStyle name="Eingabe 6 2 23" xfId="12197" xr:uid="{C19A0370-2C39-46ED-8403-6ED05701F386}"/>
    <cellStyle name="Eingabe 6 2 24" xfId="12670" xr:uid="{0A3FD9A4-15AA-4207-B4F0-987F2A7A524E}"/>
    <cellStyle name="Eingabe 6 2 25" xfId="13104" xr:uid="{ED8B1848-43BB-478F-9FDE-E1AD72CBEB72}"/>
    <cellStyle name="Eingabe 6 2 26" xfId="13541" xr:uid="{21C4CD42-372E-434E-B727-B2099DC1530C}"/>
    <cellStyle name="Eingabe 6 2 27" xfId="13617" xr:uid="{E21B70D3-593B-48ED-A432-061D2F7111BE}"/>
    <cellStyle name="Eingabe 6 2 28" xfId="13901" xr:uid="{2A87BC6B-6B43-4D69-94C2-84F42D91D4DB}"/>
    <cellStyle name="Eingabe 6 2 29" xfId="13914" xr:uid="{32BC2C66-408D-43A3-9AC7-DAD8250C27BE}"/>
    <cellStyle name="Eingabe 6 2 3" xfId="1767" xr:uid="{FA12ABEB-9A27-48F7-8E96-30E9E772CB8C}"/>
    <cellStyle name="Eingabe 6 2 30" xfId="15236" xr:uid="{F5172082-0076-426D-A2A0-40B2910FEA91}"/>
    <cellStyle name="Eingabe 6 2 31" xfId="15587" xr:uid="{534CD008-C0CD-47FA-820F-AC7910A9156E}"/>
    <cellStyle name="Eingabe 6 2 32" xfId="15000" xr:uid="{FADF362E-A549-4007-B2DB-4FE8C25653EF}"/>
    <cellStyle name="Eingabe 6 2 33" xfId="16889" xr:uid="{A7A903BD-65BF-4E5E-BC55-23A833896DDF}"/>
    <cellStyle name="Eingabe 6 2 34" xfId="16057" xr:uid="{8E52ECC3-3FDD-42D9-8326-D677692C5236}"/>
    <cellStyle name="Eingabe 6 2 35" xfId="17227" xr:uid="{E46DA2B5-0914-46EF-9EDE-F8AF368F1EA7}"/>
    <cellStyle name="Eingabe 6 2 36" xfId="17902" xr:uid="{512054F3-A593-49DC-AFEF-0A0C6E868E79}"/>
    <cellStyle name="Eingabe 6 2 37" xfId="18707" xr:uid="{F65578A0-4A48-494F-B99C-60E637D03BEE}"/>
    <cellStyle name="Eingabe 6 2 38" xfId="18826" xr:uid="{D1FA2D66-9FB9-4BDA-8298-28AC9332E9C2}"/>
    <cellStyle name="Eingabe 6 2 39" xfId="19173" xr:uid="{3630C89D-1F79-4FC1-86F7-23239D7E82FB}"/>
    <cellStyle name="Eingabe 6 2 4" xfId="2666" xr:uid="{BC8AB8EF-815E-4F47-811E-B138B9E47DD5}"/>
    <cellStyle name="Eingabe 6 2 40" xfId="20226" xr:uid="{53B5E78A-BD9A-4A5F-9CFF-9CA993678B83}"/>
    <cellStyle name="Eingabe 6 2 41" xfId="19390" xr:uid="{679DE63E-14C9-4FB9-8E37-F8558E34FA41}"/>
    <cellStyle name="Eingabe 6 2 42" xfId="20707" xr:uid="{5ECD672C-EAC9-4C8B-AF79-08E075DA21B9}"/>
    <cellStyle name="Eingabe 6 2 43" xfId="21431" xr:uid="{437C2337-50D8-467F-8045-B245C3903D99}"/>
    <cellStyle name="Eingabe 6 2 44" xfId="20987" xr:uid="{65CC4D0C-BD47-44C9-A948-AE128509DD69}"/>
    <cellStyle name="Eingabe 6 2 45" xfId="21878" xr:uid="{9EFBDC55-CFBA-4CA8-9716-35056BB11B9E}"/>
    <cellStyle name="Eingabe 6 2 46" xfId="22626" xr:uid="{F30DC7D0-54E2-4DDC-8EBD-15BC6F14CA9A}"/>
    <cellStyle name="Eingabe 6 2 47" xfId="23098" xr:uid="{149404A3-B4BB-46CC-AEBB-8EE9EB0EBE40}"/>
    <cellStyle name="Eingabe 6 2 48" xfId="23111" xr:uid="{DA843F37-E9DC-47B4-B399-E744E5A2D1CF}"/>
    <cellStyle name="Eingabe 6 2 49" xfId="24026" xr:uid="{3C8B73A8-EAC0-4151-B38F-979ECFBEF14C}"/>
    <cellStyle name="Eingabe 6 2 5" xfId="2784" xr:uid="{4038FD6C-1F94-4305-9B75-C41A365D799F}"/>
    <cellStyle name="Eingabe 6 2 50" xfId="24934" xr:uid="{3B19FEC8-F8BB-472C-B332-91BCB26F9CE9}"/>
    <cellStyle name="Eingabe 6 2 51" xfId="24100" xr:uid="{FAF3B71E-785C-404F-909E-C07D29D93FFD}"/>
    <cellStyle name="Eingabe 6 2 52" xfId="25850" xr:uid="{3016DB70-32DB-436D-8E78-0D4C87F5E499}"/>
    <cellStyle name="Eingabe 6 2 53" xfId="25055" xr:uid="{C307D63A-AB21-4170-8D7C-F5D71E073B85}"/>
    <cellStyle name="Eingabe 6 2 54" xfId="24597" xr:uid="{5FAAB301-0488-4467-84A1-EB9C0A3100F9}"/>
    <cellStyle name="Eingabe 6 2 55" xfId="27138" xr:uid="{48A15749-7204-48B3-88A9-3BF98C9A4F0C}"/>
    <cellStyle name="Eingabe 6 2 56" xfId="27557" xr:uid="{19ACB513-A66A-4F3B-81CA-740C0FF684B4}"/>
    <cellStyle name="Eingabe 6 2 57" xfId="27722" xr:uid="{5FAA6F6B-F86D-44A0-9629-78768AB63D95}"/>
    <cellStyle name="Eingabe 6 2 58" xfId="28684" xr:uid="{5AA1C3B2-CD2B-4FD5-9798-C998FC82480C}"/>
    <cellStyle name="Eingabe 6 2 59" xfId="29151" xr:uid="{AB3DAFCE-D7E7-45A8-A409-1BD9B2276752}"/>
    <cellStyle name="Eingabe 6 2 6" xfId="3255" xr:uid="{51C5A85F-289F-4051-8893-0F2501211A21}"/>
    <cellStyle name="Eingabe 6 2 60" xfId="27985" xr:uid="{5299209A-F3D5-4069-8F25-5A6E7B66835B}"/>
    <cellStyle name="Eingabe 6 2 61" xfId="29940" xr:uid="{C29066C3-E944-4F5F-BB1B-F64E43A71CB4}"/>
    <cellStyle name="Eingabe 6 2 62" xfId="30346" xr:uid="{FEC04782-1B7F-4700-BF15-1056672658DE}"/>
    <cellStyle name="Eingabe 6 2 63" xfId="30763" xr:uid="{A0A152B4-49B9-4AE7-BC66-F810A646AEEF}"/>
    <cellStyle name="Eingabe 6 2 64" xfId="29797" xr:uid="{ECFF9715-F2AE-42D2-AB45-E71CD8CE6C14}"/>
    <cellStyle name="Eingabe 6 2 65" xfId="31379" xr:uid="{4715DED3-7BDB-445E-A022-11AEFD6DF770}"/>
    <cellStyle name="Eingabe 6 2 66" xfId="32070" xr:uid="{8533EC18-5B1F-4389-9B7B-A099C4074A56}"/>
    <cellStyle name="Eingabe 6 2 67" xfId="31525" xr:uid="{6C4E6B91-BB74-4949-8DDC-73D801514E85}"/>
    <cellStyle name="Eingabe 6 2 7" xfId="4162" xr:uid="{D7EF430B-1ED3-4982-BA25-446FAF320A00}"/>
    <cellStyle name="Eingabe 6 2 8" xfId="4599" xr:uid="{4D3C1DB1-0155-402E-9DCC-C8B888BB8B50}"/>
    <cellStyle name="Eingabe 6 2 9" xfId="3247" xr:uid="{9C9BDB03-26AD-41E0-8230-ED8F8D0A6AA9}"/>
    <cellStyle name="Eingabe 6 20" xfId="10203" xr:uid="{3D2CEF7C-A67C-41F9-A16A-7ED79EBB8E08}"/>
    <cellStyle name="Eingabe 6 21" xfId="10607" xr:uid="{A1E52CF5-EB7F-4E4B-A20A-99A5B86BC94E}"/>
    <cellStyle name="Eingabe 6 22" xfId="9936" xr:uid="{B968DAED-159E-4C4F-8704-E336A426FAB9}"/>
    <cellStyle name="Eingabe 6 23" xfId="10896" xr:uid="{8AB5555E-A2D6-4497-B1CC-02B3E69A09B8}"/>
    <cellStyle name="Eingabe 6 24" xfId="11982" xr:uid="{9536883B-F46E-44A5-8BAE-EB2F86F51452}"/>
    <cellStyle name="Eingabe 6 25" xfId="12455" xr:uid="{C178D9C6-F8EB-4D9B-A122-5AF79CDCC0DB}"/>
    <cellStyle name="Eingabe 6 26" xfId="12889" xr:uid="{745E4B28-1DFE-4053-BD52-3FEC3912CF1C}"/>
    <cellStyle name="Eingabe 6 27" xfId="13326" xr:uid="{0188C47C-226A-490E-A5FD-2E7B23DD314C}"/>
    <cellStyle name="Eingabe 6 28" xfId="11717" xr:uid="{F1ACEB6D-A53C-463E-BA0D-D98908C6DD2D}"/>
    <cellStyle name="Eingabe 6 29" xfId="14440" xr:uid="{2045755E-1B0D-4508-B37F-D037C40F2C11}"/>
    <cellStyle name="Eingabe 6 3" xfId="1112" xr:uid="{3C70A5CB-43FD-4C2F-9279-13F6CAAF2F9B}"/>
    <cellStyle name="Eingabe 6 30" xfId="14433" xr:uid="{70B70BB2-425B-421C-B06A-7156E1B16B08}"/>
    <cellStyle name="Eingabe 6 31" xfId="15184" xr:uid="{00C3C2ED-96D5-4F84-8703-A0D1B8737604}"/>
    <cellStyle name="Eingabe 6 32" xfId="15511" xr:uid="{8549D97D-DB01-4571-B2E8-E14FE16EB77D}"/>
    <cellStyle name="Eingabe 6 33" xfId="15966" xr:uid="{835966EE-CAE7-4670-8844-A21257C8A6D1}"/>
    <cellStyle name="Eingabe 6 34" xfId="16674" xr:uid="{59F31ADD-78F0-4312-9B47-AC98218E373C}"/>
    <cellStyle name="Eingabe 6 35" xfId="17324" xr:uid="{C72E0B49-3E91-43F3-AE0B-C4C85341E256}"/>
    <cellStyle name="Eingabe 6 36" xfId="17767" xr:uid="{7265C84E-1619-4C49-9EB9-8B8E778A77C8}"/>
    <cellStyle name="Eingabe 6 37" xfId="17972" xr:uid="{EFE56CA7-963A-4FEF-A8B8-C1AC95914415}"/>
    <cellStyle name="Eingabe 6 38" xfId="18492" xr:uid="{05B879B3-E650-40D6-AA23-641F182FDB1D}"/>
    <cellStyle name="Eingabe 6 39" xfId="17343" xr:uid="{96B9BE43-3EAE-4B13-BE90-5A6C961B5DF7}"/>
    <cellStyle name="Eingabe 6 4" xfId="1718" xr:uid="{9AAD5FEC-7A93-4EF0-906D-CB50E652CF13}"/>
    <cellStyle name="Eingabe 6 40" xfId="18776" xr:uid="{857F7AAA-CCE6-4258-A269-7F7AA3F78117}"/>
    <cellStyle name="Eingabe 6 41" xfId="20011" xr:uid="{9FF91746-1C24-4301-BA90-0EC253EF6FAA}"/>
    <cellStyle name="Eingabe 6 42" xfId="20675" xr:uid="{8A155932-9224-449C-9D78-CF8896B1E481}"/>
    <cellStyle name="Eingabe 6 43" xfId="21131" xr:uid="{25FBB39B-241B-4E30-8338-FD7BF0AE9F4D}"/>
    <cellStyle name="Eingabe 6 44" xfId="21166" xr:uid="{F3C69D54-FBA1-46C2-9955-D9888C166A18}"/>
    <cellStyle name="Eingabe 6 45" xfId="22063" xr:uid="{13573A8A-FC4D-4927-B950-3DFF929363FD}"/>
    <cellStyle name="Eingabe 6 46" xfId="22491" xr:uid="{6E56C08E-4DD1-4A9B-BF06-0F22D785323F}"/>
    <cellStyle name="Eingabe 6 47" xfId="22510" xr:uid="{15DF23AA-0B9F-4468-8202-170CD20A7C90}"/>
    <cellStyle name="Eingabe 6 48" xfId="22860" xr:uid="{9FF865E4-FBA9-4F6C-9307-6B7532D04715}"/>
    <cellStyle name="Eingabe 6 49" xfId="23113" xr:uid="{1CFA4F73-05B4-4833-9561-A064913660B6}"/>
    <cellStyle name="Eingabe 6 5" xfId="2451" xr:uid="{4122DFD8-290B-4A58-A953-784312142084}"/>
    <cellStyle name="Eingabe 6 50" xfId="23820" xr:uid="{C3B1B47A-02AF-45AB-9FE5-8271F8256A19}"/>
    <cellStyle name="Eingabe 6 51" xfId="24719" xr:uid="{0BF6FF46-E4D5-4025-84B6-0B936325A0D1}"/>
    <cellStyle name="Eingabe 6 52" xfId="25378" xr:uid="{5010A36E-DA6C-4757-A12B-A349DB018AD1}"/>
    <cellStyle name="Eingabe 6 53" xfId="25637" xr:uid="{E45773B4-50F7-425D-ADDF-A3F4115E8F52}"/>
    <cellStyle name="Eingabe 6 54" xfId="25280" xr:uid="{FAD8CE04-B06D-4B6C-A52B-B2CE15C4F52F}"/>
    <cellStyle name="Eingabe 6 55" xfId="26625" xr:uid="{DB9E508F-AD8D-4CD8-93CB-481BD210E0BF}"/>
    <cellStyle name="Eingabe 6 56" xfId="26927" xr:uid="{EE7F87E9-2678-436D-8052-9C4A91F78E02}"/>
    <cellStyle name="Eingabe 6 57" xfId="27346" xr:uid="{5AE4CF51-F687-400D-A5E6-6ABCDA97B9C6}"/>
    <cellStyle name="Eingabe 6 58" xfId="26231" xr:uid="{14C9FB2F-8753-4F33-9433-57E43418D47E}"/>
    <cellStyle name="Eingabe 6 59" xfId="28469" xr:uid="{7AA9A446-C163-4B39-B5CA-7443FE9E641F}"/>
    <cellStyle name="Eingabe 6 6" xfId="1912" xr:uid="{3807B060-38E8-4D38-B605-EA181E04333F}"/>
    <cellStyle name="Eingabe 6 60" xfId="28937" xr:uid="{8A6E8E65-C238-4456-A0FD-0AE70737A64A}"/>
    <cellStyle name="Eingabe 6 61" xfId="29500" xr:uid="{BF465A61-AD79-4D2C-98FC-61B435F1865F}"/>
    <cellStyle name="Eingabe 6 62" xfId="29727" xr:uid="{79C85364-C099-4BB2-A7D6-D730C33CBA64}"/>
    <cellStyle name="Eingabe 6 63" xfId="30135" xr:uid="{8A5C3807-60D8-4019-8E5C-2447ADFAF656}"/>
    <cellStyle name="Eingabe 6 64" xfId="30549" xr:uid="{24F3ADB4-DCC6-45C3-A76E-D4330167844B}"/>
    <cellStyle name="Eingabe 6 65" xfId="30904" xr:uid="{5C6D973E-C649-4B79-B895-BA84DCDA47C3}"/>
    <cellStyle name="Eingabe 6 66" xfId="31173" xr:uid="{6BDADB00-C8B9-430C-898C-AB9FE3B7E34B}"/>
    <cellStyle name="Eingabe 6 67" xfId="31859" xr:uid="{99AC9E2C-9B74-4AB9-B3D8-C633487F120F}"/>
    <cellStyle name="Eingabe 6 68" xfId="32145" xr:uid="{0E3C9F55-6952-41A9-B3F1-86D74FC54FBC}"/>
    <cellStyle name="Eingabe 6 7" xfId="1831" xr:uid="{077B4B5A-3230-46DC-BE66-6D88951A486E}"/>
    <cellStyle name="Eingabe 6 8" xfId="3947" xr:uid="{42CDE33C-F763-4873-A36A-7034BDAFA968}"/>
    <cellStyle name="Eingabe 6 9" xfId="4385" xr:uid="{DF86EBF6-9D27-400C-A3A7-3E7D6C8E5B64}"/>
    <cellStyle name="Eingabe 7" xfId="672" xr:uid="{F6F4C502-10F8-4C67-B55F-8808F25BCBA8}"/>
    <cellStyle name="Eingabe 7 10" xfId="4984" xr:uid="{C9AD6F8A-0AD1-45AA-90E1-E4B78E34A4A7}"/>
    <cellStyle name="Eingabe 7 11" xfId="5320" xr:uid="{8D20C6AC-EE09-4F38-A7AF-1BC7D82EAE53}"/>
    <cellStyle name="Eingabe 7 12" xfId="5739" xr:uid="{141CD4E4-5F01-425D-BCEC-DEA8D5BF0CFB}"/>
    <cellStyle name="Eingabe 7 13" xfId="4930" xr:uid="{B28B4E40-FE59-47FE-B9DA-E2E8AA05F830}"/>
    <cellStyle name="Eingabe 7 14" xfId="6209" xr:uid="{7F846A1F-3471-4303-88EB-612356954E20}"/>
    <cellStyle name="Eingabe 7 15" xfId="7392" xr:uid="{F221FDAA-D823-482C-88BD-30250CF5A49A}"/>
    <cellStyle name="Eingabe 7 16" xfId="7986" xr:uid="{C3159696-323F-4636-B305-749C28E1DE62}"/>
    <cellStyle name="Eingabe 7 17" xfId="8248" xr:uid="{7BFF70C5-9A95-432C-941A-F0EE46496038}"/>
    <cellStyle name="Eingabe 7 18" xfId="8689" xr:uid="{3C6BF2B2-507F-4672-89CD-453D49E35D91}"/>
    <cellStyle name="Eingabe 7 19" xfId="9606" xr:uid="{9551AAF6-E9D7-4796-A240-BB14BE138502}"/>
    <cellStyle name="Eingabe 7 2" xfId="886" xr:uid="{860E101F-154A-44BE-9116-B4A77788ACA4}"/>
    <cellStyle name="Eingabe 7 2 10" xfId="5534" xr:uid="{48C05CB0-6BC6-4A97-B9B8-FFD862854D52}"/>
    <cellStyle name="Eingabe 7 2 11" xfId="6028" xr:uid="{5E492AFE-A9E9-47F1-A0CE-411D414BB83C}"/>
    <cellStyle name="Eingabe 7 2 12" xfId="6387" xr:uid="{75021544-1BBE-4E03-9C3F-D02FC52297D0}"/>
    <cellStyle name="Eingabe 7 2 13" xfId="6725" xr:uid="{4C5B5444-51FE-45D2-BB3C-3B34C0E09D20}"/>
    <cellStyle name="Eingabe 7 2 14" xfId="7606" xr:uid="{D781AE22-3375-47F3-8914-16BDCC2C38D1}"/>
    <cellStyle name="Eingabe 7 2 15" xfId="8070" xr:uid="{09CE729E-38D1-4DC1-8BE4-7710168A47F9}"/>
    <cellStyle name="Eingabe 7 2 16" xfId="8679" xr:uid="{5CF1885C-F392-4E08-9FF9-E2AC0E65A64F}"/>
    <cellStyle name="Eingabe 7 2 17" xfId="8938" xr:uid="{B5C3652C-4115-4149-BCED-03179C248A0A}"/>
    <cellStyle name="Eingabe 7 2 18" xfId="9820" xr:uid="{2CE9335E-99EC-4FE8-9005-008CFB40CB1E}"/>
    <cellStyle name="Eingabe 7 2 19" xfId="10289" xr:uid="{423C2ACD-E4A2-4E8A-B0D1-27E486009F4A}"/>
    <cellStyle name="Eingabe 7 2 2" xfId="1360" xr:uid="{959EA604-63ED-47F4-A5D9-3352BB37B708}"/>
    <cellStyle name="Eingabe 7 2 20" xfId="10683" xr:uid="{7423C7DE-8C9A-42FC-813E-EEB372AEFC60}"/>
    <cellStyle name="Eingabe 7 2 21" xfId="11032" xr:uid="{651D3B74-109E-46CC-A895-859B8F00FADC}"/>
    <cellStyle name="Eingabe 7 2 22" xfId="11342" xr:uid="{32B6E104-64BF-4FA2-BCA2-E4977E2C1580}"/>
    <cellStyle name="Eingabe 7 2 23" xfId="12239" xr:uid="{46D3B3FB-C75A-4BDC-96C8-49E0D5FC6DAA}"/>
    <cellStyle name="Eingabe 7 2 24" xfId="12712" xr:uid="{39FD42FB-14FB-4102-B5B1-486CD8C9F4C6}"/>
    <cellStyle name="Eingabe 7 2 25" xfId="13146" xr:uid="{255ECD36-40A7-441B-BD81-2721E88BAACE}"/>
    <cellStyle name="Eingabe 7 2 26" xfId="13583" xr:uid="{5556CA67-B487-412E-9F09-4C58E27BF2C6}"/>
    <cellStyle name="Eingabe 7 2 27" xfId="14055" xr:uid="{69CC6D4F-40F7-4E36-865C-C07B00720D19}"/>
    <cellStyle name="Eingabe 7 2 28" xfId="14502" xr:uid="{7FFDB37C-E5A5-440B-82D0-252723C5ED66}"/>
    <cellStyle name="Eingabe 7 2 29" xfId="14936" xr:uid="{ADF4A140-2A60-4513-AD01-E789604B9C0A}"/>
    <cellStyle name="Eingabe 7 2 3" xfId="1809" xr:uid="{3AE327B1-57CA-404B-85ED-A0D8F58A02D2}"/>
    <cellStyle name="Eingabe 7 2 30" xfId="15406" xr:uid="{4095CC79-2515-478B-9FB0-2BF25E52976E}"/>
    <cellStyle name="Eingabe 7 2 31" xfId="15796" xr:uid="{D65580CC-D994-489E-BD41-A4B452502DEE}"/>
    <cellStyle name="Eingabe 7 2 32" xfId="16018" xr:uid="{69A434A4-0F3D-4806-A7DB-C9567E776877}"/>
    <cellStyle name="Eingabe 7 2 33" xfId="16931" xr:uid="{22794975-A6C0-4CCB-AB21-CEA1ECAE2C27}"/>
    <cellStyle name="Eingabe 7 2 34" xfId="17412" xr:uid="{E9638F6C-00E2-4E72-8DD1-36A7706FC51C}"/>
    <cellStyle name="Eingabe 7 2 35" xfId="17853" xr:uid="{257C5043-0657-47FC-A0AF-2BA44F858CAF}"/>
    <cellStyle name="Eingabe 7 2 36" xfId="18328" xr:uid="{F13AF769-599C-44E9-ADE1-221E897DDAEB}"/>
    <cellStyle name="Eingabe 7 2 37" xfId="18749" xr:uid="{1678AAC9-67CD-44D1-9494-8BCE5D2B88D2}"/>
    <cellStyle name="Eingabe 7 2 38" xfId="19136" xr:uid="{AC1F34C2-2F36-4969-BCF6-700537E01F21}"/>
    <cellStyle name="Eingabe 7 2 39" xfId="19366" xr:uid="{E1487FB0-7E38-438D-892E-0371FE570B2C}"/>
    <cellStyle name="Eingabe 7 2 4" xfId="2708" xr:uid="{C7FFED40-B555-40A0-BFDF-570C70CFD30B}"/>
    <cellStyle name="Eingabe 7 2 40" xfId="20268" xr:uid="{4901A9E7-9FA5-47E3-B94F-30489D144706}"/>
    <cellStyle name="Eingabe 7 2 41" xfId="20761" xr:uid="{70124721-3B2D-44CB-B069-13DEA9F8C206}"/>
    <cellStyle name="Eingabe 7 2 42" xfId="21220" xr:uid="{A5DB7097-0325-4EAF-A442-AFD10F965095}"/>
    <cellStyle name="Eingabe 7 2 43" xfId="21712" xr:uid="{D328E402-0188-47A1-A603-5FB18FFC4FB3}"/>
    <cellStyle name="Eingabe 7 2 44" xfId="22151" xr:uid="{DC76673A-8B13-4A0D-85A6-59A2317B8E1B}"/>
    <cellStyle name="Eingabe 7 2 45" xfId="22578" xr:uid="{8D80F69A-754A-48AF-91E1-42AFDC53438D}"/>
    <cellStyle name="Eingabe 7 2 46" xfId="23023" xr:uid="{FB931AA1-79B9-48A6-A769-4C7FB0605F0D}"/>
    <cellStyle name="Eingabe 7 2 47" xfId="23425" xr:uid="{EF796BA9-CD06-40D1-8708-872BC72A10AC}"/>
    <cellStyle name="Eingabe 7 2 48" xfId="23688" xr:uid="{E79D5CD7-03BC-4C41-BC0F-A5F3938BF51F}"/>
    <cellStyle name="Eingabe 7 2 49" xfId="24068" xr:uid="{88F161E3-B440-4BC4-8F9E-31601C525F60}"/>
    <cellStyle name="Eingabe 7 2 5" xfId="3228" xr:uid="{E59BC98B-DFD9-4B67-A82D-412DF3EEEA55}"/>
    <cellStyle name="Eingabe 7 2 50" xfId="24976" xr:uid="{A5F0F795-9BCE-4DCC-840C-75F690689E07}"/>
    <cellStyle name="Eingabe 7 2 51" xfId="25464" xr:uid="{B715BD13-2296-4F3F-AC97-745CE148A1C7}"/>
    <cellStyle name="Eingabe 7 2 52" xfId="25892" xr:uid="{CEDCFB3C-6285-4A2A-8EC9-7EFACDEFDC36}"/>
    <cellStyle name="Eingabe 7 2 53" xfId="26330" xr:uid="{2AF6FACD-0229-41C8-8898-070B7F05541F}"/>
    <cellStyle name="Eingabe 7 2 54" xfId="26759" xr:uid="{770C62C1-50DF-423D-B1CB-6FEDAA446141}"/>
    <cellStyle name="Eingabe 7 2 55" xfId="27180" xr:uid="{B334A37F-BE76-40F1-AEAF-50173A11FA57}"/>
    <cellStyle name="Eingabe 7 2 56" xfId="27599" xr:uid="{A913AB8B-B026-4543-B22C-935080846E9F}"/>
    <cellStyle name="Eingabe 7 2 57" xfId="27837" xr:uid="{C7FDD698-03E8-4AB6-8743-8A50252530F9}"/>
    <cellStyle name="Eingabe 7 2 58" xfId="28726" xr:uid="{CED5B8BC-CBBB-494E-B894-6ED73A0C274E}"/>
    <cellStyle name="Eingabe 7 2 59" xfId="29193" xr:uid="{588EB08F-A4BA-4ED8-8D4C-E161ADB46C13}"/>
    <cellStyle name="Eingabe 7 2 6" xfId="3783" xr:uid="{57E792C7-90FA-4D68-8163-19011B4FF88F}"/>
    <cellStyle name="Eingabe 7 2 60" xfId="29575" xr:uid="{8E58F5F9-A157-4E74-BCDA-4F2E42061374}"/>
    <cellStyle name="Eingabe 7 2 61" xfId="29982" xr:uid="{4578F387-3A08-4BB8-806C-649FA0C2BE2C}"/>
    <cellStyle name="Eingabe 7 2 62" xfId="30388" xr:uid="{63F7A409-4312-494D-811E-EBA4A51D4A17}"/>
    <cellStyle name="Eingabe 7 2 63" xfId="30805" xr:uid="{54668454-8E76-4407-8052-C58AB6481641}"/>
    <cellStyle name="Eingabe 7 2 64" xfId="31050" xr:uid="{FD6F12AF-D14D-4DF5-8C69-C147005AB011}"/>
    <cellStyle name="Eingabe 7 2 65" xfId="31421" xr:uid="{66034BAC-F91B-419B-81F4-2373997361A1}"/>
    <cellStyle name="Eingabe 7 2 66" xfId="32112" xr:uid="{2D0165A9-A0DE-462B-8C79-6448585D1AE3}"/>
    <cellStyle name="Eingabe 7 2 67" xfId="32399" xr:uid="{531F450C-7755-446A-8667-CECF29160C59}"/>
    <cellStyle name="Eingabe 7 2 7" xfId="4204" xr:uid="{FBB78E5C-5622-48BD-8370-8F60A4FA7B41}"/>
    <cellStyle name="Eingabe 7 2 8" xfId="4641" xr:uid="{B22B1F05-8C40-4038-AF66-711F10E8491A}"/>
    <cellStyle name="Eingabe 7 2 9" xfId="5087" xr:uid="{25C14539-A87A-439E-AFC8-2BE078A74179}"/>
    <cellStyle name="Eingabe 7 20" xfId="10202" xr:uid="{ECCEFA53-EE61-4DE3-AC11-D517A626575F}"/>
    <cellStyle name="Eingabe 7 21" xfId="10606" xr:uid="{A0A9FC80-2E14-410A-AB15-0B0E4F89DA6D}"/>
    <cellStyle name="Eingabe 7 22" xfId="10537" xr:uid="{E7E3FA8F-F6A3-4BFB-99A2-FDFD7FD4B9C6}"/>
    <cellStyle name="Eingabe 7 23" xfId="9949" xr:uid="{D181F9E3-017C-42E7-9958-3117CAB89DB6}"/>
    <cellStyle name="Eingabe 7 24" xfId="12025" xr:uid="{2C2CCC37-357E-4625-A33F-8F22AECFA741}"/>
    <cellStyle name="Eingabe 7 25" xfId="12498" xr:uid="{9FA902AD-CB0C-4F42-9ED3-02586FE7FCB2}"/>
    <cellStyle name="Eingabe 7 26" xfId="12932" xr:uid="{356DDAE2-73A6-46CE-91A1-F5EE041B0D7C}"/>
    <cellStyle name="Eingabe 7 27" xfId="13369" xr:uid="{BEDAFDC7-FE6F-4962-85C6-402FD2E4710A}"/>
    <cellStyle name="Eingabe 7 28" xfId="11507" xr:uid="{0436D139-D119-4C18-8833-EFC4E2DD69AC}"/>
    <cellStyle name="Eingabe 7 29" xfId="14199" xr:uid="{CFF46BFC-E107-494F-9B4C-C68088C8B6AB}"/>
    <cellStyle name="Eingabe 7 3" xfId="1154" xr:uid="{E3FCCA24-036B-4D9E-92FE-A9FCEA498912}"/>
    <cellStyle name="Eingabe 7 30" xfId="14852" xr:uid="{2A6B8D26-C0AB-45F8-8CDC-AC94000C68CE}"/>
    <cellStyle name="Eingabe 7 31" xfId="15204" xr:uid="{5E1F47D7-DD2B-44B9-88F0-BC0EBF0BF2C2}"/>
    <cellStyle name="Eingabe 7 32" xfId="15629" xr:uid="{AD472C36-06B0-475B-A364-5B7F00E26245}"/>
    <cellStyle name="Eingabe 7 33" xfId="15965" xr:uid="{87FAD395-3AC6-4818-9EB3-84497B309C8A}"/>
    <cellStyle name="Eingabe 7 34" xfId="16717" xr:uid="{339B32D4-C1AC-47CF-BF1A-34E7F8BC27DE}"/>
    <cellStyle name="Eingabe 7 35" xfId="17323" xr:uid="{C7BCA02E-B9F6-498C-B13B-1E11C548C92F}"/>
    <cellStyle name="Eingabe 7 36" xfId="17766" xr:uid="{1823D256-6E98-4756-975E-2E5585EA1810}"/>
    <cellStyle name="Eingabe 7 37" xfId="17629" xr:uid="{FF03A7BB-54D7-4067-8AFF-F370F9F856FB}"/>
    <cellStyle name="Eingabe 7 38" xfId="18535" xr:uid="{7D86C068-37C6-42B3-88D4-675B7839535E}"/>
    <cellStyle name="Eingabe 7 39" xfId="18761" xr:uid="{704BD9DC-0D6D-4B0C-8E69-CD701EE3BCD2}"/>
    <cellStyle name="Eingabe 7 4" xfId="1629" xr:uid="{63A948C9-833B-417C-8601-2E275A766F73}"/>
    <cellStyle name="Eingabe 7 40" xfId="16267" xr:uid="{5C57B172-1CAF-4D31-9EFB-BD8567A03EE7}"/>
    <cellStyle name="Eingabe 7 41" xfId="20054" xr:uid="{78CBE48D-4A53-4E31-BE3E-AAD0E9EA41A8}"/>
    <cellStyle name="Eingabe 7 42" xfId="20674" xr:uid="{930D9359-E8A4-45FF-8B7B-CC5894506180}"/>
    <cellStyle name="Eingabe 7 43" xfId="21130" xr:uid="{5466CF0E-AE74-4034-9FBB-A23FF135DCD3}"/>
    <cellStyle name="Eingabe 7 44" xfId="19876" xr:uid="{4FB58F77-0BBE-4811-B7AD-F3E34770B769}"/>
    <cellStyle name="Eingabe 7 45" xfId="22062" xr:uid="{44D0E641-5C5B-47F4-ABBE-0AE8F121505A}"/>
    <cellStyle name="Eingabe 7 46" xfId="22490" xr:uid="{82F6F9C6-0348-46A1-8EBD-FA10490A656E}"/>
    <cellStyle name="Eingabe 7 47" xfId="22338" xr:uid="{BAE002C6-8A2C-46CD-BF66-8E2ED28D6D9A}"/>
    <cellStyle name="Eingabe 7 48" xfId="23029" xr:uid="{A37A6596-6E6D-4725-A284-211BCDA5093D}"/>
    <cellStyle name="Eingabe 7 49" xfId="22779" xr:uid="{2D5083EC-C5FF-42D9-9D92-9078A6BA4ECD}"/>
    <cellStyle name="Eingabe 7 5" xfId="2494" xr:uid="{09EFBC2B-EB07-4F82-B2D7-7C2BC66D7911}"/>
    <cellStyle name="Eingabe 7 50" xfId="23862" xr:uid="{57C28B3F-E932-439D-883B-6DDBC866B008}"/>
    <cellStyle name="Eingabe 7 51" xfId="24762" xr:uid="{60782C4C-651B-4EBB-BCD8-690086521E9F}"/>
    <cellStyle name="Eingabe 7 52" xfId="25377" xr:uid="{8DE9E346-7214-4CA2-9A21-0482E56F613D}"/>
    <cellStyle name="Eingabe 7 53" xfId="25680" xr:uid="{E725C79C-3971-4E1A-835F-C474617476E4}"/>
    <cellStyle name="Eingabe 7 54" xfId="24530" xr:uid="{41EA6F21-E255-49A3-84FA-62484E5BA16E}"/>
    <cellStyle name="Eingabe 7 55" xfId="26111" xr:uid="{98EE5BAC-42AB-45BB-ABC1-C5279007C0AF}"/>
    <cellStyle name="Eingabe 7 56" xfId="26970" xr:uid="{FB9CFA9F-787E-4FF1-A63B-294F026B6252}"/>
    <cellStyle name="Eingabe 7 57" xfId="27389" xr:uid="{BD5FCCC0-BF18-4658-AA8E-425752CDC02E}"/>
    <cellStyle name="Eingabe 7 58" xfId="27727" xr:uid="{CEC89D53-4C5D-40A3-820D-38DE6784EFBB}"/>
    <cellStyle name="Eingabe 7 59" xfId="28512" xr:uid="{28B1C65C-501C-435F-8FDD-3671E4BA809B}"/>
    <cellStyle name="Eingabe 7 6" xfId="1953" xr:uid="{DE2D08B8-8480-4B9F-95CB-144C809DBBE4}"/>
    <cellStyle name="Eingabe 7 60" xfId="28980" xr:uid="{912C2692-F37A-4832-B60B-146A7111F1AE}"/>
    <cellStyle name="Eingabe 7 61" xfId="29499" xr:uid="{22EDE90E-EE26-42C6-BBD3-170BEDAC2A8D}"/>
    <cellStyle name="Eingabe 7 62" xfId="29770" xr:uid="{BF8B30C0-E7FE-40D1-8169-C2EC81096FE7}"/>
    <cellStyle name="Eingabe 7 63" xfId="30177" xr:uid="{2749F3E7-4BFA-4EA3-A77C-D63C0D3A0772}"/>
    <cellStyle name="Eingabe 7 64" xfId="30592" xr:uid="{639354FD-CE36-436B-B6A2-B3AC31B9AC8A}"/>
    <cellStyle name="Eingabe 7 65" xfId="28301" xr:uid="{EB4F539D-ACC1-41EC-8C1C-556EC0F91183}"/>
    <cellStyle name="Eingabe 7 66" xfId="31215" xr:uid="{45BE028D-9E19-4821-9AE7-71CDB59B3996}"/>
    <cellStyle name="Eingabe 7 67" xfId="31901" xr:uid="{602BC0E8-479E-4BAF-B0D4-2CB40F7BA747}"/>
    <cellStyle name="Eingabe 7 68" xfId="32135" xr:uid="{2658EF28-41FF-45D3-966C-C2119BE6CF8C}"/>
    <cellStyle name="Eingabe 7 7" xfId="2994" xr:uid="{FA509A0C-297E-452F-A8DC-B7CE58B44129}"/>
    <cellStyle name="Eingabe 7 8" xfId="3990" xr:uid="{E2CAFCF8-A46F-44F0-A4A5-3CEC4F8E1748}"/>
    <cellStyle name="Eingabe 7 9" xfId="4428" xr:uid="{F7F3BD3A-16B1-4432-8E0E-C34A4B13F0EF}"/>
    <cellStyle name="Eingabe 8" xfId="681" xr:uid="{CDEB5699-7D30-44E2-B92C-726181CB3B45}"/>
    <cellStyle name="Eingabe 8 10" xfId="5329" xr:uid="{D03D8000-DCE5-4998-B53F-1F9FAB015002}"/>
    <cellStyle name="Eingabe 8 11" xfId="4672" xr:uid="{2E4429B6-4E9F-46DE-8450-CDF9C2B0E2CB}"/>
    <cellStyle name="Eingabe 8 12" xfId="6261" xr:uid="{90A6B828-96A2-4E74-B8E8-0A37A464E685}"/>
    <cellStyle name="Eingabe 8 13" xfId="6337" xr:uid="{5E7D6163-3BB7-4A7F-A094-D267BFDA44AD}"/>
    <cellStyle name="Eingabe 8 14" xfId="7401" xr:uid="{516795F7-9BB4-486F-B824-0BCECEEF35AC}"/>
    <cellStyle name="Eingabe 8 15" xfId="7210" xr:uid="{1BBA9DEF-D542-4F1E-894B-61EB921D5E4A}"/>
    <cellStyle name="Eingabe 8 16" xfId="8650" xr:uid="{8CDF76E8-DC1C-45B7-8376-02339559AE10}"/>
    <cellStyle name="Eingabe 8 17" xfId="8188" xr:uid="{CFB46D4A-1423-4CAE-A52B-9FE4F5F93BB0}"/>
    <cellStyle name="Eingabe 8 18" xfId="9615" xr:uid="{71FDCF07-CBE1-43B0-9892-26E361515631}"/>
    <cellStyle name="Eingabe 8 19" xfId="9424" xr:uid="{45642921-22E6-47FF-ADB1-CE3123308068}"/>
    <cellStyle name="Eingabe 8 2" xfId="1163" xr:uid="{9946D51A-EC2B-4D6F-B5F4-8034E3DB0233}"/>
    <cellStyle name="Eingabe 8 20" xfId="9921" xr:uid="{8120DDF1-AFE5-4ABA-A94D-D3CD782CF50B}"/>
    <cellStyle name="Eingabe 8 21" xfId="10959" xr:uid="{30E5E55A-3ABF-4AE2-A3FC-FDF2787D6AF9}"/>
    <cellStyle name="Eingabe 8 22" xfId="11252" xr:uid="{F8466BD8-394B-419A-8BCB-B1805D8AB5D0}"/>
    <cellStyle name="Eingabe 8 23" xfId="12034" xr:uid="{C198F251-4B1C-4498-9E0A-F61CD4242022}"/>
    <cellStyle name="Eingabe 8 24" xfId="12507" xr:uid="{144B5B06-B3F2-44A2-B801-1D66F1AE74BE}"/>
    <cellStyle name="Eingabe 8 25" xfId="12941" xr:uid="{653AF54D-AEC1-404A-B89D-8115291F8259}"/>
    <cellStyle name="Eingabe 8 26" xfId="13378" xr:uid="{7DF31C66-753E-43E4-9CFD-BC2270AA83BE}"/>
    <cellStyle name="Eingabe 8 27" xfId="12323" xr:uid="{F3E620C1-AB33-4EF8-AC84-150E4229D77C}"/>
    <cellStyle name="Eingabe 8 28" xfId="14153" xr:uid="{0A1921E8-81C6-49D2-A0D6-16350620E270}"/>
    <cellStyle name="Eingabe 8 29" xfId="13645" xr:uid="{423F1FF8-8238-4206-89AC-806922E87CBB}"/>
    <cellStyle name="Eingabe 8 3" xfId="1598" xr:uid="{0217C734-094C-4F15-AB27-C0EE54A0B6CC}"/>
    <cellStyle name="Eingabe 8 30" xfId="14959" xr:uid="{A57369B6-7DF3-4924-BFBA-8759E1B268F6}"/>
    <cellStyle name="Eingabe 8 31" xfId="14158" xr:uid="{83C1F1C7-7730-4133-A99D-7677732D289C}"/>
    <cellStyle name="Eingabe 8 32" xfId="15717" xr:uid="{F9B2933A-4856-491C-8E24-D0E26AE9A03C}"/>
    <cellStyle name="Eingabe 8 33" xfId="16726" xr:uid="{5A962748-B14D-41DB-B80B-408F8362BC28}"/>
    <cellStyle name="Eingabe 8 34" xfId="16533" xr:uid="{A2FDAA1D-A8E3-4A86-9F39-41F93C411F76}"/>
    <cellStyle name="Eingabe 8 35" xfId="17035" xr:uid="{306BB440-B3A7-45B8-BAE8-4D9C8AA715EF}"/>
    <cellStyle name="Eingabe 8 36" xfId="17444" xr:uid="{857DA7A7-A042-4340-ADB3-4917E76ECC6D}"/>
    <cellStyle name="Eingabe 8 37" xfId="18544" xr:uid="{DF85C08B-84A8-4EC1-9725-875C472BA7D2}"/>
    <cellStyle name="Eingabe 8 38" xfId="16344" xr:uid="{99F5A7C2-7BE1-4FF4-8C70-2A1D403DC5D7}"/>
    <cellStyle name="Eingabe 8 39" xfId="19071" xr:uid="{2371D33E-CA42-402A-A383-DE0407948E62}"/>
    <cellStyle name="Eingabe 8 4" xfId="2503" xr:uid="{103C307C-372B-445E-BEC3-CF95C3B69038}"/>
    <cellStyle name="Eingabe 8 40" xfId="20063" xr:uid="{EB435D5B-6094-4A5B-88E4-39279488302F}"/>
    <cellStyle name="Eingabe 8 41" xfId="19869" xr:uid="{E0A2C62D-1F08-4389-9765-226A2C8E47AE}"/>
    <cellStyle name="Eingabe 8 42" xfId="20724" xr:uid="{F7A83F22-6376-43D4-97BA-14340F94E513}"/>
    <cellStyle name="Eingabe 8 43" xfId="19837" xr:uid="{CC1AC9D2-0753-409A-B58F-C3466A13672F}"/>
    <cellStyle name="Eingabe 8 44" xfId="20281" xr:uid="{755FA1D8-9AC3-4E40-826C-846613DF7ABF}"/>
    <cellStyle name="Eingabe 8 45" xfId="21757" xr:uid="{6404320E-B744-4F43-BF43-C663FC57398E}"/>
    <cellStyle name="Eingabe 8 46" xfId="21718" xr:uid="{44318A05-1B53-48FA-BC36-BB95C650DDB7}"/>
    <cellStyle name="Eingabe 8 47" xfId="22852" xr:uid="{41B604E2-C0F6-4BE2-BCE0-0A3901CBCE0E}"/>
    <cellStyle name="Eingabe 8 48" xfId="23517" xr:uid="{989B5862-484A-4E94-9C8A-7CCEF919D718}"/>
    <cellStyle name="Eingabe 8 49" xfId="23871" xr:uid="{A1EA0007-3601-48EA-89A9-67B628139263}"/>
    <cellStyle name="Eingabe 8 5" xfId="1981" xr:uid="{4CC89F43-4872-4D50-BA6A-9A016A1BF81B}"/>
    <cellStyle name="Eingabe 8 50" xfId="24771" xr:uid="{71846E66-E813-4325-A1E4-6FA91B3CECCF}"/>
    <cellStyle name="Eingabe 8 51" xfId="24572" xr:uid="{15B8CCB8-89AA-48F1-B401-A6A7156BE8E7}"/>
    <cellStyle name="Eingabe 8 52" xfId="25689" xr:uid="{CBA6ABE1-F0C2-4835-A636-ADD8A96C6957}"/>
    <cellStyle name="Eingabe 8 53" xfId="25042" xr:uid="{C28DF4C2-3A54-4BB1-85DD-827EB6A3023A}"/>
    <cellStyle name="Eingabe 8 54" xfId="26132" xr:uid="{165837C6-752B-45C5-89B8-13A89D778D44}"/>
    <cellStyle name="Eingabe 8 55" xfId="26979" xr:uid="{A2A6C4C8-735F-425B-B4B5-EA385B4E6385}"/>
    <cellStyle name="Eingabe 8 56" xfId="27398" xr:uid="{FA22FA33-489D-4C01-BAA9-246E7ED83406}"/>
    <cellStyle name="Eingabe 8 57" xfId="27661" xr:uid="{6F474D61-6FA2-4A1B-AA2B-FEB8D2A1455D}"/>
    <cellStyle name="Eingabe 8 58" xfId="28521" xr:uid="{CB476C95-9B9C-4E89-9CC5-34CF8886DA93}"/>
    <cellStyle name="Eingabe 8 59" xfId="28989" xr:uid="{796FEED0-46E1-447A-86E2-0F7B6003D01F}"/>
    <cellStyle name="Eingabe 8 6" xfId="3752" xr:uid="{AA22CC7B-1E24-4D87-97DA-DEFB50C773CF}"/>
    <cellStyle name="Eingabe 8 60" xfId="28803" xr:uid="{B45FAEFA-4880-4B18-BCAD-BAB7D63B68EA}"/>
    <cellStyle name="Eingabe 8 61" xfId="29779" xr:uid="{9C6E29D9-6E37-478B-A0DB-723B1CA5C1C9}"/>
    <cellStyle name="Eingabe 8 62" xfId="30186" xr:uid="{FFE47F9D-0D7A-49C6-8191-50E896E95111}"/>
    <cellStyle name="Eingabe 8 63" xfId="30601" xr:uid="{44916ECD-9996-4119-B1CF-E95300F5C7AA}"/>
    <cellStyle name="Eingabe 8 64" xfId="30927" xr:uid="{8ADA6A67-DF05-4D9F-934E-77A9570A80F9}"/>
    <cellStyle name="Eingabe 8 65" xfId="31224" xr:uid="{24B63A5C-153B-45C4-83C3-C65D30FDBF98}"/>
    <cellStyle name="Eingabe 8 66" xfId="31910" xr:uid="{D8B553D9-A43B-4948-B5DB-C0038A68944D}"/>
    <cellStyle name="Eingabe 8 67" xfId="31696" xr:uid="{7EE0CECA-E1C9-4854-980D-5504A5B32DFD}"/>
    <cellStyle name="Eingabe 8 7" xfId="3999" xr:uid="{676EE7C9-AE4F-4683-8DA8-A7A6B349FD5B}"/>
    <cellStyle name="Eingabe 8 8" xfId="4437" xr:uid="{1EE90F39-5827-481C-A1B2-19A599E6377E}"/>
    <cellStyle name="Eingabe 8 9" xfId="4938" xr:uid="{35C67430-0821-4BA2-9A1E-5DAA41C04D19}"/>
    <cellStyle name="Empty_B_border" xfId="21" xr:uid="{B4BD9299-5FF0-4E98-8DD8-8F919F985E72}"/>
    <cellStyle name="Ergebnis" xfId="27618" hidden="1" xr:uid="{E7EF71E6-FAAE-4C89-89AE-C314DAC1568F}"/>
    <cellStyle name="Ergebnis" xfId="26603" hidden="1" xr:uid="{2A36C0CC-E7FF-47C9-A4E4-8D1D681A2818}"/>
    <cellStyle name="Ergebnis" xfId="27850" hidden="1" xr:uid="{F505039D-A093-4D16-AB14-38D23274CD96}"/>
    <cellStyle name="Ergebnis" xfId="27875" hidden="1" xr:uid="{F0BD08CF-68B8-444A-90D9-F07BABA01421}"/>
    <cellStyle name="Ergebnis" xfId="26536" hidden="1" xr:uid="{1EA6F3A1-E994-4817-98B4-1C3E7C18BFC9}"/>
    <cellStyle name="Ergebnis" xfId="27646" hidden="1" xr:uid="{69221338-66AF-497C-A42E-6AAA58448469}"/>
    <cellStyle name="Ergebnis" xfId="27942" hidden="1" xr:uid="{CDBA6580-715D-49DB-89B4-F6FE5883A479}"/>
    <cellStyle name="Ergebnis" xfId="28344" hidden="1" xr:uid="{C0E8175B-D7BC-4899-9D3F-4EAF60A0AE9A}"/>
    <cellStyle name="Ergebnis" xfId="28744" hidden="1" xr:uid="{DA284FCB-31A1-4F04-A498-73010D3B68BC}"/>
    <cellStyle name="Ergebnis" xfId="29249" hidden="1" xr:uid="{E7EB0044-BA84-4E52-9FB4-C42FC312B8CE}"/>
    <cellStyle name="Ergebnis" xfId="28174" hidden="1" xr:uid="{466F188F-8234-4239-8B00-1EEE56979477}"/>
    <cellStyle name="Ergebnis" xfId="28312" hidden="1" xr:uid="{49D92C78-1C9F-4B6C-B343-3FAC67E0EA72}"/>
    <cellStyle name="Ergebnis" xfId="29234" hidden="1" xr:uid="{CF1D1AB6-B953-46FF-9574-F543FB197F77}"/>
    <cellStyle name="Ergebnis" xfId="28102" hidden="1" xr:uid="{E2331D32-581A-4400-8EBF-E7DFFFD2D386}"/>
    <cellStyle name="Ergebnis" xfId="31000" hidden="1" xr:uid="{33E13E31-A513-406E-8ED6-243BD6DC9B54}"/>
    <cellStyle name="Ergebnis" xfId="30821" hidden="1" xr:uid="{F9E38762-36B1-4A7C-8454-0A466D367647}"/>
    <cellStyle name="Ergebnis" xfId="31460" hidden="1" xr:uid="{FFCB3583-471F-440C-9409-34B5EE93909E}"/>
    <cellStyle name="Ergebnis" xfId="31693" hidden="1" xr:uid="{2A551E6B-8251-4688-A137-FCC6C95473CB}"/>
    <cellStyle name="Ergebnis" xfId="32329" hidden="1" xr:uid="{7FC2E3A2-48D5-4CA7-AA98-750C4219F87E}"/>
    <cellStyle name="Ergebnis" xfId="31498" hidden="1" xr:uid="{0939B8C7-41A9-4469-ACBC-19D1A0798CD1}"/>
    <cellStyle name="Ergebnis" xfId="31497" hidden="1" xr:uid="{0293E5CD-1BE7-4A4B-A55C-0647C6FF7225}"/>
    <cellStyle name="Ergebnis" xfId="32219" hidden="1" xr:uid="{932ABB77-6452-4342-B6CC-463A9CD76DA3}"/>
    <cellStyle name="Ergebnis" xfId="11513" hidden="1" xr:uid="{676A18C0-6F2F-4309-9F80-1F94D1E98624}"/>
    <cellStyle name="Ergebnis" xfId="13655" hidden="1" xr:uid="{ED28117C-E2C7-48B1-A3C2-70BC29CE9B2D}"/>
    <cellStyle name="Ergebnis" xfId="13889" hidden="1" xr:uid="{023FB725-6314-4CD2-A69E-7D2F0EC8B10E}"/>
    <cellStyle name="Ergebnis" xfId="13602" hidden="1" xr:uid="{3713D6EA-4432-42FE-9316-9AC2C87F711F}"/>
    <cellStyle name="Ergebnis" xfId="14312" hidden="1" xr:uid="{5BCFF3E5-9584-475F-9738-B383BAE3AA65}"/>
    <cellStyle name="Ergebnis" xfId="14138" hidden="1" xr:uid="{410455B5-3ABA-4D0B-B218-970AC44BEAB7}"/>
    <cellStyle name="Ergebnis" xfId="14867" hidden="1" xr:uid="{D5D391D2-977B-41B0-B52B-58DC27592E1E}"/>
    <cellStyle name="Ergebnis" xfId="11678" hidden="1" xr:uid="{2E5E7E2F-51C7-4FDC-AEA5-A8728B72FF4B}"/>
    <cellStyle name="Ergebnis" xfId="15279" hidden="1" xr:uid="{A6ED3E17-9C73-4158-B292-E4DFA48A2B81}"/>
    <cellStyle name="Ergebnis" xfId="14825" hidden="1" xr:uid="{A1383A28-824D-4E11-93AB-1A698788B541}"/>
    <cellStyle name="Ergebnis" xfId="14701" hidden="1" xr:uid="{52D10A8C-7EC7-448B-A594-DC7584FF9892}"/>
    <cellStyle name="Ergebnis" xfId="15281" hidden="1" xr:uid="{070E11C2-CCD5-4958-8C53-AB6CA5281429}"/>
    <cellStyle name="Ergebnis" xfId="14620" hidden="1" xr:uid="{7091AF5E-A3B8-4585-992E-FD73E206F53C}"/>
    <cellStyle name="Ergebnis" xfId="15686" hidden="1" xr:uid="{3472CE3C-5FCC-4C6D-9D41-B99A8D03179D}"/>
    <cellStyle name="Ergebnis" xfId="15310" hidden="1" xr:uid="{E4B21ED1-94D8-4008-A6ED-742A76C6B681}"/>
    <cellStyle name="Ergebnis" xfId="15189" hidden="1" xr:uid="{1297BE19-7914-49CA-B26A-CBAEC13E8C2A}"/>
    <cellStyle name="Ergebnis" xfId="15594" hidden="1" xr:uid="{F4CB2EFE-75E1-47E5-A295-6A2EDF57FCC7}"/>
    <cellStyle name="Ergebnis" xfId="15284" hidden="1" xr:uid="{44DD7FC2-AEB0-4A16-8E5B-3AF85DBE20FA}"/>
    <cellStyle name="Ergebnis" xfId="15977" hidden="1" xr:uid="{8F5DD7F5-5CE9-4F4C-9C78-CACEE50CC8ED}"/>
    <cellStyle name="Ergebnis" xfId="15133" hidden="1" xr:uid="{2C61E977-FAEE-44F3-B68C-E54964D6EE67}"/>
    <cellStyle name="Ergebnis" xfId="16036" hidden="1" xr:uid="{245C6103-C221-44B7-A5AB-38B5EA8FE318}"/>
    <cellStyle name="Ergebnis" xfId="16095" hidden="1" xr:uid="{50B3A027-C0E4-4D7A-9885-B082ADE5495B}"/>
    <cellStyle name="Ergebnis" xfId="16547" hidden="1" xr:uid="{D8808DA7-82A0-474C-82C5-7EC7FB726EA6}"/>
    <cellStyle name="Ergebnis" xfId="17033" hidden="1" xr:uid="{B78694F2-1A69-4D9F-9BA9-9B4AC5558CBA}"/>
    <cellStyle name="Ergebnis" xfId="16039" hidden="1" xr:uid="{3B357EA1-B0EF-4C65-904C-DF3A19996A88}"/>
    <cellStyle name="Ergebnis" xfId="17481" hidden="1" xr:uid="{73DF06B5-2D68-4C4E-894A-CA7D66099E25}"/>
    <cellStyle name="Ergebnis" xfId="17018" hidden="1" xr:uid="{05E0CC83-EB96-489C-9CD5-B8D50588BA77}"/>
    <cellStyle name="Ergebnis" xfId="17911" hidden="1" xr:uid="{8AA15717-54AF-4ABF-A9E3-BCCAA37477F9}"/>
    <cellStyle name="Ergebnis" xfId="18128" hidden="1" xr:uid="{C29F856A-3E10-426B-8AF0-95DD7B05DDBA}"/>
    <cellStyle name="Ergebnis" xfId="16116" hidden="1" xr:uid="{F49DEBE2-EA1D-4B76-B6BB-EC8A22914351}"/>
    <cellStyle name="Ergebnis" xfId="17652" hidden="1" xr:uid="{8BF39765-B211-4B57-8FD2-B3D6238190F6}"/>
    <cellStyle name="Ergebnis" xfId="17874" hidden="1" xr:uid="{F624E160-60CF-4FD7-97F6-FDC2EE7FC045}"/>
    <cellStyle name="Ergebnis" xfId="18012" hidden="1" xr:uid="{99E04B29-C126-4C5B-B81D-0A6C207079AA}"/>
    <cellStyle name="Ergebnis" xfId="18807" hidden="1" xr:uid="{94B28687-03FF-4000-B9E9-CF78BCD62888}"/>
    <cellStyle name="Ergebnis" xfId="18982" hidden="1" xr:uid="{2737336E-4473-408C-890D-98496BC4CF29}"/>
    <cellStyle name="Ergebnis" xfId="17895" hidden="1" xr:uid="{CA27DA5D-1F5A-4FF0-BF35-6C809881961F}"/>
    <cellStyle name="Ergebnis" xfId="17833" hidden="1" xr:uid="{022F966D-F378-43BD-ADCE-AC7312A85BC9}"/>
    <cellStyle name="Ergebnis" xfId="19187" hidden="1" xr:uid="{FFE89003-3421-44D7-A1AF-04F295E9C862}"/>
    <cellStyle name="Ergebnis" xfId="18935" hidden="1" xr:uid="{A3948429-C287-4633-80B3-11819AB7B390}"/>
    <cellStyle name="Ergebnis" xfId="19428" hidden="1" xr:uid="{75670AE0-F885-4B3B-B8EE-FA2F08D3108D}"/>
    <cellStyle name="Ergebnis" xfId="19884" hidden="1" xr:uid="{997A467D-D5B2-4BD9-8163-4F0592CDE41D}"/>
    <cellStyle name="Ergebnis" xfId="20385" hidden="1" xr:uid="{6B1A9FE6-E2B4-4907-94FC-05DEB01A0C80}"/>
    <cellStyle name="Ergebnis" xfId="20332" hidden="1" xr:uid="{85851344-D838-493D-ACAE-3E004E2DEA96}"/>
    <cellStyle name="Ergebnis" xfId="20838" hidden="1" xr:uid="{490F971D-19E8-49A9-A7DE-AAEBDD120C7C}"/>
    <cellStyle name="Ergebnis" xfId="20373" hidden="1" xr:uid="{EAB112BE-ED64-4DB9-9684-FF75FAA7A43D}"/>
    <cellStyle name="Ergebnis" xfId="20840" hidden="1" xr:uid="{0F46D023-65AD-42CA-9E0A-E979D352BAE3}"/>
    <cellStyle name="Ergebnis" xfId="21640" hidden="1" xr:uid="{213C9EB0-DC01-481A-9104-779160068478}"/>
    <cellStyle name="Ergebnis" xfId="21085" hidden="1" xr:uid="{934139D3-41A9-4B5C-B35A-A362DAC94ACA}"/>
    <cellStyle name="Ergebnis" xfId="21520" hidden="1" xr:uid="{F2F988DD-ADCA-42A9-BF3C-E6231C36735C}"/>
    <cellStyle name="Ergebnis" xfId="21771" hidden="1" xr:uid="{21FAE0B6-3032-456E-AA2E-2EC72B1845C3}"/>
    <cellStyle name="Ergebnis" xfId="21489" hidden="1" xr:uid="{08F62B33-F97C-4620-954F-E31CFAF546A0}"/>
    <cellStyle name="Ergebnis" xfId="22208" hidden="1" xr:uid="{E779E93A-BF69-4EFC-A39B-3626BF1E6487}"/>
    <cellStyle name="Ergebnis" xfId="22429" hidden="1" xr:uid="{6C26DF02-3F38-4CE8-A3E5-BD2D8A2A8F60}"/>
    <cellStyle name="Ergebnis" xfId="22658" hidden="1" xr:uid="{83E7AC27-DFB7-4382-89D0-9AFC7A7200A5}"/>
    <cellStyle name="Ergebnis" xfId="22869" hidden="1" xr:uid="{3E9938BB-AC06-4F1D-9F92-275192BA745B}"/>
    <cellStyle name="Ergebnis" xfId="22915" hidden="1" xr:uid="{7762383D-311E-4C3D-BFFF-A7A31C2598F2}"/>
    <cellStyle name="Ergebnis" xfId="23081" hidden="1" xr:uid="{C5AF20A4-4302-4CEC-9493-B253DBA67CDF}"/>
    <cellStyle name="Ergebnis" xfId="23269" hidden="1" xr:uid="{EDEB7DBC-634F-43A3-A06E-EE22F219DF89}"/>
    <cellStyle name="Ergebnis" xfId="21435" hidden="1" xr:uid="{8DB5842D-9122-4628-AB0E-839603F95203}"/>
    <cellStyle name="Ergebnis" xfId="23218" hidden="1" xr:uid="{8EE75A1E-E44D-47DF-9F49-7CDFAB746A30}"/>
    <cellStyle name="Ergebnis" xfId="23275" hidden="1" xr:uid="{81036AB8-A6B7-4BCD-A5DB-F18D48B6435F}"/>
    <cellStyle name="Ergebnis" xfId="23655" hidden="1" xr:uid="{0BD70D34-142C-4BA3-9D17-EB2031453EFD}"/>
    <cellStyle name="Ergebnis" xfId="23530" hidden="1" xr:uid="{98CC7AF3-BADE-4A8D-8897-76FBC18C7A66}"/>
    <cellStyle name="Ergebnis" xfId="23524" hidden="1" xr:uid="{5B65B286-9C8D-4DC2-9E47-189C949A6B3E}"/>
    <cellStyle name="Ergebnis" xfId="24076" hidden="1" xr:uid="{F5DC54FA-5401-459A-B6F6-118FEF746FFA}"/>
    <cellStyle name="Ergebnis" xfId="24090" hidden="1" xr:uid="{F4608674-7509-47A4-8548-C2CC93D971EC}"/>
    <cellStyle name="Ergebnis" xfId="24151" hidden="1" xr:uid="{BEF7B4ED-B91B-4B8F-B804-E433E45225D1}"/>
    <cellStyle name="Ergebnis" xfId="24590" hidden="1" xr:uid="{0AE55BC4-F054-4C39-B0CE-4295852E71E8}"/>
    <cellStyle name="Ergebnis" xfId="25405" hidden="1" xr:uid="{ECF66970-3514-4E7E-AC52-21694151F64D}"/>
    <cellStyle name="Ergebnis" xfId="24600" hidden="1" xr:uid="{307D05ED-51ED-492E-A5C3-566EB530F7D4}"/>
    <cellStyle name="Ergebnis" xfId="24999" hidden="1" xr:uid="{6B05734A-5D83-4DCC-8751-B012D5B7D8F7}"/>
    <cellStyle name="Ergebnis" xfId="26254" hidden="1" xr:uid="{6875539D-1DD8-4192-9AFF-4DAC3E75DBC1}"/>
    <cellStyle name="Ergebnis" xfId="25423" hidden="1" xr:uid="{CD944EEA-4A2B-48D5-B5D5-F11779703825}"/>
    <cellStyle name="Ergebnis" xfId="25933" hidden="1" xr:uid="{611F679F-718E-43A7-A266-A2ACB5CEBF1B}"/>
    <cellStyle name="Ergebnis" xfId="26643" hidden="1" xr:uid="{FDC76797-9161-45B6-8320-2979655BF58F}"/>
    <cellStyle name="Ergebnis" xfId="26520" hidden="1" xr:uid="{ADDFBCD3-6E5C-4FA3-BEB3-4467212570DF}"/>
    <cellStyle name="Ergebnis" xfId="26386" hidden="1" xr:uid="{AE5E0AC4-38C2-4513-9428-9318EE9F8DF9}"/>
    <cellStyle name="Ergebnis" xfId="25081" hidden="1" xr:uid="{E66E70C1-CFE5-49CF-8BD1-74D5969CFAD5}"/>
    <cellStyle name="Ergebnis" xfId="26553" hidden="1" xr:uid="{C5AFBDC0-47E5-4BEE-9FEE-8186C14ED77F}"/>
    <cellStyle name="Ergebnis" xfId="26771" hidden="1" xr:uid="{46E7BE50-D91B-4D05-81C1-E209F7CC6B0E}"/>
    <cellStyle name="Ergebnis" xfId="7706" hidden="1" xr:uid="{7E346B6A-E86B-46E3-A7C1-A50411DB6C2F}"/>
    <cellStyle name="Ergebnis" xfId="6731" hidden="1" xr:uid="{DDA1C49A-4A59-46E7-A39F-6DBD88BE45FE}"/>
    <cellStyle name="Ergebnis" xfId="8128" hidden="1" xr:uid="{B8D60D09-6BC3-4B2B-BB5D-9A6F189D9E53}"/>
    <cellStyle name="Ergebnis" xfId="7768" hidden="1" xr:uid="{B1847758-FC65-4BC2-A1E5-EB1C9E40972F}"/>
    <cellStyle name="Ergebnis" xfId="8397" hidden="1" xr:uid="{4F3E2089-CBAE-42F7-A0B7-3B2CD93BC2B9}"/>
    <cellStyle name="Ergebnis" xfId="8090" hidden="1" xr:uid="{5B11276B-B1A4-437A-AD3C-C3D7A1AD73A8}"/>
    <cellStyle name="Ergebnis" xfId="8032" hidden="1" xr:uid="{4A1ED992-9551-4BD0-94F6-BB368EAEA3B5}"/>
    <cellStyle name="Ergebnis" xfId="8151" hidden="1" xr:uid="{E43AB100-E5AC-4EED-A9ED-16BD5D8283A2}"/>
    <cellStyle name="Ergebnis" xfId="7099" hidden="1" xr:uid="{F98E94F9-B55E-4C3E-8E56-BDCE87D9CDF2}"/>
    <cellStyle name="Ergebnis" xfId="8122" hidden="1" xr:uid="{E7A6F85E-66A5-49D1-8F42-706D80F9EBBF}"/>
    <cellStyle name="Ergebnis" xfId="8304" hidden="1" xr:uid="{01B6C51C-E23B-4AD1-8DDD-57758A35FA42}"/>
    <cellStyle name="Ergebnis" xfId="8421" hidden="1" xr:uid="{DFE80C15-CFF1-4798-88BB-E1E87B1E5453}"/>
    <cellStyle name="Ergebnis" xfId="8290" hidden="1" xr:uid="{257312F5-A4B4-44E8-9C49-4ADEBE216E80}"/>
    <cellStyle name="Ergebnis" xfId="7078" hidden="1" xr:uid="{24F4B63F-7ED5-4941-BAA6-FB389998AC85}"/>
    <cellStyle name="Ergebnis" xfId="7659" hidden="1" xr:uid="{7E8B4E91-433D-40FF-9C6C-523994E589AD}"/>
    <cellStyle name="Ergebnis" xfId="8486" hidden="1" xr:uid="{80ECE5C7-D118-4BBE-BCB0-971F26432BAF}"/>
    <cellStyle name="Ergebnis" xfId="8116" hidden="1" xr:uid="{9FC6892E-7C4B-48AF-83B9-B40BA61A6C71}"/>
    <cellStyle name="Ergebnis" xfId="8722" hidden="1" xr:uid="{D96243CB-DC53-477D-8CAF-E04046B3F83B}"/>
    <cellStyle name="Ergebnis" xfId="6945" hidden="1" xr:uid="{9461498F-B82E-49CF-A522-7420661694A9}"/>
    <cellStyle name="Ergebnis" xfId="8545" hidden="1" xr:uid="{3EFE6D07-E2FA-4A74-93DC-7094C5695CA0}"/>
    <cellStyle name="Ergebnis" xfId="8352" hidden="1" xr:uid="{4DF124BB-D4B9-4186-B6BE-96A9136CA416}"/>
    <cellStyle name="Ergebnis" xfId="8998" hidden="1" xr:uid="{8B790A20-807F-411C-9DA8-E4FAB34FC69E}"/>
    <cellStyle name="Ergebnis" xfId="9437" hidden="1" xr:uid="{FA2CAA68-34CC-4E74-ABC1-1005C396F3BD}"/>
    <cellStyle name="Ergebnis" xfId="9919" hidden="1" xr:uid="{503DF931-1A52-4FC0-9589-5139F7064438}"/>
    <cellStyle name="Ergebnis" xfId="8944" hidden="1" xr:uid="{6D2C4CE8-C111-4EA5-A2E5-87BC033B649A}"/>
    <cellStyle name="Ergebnis" xfId="10350" hidden="1" xr:uid="{774FB1D7-1CE7-4200-A674-5E85CC1F0432}"/>
    <cellStyle name="Ergebnis" xfId="9904" hidden="1" xr:uid="{CD011580-F63D-4A03-BD4A-21AE0B25A779}"/>
    <cellStyle name="Ergebnis" xfId="8977" hidden="1" xr:uid="{3909E574-59A7-46E3-8B2D-25FCFA2EEFDB}"/>
    <cellStyle name="Ergebnis" xfId="10845" hidden="1" xr:uid="{548D840D-114F-41A8-865A-97AEBE060E13}"/>
    <cellStyle name="Ergebnis" xfId="10823" hidden="1" xr:uid="{38A3F7F6-AE38-42EF-BDEB-9C676D1F337C}"/>
    <cellStyle name="Ergebnis" xfId="11124" hidden="1" xr:uid="{4D5ED972-987E-48C4-81E8-7215ABB6C6A6}"/>
    <cellStyle name="Ergebnis" xfId="10995" hidden="1" xr:uid="{667FC709-F498-462A-846F-1EDFF297EB66}"/>
    <cellStyle name="Ergebnis" xfId="9885" hidden="1" xr:uid="{8304F8FF-13AA-47DB-8C84-69DC724E3194}"/>
    <cellStyle name="Ergebnis" xfId="8948" hidden="1" xr:uid="{7CF62E8E-7A28-4B8D-B949-578B749FC9CE}"/>
    <cellStyle name="Ergebnis" xfId="10992" hidden="1" xr:uid="{D1AE6F1B-A4C0-47EE-8F67-4009EC60CAD3}"/>
    <cellStyle name="Ergebnis" xfId="10993" hidden="1" xr:uid="{1587EB80-920D-4F45-8922-4305F2267E6F}"/>
    <cellStyle name="Ergebnis" xfId="11404" hidden="1" xr:uid="{D15E9D5E-0FFE-4148-B6BB-EF9A4C3A6FF3}"/>
    <cellStyle name="Ergebnis" xfId="11855" hidden="1" xr:uid="{1FC14124-0507-4935-994A-9918759D71B0}"/>
    <cellStyle name="Ergebnis" xfId="12257" hidden="1" xr:uid="{3B55328F-6150-4EB5-B5C5-2A8435410366}"/>
    <cellStyle name="Ergebnis" xfId="11700" hidden="1" xr:uid="{4467B3D9-E8A2-48DC-8E16-1DB8FB1F4839}"/>
    <cellStyle name="Ergebnis" xfId="3735" hidden="1" xr:uid="{B32D7310-2FCB-4337-9E90-8825A7591692}"/>
    <cellStyle name="Ergebnis" xfId="5153" hidden="1" xr:uid="{1A30B648-9307-4049-B990-B74A436CF6C5}"/>
    <cellStyle name="Ergebnis" xfId="5901" hidden="1" xr:uid="{DD1C6D00-4863-4B1F-89C8-E3A0CE0C2A00}"/>
    <cellStyle name="Ergebnis" xfId="4923" hidden="1" xr:uid="{E0A054E4-E710-423C-A4B7-D110A538B0E8}"/>
    <cellStyle name="Ergebnis" xfId="3796" hidden="1" xr:uid="{3DDACD79-C69C-4277-A6A6-E151A5DAC963}"/>
    <cellStyle name="Ergebnis" xfId="4859" hidden="1" xr:uid="{B6F48AAD-3F19-4040-9BD7-6067B3AA375C}"/>
    <cellStyle name="Ergebnis" xfId="5687" hidden="1" xr:uid="{B6C4B76D-E73C-4844-B770-15B64A56C68F}"/>
    <cellStyle name="Ergebnis" xfId="6310" hidden="1" xr:uid="{E6F3168C-2885-4E93-BC07-5006B7AABDC2}"/>
    <cellStyle name="Ergebnis" xfId="3558" hidden="1" xr:uid="{B0DC6DE1-0BA3-4CFE-B39A-9A2ADEAD1C61}"/>
    <cellStyle name="Ergebnis" xfId="6224" hidden="1" xr:uid="{8D3173BD-BAC6-4CCD-A4FB-9506913300B9}"/>
    <cellStyle name="Ergebnis" xfId="6611" hidden="1" xr:uid="{1EC9CA30-AE0B-4556-B410-BA275EF0D701}"/>
    <cellStyle name="Ergebnis" xfId="6175" hidden="1" xr:uid="{D382A2AA-1D68-4CAD-A14D-5E541E68C9B5}"/>
    <cellStyle name="Ergebnis" xfId="5659" hidden="1" xr:uid="{78AC18FA-8B08-4C2D-8285-E66E37DE9C8E}"/>
    <cellStyle name="Ergebnis" xfId="6518" hidden="1" xr:uid="{943382D2-A81C-4113-B37F-929FEFA963C5}"/>
    <cellStyle name="Ergebnis" xfId="6530" hidden="1" xr:uid="{4925F3AF-86A6-40BB-8153-D92FA641C9A1}"/>
    <cellStyle name="Ergebnis" xfId="6540" hidden="1" xr:uid="{35BDD541-DDF7-4C1D-B013-CFDA5A43BFC1}"/>
    <cellStyle name="Ergebnis" xfId="6459" hidden="1" xr:uid="{B5E61A08-25D0-4E6A-9406-22689E7AA5AE}"/>
    <cellStyle name="Ergebnis" xfId="6615" hidden="1" xr:uid="{F36BDCB2-8571-4310-9703-A09398746E4C}"/>
    <cellStyle name="Ergebnis" xfId="6786" hidden="1" xr:uid="{0769A98D-C335-4FB4-AB64-4641A581384F}"/>
    <cellStyle name="Ergebnis" xfId="7224" hidden="1" xr:uid="{7C63A9A4-2A7A-489F-9C08-BE04CE5BDFD9}"/>
    <cellStyle name="Ergebnis" xfId="2769" hidden="1" xr:uid="{68382C56-830F-4442-8CC1-89794D3C3741}"/>
    <cellStyle name="Ergebnis" xfId="3302" hidden="1" xr:uid="{5FEE5505-0DA0-4D2E-80B1-7E3352539F52}"/>
    <cellStyle name="Ergebnis" xfId="2129" hidden="1" xr:uid="{CB563F49-3EDE-420A-9672-345F4172A41B}"/>
    <cellStyle name="Ergebnis" xfId="3668" hidden="1" xr:uid="{44FD125B-562B-4402-9043-98B516420F8A}"/>
    <cellStyle name="Ergebnis" xfId="2112" hidden="1" xr:uid="{C7894D50-527C-478F-9D51-A1690AA07A39}"/>
    <cellStyle name="Ergebnis" xfId="3417" hidden="1" xr:uid="{79F0C350-F2DD-4C3D-AF8F-143C3037FE47}"/>
    <cellStyle name="Ergebnis" xfId="3149" hidden="1" xr:uid="{D16DAB64-CBA3-457F-9A97-EDF43C68A4E7}"/>
    <cellStyle name="Ergebnis" xfId="3656" hidden="1" xr:uid="{E2B5ED22-D900-4D41-AF9D-9EE875AB1E95}"/>
    <cellStyle name="Ergebnis" xfId="3336" hidden="1" xr:uid="{D19E92D2-A587-4136-B640-C50FC517C041}"/>
    <cellStyle name="Ergebnis" xfId="3790" hidden="1" xr:uid="{F420E3D0-647F-4E2C-A6D3-ADF5571C2A05}"/>
    <cellStyle name="Ergebnis" xfId="1735" hidden="1" xr:uid="{F2E023B9-559F-4F18-8968-739CCC5DF223}"/>
    <cellStyle name="Ergebnis" xfId="1872" hidden="1" xr:uid="{254A0BF5-C1E8-423B-87EC-3D330E756CE8}"/>
    <cellStyle name="Ergebnis" xfId="2320" hidden="1" xr:uid="{625DA030-6682-415E-B2BA-758BBFE54E5E}"/>
    <cellStyle name="Ergebnis" xfId="2821" hidden="1" xr:uid="{980641CD-DBE0-4158-BAF2-03DF39E5A057}"/>
    <cellStyle name="Ergebnis" xfId="3057" hidden="1" xr:uid="{728FF2B3-F445-4D8E-B0C0-C9A38BD20DC8}"/>
    <cellStyle name="Ergebnis" xfId="993" hidden="1" xr:uid="{CA3D25A2-70B2-417C-BECF-E2D9777E2E4E}"/>
    <cellStyle name="Ergebnis" xfId="1390" hidden="1" xr:uid="{66114861-91CE-4FB0-9B55-78A47FAF2365}"/>
    <cellStyle name="Ergebnis" xfId="896" hidden="1" xr:uid="{0C824B67-9479-40A1-9D9B-526EE10970C2}"/>
    <cellStyle name="Ergebnis" xfId="49" hidden="1" xr:uid="{9735342D-F300-496D-8A6C-A709DDEB5EC0}"/>
    <cellStyle name="Ergebnis 2" xfId="393" xr:uid="{EF08D523-314A-41BC-9BE0-B9B765445A9E}"/>
    <cellStyle name="Ergebnis 2 10" xfId="3630" xr:uid="{297EF098-83A1-4E14-AFFA-487BCA4E54F6}"/>
    <cellStyle name="Ergebnis 2 11" xfId="4925" xr:uid="{E7AEE3F5-02D7-4820-8357-E8A8F6267407}"/>
    <cellStyle name="Ergebnis 2 12" xfId="3384" xr:uid="{F84CB891-B116-473F-8D11-F883AA39C255}"/>
    <cellStyle name="Ergebnis 2 13" xfId="2898" xr:uid="{60ECEC44-2EB5-4246-AE87-D4507260FA32}"/>
    <cellStyle name="Ergebnis 2 14" xfId="6243" xr:uid="{CD1736BE-41CE-4E44-B219-5000597767ED}"/>
    <cellStyle name="Ergebnis 2 15" xfId="7120" xr:uid="{75B28F55-DFA9-4ADB-A28D-2B4152AAD783}"/>
    <cellStyle name="Ergebnis 2 16" xfId="7083" xr:uid="{F3F80151-4179-4874-8576-37B1C2015275}"/>
    <cellStyle name="Ergebnis 2 17" xfId="8401" xr:uid="{88D3C4BF-E774-46B5-A9D2-B1BC34432FA6}"/>
    <cellStyle name="Ergebnis 2 18" xfId="8717" xr:uid="{2A32462F-90F5-4BC6-8C39-414F10779EF4}"/>
    <cellStyle name="Ergebnis 2 19" xfId="9333" xr:uid="{3E7DC276-8148-4657-96B7-AF3A5B018992}"/>
    <cellStyle name="Ergebnis 2 2" xfId="649" xr:uid="{8B17F657-FD4F-4690-8A1A-78800C0DC4B0}"/>
    <cellStyle name="Ergebnis 2 2 10" xfId="4453" xr:uid="{10217E09-1C54-49DE-8396-6CE63AA53E0C}"/>
    <cellStyle name="Ergebnis 2 2 11" xfId="5297" xr:uid="{72943445-2DD3-465E-9F1B-2D3EC1734AE9}"/>
    <cellStyle name="Ergebnis 2 2 12" xfId="4807" xr:uid="{605A7478-F7C9-47A5-A359-B4F45A2698BF}"/>
    <cellStyle name="Ergebnis 2 2 13" xfId="6317" xr:uid="{29885894-B21E-44A0-B473-AC1323B2380B}"/>
    <cellStyle name="Ergebnis 2 2 14" xfId="6452" xr:uid="{6C90D9E5-6CDA-41AA-A329-920779E9F131}"/>
    <cellStyle name="Ergebnis 2 2 15" xfId="7369" xr:uid="{3B4A1A32-7219-48CC-A248-9DAC096B1638}"/>
    <cellStyle name="Ergebnis 2 2 16" xfId="7160" xr:uid="{BD1C3D32-7548-4B46-89AB-503D90F76625}"/>
    <cellStyle name="Ergebnis 2 2 17" xfId="6812" xr:uid="{07DE6BAE-D015-4270-B2B3-DC902DE3D6FC}"/>
    <cellStyle name="Ergebnis 2 2 18" xfId="8832" xr:uid="{71A661E9-7B9F-4840-A6E3-2339DE627B02}"/>
    <cellStyle name="Ergebnis 2 2 19" xfId="9583" xr:uid="{05867E14-AA32-4FB8-A46F-27F6DB790615}"/>
    <cellStyle name="Ergebnis 2 2 2" xfId="864" xr:uid="{79563E67-E2F7-40EA-87E7-097BC83B91FA}"/>
    <cellStyle name="Ergebnis 2 2 2 10" xfId="5512" xr:uid="{8ED1C4B5-2029-4FC6-BDE6-757FF65E0820}"/>
    <cellStyle name="Ergebnis 2 2 2 11" xfId="4895" xr:uid="{285715C4-62AF-451D-BC62-EBC7599E06AD}"/>
    <cellStyle name="Ergebnis 2 2 2 12" xfId="5629" xr:uid="{00AAFDF9-F7D8-427E-81B8-0E945678D9E1}"/>
    <cellStyle name="Ergebnis 2 2 2 13" xfId="6632" xr:uid="{12157C2A-233E-44E6-B79A-D9E2FAB18CC6}"/>
    <cellStyle name="Ergebnis 2 2 2 14" xfId="7584" xr:uid="{BF796B18-7281-4B04-ACD1-F87AE941F6E1}"/>
    <cellStyle name="Ergebnis 2 2 2 15" xfId="7141" xr:uid="{22838996-FA16-4ADC-9DC1-664BCCB5443F}"/>
    <cellStyle name="Ergebnis 2 2 2 16" xfId="7765" xr:uid="{7E94A1B2-B270-4B77-AC1D-FB4E8E182102}"/>
    <cellStyle name="Ergebnis 2 2 2 17" xfId="8778" xr:uid="{57A75B10-122C-4A94-AB27-EA0A29959256}"/>
    <cellStyle name="Ergebnis 2 2 2 18" xfId="9798" xr:uid="{6813080C-624C-491D-AC20-06919E4BC60F}"/>
    <cellStyle name="Ergebnis 2 2 2 19" xfId="9444" xr:uid="{E8B5CD37-F115-4758-94A3-4FAE1F0E74C0}"/>
    <cellStyle name="Ergebnis 2 2 2 2" xfId="1338" xr:uid="{B33433D1-9262-4894-AA8F-C1A23D1E14C1}"/>
    <cellStyle name="Ergebnis 2 2 2 20" xfId="9163" xr:uid="{2639D251-DB3B-465D-981A-E4FC547AFDE8}"/>
    <cellStyle name="Ergebnis 2 2 2 21" xfId="10062" xr:uid="{BDF75A9A-6FCB-4712-B016-EE1AC9A94382}"/>
    <cellStyle name="Ergebnis 2 2 2 22" xfId="11037" xr:uid="{0DA30345-4C01-4909-91D2-B724D7F8CF28}"/>
    <cellStyle name="Ergebnis 2 2 2 23" xfId="12217" xr:uid="{7062943A-3257-4B99-95C2-31EAD3B031B6}"/>
    <cellStyle name="Ergebnis 2 2 2 24" xfId="12690" xr:uid="{27FD470B-75B5-4F3A-94C5-3A05FCE03FD1}"/>
    <cellStyle name="Ergebnis 2 2 2 25" xfId="13124" xr:uid="{D2452CEE-4724-4C5C-9061-8A432969BDA8}"/>
    <cellStyle name="Ergebnis 2 2 2 26" xfId="13561" xr:uid="{5EE9ED31-94B7-4C37-BCD6-B1F26513DB9D}"/>
    <cellStyle name="Ergebnis 2 2 2 27" xfId="13596" xr:uid="{ED6A5A53-B097-44AE-B758-3405CD9FFD13}"/>
    <cellStyle name="Ergebnis 2 2 2 28" xfId="14480" xr:uid="{9BA314AB-FF63-4F0D-87BB-F72B40AF20A2}"/>
    <cellStyle name="Ergebnis 2 2 2 29" xfId="11602" xr:uid="{94A353E2-483E-4379-86E8-D3414EEE568A}"/>
    <cellStyle name="Ergebnis 2 2 2 3" xfId="1787" xr:uid="{87969E85-55AF-4163-A61B-7595E2F0F683}"/>
    <cellStyle name="Ergebnis 2 2 2 30" xfId="15139" xr:uid="{953FFB84-F304-4DA2-9A8B-CF3ACB256C4F}"/>
    <cellStyle name="Ergebnis 2 2 2 31" xfId="15650" xr:uid="{508EED20-3B9E-4296-BAA6-7923BE7BC61A}"/>
    <cellStyle name="Ergebnis 2 2 2 32" xfId="15160" xr:uid="{BEBB3E5C-147D-4C1E-A2F7-FE20D366CFFE}"/>
    <cellStyle name="Ergebnis 2 2 2 33" xfId="16909" xr:uid="{F1EB84D8-9981-4413-ABDC-50C18548C824}"/>
    <cellStyle name="Ergebnis 2 2 2 34" xfId="16464" xr:uid="{D9490746-9201-40B5-A183-F97B76740733}"/>
    <cellStyle name="Ergebnis 2 2 2 35" xfId="16156" xr:uid="{50E7FF4D-19F3-406E-9FC0-DA805BB69B07}"/>
    <cellStyle name="Ergebnis 2 2 2 36" xfId="18198" xr:uid="{EB8B8A6A-E2C0-4BFC-AA9A-6B1632BDC863}"/>
    <cellStyle name="Ergebnis 2 2 2 37" xfId="18727" xr:uid="{E4E2839A-0E0F-4410-A138-6B2C63E5CBDC}"/>
    <cellStyle name="Ergebnis 2 2 2 38" xfId="18835" xr:uid="{304AAFA6-F5C6-414C-B70D-36FCBD8485B7}"/>
    <cellStyle name="Ergebnis 2 2 2 39" xfId="19159" xr:uid="{B8A32BB5-C1FD-4ABA-B54A-D112BD265C9E}"/>
    <cellStyle name="Ergebnis 2 2 2 4" xfId="2686" xr:uid="{A0A12E1F-8C55-4030-941E-F5AA3B2B57F2}"/>
    <cellStyle name="Ergebnis 2 2 2 40" xfId="20246" xr:uid="{37357822-DE7F-4DC3-89D2-658E224FBB09}"/>
    <cellStyle name="Ergebnis 2 2 2 41" xfId="19388" xr:uid="{AFCF790D-B900-4EB3-9771-2B6EDCC3F3D1}"/>
    <cellStyle name="Ergebnis 2 2 2 42" xfId="19545" xr:uid="{90859FCA-9A38-4EE2-B4A1-3B36029A0EF0}"/>
    <cellStyle name="Ergebnis 2 2 2 43" xfId="20917" xr:uid="{C1141702-24F0-4E95-B0FC-3849366E164B}"/>
    <cellStyle name="Ergebnis 2 2 2 44" xfId="20806" xr:uid="{BCC77DF3-5708-4CA9-A9D3-FDEF3363440A}"/>
    <cellStyle name="Ergebnis 2 2 2 45" xfId="20365" xr:uid="{A130EEBA-C243-4517-BD14-1A9B5249B3F1}"/>
    <cellStyle name="Ergebnis 2 2 2 46" xfId="22605" xr:uid="{4E40795C-E387-4624-9E60-17A12C1E456B}"/>
    <cellStyle name="Ergebnis 2 2 2 47" xfId="23110" xr:uid="{4D273423-81F8-4E62-ABCE-A74DD65C176C}"/>
    <cellStyle name="Ergebnis 2 2 2 48" xfId="22737" xr:uid="{83863F89-D671-45B6-AC2F-5CB85FA87377}"/>
    <cellStyle name="Ergebnis 2 2 2 49" xfId="24046" xr:uid="{B6BA6631-D57B-41BC-923A-D56AD5A88BA4}"/>
    <cellStyle name="Ergebnis 2 2 2 5" xfId="2762" xr:uid="{3C2C83C0-6F38-434A-B854-E49F38E60C04}"/>
    <cellStyle name="Ergebnis 2 2 2 50" xfId="24954" xr:uid="{B6F852A5-3BFA-4390-8A08-7276909F3311}"/>
    <cellStyle name="Ergebnis 2 2 2 51" xfId="24467" xr:uid="{34F8C78E-EF4F-4436-BCB3-DF2CF06F6AB3}"/>
    <cellStyle name="Ergebnis 2 2 2 52" xfId="25870" xr:uid="{6F050319-B44C-4480-94AF-849CAE087761}"/>
    <cellStyle name="Ergebnis 2 2 2 53" xfId="25911" xr:uid="{2BB113A8-9BF2-446B-8A53-FB1A2154F81D}"/>
    <cellStyle name="Ergebnis 2 2 2 54" xfId="26737" xr:uid="{33AC0573-FB05-4598-84CA-16629481A40A}"/>
    <cellStyle name="Ergebnis 2 2 2 55" xfId="27158" xr:uid="{7BE3389A-43AD-45E7-943A-7AA8A674B494}"/>
    <cellStyle name="Ergebnis 2 2 2 56" xfId="27577" xr:uid="{E9B19DB4-26B6-4EF9-9389-3DF727D918FB}"/>
    <cellStyle name="Ergebnis 2 2 2 57" xfId="26699" xr:uid="{39736975-33DB-4265-B53D-BCB1C7422278}"/>
    <cellStyle name="Ergebnis 2 2 2 58" xfId="28704" xr:uid="{368EF6EA-26C2-4AE8-87B5-65C85ACDF157}"/>
    <cellStyle name="Ergebnis 2 2 2 59" xfId="29171" xr:uid="{A7E2ABCB-06B4-453B-8B4D-4F3703CDAE61}"/>
    <cellStyle name="Ergebnis 2 2 2 6" xfId="3395" xr:uid="{B023402D-0974-4612-8D24-F0E7C2E0989E}"/>
    <cellStyle name="Ergebnis 2 2 2 60" xfId="28305" xr:uid="{F0BFA36A-D80D-492F-B966-5281C62DA8D0}"/>
    <cellStyle name="Ergebnis 2 2 2 61" xfId="29960" xr:uid="{75E0AA8F-51CB-4BE5-97F2-BD77E852DCA4}"/>
    <cellStyle name="Ergebnis 2 2 2 62" xfId="30366" xr:uid="{67B28A9A-6A26-4237-9D6A-47EEE7167A73}"/>
    <cellStyle name="Ergebnis 2 2 2 63" xfId="30783" xr:uid="{5F76E5D1-DCE0-4F26-A9CB-18F846ACE676}"/>
    <cellStyle name="Ergebnis 2 2 2 64" xfId="31028" xr:uid="{1ABB30EF-CEC8-41A2-B734-B259F557432D}"/>
    <cellStyle name="Ergebnis 2 2 2 65" xfId="31399" xr:uid="{953253F5-5B38-433C-A67E-819D616401A8}"/>
    <cellStyle name="Ergebnis 2 2 2 66" xfId="32090" xr:uid="{79238100-8D79-4E64-9065-99910913C4AE}"/>
    <cellStyle name="Ergebnis 2 2 2 67" xfId="32139" xr:uid="{20318B6F-EE2C-402D-8E59-8BA8D62D10DE}"/>
    <cellStyle name="Ergebnis 2 2 2 7" xfId="4182" xr:uid="{6ED78CC5-5647-42EC-8E1C-06BD935B883F}"/>
    <cellStyle name="Ergebnis 2 2 2 8" xfId="4619" xr:uid="{A7277245-B333-405A-8D86-20533DBA0A32}"/>
    <cellStyle name="Ergebnis 2 2 2 9" xfId="5065" xr:uid="{68C30391-DAC5-4A6A-82D4-D34906186DA3}"/>
    <cellStyle name="Ergebnis 2 2 20" xfId="9375" xr:uid="{D32D2BD0-85A7-40FA-A3EA-5833745D2BBF}"/>
    <cellStyle name="Ergebnis 2 2 21" xfId="9627" xr:uid="{DF766EFA-54A3-4F25-9E07-D99F35671D43}"/>
    <cellStyle name="Ergebnis 2 2 22" xfId="10764" xr:uid="{2712EE1D-2084-4BBC-A196-B6EB3099FD48}"/>
    <cellStyle name="Ergebnis 2 2 23" xfId="10454" xr:uid="{BC66087E-E37A-4148-886D-8CCD059E47EC}"/>
    <cellStyle name="Ergebnis 2 2 24" xfId="12002" xr:uid="{507894B5-4AC3-414F-B722-26D75FF6BD67}"/>
    <cellStyle name="Ergebnis 2 2 25" xfId="12475" xr:uid="{A5ECE707-C92F-4E48-AAC1-786321D67750}"/>
    <cellStyle name="Ergebnis 2 2 26" xfId="12909" xr:uid="{6284E992-6112-4452-B0B4-26C358699BBE}"/>
    <cellStyle name="Ergebnis 2 2 27" xfId="13346" xr:uid="{BE24A98F-77EE-430C-880F-855785B1073A}"/>
    <cellStyle name="Ergebnis 2 2 28" xfId="13649" xr:uid="{1CD132AE-F93B-494F-848D-7451C0E33607}"/>
    <cellStyle name="Ergebnis 2 2 29" xfId="14302" xr:uid="{4A1D73FE-2DCD-4285-8F97-56620CE2D408}"/>
    <cellStyle name="Ergebnis 2 2 3" xfId="1132" xr:uid="{24FC4589-9D3E-4067-A0E4-D11A117B509E}"/>
    <cellStyle name="Ergebnis 2 2 30" xfId="14120" xr:uid="{77C8F5EB-11D2-4811-AE54-0E4F7455EAA9}"/>
    <cellStyle name="Ergebnis 2 2 31" xfId="14840" xr:uid="{CA35279D-8995-4F25-9F41-6607A3CD7656}"/>
    <cellStyle name="Ergebnis 2 2 32" xfId="14000" xr:uid="{447D83AC-43C0-4177-92FC-F7B43C5C9CA6}"/>
    <cellStyle name="Ergebnis 2 2 33" xfId="15611" xr:uid="{D1372CA6-B71B-4B0A-95F4-1B6D90452139}"/>
    <cellStyle name="Ergebnis 2 2 34" xfId="16694" xr:uid="{1D8C4BF6-654C-43EE-9C03-FEFDFEA5BDED}"/>
    <cellStyle name="Ergebnis 2 2 35" xfId="16481" xr:uid="{61BB5A22-8CD3-47EE-AAB6-0F00998A3EA5}"/>
    <cellStyle name="Ergebnis 2 2 36" xfId="16458" xr:uid="{7585479A-D196-4123-A3C1-99AB1BC56037}"/>
    <cellStyle name="Ergebnis 2 2 37" xfId="17508" xr:uid="{38F58058-7700-4BF5-9937-989EFE440321}"/>
    <cellStyle name="Ergebnis 2 2 38" xfId="18512" xr:uid="{381C5516-96D9-441C-8E2E-7963F2D989D8}"/>
    <cellStyle name="Ergebnis 2 2 39" xfId="17603" xr:uid="{6C553D12-331F-46E8-9A09-6B0140888844}"/>
    <cellStyle name="Ergebnis 2 2 4" xfId="1452" xr:uid="{16A685EE-D875-46C3-829E-F271608683CA}"/>
    <cellStyle name="Ergebnis 2 2 40" xfId="19183" xr:uid="{A6AD77E3-21FE-49AB-B728-1E328B694A3B}"/>
    <cellStyle name="Ergebnis 2 2 41" xfId="20031" xr:uid="{DF9CF191-247A-47D5-A2E3-08B8AE042086}"/>
    <cellStyle name="Ergebnis 2 2 42" xfId="19817" xr:uid="{D98E75E6-3352-4BE6-B786-A367A03C7486}"/>
    <cellStyle name="Ergebnis 2 2 43" xfId="20362" xr:uid="{9D97B4B7-055A-4190-9B7A-59E448585009}"/>
    <cellStyle name="Ergebnis 2 2 44" xfId="21385" xr:uid="{2726752E-9111-4B6E-98FC-FCD4F7349763}"/>
    <cellStyle name="Ergebnis 2 2 45" xfId="21569" xr:uid="{7911F884-350B-4F64-8DDC-828D7BE151AC}"/>
    <cellStyle name="Ergebnis 2 2 46" xfId="22079" xr:uid="{822879FF-6D74-4532-95C1-99AB2A6224FF}"/>
    <cellStyle name="Ergebnis 2 2 47" xfId="22653" xr:uid="{2A368806-FB2D-4E02-B8B9-02DFD707C07A}"/>
    <cellStyle name="Ergebnis 2 2 48" xfId="22593" xr:uid="{7C7FBE70-CE53-4789-A20B-5B5F98EC254A}"/>
    <cellStyle name="Ergebnis 2 2 49" xfId="23348" xr:uid="{B1AAAD78-EE5C-4198-91FF-3D313A044818}"/>
    <cellStyle name="Ergebnis 2 2 5" xfId="2471" xr:uid="{59EAA913-77CE-49FF-B5A2-11C4F96E2F2D}"/>
    <cellStyle name="Ergebnis 2 2 50" xfId="23840" xr:uid="{87A03C29-585F-4D1C-A172-573174A32BE9}"/>
    <cellStyle name="Ergebnis 2 2 51" xfId="24739" xr:uid="{14015CB7-0A8C-46C7-A5E1-8CB74FBDDDB9}"/>
    <cellStyle name="Ergebnis 2 2 52" xfId="24528" xr:uid="{0932173A-50AA-4AD6-9E74-2587B00C72B6}"/>
    <cellStyle name="Ergebnis 2 2 53" xfId="25657" xr:uid="{C78D2F78-0674-4C16-8741-194FD0C21F8B}"/>
    <cellStyle name="Ergebnis 2 2 54" xfId="25955" xr:uid="{D2809F34-1F0B-4B5E-B224-35BDC35DB366}"/>
    <cellStyle name="Ergebnis 2 2 55" xfId="25043" xr:uid="{DB66E823-5626-4C62-80F4-FADC1772AAE5}"/>
    <cellStyle name="Ergebnis 2 2 56" xfId="26947" xr:uid="{499F830F-46E1-4635-B752-E3171C9BC04D}"/>
    <cellStyle name="Ergebnis 2 2 57" xfId="27366" xr:uid="{22A3A91E-47B5-47FE-A655-F19197DC43B2}"/>
    <cellStyle name="Ergebnis 2 2 58" xfId="27663" xr:uid="{63C13588-661D-44AF-8CB8-14C22A879E70}"/>
    <cellStyle name="Ergebnis 2 2 59" xfId="28489" xr:uid="{FF5899D6-118B-4F37-9E48-7F744B4E94FB}"/>
    <cellStyle name="Ergebnis 2 2 6" xfId="2815" xr:uid="{F1C4614B-70DA-4233-8337-4B95880989FE}"/>
    <cellStyle name="Ergebnis 2 2 60" xfId="28957" xr:uid="{0B1310C4-0656-4B74-A2DF-F3A586BAB29B}"/>
    <cellStyle name="Ergebnis 2 2 61" xfId="28751" xr:uid="{F2DA3057-1840-4DAC-B0DC-87E6101474EB}"/>
    <cellStyle name="Ergebnis 2 2 62" xfId="29747" xr:uid="{BC95AE79-2E31-4CA7-930F-2BCF9E9F065F}"/>
    <cellStyle name="Ergebnis 2 2 63" xfId="30155" xr:uid="{9A230BBD-E0B9-4D27-8F80-6BB86C65F298}"/>
    <cellStyle name="Ergebnis 2 2 64" xfId="30569" xr:uid="{99A8392B-E96F-4A52-BD87-A98BE8CB577D}"/>
    <cellStyle name="Ergebnis 2 2 65" xfId="30963" xr:uid="{22F9C591-FFE8-4572-A470-64374E6E48C1}"/>
    <cellStyle name="Ergebnis 2 2 66" xfId="31193" xr:uid="{338A9D2F-0D6D-474D-BF54-9F89711C35D9}"/>
    <cellStyle name="Ergebnis 2 2 67" xfId="31879" xr:uid="{211CAC1E-749A-4EA6-9013-3422A2CFF712}"/>
    <cellStyle name="Ergebnis 2 2 68" xfId="31644" xr:uid="{69F27FB1-DD86-471D-85C4-5C187FB5E379}"/>
    <cellStyle name="Ergebnis 2 2 7" xfId="3407" xr:uid="{B4CFB144-CCE1-44BC-9865-CDCC69780743}"/>
    <cellStyle name="Ergebnis 2 2 8" xfId="3967" xr:uid="{FFCAE91F-F1F0-403D-B894-59CA0D6D14A9}"/>
    <cellStyle name="Ergebnis 2 2 9" xfId="4405" xr:uid="{BFD89B16-6155-4881-97F2-16A1250C4CC4}"/>
    <cellStyle name="Ergebnis 2 20" xfId="9297" xr:uid="{D1FD18D0-68C5-463F-AD7A-625619B90787}"/>
    <cellStyle name="Ergebnis 2 21" xfId="11127" xr:uid="{59A537C3-9C47-41FB-A924-DD039F9DC8AE}"/>
    <cellStyle name="Ergebnis 2 22" xfId="11747" xr:uid="{3CE835FD-7F1E-405F-B78A-450588AE934D}"/>
    <cellStyle name="Ergebnis 2 23" xfId="11560" xr:uid="{272421B7-72D0-40C0-AA35-08F6525FBBE0}"/>
    <cellStyle name="Ergebnis 2 24" xfId="11723" xr:uid="{AC463094-1E30-46E8-9678-907991BA5936}"/>
    <cellStyle name="Ergebnis 2 25" xfId="11390" xr:uid="{BD819C14-3F3A-4665-AB04-CB57C9B2A5FD}"/>
    <cellStyle name="Ergebnis 2 26" xfId="13607" xr:uid="{7ED31145-58AC-4925-977B-D7FFFFE0D1C8}"/>
    <cellStyle name="Ergebnis 2 27" xfId="13875" xr:uid="{D645D2D1-0468-479E-B22E-0981B30391F0}"/>
    <cellStyle name="Ergebnis 2 28" xfId="15066" xr:uid="{B8D81F70-EF98-4368-8E50-CE1AAAE08C26}"/>
    <cellStyle name="Ergebnis 2 29" xfId="16442" xr:uid="{14001941-A934-4062-87C4-D32A905CA995}"/>
    <cellStyle name="Ergebnis 2 3" xfId="581" xr:uid="{5749121F-FEC3-4B19-ACCE-B925C567A5FA}"/>
    <cellStyle name="Ergebnis 2 3 10" xfId="4791" xr:uid="{75A191F2-02FC-4C09-B22C-BC42AADDCD21}"/>
    <cellStyle name="Ergebnis 2 3 11" xfId="5229" xr:uid="{D1352070-2892-4864-8C46-4B3CAE4462BB}"/>
    <cellStyle name="Ergebnis 2 3 12" xfId="5032" xr:uid="{C45C2EC3-B58C-4165-8CC9-E999FC7F00F2}"/>
    <cellStyle name="Ergebnis 2 3 13" xfId="5827" xr:uid="{DE5DD792-432C-4AC8-B966-A822B0F09080}"/>
    <cellStyle name="Ergebnis 2 3 14" xfId="5112" xr:uid="{BF71D6E8-6622-4FE0-8F83-04D5396EB82B}"/>
    <cellStyle name="Ergebnis 2 3 15" xfId="7301" xr:uid="{50298E12-3A49-4400-8AA3-1674854C9D57}"/>
    <cellStyle name="Ergebnis 2 3 16" xfId="7820" xr:uid="{2E7CC769-E780-4BE5-A64B-2BE652B4F2F3}"/>
    <cellStyle name="Ergebnis 2 3 17" xfId="8522" xr:uid="{58BB9349-777C-469D-BD5A-71A193EE6684}"/>
    <cellStyle name="Ergebnis 2 3 18" xfId="8267" xr:uid="{5D0E1D42-A3EE-43D0-98E7-20BE190CF4AA}"/>
    <cellStyle name="Ergebnis 2 3 19" xfId="9515" xr:uid="{884DBED3-83E2-41AB-945A-9AAB6F9AB75F}"/>
    <cellStyle name="Ergebnis 2 3 2" xfId="796" xr:uid="{C63B4B53-B436-4894-AA0E-E9C37DC9D9BB}"/>
    <cellStyle name="Ergebnis 2 3 2 10" xfId="5444" xr:uid="{4234BEE1-66CF-48AC-8CAF-737DB273BD72}"/>
    <cellStyle name="Ergebnis 2 3 2 11" xfId="4676" xr:uid="{C9FA7557-C2DD-4113-957C-FD5F1910DB63}"/>
    <cellStyle name="Ergebnis 2 3 2 12" xfId="6329" xr:uid="{AFC14FE5-CA81-4F60-A0A3-70A9C17B074E}"/>
    <cellStyle name="Ergebnis 2 3 2 13" xfId="6449" xr:uid="{09120ACA-7EA4-48BA-BD62-6EC5541DE766}"/>
    <cellStyle name="Ergebnis 2 3 2 14" xfId="7516" xr:uid="{8298471D-6DD6-449B-AC2B-A494C175C645}"/>
    <cellStyle name="Ergebnis 2 3 2 15" xfId="7764" xr:uid="{14CDD300-4159-44B3-B46E-975324294682}"/>
    <cellStyle name="Ergebnis 2 3 2 16" xfId="8500" xr:uid="{2E4D42AD-6CC7-4FD5-8E8C-F2A4A95B323F}"/>
    <cellStyle name="Ergebnis 2 3 2 17" xfId="8530" xr:uid="{52F67998-5E96-4B7A-A067-185B5A5CC515}"/>
    <cellStyle name="Ergebnis 2 3 2 18" xfId="9730" xr:uid="{8C3A0604-75E7-4877-A49E-FC06BC8D83E1}"/>
    <cellStyle name="Ergebnis 2 3 2 19" xfId="9977" xr:uid="{09C94BDC-A88F-44C3-B785-3905E0BCC433}"/>
    <cellStyle name="Ergebnis 2 3 2 2" xfId="1270" xr:uid="{B18F32F5-0210-42C2-A9D8-34AFA6C3D9B1}"/>
    <cellStyle name="Ergebnis 2 3 2 20" xfId="10405" xr:uid="{766A71D6-74C3-49C0-B20A-4E1997903838}"/>
    <cellStyle name="Ergebnis 2 3 2 21" xfId="10554" xr:uid="{9A68A741-7839-45CD-BFB1-4EA759D67520}"/>
    <cellStyle name="Ergebnis 2 3 2 22" xfId="11173" xr:uid="{6AA522CE-EA61-4E56-B48B-EFE4EA0DFE32}"/>
    <cellStyle name="Ergebnis 2 3 2 23" xfId="12149" xr:uid="{95E15149-570B-4FDF-826B-829B7E6FAF8D}"/>
    <cellStyle name="Ergebnis 2 3 2 24" xfId="12622" xr:uid="{0877A1EE-57E4-45E2-8951-307E0E9E46C6}"/>
    <cellStyle name="Ergebnis 2 3 2 25" xfId="13056" xr:uid="{8DD4FDFF-7EE7-4ECD-B2B4-946D37192600}"/>
    <cellStyle name="Ergebnis 2 3 2 26" xfId="13493" xr:uid="{ACB3F66D-6F40-443D-9716-6CFC17F5EE42}"/>
    <cellStyle name="Ergebnis 2 3 2 27" xfId="13741" xr:uid="{EA71154A-13F0-4ACF-B841-C4B689EF517F}"/>
    <cellStyle name="Ergebnis 2 3 2 28" xfId="13992" xr:uid="{84F8F539-BC30-4601-9D0A-25A389FD5B5D}"/>
    <cellStyle name="Ergebnis 2 3 2 29" xfId="14630" xr:uid="{10A68BEB-12B0-4AF2-8D3F-03B1201F890F}"/>
    <cellStyle name="Ergebnis 2 3 2 3" xfId="1699" xr:uid="{D690D1CA-86AE-41B2-BA0D-73757DDC4307}"/>
    <cellStyle name="Ergebnis 2 3 2 30" xfId="14222" xr:uid="{457D6A3C-B25E-4247-A5DA-725D779ACCD5}"/>
    <cellStyle name="Ergebnis 2 3 2 31" xfId="15349" xr:uid="{43B6F85A-8F7A-4BA8-AFD9-A7560913E263}"/>
    <cellStyle name="Ergebnis 2 3 2 32" xfId="15839" xr:uid="{E0097521-1ED1-49B6-82EB-0BC121BF2B8E}"/>
    <cellStyle name="Ergebnis 2 3 2 33" xfId="16841" xr:uid="{68214ADE-8FB6-469C-9D84-BDB0E29F3746}"/>
    <cellStyle name="Ergebnis 2 3 2 34" xfId="17092" xr:uid="{3448CA20-8E7F-4F0B-9B78-7C0BC059B781}"/>
    <cellStyle name="Ergebnis 2 3 2 35" xfId="17540" xr:uid="{1A462235-7DAE-45E9-A78B-530B29608F27}"/>
    <cellStyle name="Ergebnis 2 3 2 36" xfId="17937" xr:uid="{55650FE5-A374-486F-AB4C-5EFEFFA01279}"/>
    <cellStyle name="Ergebnis 2 3 2 37" xfId="18659" xr:uid="{1BAA5778-CC06-480F-8FAC-E8B60D7A2E0B}"/>
    <cellStyle name="Ergebnis 2 3 2 38" xfId="18870" xr:uid="{3312A2DA-C46A-483A-953A-2AFBF3214DB9}"/>
    <cellStyle name="Ergebnis 2 3 2 39" xfId="17707" xr:uid="{456558E4-E702-4E65-B247-9A2D3C73BADD}"/>
    <cellStyle name="Ergebnis 2 3 2 4" xfId="2618" xr:uid="{2581FC22-1765-42F8-9BD7-66E93BACBCBF}"/>
    <cellStyle name="Ergebnis 2 3 2 40" xfId="20178" xr:uid="{076A8359-CF79-43D2-8662-0BD0C86E3424}"/>
    <cellStyle name="Ergebnis 2 3 2 41" xfId="20446" xr:uid="{88861CC1-7970-4172-8F8A-97A6794BFB4B}"/>
    <cellStyle name="Ergebnis 2 3 2 42" xfId="20898" xr:uid="{2F1836C8-9AAD-4C4A-BCF3-2E56B2DE5005}"/>
    <cellStyle name="Ergebnis 2 3 2 43" xfId="21331" xr:uid="{B5277CF7-7470-4D33-97EF-753121565A3D}"/>
    <cellStyle name="Ergebnis 2 3 2 44" xfId="21828" xr:uid="{E13A82B2-8D43-4F9E-9D78-3D911CC2FC85}"/>
    <cellStyle name="Ergebnis 2 3 2 45" xfId="22264" xr:uid="{00BED97D-EC28-4BBF-BB60-E08D172378E2}"/>
    <cellStyle name="Ergebnis 2 3 2 46" xfId="22736" xr:uid="{DEC6F62A-77A0-4AFD-B6BE-E07BBC5B940C}"/>
    <cellStyle name="Ergebnis 2 3 2 47" xfId="23146" xr:uid="{220204A5-B2E9-4A5B-8E3A-928B6000C48D}"/>
    <cellStyle name="Ergebnis 2 3 2 48" xfId="23106" xr:uid="{46868A2C-755D-4A15-9D41-1267ADDE31AE}"/>
    <cellStyle name="Ergebnis 2 3 2 49" xfId="23978" xr:uid="{BE9B4ABF-4A78-4455-9665-A08F67A3A584}"/>
    <cellStyle name="Ergebnis 2 3 2 5" xfId="2906" xr:uid="{C94F6A3B-E508-4A1C-A16C-0F2F5121E284}"/>
    <cellStyle name="Ergebnis 2 3 2 50" xfId="24886" xr:uid="{9FFAE6BA-CD44-47F5-8FDC-939C4F18367A}"/>
    <cellStyle name="Ergebnis 2 3 2 51" xfId="25153" xr:uid="{30363B2A-ED9A-4ECD-AB78-658710BAEB24}"/>
    <cellStyle name="Ergebnis 2 3 2 52" xfId="25802" xr:uid="{AA318FE9-19DF-46C7-94F8-6028C4C61649}"/>
    <cellStyle name="Ergebnis 2 3 2 53" xfId="26041" xr:uid="{AECE3CF9-755F-4127-80A9-2827052AAA46}"/>
    <cellStyle name="Ergebnis 2 3 2 54" xfId="26335" xr:uid="{FBB969BA-52BC-4EB1-BA36-7B75F490E416}"/>
    <cellStyle name="Ergebnis 2 3 2 55" xfId="27090" xr:uid="{B89721A0-9282-4F9F-927C-4AA4B6AB9EE0}"/>
    <cellStyle name="Ergebnis 2 3 2 56" xfId="27509" xr:uid="{C8C4494D-0186-4965-A357-C9A02AF92AE0}"/>
    <cellStyle name="Ergebnis 2 3 2 57" xfId="26067" xr:uid="{CBAF2B98-5076-43F2-84E7-E30320152297}"/>
    <cellStyle name="Ergebnis 2 3 2 58" xfId="28636" xr:uid="{7CD9A543-9ADC-4A5F-BD1A-284FCB0C457E}"/>
    <cellStyle name="Ergebnis 2 3 2 59" xfId="29103" xr:uid="{CD5DD5BC-1D2F-4615-875C-A48D3E04F69A}"/>
    <cellStyle name="Ergebnis 2 3 2 6" xfId="3357" xr:uid="{A4E74800-6F7D-4E66-B338-40471764FBB8}"/>
    <cellStyle name="Ergebnis 2 3 2 60" xfId="29303" xr:uid="{F9AEE1F9-428C-466C-8882-26B0C04146AF}"/>
    <cellStyle name="Ergebnis 2 3 2 61" xfId="29892" xr:uid="{41DEA66C-1A0B-4466-9A8C-FE8F1EE377AF}"/>
    <cellStyle name="Ergebnis 2 3 2 62" xfId="30298" xr:uid="{7B0ED2DF-33CB-4FE5-B34A-C663D23E96D7}"/>
    <cellStyle name="Ergebnis 2 3 2 63" xfId="30715" xr:uid="{93B4B9B2-0F0E-46E0-BDEB-62FB0FF165DE}"/>
    <cellStyle name="Ergebnis 2 3 2 64" xfId="27904" xr:uid="{45413FC1-356B-4636-BADF-C3A7E813E1BE}"/>
    <cellStyle name="Ergebnis 2 3 2 65" xfId="31331" xr:uid="{A388DB28-F2A6-433F-97EB-A79E3676B51C}"/>
    <cellStyle name="Ergebnis 2 3 2 66" xfId="32022" xr:uid="{793EF881-59AA-414A-B31C-FBD62B6AB0EF}"/>
    <cellStyle name="Ergebnis 2 3 2 67" xfId="31704" xr:uid="{3028D184-D604-446F-80CF-A9885EBA26E8}"/>
    <cellStyle name="Ergebnis 2 3 2 7" xfId="4114" xr:uid="{8CCAF1B3-786C-4BF4-89CE-A28628C1EDEB}"/>
    <cellStyle name="Ergebnis 2 3 2 8" xfId="4551" xr:uid="{DE51D1D7-99CC-4EE8-9CB1-437E1E0EA52F}"/>
    <cellStyle name="Ergebnis 2 3 2 9" xfId="3632" xr:uid="{11746594-03B4-4EA6-A87D-8896D8CDFB55}"/>
    <cellStyle name="Ergebnis 2 3 20" xfId="10033" xr:uid="{6CA65939-DB7F-4314-B179-921453D38A8D}"/>
    <cellStyle name="Ergebnis 2 3 21" xfId="10453" xr:uid="{B79B67DF-B705-4F8C-B6F9-7ACD0476D260}"/>
    <cellStyle name="Ergebnis 2 3 22" xfId="10441" xr:uid="{27116C97-7FFC-4C77-8CDC-C85FD27C1C04}"/>
    <cellStyle name="Ergebnis 2 3 23" xfId="10582" xr:uid="{F6E6B8FB-5B97-45E0-BDD6-D578D596F94E}"/>
    <cellStyle name="Ergebnis 2 3 24" xfId="11934" xr:uid="{67E11FCC-B69A-48DB-9F9F-9027CE41D642}"/>
    <cellStyle name="Ergebnis 2 3 25" xfId="12407" xr:uid="{A4C4C9C5-8DCC-402A-9CFC-C670A35082F7}"/>
    <cellStyle name="Ergebnis 2 3 26" xfId="12841" xr:uid="{D8854986-C3C6-4B01-83D0-40FC46C87EBF}"/>
    <cellStyle name="Ergebnis 2 3 27" xfId="13278" xr:uid="{C02B10B2-0DAC-4D25-9BA5-810F8141BFB3}"/>
    <cellStyle name="Ergebnis 2 3 28" xfId="11828" xr:uid="{9F5CA2F4-0E2A-46EB-A379-420B1C79B168}"/>
    <cellStyle name="Ergebnis 2 3 29" xfId="12956" xr:uid="{5B25D721-18C7-49AE-8E94-D71FE04C7732}"/>
    <cellStyle name="Ergebnis 2 3 3" xfId="1064" xr:uid="{6C48A54D-B71D-4D31-8F2A-7A0EB60F3416}"/>
    <cellStyle name="Ergebnis 2 3 30" xfId="14656" xr:uid="{957EEBD3-01DF-4020-8558-C5AA963F3348}"/>
    <cellStyle name="Ergebnis 2 3 31" xfId="14750" xr:uid="{110A16C8-F7BA-48E4-B2EE-48C5295CA7E3}"/>
    <cellStyle name="Ergebnis 2 3 32" xfId="15213" xr:uid="{7A4B6C96-52C4-4018-847F-2C851DE72D3F}"/>
    <cellStyle name="Ergebnis 2 3 33" xfId="15868" xr:uid="{A73BB910-EA1E-43EA-B544-C5D8563AD4CB}"/>
    <cellStyle name="Ergebnis 2 3 34" xfId="16626" xr:uid="{C42B86AA-6839-4198-A86D-E79958D64259}"/>
    <cellStyle name="Ergebnis 2 3 35" xfId="17150" xr:uid="{EB7095F3-8E07-4689-A68A-28207562BA4E}"/>
    <cellStyle name="Ergebnis 2 3 36" xfId="17596" xr:uid="{DBDC4C1C-26D9-46FF-8FDE-8B2157F583E7}"/>
    <cellStyle name="Ergebnis 2 3 37" xfId="17344" xr:uid="{970F34CD-D840-4F5F-9A35-C28CE6D645E6}"/>
    <cellStyle name="Ergebnis 2 3 38" xfId="18444" xr:uid="{88A4B72F-D718-4B3C-8979-E60E7D792EA1}"/>
    <cellStyle name="Ergebnis 2 3 39" xfId="18309" xr:uid="{8212E345-A575-4920-B279-9281735C0F8A}"/>
    <cellStyle name="Ergebnis 2 3 4" xfId="1620" xr:uid="{FE465EC8-91B9-4CB9-B86B-F65160FEB0E8}"/>
    <cellStyle name="Ergebnis 2 3 40" xfId="18189" xr:uid="{1B6EB382-E3A8-4F4F-955A-74529D3C2101}"/>
    <cellStyle name="Ergebnis 2 3 41" xfId="19963" xr:uid="{971B459F-466C-468B-A998-246E2C52101C}"/>
    <cellStyle name="Ergebnis 2 3 42" xfId="20502" xr:uid="{1055B9AD-3CB9-416B-BD20-C656A75C57FF}"/>
    <cellStyle name="Ergebnis 2 3 43" xfId="20957" xr:uid="{E0E34177-C641-45E3-BE98-05AC654D42A4}"/>
    <cellStyle name="Ergebnis 2 3 44" xfId="20479" xr:uid="{C1F10560-2032-465B-B56F-E43B8E3F8447}"/>
    <cellStyle name="Ergebnis 2 3 45" xfId="21886" xr:uid="{2F759212-82C8-4D1E-90D1-C4D39E090649}"/>
    <cellStyle name="Ergebnis 2 3 46" xfId="22322" xr:uid="{F6798F6F-7921-483E-A612-99FF52126A27}"/>
    <cellStyle name="Ergebnis 2 3 47" xfId="22469" xr:uid="{E14AD953-3AA3-4380-9594-7C486481F33F}"/>
    <cellStyle name="Ergebnis 2 3 48" xfId="22346" xr:uid="{FA1E2535-5128-4189-838A-721D48627548}"/>
    <cellStyle name="Ergebnis 2 3 49" xfId="23144" xr:uid="{D030755A-F3E8-4114-93EC-513CA4C3BAC3}"/>
    <cellStyle name="Ergebnis 2 3 5" xfId="2403" xr:uid="{F63DBA97-ACC8-415F-AACD-732AD786BF01}"/>
    <cellStyle name="Ergebnis 2 3 50" xfId="23772" xr:uid="{9CA81C83-3D81-42DF-9A56-FD393A405D6D}"/>
    <cellStyle name="Ergebnis 2 3 51" xfId="24671" xr:uid="{614348FA-8976-4C69-80A9-DD0892489458}"/>
    <cellStyle name="Ergebnis 2 3 52" xfId="25211" xr:uid="{BE391DA5-94CF-4239-BBF0-046FE8FA8788}"/>
    <cellStyle name="Ergebnis 2 3 53" xfId="25589" xr:uid="{4FBF25BD-8F2F-4B2B-A638-E8B844554C0D}"/>
    <cellStyle name="Ergebnis 2 3 54" xfId="25386" xr:uid="{F274AD61-20C1-400D-9441-A742EF333D13}"/>
    <cellStyle name="Ergebnis 2 3 55" xfId="25472" xr:uid="{DB76EB79-333D-4FD6-B3EE-9AEE804BD0C4}"/>
    <cellStyle name="Ergebnis 2 3 56" xfId="26879" xr:uid="{D95DEE41-CF83-4840-BF78-602423CE8490}"/>
    <cellStyle name="Ergebnis 2 3 57" xfId="27298" xr:uid="{A9936164-FEEF-46CF-9277-6A8FC84013BB}"/>
    <cellStyle name="Ergebnis 2 3 58" xfId="26114" xr:uid="{0973DB8B-139A-40DA-B32C-645864328415}"/>
    <cellStyle name="Ergebnis 2 3 59" xfId="28421" xr:uid="{F0987C76-88B5-4970-A611-3C919A616181}"/>
    <cellStyle name="Ergebnis 2 3 6" xfId="1833" xr:uid="{3CA1993D-1572-4A94-9FB7-D3CED4E3052F}"/>
    <cellStyle name="Ergebnis 2 3 60" xfId="28889" xr:uid="{38B7D579-4173-456F-BE6F-A429D4CC70FE}"/>
    <cellStyle name="Ergebnis 2 3 61" xfId="29352" xr:uid="{3DE4B7CD-D546-4EB7-A829-14E2EC70A62C}"/>
    <cellStyle name="Ergebnis 2 3 62" xfId="29679" xr:uid="{E61AF015-5569-432A-8750-90C61A904B83}"/>
    <cellStyle name="Ergebnis 2 3 63" xfId="30087" xr:uid="{DF0AECFD-6D10-4FAC-96A2-984E1C89ABE1}"/>
    <cellStyle name="Ergebnis 2 3 64" xfId="30501" xr:uid="{85E0105A-6EF0-4187-82A2-EB28D744F800}"/>
    <cellStyle name="Ergebnis 2 3 65" xfId="30918" xr:uid="{28EE7BCF-88DA-45C2-98CF-4C03250D471A}"/>
    <cellStyle name="Ergebnis 2 3 66" xfId="31125" xr:uid="{23988DC8-3200-43A0-8CB3-AC1BF6A76664}"/>
    <cellStyle name="Ergebnis 2 3 67" xfId="31811" xr:uid="{70D7352D-1A8B-44F7-A53D-64B0911C5C88}"/>
    <cellStyle name="Ergebnis 2 3 68" xfId="31505" xr:uid="{8C0E8642-7898-4D55-A242-82EE8B403DA3}"/>
    <cellStyle name="Ergebnis 2 3 7" xfId="3549" xr:uid="{4A7CCC71-61BB-4171-982A-CA7DE76A13B6}"/>
    <cellStyle name="Ergebnis 2 3 8" xfId="3899" xr:uid="{9326A9B8-1F79-4583-AF90-D8EAD086625A}"/>
    <cellStyle name="Ergebnis 2 3 9" xfId="4337" xr:uid="{BA941138-3ED1-47EB-991D-5245A3DC4CAF}"/>
    <cellStyle name="Ergebnis 2 30" xfId="16405" xr:uid="{D28D8A10-AD6D-4659-9099-2C7BBAF5773B}"/>
    <cellStyle name="Ergebnis 2 31" xfId="18268" xr:uid="{73013290-D068-4E3A-B0E4-EF51810B33BA}"/>
    <cellStyle name="Ergebnis 2 32" xfId="17673" xr:uid="{1DC726B1-2C76-4009-930E-A4DFB8F420DD}"/>
    <cellStyle name="Ergebnis 2 33" xfId="19092" xr:uid="{7AA6A267-6ED9-4E91-8507-9DEDBADE0DB5}"/>
    <cellStyle name="Ergebnis 2 34" xfId="19776" xr:uid="{E7B0444A-673B-4C3A-AFAF-F1405B9333CF}"/>
    <cellStyle name="Ergebnis 2 35" xfId="19740" xr:uid="{30E56BE5-DFF9-4B87-88B0-11D051E14C5B}"/>
    <cellStyle name="Ergebnis 2 36" xfId="21566" xr:uid="{4EE856A7-2FD7-4AC7-B5EA-325F9555E476}"/>
    <cellStyle name="Ergebnis 2 37" xfId="22616" xr:uid="{2C129991-3E4F-45D9-8586-124578F9A28C}"/>
    <cellStyle name="Ergebnis 2 38" xfId="23511" xr:uid="{E6FB686F-ADAE-406D-986A-8FC2271C6CF5}"/>
    <cellStyle name="Ergebnis 2 39" xfId="24487" xr:uid="{C1CEC3D7-265F-4E0D-B58A-C7586E5009F3}"/>
    <cellStyle name="Ergebnis 2 4" xfId="572" xr:uid="{93E8AEC1-F932-4AA0-A10B-C2A74804F90A}"/>
    <cellStyle name="Ergebnis 2 4 10" xfId="4822" xr:uid="{8CFD9D53-58FA-4AA7-9528-59C9B6C20046}"/>
    <cellStyle name="Ergebnis 2 4 11" xfId="5220" xr:uid="{CE78523D-9021-4A2E-BCA9-3692B0C9E90D}"/>
    <cellStyle name="Ergebnis 2 4 12" xfId="1830" xr:uid="{AE2FF8C2-352F-4135-88C0-35CB4497E5B5}"/>
    <cellStyle name="Ergebnis 2 4 13" xfId="6120" xr:uid="{C64B006F-2375-4DD3-B14F-372B2F3D23B0}"/>
    <cellStyle name="Ergebnis 2 4 14" xfId="6688" xr:uid="{9C516F09-439C-49E9-A783-BE909D81C85F}"/>
    <cellStyle name="Ergebnis 2 4 15" xfId="7292" xr:uid="{CC8C6F0D-8160-484A-A3C3-7B051E97BFC2}"/>
    <cellStyle name="Ergebnis 2 4 16" xfId="7187" xr:uid="{28EBE8EB-C042-45FF-80EE-86FBF7D45762}"/>
    <cellStyle name="Ergebnis 2 4 17" xfId="8512" xr:uid="{7009F3A7-A1F1-4878-84A9-2EC9FFECF0C9}"/>
    <cellStyle name="Ergebnis 2 4 18" xfId="8468" xr:uid="{DD5D8EDD-1E25-4B62-A1E9-A9A4EDEE2CD4}"/>
    <cellStyle name="Ergebnis 2 4 19" xfId="9506" xr:uid="{56428C87-A26B-4DD7-BC9B-93F2A28167ED}"/>
    <cellStyle name="Ergebnis 2 4 2" xfId="787" xr:uid="{70A5A05D-E7FB-44A0-8C2C-68B0D785D3F2}"/>
    <cellStyle name="Ergebnis 2 4 2 10" xfId="5435" xr:uid="{BEF839E5-0566-463C-8919-EC896E86015D}"/>
    <cellStyle name="Ergebnis 2 4 2 11" xfId="5551" xr:uid="{DA085685-BD76-4E42-8D9B-81F0A483E470}"/>
    <cellStyle name="Ergebnis 2 4 2 12" xfId="4866" xr:uid="{3CDD822B-835A-48A2-A2D3-753A5844334C}"/>
    <cellStyle name="Ergebnis 2 4 2 13" xfId="6248" xr:uid="{CC1B2886-A0BD-48D1-B25D-3CFCE78AD1C1}"/>
    <cellStyle name="Ergebnis 2 4 2 14" xfId="7507" xr:uid="{AA6E0943-AC38-47A0-9A2A-94604D1AAF88}"/>
    <cellStyle name="Ergebnis 2 4 2 15" xfId="6865" xr:uid="{9438DB20-B89E-4A9C-AA4C-37ED3E948C65}"/>
    <cellStyle name="Ergebnis 2 4 2 16" xfId="8435" xr:uid="{DD024D76-07CC-4A5A-B126-0E1BF05E2B62}"/>
    <cellStyle name="Ergebnis 2 4 2 17" xfId="8539" xr:uid="{BF2FA477-D0A7-468B-A463-88399F3E4E7B}"/>
    <cellStyle name="Ergebnis 2 4 2 18" xfId="9721" xr:uid="{4A639E82-37E3-4814-B5B3-2111A31BC880}"/>
    <cellStyle name="Ergebnis 2 4 2 19" xfId="9170" xr:uid="{6D9B86C7-C54C-48FA-86F9-3E324D5B910C}"/>
    <cellStyle name="Ergebnis 2 4 2 2" xfId="1261" xr:uid="{8803F670-975E-499C-A5D9-EF78A432DE3A}"/>
    <cellStyle name="Ergebnis 2 4 2 20" xfId="10100" xr:uid="{D05B33A3-5EAA-4CA3-8CA9-7EF35CF35D37}"/>
    <cellStyle name="Ergebnis 2 4 2 21" xfId="9063" xr:uid="{96DFD96B-725D-4222-88F6-71C363B8C867}"/>
    <cellStyle name="Ergebnis 2 4 2 22" xfId="11171" xr:uid="{757C3F00-61CA-4697-A0B5-1C28557524D3}"/>
    <cellStyle name="Ergebnis 2 4 2 23" xfId="12140" xr:uid="{66C77A43-5011-413A-A56B-BB789DFBD899}"/>
    <cellStyle name="Ergebnis 2 4 2 24" xfId="12613" xr:uid="{4FE30D27-27D0-4267-AE5B-8E248963F0E1}"/>
    <cellStyle name="Ergebnis 2 4 2 25" xfId="13047" xr:uid="{1E3857BE-267E-49F2-A636-F6F08F6DCE08}"/>
    <cellStyle name="Ergebnis 2 4 2 26" xfId="13484" xr:uid="{9C7E829C-3483-47F5-9CA5-E5192ED76BFC}"/>
    <cellStyle name="Ergebnis 2 4 2 27" xfId="11543" xr:uid="{C3291942-ECB9-411D-82CE-B60C975CF9E0}"/>
    <cellStyle name="Ergebnis 2 4 2 28" xfId="12264" xr:uid="{7776EAC1-4C54-40B4-8B72-849251788CBC}"/>
    <cellStyle name="Ergebnis 2 4 2 29" xfId="14197" xr:uid="{B2108F56-82BC-46B6-A779-720EF4966BC9}"/>
    <cellStyle name="Ergebnis 2 4 2 3" xfId="1561" xr:uid="{44F8124E-849A-4AB5-8CF5-D9C303858BF7}"/>
    <cellStyle name="Ergebnis 2 4 2 30" xfId="15314" xr:uid="{D1BFF892-0480-4E90-9DB2-6F35AB45F0D5}"/>
    <cellStyle name="Ergebnis 2 4 2 31" xfId="14985" xr:uid="{0DE92843-98DA-4B14-ACA9-1230F2EC4B56}"/>
    <cellStyle name="Ergebnis 2 4 2 32" xfId="15262" xr:uid="{8143BCFD-F752-4C51-883B-B57FBFA9C364}"/>
    <cellStyle name="Ergebnis 2 4 2 33" xfId="16832" xr:uid="{08AF41A6-169C-4AF5-BE93-15A5D7A33FED}"/>
    <cellStyle name="Ergebnis 2 4 2 34" xfId="16181" xr:uid="{BB73E21B-7DAB-4DBF-AF3D-84D1E9906C9E}"/>
    <cellStyle name="Ergebnis 2 4 2 35" xfId="17219" xr:uid="{B2EDE404-5F34-46B9-A54C-1B566237C72D}"/>
    <cellStyle name="Ergebnis 2 4 2 36" xfId="18134" xr:uid="{455557A2-ADD1-4EA7-AD91-049176BAF917}"/>
    <cellStyle name="Ergebnis 2 4 2 37" xfId="18650" xr:uid="{1D6913A0-74A3-4AE3-8B26-C9F3FCB0F8F7}"/>
    <cellStyle name="Ergebnis 2 4 2 38" xfId="18109" xr:uid="{761B63BB-5264-4DE4-B666-BA80B23C6DC6}"/>
    <cellStyle name="Ergebnis 2 4 2 39" xfId="16207" xr:uid="{36163B51-4739-44B1-9B1C-5912512D0272}"/>
    <cellStyle name="Ergebnis 2 4 2 4" xfId="2609" xr:uid="{3A885C13-BA98-42EF-89FC-527753FAFF16}"/>
    <cellStyle name="Ergebnis 2 4 2 40" xfId="20169" xr:uid="{EE427F0A-A69F-41BD-BE87-B4511B3F97F0}"/>
    <cellStyle name="Ergebnis 2 4 2 41" xfId="19747" xr:uid="{F30C01D2-55A2-461D-9E16-F77D368DC147}"/>
    <cellStyle name="Ergebnis 2 4 2 42" xfId="20548" xr:uid="{3EEAAAC2-C52F-4B23-AAC1-45CDABCC2995}"/>
    <cellStyle name="Ergebnis 2 4 2 43" xfId="20727" xr:uid="{D18BF693-FB6C-4D64-8982-9790166BE5E5}"/>
    <cellStyle name="Ergebnis 2 4 2 44" xfId="19767" xr:uid="{E6D9B93D-80C9-4C79-AF36-A166030468CC}"/>
    <cellStyle name="Ergebnis 2 4 2 45" xfId="19810" xr:uid="{B9DB4FE6-6D0E-4515-8683-B20AC58AFA08}"/>
    <cellStyle name="Ergebnis 2 4 2 46" xfId="22205" xr:uid="{5C6CF7FA-20E9-47BE-A6F2-CFD902F1F84F}"/>
    <cellStyle name="Ergebnis 2 4 2 47" xfId="22348" xr:uid="{25BC4317-82D2-470F-BF64-AFFE020B1A20}"/>
    <cellStyle name="Ergebnis 2 4 2 48" xfId="23138" xr:uid="{EFA5004D-887B-42AB-8DCC-FE0C0CCE5F76}"/>
    <cellStyle name="Ergebnis 2 4 2 49" xfId="23969" xr:uid="{07A4574E-D961-4C3A-ACDC-A09677176C21}"/>
    <cellStyle name="Ergebnis 2 4 2 5" xfId="2141" xr:uid="{3E11B2EF-1667-4542-B3DA-39B63AF704D0}"/>
    <cellStyle name="Ergebnis 2 4 2 50" xfId="24877" xr:uid="{25883847-54AD-42E4-BB3F-81B790BB8A1F}"/>
    <cellStyle name="Ergebnis 2 4 2 51" xfId="24225" xr:uid="{C690040F-A031-459A-A6B8-3E59923596D2}"/>
    <cellStyle name="Ergebnis 2 4 2 52" xfId="25793" xr:uid="{7D1510B0-A54B-4937-BD45-52B55A0AB054}"/>
    <cellStyle name="Ergebnis 2 4 2 53" xfId="25446" xr:uid="{E6411F10-9315-43FB-AEA3-FA77CD3AFED0}"/>
    <cellStyle name="Ergebnis 2 4 2 54" xfId="25918" xr:uid="{56DB2569-D763-4904-9DAD-28D8E64BB4B5}"/>
    <cellStyle name="Ergebnis 2 4 2 55" xfId="27081" xr:uid="{9E1AFD44-0C5B-4C4D-A85E-CB89F40BF6AB}"/>
    <cellStyle name="Ergebnis 2 4 2 56" xfId="27500" xr:uid="{DAEEF2CA-9EF1-495E-85DD-003D9A9C8E6B}"/>
    <cellStyle name="Ergebnis 2 4 2 57" xfId="26679" xr:uid="{06BC796A-25C3-4664-84D1-A72A73447971}"/>
    <cellStyle name="Ergebnis 2 4 2 58" xfId="28627" xr:uid="{F26E7777-E7F9-40F5-84CC-C8FF0AFC7D8C}"/>
    <cellStyle name="Ergebnis 2 4 2 59" xfId="29094" xr:uid="{63CB0143-9BD1-40F5-AF87-3A77DCBFEF4F}"/>
    <cellStyle name="Ergebnis 2 4 2 6" xfId="3242" xr:uid="{3013D72C-F142-4AB0-A54F-0248C68F61CD}"/>
    <cellStyle name="Ergebnis 2 4 2 60" xfId="27959" xr:uid="{FAB2DC5D-BA4E-497A-9BA0-B064C10B96B9}"/>
    <cellStyle name="Ergebnis 2 4 2 61" xfId="29883" xr:uid="{59731EE8-66D9-4BA2-9A04-2DDBEA2C3FFA}"/>
    <cellStyle name="Ergebnis 2 4 2 62" xfId="30289" xr:uid="{0211D5C3-6594-44DB-8D81-73CFBEAE0436}"/>
    <cellStyle name="Ergebnis 2 4 2 63" xfId="30706" xr:uid="{9FF52379-5BE9-4F7F-8062-3D4D5B2239BE}"/>
    <cellStyle name="Ergebnis 2 4 2 64" xfId="30971" xr:uid="{881F37FD-9651-4B4F-AF3F-05630C94DE81}"/>
    <cellStyle name="Ergebnis 2 4 2 65" xfId="31322" xr:uid="{D9496629-EFA6-41B4-8200-86E1C095DAD7}"/>
    <cellStyle name="Ergebnis 2 4 2 66" xfId="32013" xr:uid="{78D96E02-39EA-447E-B88F-1AACC65EEC38}"/>
    <cellStyle name="Ergebnis 2 4 2 67" xfId="31474" xr:uid="{FBB2813F-52AD-4A3D-AF7A-EFE67F7242A8}"/>
    <cellStyle name="Ergebnis 2 4 2 7" xfId="4105" xr:uid="{4E3F6D78-D017-429E-8930-794D51BA6F16}"/>
    <cellStyle name="Ergebnis 2 4 2 8" xfId="4542" xr:uid="{D605A00E-C5C0-4653-A93C-49E91B5BEA24}"/>
    <cellStyle name="Ergebnis 2 4 2 9" xfId="3186" xr:uid="{0EE2AF09-7886-4A31-9568-4C9EF9122873}"/>
    <cellStyle name="Ergebnis 2 4 20" xfId="9400" xr:uid="{683A5949-4529-44F9-87A3-6E8B28309F61}"/>
    <cellStyle name="Ergebnis 2 4 21" xfId="10162" xr:uid="{17284123-7613-44ED-BB50-8A83717EC01C}"/>
    <cellStyle name="Ergebnis 2 4 22" xfId="10228" xr:uid="{4DE68C0C-ABD9-422C-8355-36E4709E50AE}"/>
    <cellStyle name="Ergebnis 2 4 23" xfId="11305" xr:uid="{CE553E88-B252-4CE5-A6B3-B6D14AE589C8}"/>
    <cellStyle name="Ergebnis 2 4 24" xfId="11925" xr:uid="{461E77C4-2DD2-42EC-A165-0EEB57AE6965}"/>
    <cellStyle name="Ergebnis 2 4 25" xfId="12398" xr:uid="{8D87AD49-1414-4238-A66E-D6999E5F6129}"/>
    <cellStyle name="Ergebnis 2 4 26" xfId="12832" xr:uid="{D75B32EF-5F66-4204-89D9-0228F6F7A6E7}"/>
    <cellStyle name="Ergebnis 2 4 27" xfId="13269" xr:uid="{03CA2551-E9C2-4C93-BD39-6F48D6F47FC8}"/>
    <cellStyle name="Ergebnis 2 4 28" xfId="11820" xr:uid="{6D08DADE-B420-4388-BDDE-1133A0EDB3A7}"/>
    <cellStyle name="Ergebnis 2 4 29" xfId="13181" xr:uid="{3A128240-5458-485A-A2B2-AA8B1DA7D43C}"/>
    <cellStyle name="Ergebnis 2 4 3" xfId="1055" xr:uid="{5EDDFACC-545A-41EA-A23F-1A47D5CB25F6}"/>
    <cellStyle name="Ergebnis 2 4 30" xfId="13969" xr:uid="{E14FFDCF-EBA3-4908-9F15-D9AD3AE5AD6F}"/>
    <cellStyle name="Ergebnis 2 4 31" xfId="15300" xr:uid="{A1896BEF-B86F-4719-8863-D490A230D973}"/>
    <cellStyle name="Ergebnis 2 4 32" xfId="15651" xr:uid="{486E712B-81ED-4E0D-B32F-9B26BA10C5F1}"/>
    <cellStyle name="Ergebnis 2 4 33" xfId="15011" xr:uid="{3B228AD9-BA01-43C6-8E07-A3F581FF7005}"/>
    <cellStyle name="Ergebnis 2 4 34" xfId="16617" xr:uid="{C85B6279-84A1-47BB-A1A0-C1063190F9BC}"/>
    <cellStyle name="Ergebnis 2 4 35" xfId="16509" xr:uid="{73F74BEF-D6D9-4687-B2CC-0033EF1457B7}"/>
    <cellStyle name="Ergebnis 2 4 36" xfId="17281" xr:uid="{179771F3-3F19-4054-AD81-C928C5608543}"/>
    <cellStyle name="Ergebnis 2 4 37" xfId="16393" xr:uid="{274BB5CB-AF16-44CF-8C08-99AA72541235}"/>
    <cellStyle name="Ergebnis 2 4 38" xfId="18435" xr:uid="{4A585485-8701-4933-A06E-EC8653001F63}"/>
    <cellStyle name="Ergebnis 2 4 39" xfId="18295" xr:uid="{60A6A6FF-37B0-44C7-9CC6-37D977B6E8AB}"/>
    <cellStyle name="Ergebnis 2 4 4" xfId="1527" xr:uid="{BB994755-DB78-437A-A0BD-DA7D82964C20}"/>
    <cellStyle name="Ergebnis 2 4 40" xfId="17997" xr:uid="{9EB87026-1AD0-42E1-936C-A7CC6A3DD520}"/>
    <cellStyle name="Ergebnis 2 4 41" xfId="19954" xr:uid="{AFF6327C-5311-4A9B-9FA2-17AE1E559620}"/>
    <cellStyle name="Ergebnis 2 4 42" xfId="19845" xr:uid="{AE7C12BD-1528-4F97-8282-F3D68497B1FE}"/>
    <cellStyle name="Ergebnis 2 4 43" xfId="19502" xr:uid="{BE53DD4A-689F-4B69-B1DD-1A43E0B7170E}"/>
    <cellStyle name="Ergebnis 2 4 44" xfId="21003" xr:uid="{BFD489EF-60BE-44F4-821D-BCEE632BA9AF}"/>
    <cellStyle name="Ergebnis 2 4 45" xfId="21294" xr:uid="{973E5D73-CE52-42E8-8409-D15C2A2D1185}"/>
    <cellStyle name="Ergebnis 2 4 46" xfId="21973" xr:uid="{3F0446D9-F468-4CE8-A96F-C2F3E057A093}"/>
    <cellStyle name="Ergebnis 2 4 47" xfId="22308" xr:uid="{EC1ED2A9-82AA-49E9-9BBB-D18E83E7DEE7}"/>
    <cellStyle name="Ergebnis 2 4 48" xfId="19423" xr:uid="{4611EA5B-DE32-4710-A99D-AB1D55C19E75}"/>
    <cellStyle name="Ergebnis 2 4 49" xfId="22299" xr:uid="{52BAA737-54C4-496C-9792-22C5ECB6438F}"/>
    <cellStyle name="Ergebnis 2 4 5" xfId="2394" xr:uid="{6DCB5E05-75A7-4973-B692-A137F1625985}"/>
    <cellStyle name="Ergebnis 2 4 50" xfId="23763" xr:uid="{B0B98651-EA3A-4AE2-9E29-A394FE5997A4}"/>
    <cellStyle name="Ergebnis 2 4 51" xfId="24662" xr:uid="{3914FF8C-253A-4CFE-BD54-C755848F937A}"/>
    <cellStyle name="Ergebnis 2 4 52" xfId="24518" xr:uid="{12BA0342-05D1-4284-BFEC-19DE861F3CC1}"/>
    <cellStyle name="Ergebnis 2 4 53" xfId="25580" xr:uid="{CBEB2786-F519-4C88-BFDC-20CAE4F1FB98}"/>
    <cellStyle name="Ergebnis 2 4 54" xfId="26140" xr:uid="{106BFA4F-4981-4A55-8FA6-DB6FE549C9C8}"/>
    <cellStyle name="Ergebnis 2 4 55" xfId="26151" xr:uid="{216D852F-A6BE-489C-932A-F37C2F0C7168}"/>
    <cellStyle name="Ergebnis 2 4 56" xfId="26870" xr:uid="{ED03BC77-A16E-413C-9430-D900751981F0}"/>
    <cellStyle name="Ergebnis 2 4 57" xfId="27289" xr:uid="{832F55B7-1680-4A8A-A01F-78CF99BC6287}"/>
    <cellStyle name="Ergebnis 2 4 58" xfId="27747" xr:uid="{DACBCB93-ABEE-4CC2-96DC-3B1B6634D4EE}"/>
    <cellStyle name="Ergebnis 2 4 59" xfId="28412" xr:uid="{861765DB-EBFA-432B-8023-7B9FABC08AFB}"/>
    <cellStyle name="Ergebnis 2 4 6" xfId="2228" xr:uid="{DF6E7B49-F315-4FAA-BB10-9FD797228EA4}"/>
    <cellStyle name="Ergebnis 2 4 60" xfId="28880" xr:uid="{7D0C39A8-AF6C-461A-A08C-C95E463A2365}"/>
    <cellStyle name="Ergebnis 2 4 61" xfId="28210" xr:uid="{60CE2843-34DE-4AF0-8814-40854C7DD40E}"/>
    <cellStyle name="Ergebnis 2 4 62" xfId="29670" xr:uid="{54BA91E3-74E4-4083-9801-577C3738F7D4}"/>
    <cellStyle name="Ergebnis 2 4 63" xfId="30078" xr:uid="{3D57CAF8-726C-4F4A-BE1D-21B10B295C1A}"/>
    <cellStyle name="Ergebnis 2 4 64" xfId="30492" xr:uid="{0E18ECA6-EBC7-45D0-B2A0-492A8C624052}"/>
    <cellStyle name="Ergebnis 2 4 65" xfId="31005" xr:uid="{96ED62AB-6E6B-4527-B64B-441BDEE27B44}"/>
    <cellStyle name="Ergebnis 2 4 66" xfId="31116" xr:uid="{CCD09B07-A092-4FAA-BBC2-096768643610}"/>
    <cellStyle name="Ergebnis 2 4 67" xfId="31802" xr:uid="{6459003A-29E1-4943-8083-8CC1908FD7F4}"/>
    <cellStyle name="Ergebnis 2 4 68" xfId="32360" xr:uid="{892693AB-DE1D-4141-85BD-4371E0A346FC}"/>
    <cellStyle name="Ergebnis 2 4 7" xfId="3022" xr:uid="{661F6122-265B-41F0-9D13-B2B70A26F6DD}"/>
    <cellStyle name="Ergebnis 2 4 8" xfId="3890" xr:uid="{7BA17644-902E-4AA0-B9E9-EE18E033C4D0}"/>
    <cellStyle name="Ergebnis 2 4 9" xfId="4328" xr:uid="{7E7BA302-5FE9-4AC4-A6A5-9058FC6E9918}"/>
    <cellStyle name="Ergebnis 2 40" xfId="24469" xr:uid="{5A7967F9-A0B0-4C82-99A8-542AFC5E2E01}"/>
    <cellStyle name="Ergebnis 2 41" xfId="24263" xr:uid="{CB275501-F11E-44B2-86A0-E8D8DFF220DA}"/>
    <cellStyle name="Ergebnis 2 42" xfId="24471" xr:uid="{BCC277C1-661F-49AC-9C0F-82F1D7B79E1A}"/>
    <cellStyle name="Ergebnis 2 43" xfId="26157" xr:uid="{8FF44538-C3FE-4B7F-B5C4-90990F1E4664}"/>
    <cellStyle name="Ergebnis 2 44" xfId="26700" xr:uid="{CA1C06DC-588D-4224-806F-DF307212B848}"/>
    <cellStyle name="Ergebnis 2 45" xfId="24202" xr:uid="{31B9039F-26BE-4722-82D1-B6333B084001}"/>
    <cellStyle name="Ergebnis 2 46" xfId="28250" xr:uid="{64E7F4FF-3ED2-4EE7-90AF-10AFE6E4DCD5}"/>
    <cellStyle name="Ergebnis 2 47" xfId="28085" xr:uid="{C5FF9EF0-1DF9-4518-A98F-39A42808A8EF}"/>
    <cellStyle name="Ergebnis 2 48" xfId="29217" xr:uid="{FDE35F06-72FD-411E-9A7E-B4B1009D49D6}"/>
    <cellStyle name="Ergebnis 2 49" xfId="29360" xr:uid="{F661008F-20F6-4C85-BC1A-3FAA52D384EA}"/>
    <cellStyle name="Ergebnis 2 5" xfId="707" xr:uid="{CBD16545-AA45-4CCB-904E-1D1FA2B20B14}"/>
    <cellStyle name="Ergebnis 2 5 10" xfId="5355" xr:uid="{801D18ED-2036-4038-969B-0C6B98E0BAF3}"/>
    <cellStyle name="Ergebnis 2 5 11" xfId="5935" xr:uid="{D2BE5C75-51FD-4127-899D-2446AB2D27FB}"/>
    <cellStyle name="Ergebnis 2 5 12" xfId="5634" xr:uid="{F44C4B15-D70B-4D85-9001-AF8142BCC03D}"/>
    <cellStyle name="Ergebnis 2 5 13" xfId="6455" xr:uid="{0ED56DFC-1F7C-4011-BEF5-00243041A27E}"/>
    <cellStyle name="Ergebnis 2 5 14" xfId="7427" xr:uid="{4074EA20-106E-44B6-98CB-E9ED7A830337}"/>
    <cellStyle name="Ergebnis 2 5 15" xfId="6969" xr:uid="{C323A42F-4CB4-4310-BC8D-93377751EF7B}"/>
    <cellStyle name="Ergebnis 2 5 16" xfId="8477" xr:uid="{792F85BB-E0D0-40A4-BA7D-91FEDDD16828}"/>
    <cellStyle name="Ergebnis 2 5 17" xfId="8706" xr:uid="{F3178823-96F9-4FCA-9D72-C16001B31C9A}"/>
    <cellStyle name="Ergebnis 2 5 18" xfId="9641" xr:uid="{8884D808-7DD7-426E-8D09-30FE9D288150}"/>
    <cellStyle name="Ergebnis 2 5 19" xfId="9182" xr:uid="{3A65B196-F6B2-48A7-9916-0C61029E315F}"/>
    <cellStyle name="Ergebnis 2 5 2" xfId="1181" xr:uid="{8F656179-48E3-40E8-9979-BF7B3B8F90A7}"/>
    <cellStyle name="Ergebnis 2 5 20" xfId="9894" xr:uid="{30C28368-5CC6-4D15-8DA2-9D3FAC282DA1}"/>
    <cellStyle name="Ergebnis 2 5 21" xfId="10856" xr:uid="{42856051-C067-4CD4-AE93-A0617088E833}"/>
    <cellStyle name="Ergebnis 2 5 22" xfId="11274" xr:uid="{DC697E6E-A382-42B1-8845-FA4E964A558B}"/>
    <cellStyle name="Ergebnis 2 5 23" xfId="12060" xr:uid="{15186ECD-948B-4883-86AB-A7F27DCC68F6}"/>
    <cellStyle name="Ergebnis 2 5 24" xfId="12533" xr:uid="{E3F6C3C7-EBE0-4E2A-8CB4-EE3A856A58A1}"/>
    <cellStyle name="Ergebnis 2 5 25" xfId="12967" xr:uid="{F4C8EF50-995B-4D4D-98A2-ADAEDBA20645}"/>
    <cellStyle name="Ergebnis 2 5 26" xfId="13404" xr:uid="{028061B2-48F8-46B6-83C5-86DB81EBE8A1}"/>
    <cellStyle name="Ergebnis 2 5 27" xfId="11449" xr:uid="{E4170C46-CB2E-44CE-A601-F4B4C2DEED2D}"/>
    <cellStyle name="Ergebnis 2 5 28" xfId="14462" xr:uid="{22FF659C-8B95-4695-836E-398504B32AC3}"/>
    <cellStyle name="Ergebnis 2 5 29" xfId="14094" xr:uid="{14C1457F-68B8-408E-A2CE-B4781FEB3B27}"/>
    <cellStyle name="Ergebnis 2 5 3" xfId="1538" xr:uid="{B644703F-A570-4613-8D2E-C08D65A1A27A}"/>
    <cellStyle name="Ergebnis 2 5 30" xfId="15134" xr:uid="{02AF24DE-BC10-4AED-8AA3-C93DDA93FE03}"/>
    <cellStyle name="Ergebnis 2 5 31" xfId="15571" xr:uid="{FB5724AF-B736-42A0-BBE0-22E4AC170E4E}"/>
    <cellStyle name="Ergebnis 2 5 32" xfId="15635" xr:uid="{CB261776-C883-404A-AA9B-6C553EDAFC46}"/>
    <cellStyle name="Ergebnis 2 5 33" xfId="16752" xr:uid="{A167E7D0-BB0D-4A7D-9F3C-92791A1A676C}"/>
    <cellStyle name="Ergebnis 2 5 34" xfId="16289" xr:uid="{23FE1455-6120-4E7B-B595-5F57B635D103}"/>
    <cellStyle name="Ergebnis 2 5 35" xfId="17008" xr:uid="{8B5F1B86-C594-4321-941B-1482ABCBA7EF}"/>
    <cellStyle name="Ergebnis 2 5 36" xfId="18246" xr:uid="{3BEAF22C-5C4F-47AA-BFFC-388CE3FEE4CE}"/>
    <cellStyle name="Ergebnis 2 5 37" xfId="18570" xr:uid="{C74E5E52-BCDE-4F97-B522-A9DEA38808FD}"/>
    <cellStyle name="Ergebnis 2 5 38" xfId="18786" xr:uid="{C66D12E6-B505-4116-9945-5D8A9F7F9A81}"/>
    <cellStyle name="Ergebnis 2 5 39" xfId="17775" xr:uid="{208FD061-F116-453E-AD66-A8C367F3D83A}"/>
    <cellStyle name="Ergebnis 2 5 4" xfId="2529" xr:uid="{E35F890B-27B1-4FD0-A4EB-7E19243CCCA2}"/>
    <cellStyle name="Ergebnis 2 5 40" xfId="20089" xr:uid="{4B48B8C8-36AF-4B18-8E6C-56C503E858A1}"/>
    <cellStyle name="Ergebnis 2 5 41" xfId="19622" xr:uid="{6C3140D4-A370-4BA6-B36A-F54D1D509C33}"/>
    <cellStyle name="Ergebnis 2 5 42" xfId="20542" xr:uid="{8B6FF8E3-915D-4D5C-89C2-B7A239060412}"/>
    <cellStyle name="Ergebnis 2 5 43" xfId="21250" xr:uid="{5CE8AFF2-2956-495C-A76F-F68E9CD1D345}"/>
    <cellStyle name="Ergebnis 2 5 44" xfId="21669" xr:uid="{5609146A-909C-4F42-8BCD-161237F2FB91}"/>
    <cellStyle name="Ergebnis 2 5 45" xfId="21744" xr:uid="{3B419C1D-40F8-4492-BAF8-2538DCA77042}"/>
    <cellStyle name="Ergebnis 2 5 46" xfId="22036" xr:uid="{35AB820C-C9E6-4359-A56F-6C085E39CE89}"/>
    <cellStyle name="Ergebnis 2 5 47" xfId="23058" xr:uid="{D8EA5AEC-C98C-4A7F-A8EF-8CDDEAA8D606}"/>
    <cellStyle name="Ergebnis 2 5 48" xfId="23619" xr:uid="{6859AFC2-59C8-4212-A530-1EB1301AE173}"/>
    <cellStyle name="Ergebnis 2 5 49" xfId="23889" xr:uid="{6960B546-382C-4313-AB12-8A921B3669B1}"/>
    <cellStyle name="Ergebnis 2 5 5" xfId="2194" xr:uid="{4A4C3837-8A8B-44F0-A43C-358204322A03}"/>
    <cellStyle name="Ergebnis 2 5 50" xfId="24797" xr:uid="{D9984557-4C1E-466C-8D12-92C884174FE8}"/>
    <cellStyle name="Ergebnis 2 5 51" xfId="24343" xr:uid="{A5DB59AD-5E57-4602-91C6-57F164A659E3}"/>
    <cellStyle name="Ergebnis 2 5 52" xfId="25713" xr:uid="{C8D1ACF2-470F-46DE-8A90-5364A03774CC}"/>
    <cellStyle name="Ergebnis 2 5 53" xfId="25184" xr:uid="{822B836F-BB2A-4B68-8A27-602AFBB5FF6D}"/>
    <cellStyle name="Ergebnis 2 5 54" xfId="26249" xr:uid="{3B3A02E7-D396-4B52-B528-4D78496F2455}"/>
    <cellStyle name="Ergebnis 2 5 55" xfId="27001" xr:uid="{C450E0DE-DB09-40F8-A7AF-E8AF4DB58C9A}"/>
    <cellStyle name="Ergebnis 2 5 56" xfId="27420" xr:uid="{025A1EA9-1EDE-4CC8-B634-3474E7AFBBE8}"/>
    <cellStyle name="Ergebnis 2 5 57" xfId="26711" xr:uid="{1BDA706A-AA2A-45E3-8D90-1ECB5AA4EE8E}"/>
    <cellStyle name="Ergebnis 2 5 58" xfId="28547" xr:uid="{831D12EA-8D17-4A7F-A7C7-3F44420A7F4E}"/>
    <cellStyle name="Ergebnis 2 5 59" xfId="29014" xr:uid="{CEB8C949-EE66-42C3-AF7B-D3E4AD0A9C43}"/>
    <cellStyle name="Ergebnis 2 5 6" xfId="2300" xr:uid="{2AA46651-7956-4AAD-90A8-41A29921BE20}"/>
    <cellStyle name="Ergebnis 2 5 60" xfId="27894" xr:uid="{F980044C-F24D-45A4-AD24-DF86208CE941}"/>
    <cellStyle name="Ergebnis 2 5 61" xfId="29803" xr:uid="{4A9C3B9D-1DB6-4F9C-8550-0AA6B9E9F134}"/>
    <cellStyle name="Ergebnis 2 5 62" xfId="30209" xr:uid="{E1F66544-C862-4F3F-8D83-85AEFE430B9B}"/>
    <cellStyle name="Ergebnis 2 5 63" xfId="30626" xr:uid="{BF5580CA-9556-407A-AD23-FC55A58B81E6}"/>
    <cellStyle name="Ergebnis 2 5 64" xfId="30810" xr:uid="{E1099836-3AE9-4AA5-8BE7-374E317B6A65}"/>
    <cellStyle name="Ergebnis 2 5 65" xfId="31242" xr:uid="{68E4DE6F-CF94-4F11-B420-7D06316DB75A}"/>
    <cellStyle name="Ergebnis 2 5 66" xfId="31933" xr:uid="{1214684C-294A-43F6-BDDE-79E68751EBE9}"/>
    <cellStyle name="Ergebnis 2 5 67" xfId="32345" xr:uid="{1AB3A1F6-B05D-476A-BD52-701C6A3D9419}"/>
    <cellStyle name="Ergebnis 2 5 7" xfId="4025" xr:uid="{AD54A919-E21E-4FA4-8118-22224FBA76C8}"/>
    <cellStyle name="Ergebnis 2 5 8" xfId="4462" xr:uid="{B3927E91-4080-4F67-950C-D93D3D394EA7}"/>
    <cellStyle name="Ergebnis 2 5 9" xfId="4842" xr:uid="{59C8F8D1-AAEB-48D7-B94A-45F2A862447B}"/>
    <cellStyle name="Ergebnis 2 50" xfId="30878" xr:uid="{6C620252-FC7B-44B5-A449-BEEC3B5CE4A6}"/>
    <cellStyle name="Ergebnis 2 51" xfId="29793" xr:uid="{D0AC8626-0E75-46C1-83E1-498198BEF1D3}"/>
    <cellStyle name="Ergebnis 2 52" xfId="31675" xr:uid="{FA03D5C7-4381-4B0B-A361-63B17CC1DCC6}"/>
    <cellStyle name="Ergebnis 2 53" xfId="32201" xr:uid="{F1B1CF9F-DCD5-4313-A2D5-72A5CDDA19EE}"/>
    <cellStyle name="Ergebnis 2 6" xfId="979" xr:uid="{46C58A7B-AC49-4C17-AFF4-BA9DC4322726}"/>
    <cellStyle name="Ergebnis 2 7" xfId="2216" xr:uid="{EC743C3C-91E2-4C32-B1FD-A456E6865E5D}"/>
    <cellStyle name="Ergebnis 2 8" xfId="2774" xr:uid="{F8BC3E22-7EF3-4178-A5E6-F4EFA798BE54}"/>
    <cellStyle name="Ergebnis 2 9" xfId="1941" xr:uid="{8C1F84E3-7521-40FE-A5C2-F9D3264E00E8}"/>
    <cellStyle name="Ergebnis 3" xfId="286" xr:uid="{4201BECD-02A0-41E0-BE2B-46A0BA935D77}"/>
    <cellStyle name="Ergebnis 3 10" xfId="3690" xr:uid="{C1C94F19-DB3E-42E6-A869-BDFEB3714F5F}"/>
    <cellStyle name="Ergebnis 3 11" xfId="3441" xr:uid="{39A71E75-AFDB-46B7-A7DE-E07E009082EF}"/>
    <cellStyle name="Ergebnis 3 12" xfId="4849" xr:uid="{0656F092-A51A-4104-8053-CB5AF5F97EB5}"/>
    <cellStyle name="Ergebnis 3 13" xfId="6052" xr:uid="{05401F54-F044-434D-968C-1059582F7A7B}"/>
    <cellStyle name="Ergebnis 3 14" xfId="6656" xr:uid="{17B79B2A-33C0-4728-8229-524376E597FF}"/>
    <cellStyle name="Ergebnis 3 15" xfId="7016" xr:uid="{25E52CBD-F795-4E24-AB74-30FF442599EF}"/>
    <cellStyle name="Ergebnis 3 16" xfId="7636" xr:uid="{F01ADB18-31E9-4F96-B459-C8D192A90BF1}"/>
    <cellStyle name="Ergebnis 3 17" xfId="7828" xr:uid="{D50812A8-AB78-45FF-8182-F8D52F29D4A7}"/>
    <cellStyle name="Ergebnis 3 18" xfId="8641" xr:uid="{6F578B7A-1EB9-4DDD-9AB8-FCFB6A8C3A90}"/>
    <cellStyle name="Ergebnis 3 19" xfId="9229" xr:uid="{594244CB-D8D3-4E9A-A23E-68D2D108CE08}"/>
    <cellStyle name="Ergebnis 3 2" xfId="623" xr:uid="{54E29AF0-F95F-4EC4-BF01-F7834B375F91}"/>
    <cellStyle name="Ergebnis 3 2 10" xfId="4843" xr:uid="{CDBED5BA-B7C8-406F-AB5D-C428132DD035}"/>
    <cellStyle name="Ergebnis 3 2 11" xfId="5271" xr:uid="{4940A23F-B7A3-4604-B928-E651742EA427}"/>
    <cellStyle name="Ergebnis 3 2 12" xfId="4696" xr:uid="{5836E458-A8DC-4355-A701-BA23AA40BF82}"/>
    <cellStyle name="Ergebnis 3 2 13" xfId="5995" xr:uid="{16340220-46D4-4855-B8F3-38D46E86F1CC}"/>
    <cellStyle name="Ergebnis 3 2 14" xfId="3330" xr:uid="{A338151E-5531-4634-AF7D-90A885EC38A8}"/>
    <cellStyle name="Ergebnis 3 2 15" xfId="7343" xr:uid="{131C6FDE-B6C5-4102-B648-E84EA56C3722}"/>
    <cellStyle name="Ergebnis 3 2 16" xfId="6912" xr:uid="{61DBB845-4930-4F49-88FC-01B201984F04}"/>
    <cellStyle name="Ergebnis 3 2 17" xfId="7027" xr:uid="{82371368-5A63-4028-B68D-509117E53363}"/>
    <cellStyle name="Ergebnis 3 2 18" xfId="8825" xr:uid="{DCA6465A-4AFD-4FE1-8843-44EAD6BF6C72}"/>
    <cellStyle name="Ergebnis 3 2 19" xfId="9557" xr:uid="{D2DA488E-68F6-4AF9-803D-64E111970200}"/>
    <cellStyle name="Ergebnis 3 2 2" xfId="838" xr:uid="{9F6CD28A-96CE-404C-BFC1-C1D432A5A0D7}"/>
    <cellStyle name="Ergebnis 3 2 2 10" xfId="5486" xr:uid="{5488BCA0-58BE-47C9-86D9-2361F423C8CB}"/>
    <cellStyle name="Ergebnis 3 2 2 11" xfId="5018" xr:uid="{B7368BBA-73EC-463A-9C60-5E249F772A40}"/>
    <cellStyle name="Ergebnis 3 2 2 12" xfId="6093" xr:uid="{4A7C358B-D731-466C-82E1-004DA073E63F}"/>
    <cellStyle name="Ergebnis 3 2 2 13" xfId="6179" xr:uid="{84A55545-3F3D-464C-8A50-04E9F0F382B1}"/>
    <cellStyle name="Ergebnis 3 2 2 14" xfId="7558" xr:uid="{4B587699-80BB-4B7A-A9B3-83F011DF84F2}"/>
    <cellStyle name="Ergebnis 3 2 2 15" xfId="7713" xr:uid="{EAA6540D-99C5-4CD8-B69D-2F2E5D1B1861}"/>
    <cellStyle name="Ergebnis 3 2 2 16" xfId="8299" xr:uid="{BC7B938A-B11A-4397-901B-AE6DFCEE2E73}"/>
    <cellStyle name="Ergebnis 3 2 2 17" xfId="8811" xr:uid="{BFE00CB6-547A-4827-B840-B0978E3AAE00}"/>
    <cellStyle name="Ergebnis 3 2 2 18" xfId="9772" xr:uid="{496A97E9-FCCA-4028-AFED-8DE4EB0C6D0F}"/>
    <cellStyle name="Ergebnis 3 2 2 19" xfId="9927" xr:uid="{70565A3C-DE57-44B1-A83C-E5FE74D58036}"/>
    <cellStyle name="Ergebnis 3 2 2 2" xfId="1312" xr:uid="{3736F302-F4D4-461A-B506-3C205DE6D1AF}"/>
    <cellStyle name="Ergebnis 3 2 2 20" xfId="10358" xr:uid="{85C7B4DB-08CB-4D43-9985-ED75B3C752C3}"/>
    <cellStyle name="Ergebnis 3 2 2 21" xfId="10909" xr:uid="{F9FA8A08-7B92-4CC8-8710-D138442F095F}"/>
    <cellStyle name="Ergebnis 3 2 2 22" xfId="11183" xr:uid="{D5B60E9B-DBC7-4EE2-815C-317B1F45B514}"/>
    <cellStyle name="Ergebnis 3 2 2 23" xfId="12191" xr:uid="{862EC2C5-6807-4514-A2F5-54A2AB8220F4}"/>
    <cellStyle name="Ergebnis 3 2 2 24" xfId="12664" xr:uid="{B8A7AA9C-CCC3-4A94-A5CD-255ACAFDB0C1}"/>
    <cellStyle name="Ergebnis 3 2 2 25" xfId="13098" xr:uid="{352B6D9B-F7D5-409A-9EB6-7F3D3A43FAAD}"/>
    <cellStyle name="Ergebnis 3 2 2 26" xfId="13535" xr:uid="{43EFFAD7-61FC-4DF5-86E2-925652DC0DF1}"/>
    <cellStyle name="Ergebnis 3 2 2 27" xfId="13791" xr:uid="{81EF1D4C-215B-4482-881F-B489425C0633}"/>
    <cellStyle name="Ergebnis 3 2 2 28" xfId="14018" xr:uid="{E9A942C1-F546-4C8F-8B05-B66F0813A6FB}"/>
    <cellStyle name="Ergebnis 3 2 2 29" xfId="14579" xr:uid="{30E100EA-6C6F-488E-9D6C-7350A5389F52}"/>
    <cellStyle name="Ergebnis 3 2 2 3" xfId="1761" xr:uid="{09797AAA-9ED9-4C98-8C5B-6B8E158C190F}"/>
    <cellStyle name="Ergebnis 3 2 2 30" xfId="14548" xr:uid="{6EF100B9-F7CD-4390-9715-A76DDDA688BF}"/>
    <cellStyle name="Ergebnis 3 2 2 31" xfId="15531" xr:uid="{5A23523D-35FB-46AD-A80D-7BF191A09FC8}"/>
    <cellStyle name="Ergebnis 3 2 2 32" xfId="15815" xr:uid="{E8135F03-4CE9-4916-B94D-70F5731CBE02}"/>
    <cellStyle name="Ergebnis 3 2 2 33" xfId="16883" xr:uid="{1318269A-626E-4BF4-BE28-8F8454409F7F}"/>
    <cellStyle name="Ergebnis 3 2 2 34" xfId="17041" xr:uid="{11A4F6FD-A343-47A2-907E-6162F6A9B37B}"/>
    <cellStyle name="Ergebnis 3 2 2 35" xfId="17489" xr:uid="{2DB12FC5-105E-4D8D-A0B6-D6E7FFA56898}"/>
    <cellStyle name="Ergebnis 3 2 2 36" xfId="16534" xr:uid="{3E48D0FD-EBD0-45CB-8C93-3C74986C088F}"/>
    <cellStyle name="Ergebnis 3 2 2 37" xfId="18701" xr:uid="{5FFB5ECD-C69F-4900-8925-940ECFCE8630}"/>
    <cellStyle name="Ergebnis 3 2 2 38" xfId="19031" xr:uid="{0E2D0496-CE19-435C-81C0-A5448081CA13}"/>
    <cellStyle name="Ergebnis 3 2 2 39" xfId="19259" xr:uid="{EF7FE369-CC23-4239-9B79-68060C3B1676}"/>
    <cellStyle name="Ergebnis 3 2 2 4" xfId="2660" xr:uid="{3DED7E80-EFA2-469C-BD93-98DD28E6C97B}"/>
    <cellStyle name="Ergebnis 3 2 2 40" xfId="20220" xr:uid="{5943AB93-E5B9-4A69-80A0-D2F081465254}"/>
    <cellStyle name="Ergebnis 3 2 2 41" xfId="20393" xr:uid="{3F991B9E-7ED7-45CC-B335-615FB791A09E}"/>
    <cellStyle name="Ergebnis 3 2 2 42" xfId="20846" xr:uid="{EEA3D216-1267-469D-8D53-5F2160878F18}"/>
    <cellStyle name="Ergebnis 3 2 2 43" xfId="21401" xr:uid="{001B99B5-D994-4149-9404-162614364831}"/>
    <cellStyle name="Ergebnis 3 2 2 44" xfId="21779" xr:uid="{5ACF3611-4880-43DB-B7C1-1DCDBDFADFAB}"/>
    <cellStyle name="Ergebnis 3 2 2 45" xfId="22216" xr:uid="{E29406E8-E919-4D34-8CFE-22EA26E86A0B}"/>
    <cellStyle name="Ergebnis 3 2 2 46" xfId="22783" xr:uid="{285C50B3-B1DC-4F0D-AB4F-88613B27A55E}"/>
    <cellStyle name="Ergebnis 3 2 2 47" xfId="23309" xr:uid="{524E34F9-BA31-4CE1-98B2-5AFC0EB56880}"/>
    <cellStyle name="Ergebnis 3 2 2 48" xfId="23478" xr:uid="{A8FC3A32-07FC-48B2-ADF5-4B71F8CB036F}"/>
    <cellStyle name="Ergebnis 3 2 2 49" xfId="24020" xr:uid="{E77E2359-0940-49F1-9E31-6023214CE4AC}"/>
    <cellStyle name="Ergebnis 3 2 2 5" xfId="2958" xr:uid="{C2702C0F-346F-4F39-9EF0-D8F22C830505}"/>
    <cellStyle name="Ergebnis 3 2 2 50" xfId="24928" xr:uid="{816F3BE6-3C96-4B0C-AD2E-56278B74F6E9}"/>
    <cellStyle name="Ergebnis 3 2 2 51" xfId="25103" xr:uid="{A5C724B7-F152-4D6A-BBB5-B090BE950287}"/>
    <cellStyle name="Ergebnis 3 2 2 52" xfId="25844" xr:uid="{74E33C50-9BDE-458E-89EB-9ADE1F8130C6}"/>
    <cellStyle name="Ergebnis 3 2 2 53" xfId="26087" xr:uid="{7D1A7FC3-380B-4D15-BDB3-2D0DF57F9796}"/>
    <cellStyle name="Ergebnis 3 2 2 54" xfId="26607" xr:uid="{A1E2D135-C3CB-469D-A41B-AB0675CA69C6}"/>
    <cellStyle name="Ergebnis 3 2 2 55" xfId="27132" xr:uid="{5ED14FF2-FA77-4087-876F-1C958728DBC3}"/>
    <cellStyle name="Ergebnis 3 2 2 56" xfId="27551" xr:uid="{A439F876-1E6C-424C-A264-58602EF6AB56}"/>
    <cellStyle name="Ergebnis 3 2 2 57" xfId="27625" xr:uid="{F253D0DA-F9CC-4C7C-9533-A479C6C52DC0}"/>
    <cellStyle name="Ergebnis 3 2 2 58" xfId="28678" xr:uid="{42BF1B12-2C7C-4265-9991-C98C7A0C6BCE}"/>
    <cellStyle name="Ergebnis 3 2 2 59" xfId="29145" xr:uid="{17CCE8C5-479D-47A4-8F48-9270AB8EF223}"/>
    <cellStyle name="Ergebnis 3 2 2 6" xfId="3533" xr:uid="{E354D20F-F2E4-4579-AC9B-1F9F591344AC}"/>
    <cellStyle name="Ergebnis 3 2 2 60" xfId="29257" xr:uid="{07CAC14C-894C-483F-AE4B-7EFAE4B71F48}"/>
    <cellStyle name="Ergebnis 3 2 2 61" xfId="29934" xr:uid="{95E4031A-B038-4A81-B64D-0FACFEF8AA70}"/>
    <cellStyle name="Ergebnis 3 2 2 62" xfId="30340" xr:uid="{D2E01F80-6CBD-4219-A477-5AE21C09B566}"/>
    <cellStyle name="Ergebnis 3 2 2 63" xfId="30757" xr:uid="{61083EC4-65F3-43A2-8119-97A278B7D892}"/>
    <cellStyle name="Ergebnis 3 2 2 64" xfId="29599" xr:uid="{D4D5A073-B14B-472E-91AF-8609F68939FD}"/>
    <cellStyle name="Ergebnis 3 2 2 65" xfId="31373" xr:uid="{129C342F-C412-4DF2-8D51-C617A44CA721}"/>
    <cellStyle name="Ergebnis 3 2 2 66" xfId="32064" xr:uid="{5AED7281-4996-4151-B964-F383E328C6EA}"/>
    <cellStyle name="Ergebnis 3 2 2 67" xfId="31667" xr:uid="{FB10638D-8181-44AB-9AEF-735762391CD1}"/>
    <cellStyle name="Ergebnis 3 2 2 7" xfId="4156" xr:uid="{140CB5BB-D48F-40BD-AD87-BE75ADD925F0}"/>
    <cellStyle name="Ergebnis 3 2 2 8" xfId="4593" xr:uid="{FAD662F8-7E16-4B27-AE47-DE746ABE30CC}"/>
    <cellStyle name="Ergebnis 3 2 2 9" xfId="3396" xr:uid="{A34A17F8-55B6-4795-AA78-B22B468A8193}"/>
    <cellStyle name="Ergebnis 3 2 20" xfId="9125" xr:uid="{F4B32E13-9646-4235-9614-CCE204DD89A0}"/>
    <cellStyle name="Ergebnis 3 2 21" xfId="9046" xr:uid="{8C2F29E7-92F5-409B-84AD-6E59BFC0C408}"/>
    <cellStyle name="Ergebnis 3 2 22" xfId="10783" xr:uid="{FCE81F31-8F17-45A4-93FD-E54FFDE6EA5F}"/>
    <cellStyle name="Ergebnis 3 2 23" xfId="9342" xr:uid="{BCDC6E1C-4853-478E-AA98-122ED0BB568D}"/>
    <cellStyle name="Ergebnis 3 2 24" xfId="11976" xr:uid="{00D51559-6602-43D0-9584-FD403B06441D}"/>
    <cellStyle name="Ergebnis 3 2 25" xfId="12449" xr:uid="{43406889-BF26-4877-A5AD-C9509B82FA50}"/>
    <cellStyle name="Ergebnis 3 2 26" xfId="12883" xr:uid="{3821FBFA-69A6-4DFA-9E77-C2997AA951AD}"/>
    <cellStyle name="Ergebnis 3 2 27" xfId="13320" xr:uid="{96628E5C-2A3E-4A42-947A-0772C3ABA5D1}"/>
    <cellStyle name="Ergebnis 3 2 28" xfId="13727" xr:uid="{BB5D031D-616F-494B-A0E4-A586FA52222A}"/>
    <cellStyle name="Ergebnis 3 2 29" xfId="14445" xr:uid="{9E25C9F1-8FEB-47E6-AB17-BED95EE6D90E}"/>
    <cellStyle name="Ergebnis 3 2 3" xfId="1106" xr:uid="{B31ADEBA-49BD-4752-A901-8FC84344CB0C}"/>
    <cellStyle name="Ergebnis 3 2 30" xfId="14844" xr:uid="{0A8C2372-0B0F-4082-AFDF-82C33BD5EDB9}"/>
    <cellStyle name="Ergebnis 3 2 31" xfId="15226" xr:uid="{8E18347E-7810-49CB-AB90-E00FFBFC6C7D}"/>
    <cellStyle name="Ergebnis 3 2 32" xfId="15246" xr:uid="{E162C79E-2610-417E-9E73-11780D408806}"/>
    <cellStyle name="Ergebnis 3 2 33" xfId="13996" xr:uid="{02E534B8-7D5A-49B9-A53E-23133ED853EB}"/>
    <cellStyle name="Ergebnis 3 2 34" xfId="16668" xr:uid="{000942D6-02FD-46FD-BE5F-0C3A9BCF1B6E}"/>
    <cellStyle name="Ergebnis 3 2 35" xfId="16229" xr:uid="{44999452-481B-46AB-8DBF-51EDE7627EDC}"/>
    <cellStyle name="Ergebnis 3 2 36" xfId="16258" xr:uid="{8EBAAC46-5F87-47F3-BEE4-3FC27C1525B6}"/>
    <cellStyle name="Ergebnis 3 2 37" xfId="17612" xr:uid="{309BE5B8-79F0-406D-8FCD-DE06273569E9}"/>
    <cellStyle name="Ergebnis 3 2 38" xfId="18486" xr:uid="{EAEAAFE7-8D78-4258-81FD-A153EA5C43F1}"/>
    <cellStyle name="Ergebnis 3 2 39" xfId="18872" xr:uid="{CFAC34C4-0208-4783-9143-55C58423F03E}"/>
    <cellStyle name="Ergebnis 3 2 4" xfId="1453" xr:uid="{11A76C73-6607-4F38-A6F6-10219CFFBA41}"/>
    <cellStyle name="Ergebnis 3 2 40" xfId="19219" xr:uid="{01DA7DAA-F952-48DE-B90C-51928D75B4AE}"/>
    <cellStyle name="Ergebnis 3 2 41" xfId="20005" xr:uid="{61DB96CB-1A2A-4CB5-AFCC-E90EC66A4D80}"/>
    <cellStyle name="Ergebnis 3 2 42" xfId="19562" xr:uid="{D6CD4F97-64CB-4B62-8688-249A7027C139}"/>
    <cellStyle name="Ergebnis 3 2 43" xfId="19791" xr:uid="{EB6A2CBA-32CD-439B-B6E2-E36B2BFA6F11}"/>
    <cellStyle name="Ergebnis 3 2 44" xfId="20438" xr:uid="{B5CB0C1A-D3CD-4956-A502-B021E4F29F81}"/>
    <cellStyle name="Ergebnis 3 2 45" xfId="21561" xr:uid="{8F0FADFC-1687-4430-B4C3-30B055494970}"/>
    <cellStyle name="Ergebnis 3 2 46" xfId="21094" xr:uid="{7BF4CD62-845F-4AE9-9C95-6019B9ACB397}"/>
    <cellStyle name="Ergebnis 3 2 47" xfId="22723" xr:uid="{33912DE2-0569-495A-84C8-EC33BE977992}"/>
    <cellStyle name="Ergebnis 3 2 48" xfId="23149" xr:uid="{D2DB7245-7C08-46A4-A375-B4A9A35A2115}"/>
    <cellStyle name="Ergebnis 3 2 49" xfId="22944" xr:uid="{D07E9AEB-00FE-47BF-8BEA-27A5191E95B7}"/>
    <cellStyle name="Ergebnis 3 2 5" xfId="2445" xr:uid="{CEA98878-AB09-4536-A46C-01CA9C359176}"/>
    <cellStyle name="Ergebnis 3 2 50" xfId="23814" xr:uid="{6DE43DB8-813A-4E7D-9305-3A570D4B7592}"/>
    <cellStyle name="Ergebnis 3 2 51" xfId="24713" xr:uid="{827B2A23-E42D-4C97-918E-9F73927DD512}"/>
    <cellStyle name="Ergebnis 3 2 52" xfId="24283" xr:uid="{09943AAA-B6B6-468D-BA0A-D357BB9B7318}"/>
    <cellStyle name="Ergebnis 3 2 53" xfId="25631" xr:uid="{BBB4BD87-C9EF-437C-AC30-A597D5E067C5}"/>
    <cellStyle name="Ergebnis 3 2 54" xfId="26027" xr:uid="{B0C269A7-8EA8-4FF1-8E6C-04203BC2F80C}"/>
    <cellStyle name="Ergebnis 3 2 55" xfId="26099" xr:uid="{196941BF-96E3-4E11-A393-EC7E6D638B4F}"/>
    <cellStyle name="Ergebnis 3 2 56" xfId="26921" xr:uid="{66505A5C-C2AF-4BC3-9A83-6E9EE6075CB1}"/>
    <cellStyle name="Ergebnis 3 2 57" xfId="27340" xr:uid="{8B69FFC6-9F7B-4829-81B0-65FBD7F34F9F}"/>
    <cellStyle name="Ergebnis 3 2 58" xfId="27756" xr:uid="{6906E668-74EB-4FCB-A2A2-EAE02E0346AB}"/>
    <cellStyle name="Ergebnis 3 2 59" xfId="28463" xr:uid="{01F1D70E-8928-40B5-9E12-1FA652B04968}"/>
    <cellStyle name="Ergebnis 3 2 6" xfId="2892" xr:uid="{74F650E8-A91B-4707-8B2D-050E849C6C6F}"/>
    <cellStyle name="Ergebnis 3 2 60" xfId="28931" xr:uid="{D0844688-F13B-42DC-9024-D90A53DFE203}"/>
    <cellStyle name="Ergebnis 3 2 61" xfId="28814" xr:uid="{746E4D52-6F78-4A9E-B51D-E0AEC1D2FF07}"/>
    <cellStyle name="Ergebnis 3 2 62" xfId="29721" xr:uid="{658302C2-4BAE-4121-A679-9F1E9BF370D8}"/>
    <cellStyle name="Ergebnis 3 2 63" xfId="30129" xr:uid="{605E8E14-1F22-404E-B964-2CF94A517768}"/>
    <cellStyle name="Ergebnis 3 2 64" xfId="30543" xr:uid="{397B356F-572C-4F9C-99FB-F4D6FAC9DE7A}"/>
    <cellStyle name="Ergebnis 3 2 65" xfId="28009" xr:uid="{D13467C8-6713-46F3-93E6-1D15A33DF6C1}"/>
    <cellStyle name="Ergebnis 3 2 66" xfId="31167" xr:uid="{8B6AEB6B-24DF-474D-9A81-50F37EB1F9D6}"/>
    <cellStyle name="Ergebnis 3 2 67" xfId="31853" xr:uid="{26493004-A4CC-49BE-9566-C2D78012D076}"/>
    <cellStyle name="Ergebnis 3 2 68" xfId="31561" xr:uid="{DB5119DA-6EC0-437B-99B2-E564D529A06E}"/>
    <cellStyle name="Ergebnis 3 2 7" xfId="3475" xr:uid="{F74DCF3F-C9E5-4CD3-8A26-447FD790B9C3}"/>
    <cellStyle name="Ergebnis 3 2 8" xfId="3941" xr:uid="{BEBF7719-DC91-4C51-87FE-67DDC085E7D6}"/>
    <cellStyle name="Ergebnis 3 2 9" xfId="4379" xr:uid="{519A50BC-F451-48A9-8D36-75B5933439BC}"/>
    <cellStyle name="Ergebnis 3 20" xfId="9846" xr:uid="{81314A1D-319D-4299-BDA9-83945C1802A6}"/>
    <cellStyle name="Ergebnis 3 21" xfId="11109" xr:uid="{D617AB0B-5A25-4DD9-A179-0797C9629587}"/>
    <cellStyle name="Ergebnis 3 22" xfId="11642" xr:uid="{2DBF978A-5F37-446F-A903-4C65FC847D25}"/>
    <cellStyle name="Ergebnis 3 23" xfId="11477" xr:uid="{194C2150-90D9-4764-9D7E-DDA1FD16756B}"/>
    <cellStyle name="Ergebnis 3 24" xfId="11680" xr:uid="{CE8EBE68-FFA3-4D72-9E64-DF24F1B1E6D0}"/>
    <cellStyle name="Ergebnis 3 25" xfId="11464" xr:uid="{8D51DFC8-22E9-47B2-91FA-F7A38E238D0B}"/>
    <cellStyle name="Ergebnis 3 26" xfId="11510" xr:uid="{C29E8E73-34A4-4F25-BEE8-6104F7DD7E45}"/>
    <cellStyle name="Ergebnis 3 27" xfId="14412" xr:uid="{A680979A-9971-4CF6-ACEC-5AFAB82AC02F}"/>
    <cellStyle name="Ergebnis 3 28" xfId="13643" xr:uid="{EF906D29-F3A1-4B87-888E-F7D555E46D28}"/>
    <cellStyle name="Ergebnis 3 29" xfId="16337" xr:uid="{9C27BF21-E13E-4C6F-A1C8-ACB58EC74E2A}"/>
    <cellStyle name="Ergebnis 3 3" xfId="537" xr:uid="{D8593204-F920-477E-8E6C-79F58140C107}"/>
    <cellStyle name="Ergebnis 3 3 10" xfId="1834" xr:uid="{D1F57C04-E96F-4DE8-8936-0F4AFFADF770}"/>
    <cellStyle name="Ergebnis 3 3 11" xfId="5185" xr:uid="{6D91F6E9-0D4A-41F3-A93E-E6E4E03442E0}"/>
    <cellStyle name="Ergebnis 3 3 12" xfId="5579" xr:uid="{64C04430-9F5D-474E-959C-B36EE6978124}"/>
    <cellStyle name="Ergebnis 3 3 13" xfId="6274" xr:uid="{016FFF99-34D6-4E36-A2CA-8D90EC348F67}"/>
    <cellStyle name="Ergebnis 3 3 14" xfId="6604" xr:uid="{E971FD8F-994E-493C-8CC0-53902E9908B5}"/>
    <cellStyle name="Ergebnis 3 3 15" xfId="7257" xr:uid="{923304DA-AC01-4718-802A-449F39E353D4}"/>
    <cellStyle name="Ergebnis 3 3 16" xfId="7730" xr:uid="{E8431F8D-FDF6-42C9-B747-30AE5177193F}"/>
    <cellStyle name="Ergebnis 3 3 17" xfId="7178" xr:uid="{2406D152-1639-430C-BB0E-3AD87D9FCD1C}"/>
    <cellStyle name="Ergebnis 3 3 18" xfId="8243" xr:uid="{850DA75D-96AE-4A3A-886F-4198FA9F6A3B}"/>
    <cellStyle name="Ergebnis 3 3 19" xfId="9471" xr:uid="{37E2C7F3-27AA-41C6-AD8A-327700DC0C10}"/>
    <cellStyle name="Ergebnis 3 3 2" xfId="752" xr:uid="{64254F16-9BCA-46B6-92D3-E785771CC9E0}"/>
    <cellStyle name="Ergebnis 3 3 2 10" xfId="5400" xr:uid="{FAB78F1C-10D8-4AF2-BB6C-305C7E2FC9BD}"/>
    <cellStyle name="Ergebnis 3 3 2 11" xfId="5888" xr:uid="{A8AE548E-2DA8-4D7E-94D8-2DB8E53963D6}"/>
    <cellStyle name="Ergebnis 3 3 2 12" xfId="5913" xr:uid="{B83F1E13-C59C-4882-9261-B023E609D7F4}"/>
    <cellStyle name="Ergebnis 3 3 2 13" xfId="5686" xr:uid="{2A8C38A3-4422-41CB-A07D-39B31E79F0FC}"/>
    <cellStyle name="Ergebnis 3 3 2 14" xfId="7472" xr:uid="{5713C02E-0CBA-4147-B8FD-4B164CF60A09}"/>
    <cellStyle name="Ergebnis 3 3 2 15" xfId="6985" xr:uid="{1A035B6D-215D-4586-825C-380FBC16883E}"/>
    <cellStyle name="Ergebnis 3 3 2 16" xfId="7738" xr:uid="{0D6D905C-E6F6-454B-A87F-DCD0970971FD}"/>
    <cellStyle name="Ergebnis 3 3 2 17" xfId="8860" xr:uid="{A458A01F-E64B-4A3B-9B08-175E554C52CF}"/>
    <cellStyle name="Ergebnis 3 3 2 18" xfId="9686" xr:uid="{BD6680C6-E316-46BF-A50A-A3E9A399C82F}"/>
    <cellStyle name="Ergebnis 3 3 2 19" xfId="9326" xr:uid="{764271C9-1148-445F-8B2C-21F8FE0222DF}"/>
    <cellStyle name="Ergebnis 3 3 2 2" xfId="1226" xr:uid="{D63717F5-12C5-411A-A714-933EEB78BFA8}"/>
    <cellStyle name="Ergebnis 3 3 2 20" xfId="9143" xr:uid="{BA92E597-3510-44C3-B191-FB678F13EA87}"/>
    <cellStyle name="Ergebnis 3 3 2 21" xfId="9257" xr:uid="{1F190055-1CEB-4166-AAB9-9ACD55E09D9D}"/>
    <cellStyle name="Ergebnis 3 3 2 22" xfId="10716" xr:uid="{119E1B76-D029-49CB-9B95-C558C177BE42}"/>
    <cellStyle name="Ergebnis 3 3 2 23" xfId="12105" xr:uid="{E8F19033-217D-438A-A93F-7B4B207D79B2}"/>
    <cellStyle name="Ergebnis 3 3 2 24" xfId="12578" xr:uid="{BA6EB0FF-EC11-4CFE-A523-91683C66A562}"/>
    <cellStyle name="Ergebnis 3 3 2 25" xfId="13012" xr:uid="{698A13C4-57C2-4D1A-B0B0-37A6A85C4FC4}"/>
    <cellStyle name="Ergebnis 3 3 2 26" xfId="13449" xr:uid="{CE6F688F-812C-4642-8423-C6A27CB8D7F2}"/>
    <cellStyle name="Ergebnis 3 3 2 27" xfId="11836" xr:uid="{85806885-5AE8-469B-B760-E0DC16AD3CC0}"/>
    <cellStyle name="Ergebnis 3 3 2 28" xfId="13835" xr:uid="{33945905-3865-430E-80CA-3C3A9D5CEA47}"/>
    <cellStyle name="Ergebnis 3 3 2 29" xfId="14263" xr:uid="{125EEDC0-588A-4645-BC69-F6E0CB4E33C1}"/>
    <cellStyle name="Ergebnis 3 3 2 3" xfId="1513" xr:uid="{8F28F072-54C5-4A5D-A4F6-C021E094DEAF}"/>
    <cellStyle name="Ergebnis 3 3 2 30" xfId="15249" xr:uid="{9470E0F9-2AB1-43B3-AD89-9DC4B1C653B2}"/>
    <cellStyle name="Ergebnis 3 3 2 31" xfId="15241" xr:uid="{51DABB2F-E6AF-4B4A-B5FF-DDB5AEF8EFE1}"/>
    <cellStyle name="Ergebnis 3 3 2 32" xfId="15622" xr:uid="{35115896-C27A-4EC3-ADA6-3E5242117DEE}"/>
    <cellStyle name="Ergebnis 3 3 2 33" xfId="16797" xr:uid="{11E0A951-E89A-4620-9D91-C012573C06FD}"/>
    <cellStyle name="Ergebnis 3 3 2 34" xfId="16305" xr:uid="{E01E7806-3024-439D-A171-3CC414591DF1}"/>
    <cellStyle name="Ergebnis 3 3 2 35" xfId="16499" xr:uid="{552010CA-E6EE-4FF4-85AB-8FAA33DC3228}"/>
    <cellStyle name="Ergebnis 3 3 2 36" xfId="17519" xr:uid="{2EBFB62F-A18D-4F5F-8341-28181979217A}"/>
    <cellStyle name="Ergebnis 3 3 2 37" xfId="18615" xr:uid="{341F2F65-2170-438A-9A46-F4E4992B3C61}"/>
    <cellStyle name="Ergebnis 3 3 2 38" xfId="17461" xr:uid="{47B5475B-26BE-4A85-A47B-3403E11A9620}"/>
    <cellStyle name="Ergebnis 3 3 2 39" xfId="18170" xr:uid="{A1226DBD-049B-4115-A048-6EC7FBC855C5}"/>
    <cellStyle name="Ergebnis 3 3 2 4" xfId="2574" xr:uid="{0A25CE80-987F-4C51-B434-381E15A365B0}"/>
    <cellStyle name="Ergebnis 3 3 2 40" xfId="20134" xr:uid="{847ED886-4552-4D15-8A2A-B5577BBDE5DC}"/>
    <cellStyle name="Ergebnis 3 3 2 41" xfId="19480" xr:uid="{F34ED675-D7F5-4903-BA8C-600EBA32D126}"/>
    <cellStyle name="Ergebnis 3 3 2 42" xfId="19624" xr:uid="{C0CE7255-9EEE-416E-89FB-A784ECC05A1D}"/>
    <cellStyle name="Ergebnis 3 3 2 43" xfId="21012" xr:uid="{58DCCC87-220E-4792-BA95-037D86B33F6A}"/>
    <cellStyle name="Ergebnis 3 3 2 44" xfId="19394" xr:uid="{AD503BAE-01FE-41D4-8DC4-F48D81532D22}"/>
    <cellStyle name="Ergebnis 3 3 2 45" xfId="22075" xr:uid="{EE805710-989F-4CB0-97CE-7F3CA588A1D8}"/>
    <cellStyle name="Ergebnis 3 3 2 46" xfId="22166" xr:uid="{9BE2048F-7674-41D9-B8F9-406D0E946721}"/>
    <cellStyle name="Ergebnis 3 3 2 47" xfId="19449" xr:uid="{1364C6C1-1BE2-45F7-B094-529EB3A40EC5}"/>
    <cellStyle name="Ergebnis 3 3 2 48" xfId="23548" xr:uid="{54B2BEB4-1143-462C-8B71-994001DDBFE3}"/>
    <cellStyle name="Ergebnis 3 3 2 49" xfId="23934" xr:uid="{96172269-DB7A-4866-AFA0-A3415C1DD159}"/>
    <cellStyle name="Ergebnis 3 3 2 5" xfId="2209" xr:uid="{BD2CF69E-848F-4473-8DEC-960EED245A49}"/>
    <cellStyle name="Ergebnis 3 3 2 50" xfId="24842" xr:uid="{C4CB69BE-09E9-43BC-AE75-B05F3C2B8855}"/>
    <cellStyle name="Ergebnis 3 3 2 51" xfId="24196" xr:uid="{5666B1C4-48A2-4154-A926-584F3836D542}"/>
    <cellStyle name="Ergebnis 3 3 2 52" xfId="25758" xr:uid="{10C4BDE0-B8FB-4F16-9142-A5AB1D351A5C}"/>
    <cellStyle name="Ergebnis 3 3 2 53" xfId="25388" xr:uid="{3C17AD49-06A5-4F02-BDB7-9710CEE932A0}"/>
    <cellStyle name="Ergebnis 3 3 2 54" xfId="25702" xr:uid="{468A232C-E411-42BF-B54B-1754A1D88BB0}"/>
    <cellStyle name="Ergebnis 3 3 2 55" xfId="27046" xr:uid="{D9C22F9A-7C3E-45C8-B8D8-89ABECB8EA3C}"/>
    <cellStyle name="Ergebnis 3 3 2 56" xfId="27465" xr:uid="{00CE3F55-50D1-45EE-9E10-7A73D78CE94A}"/>
    <cellStyle name="Ergebnis 3 3 2 57" xfId="26663" xr:uid="{44FF0E70-7991-4B2C-87D4-31261CA5D99C}"/>
    <cellStyle name="Ergebnis 3 3 2 58" xfId="28592" xr:uid="{8E1D26EB-A90E-4D15-935A-AA86E403B017}"/>
    <cellStyle name="Ergebnis 3 3 2 59" xfId="29059" xr:uid="{DFC97D73-AEDF-4ED4-A95A-70D6C35D5535}"/>
    <cellStyle name="Ergebnis 3 3 2 6" xfId="2990" xr:uid="{F19A3CD3-B810-45BA-858A-1FBB30E0B61B}"/>
    <cellStyle name="Ergebnis 3 3 2 60" xfId="28227" xr:uid="{4D02A314-F65F-49F8-B485-34DA07911594}"/>
    <cellStyle name="Ergebnis 3 3 2 61" xfId="29848" xr:uid="{C7076A01-3959-486A-A32B-6D6043D04D5E}"/>
    <cellStyle name="Ergebnis 3 3 2 62" xfId="30254" xr:uid="{AD9A1CBD-30C8-4668-9BC3-C0B918D0A1D7}"/>
    <cellStyle name="Ergebnis 3 3 2 63" xfId="30671" xr:uid="{2E72F8E6-0F43-440B-8C62-9E5087C80070}"/>
    <cellStyle name="Ergebnis 3 3 2 64" xfId="29203" xr:uid="{13706894-4E7A-4C53-8737-547179C996F3}"/>
    <cellStyle name="Ergebnis 3 3 2 65" xfId="31287" xr:uid="{A3430105-BE07-4D57-8D52-CA3C9C2482BE}"/>
    <cellStyle name="Ergebnis 3 3 2 66" xfId="31978" xr:uid="{93AEBB57-E656-4742-9331-61BE6BAEA612}"/>
    <cellStyle name="Ergebnis 3 3 2 67" xfId="32334" xr:uid="{1E6AF884-15A5-4F2E-B266-8C65529CE2C3}"/>
    <cellStyle name="Ergebnis 3 3 2 7" xfId="4070" xr:uid="{831F716F-FDD8-4478-8AF2-41059068E89D}"/>
    <cellStyle name="Ergebnis 3 3 2 8" xfId="4507" xr:uid="{D7275FD4-825F-41C4-AE58-D6219F3DE9FB}"/>
    <cellStyle name="Ergebnis 3 3 2 9" xfId="3598" xr:uid="{8580F496-FFCC-4146-A04C-05AF8EA1FF0B}"/>
    <cellStyle name="Ergebnis 3 3 20" xfId="9944" xr:uid="{D046F972-890F-4799-AAA7-EF88A43330C8}"/>
    <cellStyle name="Ergebnis 3 3 21" xfId="10374" xr:uid="{D2A5CEF2-08CD-4820-A0BD-2905C9929243}"/>
    <cellStyle name="Ergebnis 3 3 22" xfId="10570" xr:uid="{BCCEC6CE-4A3F-4F12-8E41-00E5F8875585}"/>
    <cellStyle name="Ergebnis 3 3 23" xfId="10803" xr:uid="{C423C5C3-518A-4EEB-8FD7-8451D1C2742C}"/>
    <cellStyle name="Ergebnis 3 3 24" xfId="11890" xr:uid="{F6847921-4531-4883-BA91-68F7F7600CCE}"/>
    <cellStyle name="Ergebnis 3 3 25" xfId="12363" xr:uid="{C44E6362-12C5-4578-8478-F29B7F9855AF}"/>
    <cellStyle name="Ergebnis 3 3 26" xfId="12797" xr:uid="{CA0D6B83-5DFA-46A2-9CB2-8713F8674BEF}"/>
    <cellStyle name="Ergebnis 3 3 27" xfId="13234" xr:uid="{AB45D447-12FC-4A45-96AA-813077EB7A20}"/>
    <cellStyle name="Ergebnis 3 3 28" xfId="13778" xr:uid="{2C18F00D-9B5C-418A-A467-C6C5B2E6B974}"/>
    <cellStyle name="Ergebnis 3 3 29" xfId="14269" xr:uid="{90C5A531-B2A6-42A2-A83D-9D9DE7E6C9DE}"/>
    <cellStyle name="Ergebnis 3 3 3" xfId="1020" xr:uid="{B60F38E1-D5C4-4EAE-9DDF-B9DD17B212D6}"/>
    <cellStyle name="Ergebnis 3 3 30" xfId="14658" xr:uid="{206B6F63-7109-431E-8AE1-D43AF0E5845B}"/>
    <cellStyle name="Ergebnis 3 3 31" xfId="14247" xr:uid="{050C5177-61A5-48A3-A6FF-BCEC98D9A166}"/>
    <cellStyle name="Ergebnis 3 3 32" xfId="15640" xr:uid="{29A0356F-9083-44DC-B1AE-1A0F5291CDE1}"/>
    <cellStyle name="Ergebnis 3 3 33" xfId="15824" xr:uid="{54174536-0547-4510-B5B8-5F5D686272F2}"/>
    <cellStyle name="Ergebnis 3 3 34" xfId="16582" xr:uid="{DCC1DEAD-3880-4F94-A6A5-F72BBA6E2A37}"/>
    <cellStyle name="Ergebnis 3 3 35" xfId="17058" xr:uid="{8B8155B4-0B4E-4808-97BF-70FB5A435A83}"/>
    <cellStyle name="Ergebnis 3 3 36" xfId="17504" xr:uid="{F2A4E7F8-99A0-4956-A12B-0AC4F3DD85F6}"/>
    <cellStyle name="Ergebnis 3 3 37" xfId="17259" xr:uid="{50B77577-8E34-4999-8CED-09827A46F5F6}"/>
    <cellStyle name="Ergebnis 3 3 38" xfId="18400" xr:uid="{5F8CFC11-9FF0-4343-A6DE-541D9568014B}"/>
    <cellStyle name="Ergebnis 3 3 39" xfId="18114" xr:uid="{A635427E-09D2-4C4B-94EC-15EC84B47843}"/>
    <cellStyle name="Ergebnis 3 3 4" xfId="1642" xr:uid="{D5417034-C7B4-463D-B63E-5BB481B8EFD1}"/>
    <cellStyle name="Ergebnis 3 3 40" xfId="18859" xr:uid="{3B998E88-47C8-4698-AB6B-D8D6EBA5FC33}"/>
    <cellStyle name="Ergebnis 3 3 41" xfId="19919" xr:uid="{D3998B1E-1990-43A1-B296-768B3DFBD250}"/>
    <cellStyle name="Ergebnis 3 3 42" xfId="20410" xr:uid="{9E76345D-BFF6-4565-B580-11A4D50CDA01}"/>
    <cellStyle name="Ergebnis 3 3 43" xfId="20863" xr:uid="{43872A1D-9B43-408C-93D9-C3F5647EF1F3}"/>
    <cellStyle name="Ergebnis 3 3 44" xfId="20998" xr:uid="{338FF9CE-5E8A-4BAA-83EE-FCAA89B8ED4A}"/>
    <cellStyle name="Ergebnis 3 3 45" xfId="21795" xr:uid="{91EAFEA9-A9F3-4297-AB73-99D38DFC25A1}"/>
    <cellStyle name="Ergebnis 3 3 46" xfId="22232" xr:uid="{5DA8636D-B297-400E-B235-16D78746AA5E}"/>
    <cellStyle name="Ergebnis 3 3 47" xfId="22771" xr:uid="{76220108-F6D7-4904-A403-F4B2A2B7BDA0}"/>
    <cellStyle name="Ergebnis 3 3 48" xfId="22441" xr:uid="{0669722C-A22A-4AC3-A8E9-B6DED206279A}"/>
    <cellStyle name="Ergebnis 3 3 49" xfId="23542" xr:uid="{E4BE63C9-280F-4E91-8842-C569322951F9}"/>
    <cellStyle name="Ergebnis 3 3 5" xfId="2359" xr:uid="{7903F76E-C506-4903-84AC-85D5BBBB22B6}"/>
    <cellStyle name="Ergebnis 3 3 50" xfId="23728" xr:uid="{E7413C53-F0F5-4C34-95D3-80A2E105798D}"/>
    <cellStyle name="Ergebnis 3 3 51" xfId="24627" xr:uid="{7B35DC52-C860-40A0-880D-4AD83AD03901}"/>
    <cellStyle name="Ergebnis 3 3 52" xfId="25118" xr:uid="{B1669FC7-CD34-4F9E-90BD-13A60484E4CC}"/>
    <cellStyle name="Ergebnis 3 3 53" xfId="25545" xr:uid="{CAFE9A1D-AC81-4D73-866C-ED8BBAAA7EC0}"/>
    <cellStyle name="Ergebnis 3 3 54" xfId="26075" xr:uid="{D8EC33C3-F8A1-4944-9A08-2363BF94C296}"/>
    <cellStyle name="Ergebnis 3 3 55" xfId="26469" xr:uid="{45E0882B-D404-4BE0-A2AA-989633FB4A7B}"/>
    <cellStyle name="Ergebnis 3 3 56" xfId="26835" xr:uid="{D265EE54-9A77-49CC-86EF-AC2157733DC0}"/>
    <cellStyle name="Ergebnis 3 3 57" xfId="27254" xr:uid="{7AEC214E-D560-4596-9640-18C3BFC59302}"/>
    <cellStyle name="Ergebnis 3 3 58" xfId="27816" xr:uid="{31B78BB9-D82F-497E-9516-5688307DFBA5}"/>
    <cellStyle name="Ergebnis 3 3 59" xfId="28377" xr:uid="{56751179-9E8B-454A-B012-3001D16E0D78}"/>
    <cellStyle name="Ergebnis 3 3 6" xfId="2945" xr:uid="{26D29504-376B-4946-82DA-B88813321310}"/>
    <cellStyle name="Ergebnis 3 3 60" xfId="28845" xr:uid="{1B65BC1E-180E-4EB2-9A59-42F371000647}"/>
    <cellStyle name="Ergebnis 3 3 61" xfId="29273" xr:uid="{A1FD61DF-1CE7-4B3D-A004-AA95B10A7984}"/>
    <cellStyle name="Ergebnis 3 3 62" xfId="29635" xr:uid="{62077EFF-52A1-44D9-B177-BDDBE5A681F3}"/>
    <cellStyle name="Ergebnis 3 3 63" xfId="30043" xr:uid="{2169DBFF-D837-420E-A051-539E1ECA9AF8}"/>
    <cellStyle name="Ergebnis 3 3 64" xfId="30457" xr:uid="{13BBFED6-EB52-4BB9-BC66-383886A1FB9A}"/>
    <cellStyle name="Ergebnis 3 3 65" xfId="30823" xr:uid="{BA6417FF-8954-4F83-889D-35EB4E859DB4}"/>
    <cellStyle name="Ergebnis 3 3 66" xfId="31081" xr:uid="{1624E971-A7C4-417F-81B9-93C130BCF39A}"/>
    <cellStyle name="Ergebnis 3 3 67" xfId="31767" xr:uid="{24BB4A08-4390-4B10-8195-CF99304352BC}"/>
    <cellStyle name="Ergebnis 3 3 68" xfId="32305" xr:uid="{C38AB3E8-A1A5-4258-8A3D-491A6BE830AC}"/>
    <cellStyle name="Ergebnis 3 3 7" xfId="3323" xr:uid="{D1083687-FC29-4375-B355-FB573D874193}"/>
    <cellStyle name="Ergebnis 3 3 8" xfId="3855" xr:uid="{D5BCCEDC-30D1-4F9C-B506-536F50AA45B8}"/>
    <cellStyle name="Ergebnis 3 3 9" xfId="4293" xr:uid="{7F45A2D9-B119-4BE4-9DCE-83714066EE67}"/>
    <cellStyle name="Ergebnis 3 30" xfId="16962" xr:uid="{0992620E-A2DC-4EB6-B0B1-996C75DBEC6A}"/>
    <cellStyle name="Ergebnis 3 31" xfId="17798" xr:uid="{147761F6-67D8-48B6-99F0-8711E31B9934}"/>
    <cellStyle name="Ergebnis 3 32" xfId="18282" xr:uid="{6D306439-439A-473B-A44F-2BFC7EC35D42}"/>
    <cellStyle name="Ergebnis 3 33" xfId="18991" xr:uid="{C37E4BC1-0A24-4D17-841E-B66458A3651D}"/>
    <cellStyle name="Ergebnis 3 34" xfId="19670" xr:uid="{F2FECA0B-C167-443B-AD48-AED10289831E}"/>
    <cellStyle name="Ergebnis 3 35" xfId="20309" xr:uid="{F0252DA3-43F9-45FB-B6A0-AF077C2A6669}"/>
    <cellStyle name="Ergebnis 3 36" xfId="21934" xr:uid="{935C1E3C-00B0-4F4A-BAAB-FF61C2AA9A80}"/>
    <cellStyle name="Ergebnis 3 37" xfId="22096" xr:uid="{A346BCD8-E35B-4BAD-9967-8D620B32779C}"/>
    <cellStyle name="Ergebnis 3 38" xfId="22881" xr:uid="{4D25E023-FBEB-490C-8FB7-9DC6AD781449}"/>
    <cellStyle name="Ergebnis 3 39" xfId="24390" xr:uid="{659A5145-DFC9-4CA4-9964-A14C95D9E287}"/>
    <cellStyle name="Ergebnis 3 4" xfId="564" xr:uid="{E2C5296F-9785-41CA-B17D-1F39D0DB02A8}"/>
    <cellStyle name="Ergebnis 3 4 10" xfId="5042" xr:uid="{143A5030-CFEC-4EBD-B3A4-4D5BC49078C2}"/>
    <cellStyle name="Ergebnis 3 4 11" xfId="5212" xr:uid="{915C43FA-BA9A-4B5B-93E1-4F6AE5301931}"/>
    <cellStyle name="Ergebnis 3 4 12" xfId="5562" xr:uid="{A3702338-F91D-4F45-9D84-0CD547A488D0}"/>
    <cellStyle name="Ergebnis 3 4 13" xfId="6003" xr:uid="{716F0447-BEA0-4FE8-97DF-B7847A836BDE}"/>
    <cellStyle name="Ergebnis 3 4 14" xfId="6536" xr:uid="{1E460925-62EA-410D-BAFD-C574146E8DA4}"/>
    <cellStyle name="Ergebnis 3 4 15" xfId="7284" xr:uid="{29B1414A-CF1A-455D-87B6-85065EB5C61F}"/>
    <cellStyle name="Ergebnis 3 4 16" xfId="7921" xr:uid="{CA7985A4-6529-42D6-96EE-9D277BCAE318}"/>
    <cellStyle name="Ergebnis 3 4 17" xfId="8544" xr:uid="{FD91DA2B-3E88-4AC5-8610-443B9AFBF3D7}"/>
    <cellStyle name="Ergebnis 3 4 18" xfId="8455" xr:uid="{A0D6D5E1-5076-4B77-B42F-7054BA9A5B51}"/>
    <cellStyle name="Ergebnis 3 4 19" xfId="9498" xr:uid="{D59A2516-99C0-4EEE-BDB4-94754458776D}"/>
    <cellStyle name="Ergebnis 3 4 2" xfId="779" xr:uid="{3FD1FFBF-E1AE-4F2B-9D30-8039DB9B5F39}"/>
    <cellStyle name="Ergebnis 3 4 2 10" xfId="5427" xr:uid="{FD1C7810-40EF-42E3-950F-5F7FCA974CF1}"/>
    <cellStyle name="Ergebnis 3 4 2 11" xfId="2912" xr:uid="{BA78D867-69AC-4DD4-93FE-66D6FA031358}"/>
    <cellStyle name="Ergebnis 3 4 2 12" xfId="4730" xr:uid="{FB284252-4659-4A38-A239-4C41AAD369B4}"/>
    <cellStyle name="Ergebnis 3 4 2 13" xfId="6601" xr:uid="{C3426E1A-EA5D-43E9-9ADE-2293F836E037}"/>
    <cellStyle name="Ergebnis 3 4 2 14" xfId="7499" xr:uid="{8A478A34-0FE2-426E-99D2-88D237B67F39}"/>
    <cellStyle name="Ergebnis 3 4 2 15" xfId="6862" xr:uid="{5BF078AE-0F1D-4A34-9AC9-9B9A69986614}"/>
    <cellStyle name="Ergebnis 3 4 2 16" xfId="8598" xr:uid="{E214EC57-0A3E-4AA4-AB6C-23CDCBD0CA75}"/>
    <cellStyle name="Ergebnis 3 4 2 17" xfId="8800" xr:uid="{78FB82E6-64B8-42E2-9C1C-4EAC1FAE9FCD}"/>
    <cellStyle name="Ergebnis 3 4 2 18" xfId="9713" xr:uid="{A725B230-E8A0-4D7D-BC35-B4DB36A897B7}"/>
    <cellStyle name="Ergebnis 3 4 2 19" xfId="9168" xr:uid="{064806B2-7C94-4C2E-BE93-C0829E4200FD}"/>
    <cellStyle name="Ergebnis 3 4 2 2" xfId="1253" xr:uid="{151A3357-F547-47FB-8503-A6022AB923A3}"/>
    <cellStyle name="Ergebnis 3 4 2 20" xfId="9073" xr:uid="{9FCCF509-149A-43F6-A173-553DE9AB2AC8}"/>
    <cellStyle name="Ergebnis 3 4 2 21" xfId="10365" xr:uid="{1DE38C72-491A-4637-A1C0-640C9595084E}"/>
    <cellStyle name="Ergebnis 3 4 2 22" xfId="11269" xr:uid="{1631BDC6-FDCC-4DEA-90CD-E505267758A4}"/>
    <cellStyle name="Ergebnis 3 4 2 23" xfId="12132" xr:uid="{2FEE7052-695A-46C0-A5D0-A5BA4FB9E53C}"/>
    <cellStyle name="Ergebnis 3 4 2 24" xfId="12605" xr:uid="{563026F3-4797-44DE-9732-783F3E3B24A9}"/>
    <cellStyle name="Ergebnis 3 4 2 25" xfId="13039" xr:uid="{9CBE0387-97C7-4477-A8F9-AB5CAC1E90CF}"/>
    <cellStyle name="Ergebnis 3 4 2 26" xfId="13476" xr:uid="{01F9F924-2E3C-42E8-8FB5-5A78558B2B94}"/>
    <cellStyle name="Ergebnis 3 4 2 27" xfId="13592" xr:uid="{81C901D8-CF61-41BA-B42F-F70F12A9AD89}"/>
    <cellStyle name="Ergebnis 3 4 2 28" xfId="14259" xr:uid="{DCD2DBF1-6304-4325-AF8D-B3878B2ED2B8}"/>
    <cellStyle name="Ergebnis 3 4 2 29" xfId="11850" xr:uid="{36B8E422-3832-4326-860E-583F9DE1784F}"/>
    <cellStyle name="Ergebnis 3 4 2 3" xfId="1427" xr:uid="{79DD957A-9D7E-47F6-9864-722E73E2C745}"/>
    <cellStyle name="Ergebnis 3 4 2 30" xfId="14984" xr:uid="{2F3EBD44-A5EE-4D5B-AAFA-1B649D6D759D}"/>
    <cellStyle name="Ergebnis 3 4 2 31" xfId="14811" xr:uid="{FCF4872C-0331-47CF-BDE4-1E1B701B9016}"/>
    <cellStyle name="Ergebnis 3 4 2 32" xfId="15733" xr:uid="{8AB0CD2B-28A1-41F9-8496-EEE864CF3640}"/>
    <cellStyle name="Ergebnis 3 4 2 33" xfId="16824" xr:uid="{79504158-FEC6-4003-8120-2BF4BE36D346}"/>
    <cellStyle name="Ergebnis 3 4 2 34" xfId="16178" xr:uid="{0E09933A-FC4D-4E49-88B8-9F26665111E0}"/>
    <cellStyle name="Ergebnis 3 4 2 35" xfId="16174" xr:uid="{4692D081-79D4-44EE-AD18-C4F5D23284B1}"/>
    <cellStyle name="Ergebnis 3 4 2 36" xfId="17188" xr:uid="{15AFFCD3-7AAD-47B6-9714-381E913BE7C5}"/>
    <cellStyle name="Ergebnis 3 4 2 37" xfId="18642" xr:uid="{95029DAE-837A-4C80-9F85-3B837A2F54CC}"/>
    <cellStyle name="Ergebnis 3 4 2 38" xfId="18338" xr:uid="{5DA1FD10-3F7C-4176-8524-78E660684688}"/>
    <cellStyle name="Ergebnis 3 4 2 39" xfId="19156" xr:uid="{3901C268-A260-42D8-BA65-2CD8D98DDF07}"/>
    <cellStyle name="Ergebnis 3 4 2 4" xfId="2601" xr:uid="{17CAC0D5-1849-4F0D-B030-F015B2314D56}"/>
    <cellStyle name="Ergebnis 3 4 2 40" xfId="20161" xr:uid="{9D7450D7-985B-4BF0-9FE7-5477080D9A9F}"/>
    <cellStyle name="Ergebnis 3 4 2 41" xfId="19508" xr:uid="{F4631941-8C17-436C-8E63-F541A6226DD9}"/>
    <cellStyle name="Ergebnis 3 4 2 42" xfId="19842" xr:uid="{C0DBA374-3759-4C0C-A7A4-E2D8BBADDF8E}"/>
    <cellStyle name="Ergebnis 3 4 2 43" xfId="21609" xr:uid="{0AF7218C-5B81-4EFE-8FEC-9C6114C382EC}"/>
    <cellStyle name="Ergebnis 3 4 2 44" xfId="20836" xr:uid="{2489CA78-3D5A-4F66-99BA-47AB46594B35}"/>
    <cellStyle name="Ergebnis 3 4 2 45" xfId="20596" xr:uid="{7E1DEFE9-5A7C-40D3-8391-4F10AE68DCD7}"/>
    <cellStyle name="Ergebnis 3 4 2 46" xfId="22601" xr:uid="{2989BA13-D774-4C08-A9E7-9D5FEB4E86AF}"/>
    <cellStyle name="Ergebnis 3 4 2 47" xfId="21764" xr:uid="{01AD671F-F076-47C2-9EB9-A4EA6EA47722}"/>
    <cellStyle name="Ergebnis 3 4 2 48" xfId="22650" xr:uid="{81EDC0C2-631F-4EA6-98CB-4ADD4C19BFE8}"/>
    <cellStyle name="Ergebnis 3 4 2 49" xfId="23961" xr:uid="{8B20914C-8EFC-42C9-9E80-4FF0751A4E5D}"/>
    <cellStyle name="Ergebnis 3 4 2 5" xfId="2758" xr:uid="{C40223B6-48AE-4B6B-983A-E72D2294F2FF}"/>
    <cellStyle name="Ergebnis 3 4 2 50" xfId="24869" xr:uid="{61CAC8A8-3CB2-4A5D-864A-7C3AF0479F8F}"/>
    <cellStyle name="Ergebnis 3 4 2 51" xfId="24224" xr:uid="{DEFE16F6-8B5A-41CE-8AC5-494D0C9B5DDD}"/>
    <cellStyle name="Ergebnis 3 4 2 52" xfId="25785" xr:uid="{C0E6FFCD-D6F6-4EF7-A8AB-1A4A6A596A57}"/>
    <cellStyle name="Ergebnis 3 4 2 53" xfId="25432" xr:uid="{094DA9D0-B86C-4E66-8ED8-5DC6B36CC4A8}"/>
    <cellStyle name="Ergebnis 3 4 2 54" xfId="26721" xr:uid="{E0281803-9D7F-4D05-B1CF-FD7957B627DA}"/>
    <cellStyle name="Ergebnis 3 4 2 55" xfId="27073" xr:uid="{66948167-42AA-41D6-B24A-C65DC38DE8B5}"/>
    <cellStyle name="Ergebnis 3 4 2 56" xfId="27492" xr:uid="{AE26DC99-1099-4897-B4D8-3F1A19E3620C}"/>
    <cellStyle name="Ergebnis 3 4 2 57" xfId="26623" xr:uid="{2D5CEFC3-F8D7-4C98-96C7-EEC1D6204549}"/>
    <cellStyle name="Ergebnis 3 4 2 58" xfId="28619" xr:uid="{87944C7D-C51B-4434-96CC-B5E999FE74E2}"/>
    <cellStyle name="Ergebnis 3 4 2 59" xfId="29086" xr:uid="{43DDD099-DD69-45DD-8482-36C2EEB7B89B}"/>
    <cellStyle name="Ergebnis 3 4 2 6" xfId="3191" xr:uid="{DEDE5AA3-BE3A-4212-B681-848B8326BBF3}"/>
    <cellStyle name="Ergebnis 3 4 2 60" xfId="28222" xr:uid="{D02399A8-DF9F-47B8-A167-348A3CAB0A80}"/>
    <cellStyle name="Ergebnis 3 4 2 61" xfId="29875" xr:uid="{D57DB419-4DCE-497B-B798-E8611E640EC7}"/>
    <cellStyle name="Ergebnis 3 4 2 62" xfId="30281" xr:uid="{B93B5739-0619-41A0-9B85-0D65471B527C}"/>
    <cellStyle name="Ergebnis 3 4 2 63" xfId="30698" xr:uid="{1BB1BA25-24A3-4370-B672-E735E2BEC4AA}"/>
    <cellStyle name="Ergebnis 3 4 2 64" xfId="30619" xr:uid="{0179FD28-A7C2-4933-8A32-0F1A704BAB60}"/>
    <cellStyle name="Ergebnis 3 4 2 65" xfId="31314" xr:uid="{9193C111-BB5D-4B95-9AB5-E0785337801B}"/>
    <cellStyle name="Ergebnis 3 4 2 66" xfId="32005" xr:uid="{5874D387-2149-40B4-B47F-5329DC442E9A}"/>
    <cellStyle name="Ergebnis 3 4 2 67" xfId="32126" xr:uid="{CB0EE0EF-1375-4AB9-ACBE-34F8881F11BA}"/>
    <cellStyle name="Ergebnis 3 4 2 7" xfId="4097" xr:uid="{B9C44B3B-BBDA-4AFC-AB9F-6C1B6B4AAC41}"/>
    <cellStyle name="Ergebnis 3 4 2 8" xfId="4534" xr:uid="{944040D2-0E9C-40C1-B6C7-53A2B36BAC55}"/>
    <cellStyle name="Ergebnis 3 4 2 9" xfId="5046" xr:uid="{A14B08C0-DCF9-4CA5-981A-F4187E6E5273}"/>
    <cellStyle name="Ergebnis 3 4 20" xfId="10135" xr:uid="{5A54D9C4-CA05-43D7-A91A-A664DD9D90E3}"/>
    <cellStyle name="Ergebnis 3 4 21" xfId="10545" xr:uid="{D23CA299-24C1-403D-A315-D9600BA9D1C5}"/>
    <cellStyle name="Ergebnis 3 4 22" xfId="10479" xr:uid="{251F72A6-7FE2-45AC-9E1D-54007B7DCD05}"/>
    <cellStyle name="Ergebnis 3 4 23" xfId="11165" xr:uid="{1D3174DC-2ED7-43C4-86A1-8BD2332FE186}"/>
    <cellStyle name="Ergebnis 3 4 24" xfId="11917" xr:uid="{857340BC-5F2F-48E7-AF6D-3CE7AC1EFD06}"/>
    <cellStyle name="Ergebnis 3 4 25" xfId="12390" xr:uid="{53DF5AE5-1C78-42DC-956B-A66E195F376F}"/>
    <cellStyle name="Ergebnis 3 4 26" xfId="12824" xr:uid="{CC4F7FA8-B37F-4F4C-98F5-4B6A2B34079B}"/>
    <cellStyle name="Ergebnis 3 4 27" xfId="13261" xr:uid="{9A84F1E0-37A5-42C3-BF88-CC40363B90E8}"/>
    <cellStyle name="Ergebnis 3 4 28" xfId="13174" xr:uid="{7F4494F6-05C5-4EDD-991B-07DAE1001689}"/>
    <cellStyle name="Ergebnis 3 4 29" xfId="14255" xr:uid="{ABCBA4CF-24BF-401E-AFC7-5DE6DF63CD58}"/>
    <cellStyle name="Ergebnis 3 4 3" xfId="1047" xr:uid="{E3E97DB4-C0C9-47D8-B8AB-1A4D08A11A51}"/>
    <cellStyle name="Ergebnis 3 4 30" xfId="14891" xr:uid="{B4D2FFD9-F479-4499-8C51-383EA561B42D}"/>
    <cellStyle name="Ergebnis 3 4 31" xfId="14642" xr:uid="{622832F9-C9DE-4330-9B7F-EC3ACCA9A7D1}"/>
    <cellStyle name="Ergebnis 3 4 32" xfId="15605" xr:uid="{AE3C161C-D0EC-4C9A-8E7D-293D60C8C79D}"/>
    <cellStyle name="Ergebnis 3 4 33" xfId="15929" xr:uid="{10190821-ADD9-4FCB-BC04-0BB6B89EB041}"/>
    <cellStyle name="Ergebnis 3 4 34" xfId="16609" xr:uid="{F244F2D5-87E5-446F-A3F4-B69E294646F8}"/>
    <cellStyle name="Ergebnis 3 4 35" xfId="17254" xr:uid="{A8A21A0C-9454-4172-B101-2776ACB637E0}"/>
    <cellStyle name="Ergebnis 3 4 36" xfId="17698" xr:uid="{AF61B1DD-26E7-44CF-BAD8-A64D21D08EF7}"/>
    <cellStyle name="Ergebnis 3 4 37" xfId="17500" xr:uid="{738C2716-AA9C-4F7D-B929-D3EACB45CA51}"/>
    <cellStyle name="Ergebnis 3 4 38" xfId="18427" xr:uid="{7178606C-D1EC-47F9-8D34-7E0396A55194}"/>
    <cellStyle name="Ergebnis 3 4 39" xfId="18533" xr:uid="{A56AE080-3BE3-4CAF-A8A7-A8BD85DB81F3}"/>
    <cellStyle name="Ergebnis 3 4 4" xfId="1582" xr:uid="{6F0E2FED-52B3-4010-BE52-7AFCEB8F726D}"/>
    <cellStyle name="Ergebnis 3 4 40" xfId="18173" xr:uid="{D6FA14F5-FA2E-455E-9CD8-53A450CE58A1}"/>
    <cellStyle name="Ergebnis 3 4 41" xfId="19946" xr:uid="{6E0A6413-1D90-4911-8248-D3D19EDA97ED}"/>
    <cellStyle name="Ergebnis 3 4 42" xfId="20604" xr:uid="{A57059AE-593D-41BF-BC62-657C8A542982}"/>
    <cellStyle name="Ergebnis 3 4 43" xfId="21059" xr:uid="{7CCFE286-C407-4B9D-BDBB-2870E55EF7B5}"/>
    <cellStyle name="Ergebnis 3 4 44" xfId="21182" xr:uid="{EC751832-CFC2-4867-B6F0-0A4C627FC747}"/>
    <cellStyle name="Ergebnis 3 4 45" xfId="21990" xr:uid="{3CE74E77-3603-4B90-ABBE-F3F251BAB631}"/>
    <cellStyle name="Ergebnis 3 4 46" xfId="22421" xr:uid="{DFBE2350-7B70-403F-9382-51F4F14AE46F}"/>
    <cellStyle name="Ergebnis 3 4 47" xfId="22207" xr:uid="{0529DF27-016D-4CF5-BD89-BF3A8BD3F952}"/>
    <cellStyle name="Ergebnis 3 4 48" xfId="22789" xr:uid="{52F44496-44B4-4349-993C-9FF03099F956}"/>
    <cellStyle name="Ergebnis 3 4 49" xfId="23194" xr:uid="{DE6A5FE4-DA9C-4CA8-82C4-4853FB765FCE}"/>
    <cellStyle name="Ergebnis 3 4 5" xfId="2386" xr:uid="{26B9A721-426C-40D1-8F45-F52A30FB1617}"/>
    <cellStyle name="Ergebnis 3 4 50" xfId="23755" xr:uid="{6FB2B19A-DBED-4C1C-9101-1C449817E764}"/>
    <cellStyle name="Ergebnis 3 4 51" xfId="24654" xr:uid="{16D202D6-30AA-4A09-9589-39F1194DAEAB}"/>
    <cellStyle name="Ergebnis 3 4 52" xfId="25313" xr:uid="{4F8D94C9-8848-44A3-BABC-B3A5CD267C63}"/>
    <cellStyle name="Ergebnis 3 4 53" xfId="25572" xr:uid="{77BBDEFD-041C-49A6-9BCE-AB9C4EB58B2F}"/>
    <cellStyle name="Ergebnis 3 4 54" xfId="24339" xr:uid="{97172BB2-E33B-47FC-8129-4C6AE6D6542A}"/>
    <cellStyle name="Ergebnis 3 4 55" xfId="26717" xr:uid="{6E6AB2E5-4EB1-4E17-BFFF-AF2ACEEEAEA8}"/>
    <cellStyle name="Ergebnis 3 4 56" xfId="26862" xr:uid="{046AC7BD-2A77-4C0C-8D5E-CB53F48ECCD5}"/>
    <cellStyle name="Ergebnis 3 4 57" xfId="27281" xr:uid="{C6BF901B-CDB3-4098-9B19-73EC39DB6A9A}"/>
    <cellStyle name="Ergebnis 3 4 58" xfId="27629" xr:uid="{954B9CA1-6CA0-476B-A96A-866FD6938671}"/>
    <cellStyle name="Ergebnis 3 4 59" xfId="28404" xr:uid="{8EC666B6-E80E-48BF-B0D6-B2E124848CCC}"/>
    <cellStyle name="Ergebnis 3 4 6" xfId="2147" xr:uid="{F10B059A-E109-4BAE-9BD0-9A5FBD6CA250}"/>
    <cellStyle name="Ergebnis 3 4 60" xfId="28872" xr:uid="{7C2F1226-4320-4D25-923A-2A272DDF6D1B}"/>
    <cellStyle name="Ergebnis 3 4 61" xfId="29435" xr:uid="{BB24B6C5-470F-4695-9E8A-3362DB304A3A}"/>
    <cellStyle name="Ergebnis 3 4 62" xfId="29662" xr:uid="{BB97D9AD-9BCA-4E29-A274-8DDF11CF5FA8}"/>
    <cellStyle name="Ergebnis 3 4 63" xfId="30070" xr:uid="{7415CD63-ABC9-4D3D-984A-9CC57A625726}"/>
    <cellStyle name="Ergebnis 3 4 64" xfId="30484" xr:uid="{90DF0000-65E8-4BE7-807F-64ADCCF0C548}"/>
    <cellStyle name="Ergebnis 3 4 65" xfId="28764" xr:uid="{FFB7CBE6-99C9-4231-BDCB-FE20095F0DBB}"/>
    <cellStyle name="Ergebnis 3 4 66" xfId="31108" xr:uid="{9FE0573A-7A79-49CD-A3EE-C349AB58C9FC}"/>
    <cellStyle name="Ergebnis 3 4 67" xfId="31794" xr:uid="{49F09657-F03C-4E58-8EB8-3F8F38C8FB30}"/>
    <cellStyle name="Ergebnis 3 4 68" xfId="31643" xr:uid="{B9EDD1DF-D14E-4C4D-812B-1AF9456E26B2}"/>
    <cellStyle name="Ergebnis 3 4 7" xfId="2913" xr:uid="{A32C11D7-9071-49CB-A6B5-57904AF41744}"/>
    <cellStyle name="Ergebnis 3 4 8" xfId="3882" xr:uid="{7E22A4D5-E526-4A5A-8C81-C38A9ACEF94C}"/>
    <cellStyle name="Ergebnis 3 4 9" xfId="4320" xr:uid="{EE3C14D2-94E6-4BD4-9726-6BBE9E7703A6}"/>
    <cellStyle name="Ergebnis 3 40" xfId="24208" xr:uid="{57EBF587-5383-4745-89A6-C6E846F478E5}"/>
    <cellStyle name="Ergebnis 3 41" xfId="25148" xr:uid="{CA6D2E07-C46D-4197-BF46-D8D819764BA1}"/>
    <cellStyle name="Ergebnis 3 42" xfId="24392" xr:uid="{5AF1E226-4700-4B39-B3D6-6DF5C076DA72}"/>
    <cellStyle name="Ergebnis 3 43" xfId="24129" xr:uid="{890FBEF8-9132-4A8A-8C4C-64B73E7FC561}"/>
    <cellStyle name="Ergebnis 3 44" xfId="24116" xr:uid="{FE7F4CB8-EFFA-488D-8ADE-31724E0F82C9}"/>
    <cellStyle name="Ergebnis 3 45" xfId="26454" xr:uid="{D3939282-4053-4603-8C39-46AF11DEA7CE}"/>
    <cellStyle name="Ergebnis 3 46" xfId="28161" xr:uid="{BE9CA136-434A-4056-AF1B-2817DE8167B8}"/>
    <cellStyle name="Ergebnis 3 47" xfId="28262" xr:uid="{6C06CDFB-E06A-45A3-9AAA-E97238CA0EF2}"/>
    <cellStyle name="Ergebnis 3 48" xfId="29281" xr:uid="{562BAE1F-C873-45ED-B270-7B1546541E5D}"/>
    <cellStyle name="Ergebnis 3 49" xfId="29280" xr:uid="{D94FD2ED-15ED-4662-A46C-371C492B36A0}"/>
    <cellStyle name="Ergebnis 3 5" xfId="703" xr:uid="{E9F684B1-1AF1-42D2-AD5E-5BEA3BD4E0AC}"/>
    <cellStyle name="Ergebnis 3 5 10" xfId="5351" xr:uid="{CAE8E97E-F37A-4092-AAA8-AAA21D5BBEDF}"/>
    <cellStyle name="Ergebnis 3 5 11" xfId="5105" xr:uid="{C0F9BC9A-DBF9-42DF-8F43-C000051044B0}"/>
    <cellStyle name="Ergebnis 3 5 12" xfId="6249" xr:uid="{90858605-39C9-49B4-B7DF-E1DAA12F0417}"/>
    <cellStyle name="Ergebnis 3 5 13" xfId="6598" xr:uid="{B0C66F37-F92A-42B0-AA8B-39FE386FA90F}"/>
    <cellStyle name="Ergebnis 3 5 14" xfId="7423" xr:uid="{B90D9FEC-86ED-43DC-A409-C58BC45737DB}"/>
    <cellStyle name="Ergebnis 3 5 15" xfId="7105" xr:uid="{E56C5D58-A24F-450E-BF9A-F40B8EBB8682}"/>
    <cellStyle name="Ergebnis 3 5 16" xfId="8587" xr:uid="{98F3FB48-E690-4162-ABDB-A53E63B91070}"/>
    <cellStyle name="Ergebnis 3 5 17" xfId="6873" xr:uid="{DFD5F108-DA05-4091-B690-7D0472E81B64}"/>
    <cellStyle name="Ergebnis 3 5 18" xfId="9637" xr:uid="{56273A5D-EA48-44AF-8969-619DC0F09551}"/>
    <cellStyle name="Ergebnis 3 5 19" xfId="9191" xr:uid="{BC7FF61D-C7A0-4739-9545-6836992D542A}"/>
    <cellStyle name="Ergebnis 3 5 2" xfId="1178" xr:uid="{8DC4AB8B-5056-40A4-92BF-9EE09F04D0B8}"/>
    <cellStyle name="Ergebnis 3 5 20" xfId="8955" xr:uid="{A858BF8A-D3D5-4AF7-A81B-7D7C0C292677}"/>
    <cellStyle name="Ergebnis 3 5 21" xfId="10958" xr:uid="{9AB737E0-4BD1-4574-871B-AA86B1E5F342}"/>
    <cellStyle name="Ergebnis 3 5 22" xfId="10623" xr:uid="{35524508-7BD9-4DF5-941B-84D9F2FEE33A}"/>
    <cellStyle name="Ergebnis 3 5 23" xfId="12056" xr:uid="{C3DE2255-0FEC-4ACC-B0A0-4C5706A1C78A}"/>
    <cellStyle name="Ergebnis 3 5 24" xfId="12529" xr:uid="{55317E54-7AC9-4DB9-A2C5-9D62D1CDA2A4}"/>
    <cellStyle name="Ergebnis 3 5 25" xfId="12963" xr:uid="{B33A8177-33A8-4E02-9E89-34A36E6D2EDD}"/>
    <cellStyle name="Ergebnis 3 5 26" xfId="13400" xr:uid="{A12B9F17-EFD7-45E1-994D-02C2F3BFAAD3}"/>
    <cellStyle name="Ergebnis 3 5 27" xfId="13907" xr:uid="{9069EF28-0130-489B-8EA3-0E5AE19580BB}"/>
    <cellStyle name="Ergebnis 3 5 28" xfId="14132" xr:uid="{C15EEC2D-F827-4A80-BCD2-D1C142B5CEC9}"/>
    <cellStyle name="Ergebnis 3 5 29" xfId="12770" xr:uid="{E6F44EB4-A59D-4162-B0EE-AF2F1157D921}"/>
    <cellStyle name="Ergebnis 3 5 3" xfId="1539" xr:uid="{A9EEA9FB-A935-4E89-8CE1-BF9F5A1A5850}"/>
    <cellStyle name="Ergebnis 3 5 30" xfId="14956" xr:uid="{C93DA9FE-C3D4-423C-98FC-F8C000E4C03A}"/>
    <cellStyle name="Ergebnis 3 5 31" xfId="15107" xr:uid="{4D928868-C78B-42BD-A8C5-0925B221E8D7}"/>
    <cellStyle name="Ergebnis 3 5 32" xfId="14604" xr:uid="{A815D087-1DCF-4476-A5BF-E36FE6D7F464}"/>
    <cellStyle name="Ergebnis 3 5 33" xfId="16748" xr:uid="{92A39282-D680-40A7-B7D1-21909403D413}"/>
    <cellStyle name="Ergebnis 3 5 34" xfId="16427" xr:uid="{9EDCE178-C92D-42CB-943B-C123F335CC8B}"/>
    <cellStyle name="Ergebnis 3 5 35" xfId="16997" xr:uid="{00D4534B-C87D-4E31-8730-C89F6FC89382}"/>
    <cellStyle name="Ergebnis 3 5 36" xfId="16448" xr:uid="{87DCDB02-5861-4174-9E3C-188964188DF0}"/>
    <cellStyle name="Ergebnis 3 5 37" xfId="18566" xr:uid="{920DC816-D5AE-4445-999D-01603C11A59B}"/>
    <cellStyle name="Ergebnis 3 5 38" xfId="18562" xr:uid="{0E62D7BD-388D-4D06-A2CF-F586FB95A0ED}"/>
    <cellStyle name="Ergebnis 3 5 39" xfId="19191" xr:uid="{E86F62BE-0C16-46CA-8240-AAE04142C18B}"/>
    <cellStyle name="Ergebnis 3 5 4" xfId="2525" xr:uid="{1F4BED3E-8666-4209-8356-654500603589}"/>
    <cellStyle name="Ergebnis 3 5 40" xfId="20085" xr:uid="{2F044D35-77F2-47E6-B893-DBD1C73B0B21}"/>
    <cellStyle name="Ergebnis 3 5 41" xfId="19759" xr:uid="{021813EB-3B83-47C4-ACEB-A77D7B209FFD}"/>
    <cellStyle name="Ergebnis 3 5 42" xfId="20659" xr:uid="{08FBA487-EAD7-476D-B0C2-6EBC61306338}"/>
    <cellStyle name="Ergebnis 3 5 43" xfId="20545" xr:uid="{E66AB88B-50AE-4875-816C-F5D3D2AF844C}"/>
    <cellStyle name="Ergebnis 3 5 44" xfId="21284" xr:uid="{A86224F1-EB1F-478E-8026-093F31D6CB39}"/>
    <cellStyle name="Ergebnis 3 5 45" xfId="20635" xr:uid="{BC96DC94-F373-4AEB-9AC5-941CF3F8526E}"/>
    <cellStyle name="Ergebnis 3 5 46" xfId="22887" xr:uid="{06DAC5DC-33C5-4ACD-831E-EDADF0C260CD}"/>
    <cellStyle name="Ergebnis 3 5 47" xfId="22666" xr:uid="{7E415A86-D1A1-47C4-BD7B-BF2414ABCF16}"/>
    <cellStyle name="Ergebnis 3 5 48" xfId="23516" xr:uid="{78FE33D7-708C-4EAA-98BD-CF017CEE35CF}"/>
    <cellStyle name="Ergebnis 3 5 49" xfId="23886" xr:uid="{DB562049-BF0C-4813-82C9-AB0A4DEE390C}"/>
    <cellStyle name="Ergebnis 3 5 5" xfId="3075" xr:uid="{9A530073-A118-4FC3-9816-85D9FF374A40}"/>
    <cellStyle name="Ergebnis 3 5 50" xfId="24793" xr:uid="{1A8ABF60-6A16-46D8-B13F-5DCFD0FCEAC3}"/>
    <cellStyle name="Ergebnis 3 5 51" xfId="24984" xr:uid="{AE587B26-C059-4E1A-ACBF-7AA07BD410B0}"/>
    <cellStyle name="Ergebnis 3 5 52" xfId="25709" xr:uid="{AF80FD15-BFAE-4A87-BB52-0C7D50B25A98}"/>
    <cellStyle name="Ergebnis 3 5 53" xfId="26191" xr:uid="{C5C0077E-1C4E-4C2D-AD44-9FDA4D7EC524}"/>
    <cellStyle name="Ergebnis 3 5 54" xfId="26668" xr:uid="{C72942CB-6CD4-498D-98FA-7A73CDC32463}"/>
    <cellStyle name="Ergebnis 3 5 55" xfId="26997" xr:uid="{A4DAEB0C-1408-4CFB-ABEE-BB143B8C177C}"/>
    <cellStyle name="Ergebnis 3 5 56" xfId="27416" xr:uid="{ECDC674B-E617-49BC-AD80-FF489CB035AB}"/>
    <cellStyle name="Ergebnis 3 5 57" xfId="27759" xr:uid="{BA3B6F1A-1106-465D-A2E5-EEC1E749CB86}"/>
    <cellStyle name="Ergebnis 3 5 58" xfId="28543" xr:uid="{0A4DA060-8BCA-4636-BACD-3E94ABCEB822}"/>
    <cellStyle name="Ergebnis 3 5 59" xfId="29010" xr:uid="{3C17CB14-2673-4D49-A1A7-4BBC9ADAA9F9}"/>
    <cellStyle name="Ergebnis 3 5 6" xfId="3014" xr:uid="{D0C92806-6203-4D9D-A6D6-D57947B94428}"/>
    <cellStyle name="Ergebnis 3 5 60" xfId="28180" xr:uid="{E445B366-0AE0-4C2E-BDEE-2A4A7A420C5A}"/>
    <cellStyle name="Ergebnis 3 5 61" xfId="29800" xr:uid="{D703EA00-7368-4FF2-ADD4-170A7269D660}"/>
    <cellStyle name="Ergebnis 3 5 62" xfId="30206" xr:uid="{537A0BA7-06DC-4CC1-8F64-4BA210D9E89F}"/>
    <cellStyle name="Ergebnis 3 5 63" xfId="30622" xr:uid="{FA3E9BD0-8F74-4289-9728-0969F0D67C9D}"/>
    <cellStyle name="Ergebnis 3 5 64" xfId="30939" xr:uid="{C812A4E7-CA88-438E-815A-A20E5EB925F2}"/>
    <cellStyle name="Ergebnis 3 5 65" xfId="31239" xr:uid="{B33B456A-C175-4853-8AAD-C50DA6EA9D47}"/>
    <cellStyle name="Ergebnis 3 5 66" xfId="31930" xr:uid="{C8DB1408-9D05-4E81-89CC-39545EAF8386}"/>
    <cellStyle name="Ergebnis 3 5 67" xfId="31515" xr:uid="{C0BAEB21-0BDF-4A8E-9D11-B5AC026A938D}"/>
    <cellStyle name="Ergebnis 3 5 7" xfId="4021" xr:uid="{3D8ED432-D35C-4691-A969-9A62B2C0150D}"/>
    <cellStyle name="Ergebnis 3 5 8" xfId="4458" xr:uid="{38CF7C74-D6E9-420C-86AD-8C8E66190C8D}"/>
    <cellStyle name="Ergebnis 3 5 9" xfId="4917" xr:uid="{DAB59CDB-8CC5-491D-BB5F-A9BF6BDAC58C}"/>
    <cellStyle name="Ergebnis 3 50" xfId="28043" xr:uid="{314E6762-DCD6-4B4B-B536-6144EB06FDBD}"/>
    <cellStyle name="Ergebnis 3 51" xfId="27891" xr:uid="{6E4E919F-4FAB-4026-9CF1-A1947EF6C0D9}"/>
    <cellStyle name="Ergebnis 3 52" xfId="31613" xr:uid="{B779C3B9-761B-40D0-8556-5853300EE36F}"/>
    <cellStyle name="Ergebnis 3 53" xfId="31429" xr:uid="{E4FBA6B9-5485-44E5-BE00-F943C262C4EF}"/>
    <cellStyle name="Ergebnis 3 6" xfId="961" xr:uid="{75EBB351-6DD1-4F6B-8386-8E0F964B9DFC}"/>
    <cellStyle name="Ergebnis 3 7" xfId="2110" xr:uid="{4830E0A5-893D-4F57-AD40-5C85C7D8AD58}"/>
    <cellStyle name="Ergebnis 3 8" xfId="2075" xr:uid="{BB055321-BA87-447B-ACFC-7EFF20027B6A}"/>
    <cellStyle name="Ergebnis 3 9" xfId="3519" xr:uid="{B3DD4133-C754-4C00-ACB7-4891AA6E7B90}"/>
    <cellStyle name="Ergebnis 4" xfId="553" xr:uid="{45F2BA37-7815-4AD1-8292-AEA357DB24C4}"/>
    <cellStyle name="Ergebnis 4 10" xfId="4825" xr:uid="{476A1B07-03F8-40C0-9FEF-1D3C36850212}"/>
    <cellStyle name="Ergebnis 4 11" xfId="5201" xr:uid="{F2513CCD-2D5B-4119-ACB1-04E883520776}"/>
    <cellStyle name="Ergebnis 4 12" xfId="5543" xr:uid="{E39EFEEF-0A5B-4933-A135-FAF132B05C0D}"/>
    <cellStyle name="Ergebnis 4 13" xfId="5610" xr:uid="{4BB7A7A5-74AC-45AF-888C-E0E4FD3D683D}"/>
    <cellStyle name="Ergebnis 4 14" xfId="6699" xr:uid="{EF9E4B8E-B96A-4BF7-821D-154669B30057}"/>
    <cellStyle name="Ergebnis 4 15" xfId="7273" xr:uid="{A32C42A5-F432-4344-8885-0E5B0A8A1777}"/>
    <cellStyle name="Ergebnis 4 16" xfId="8039" xr:uid="{17CF30AB-121B-4683-8BF6-CE372D2242C8}"/>
    <cellStyle name="Ergebnis 4 17" xfId="7899" xr:uid="{BB2C322D-02D3-4594-893D-0CE8D8457449}"/>
    <cellStyle name="Ergebnis 4 18" xfId="8912" xr:uid="{59B0BB4D-82C4-4070-B88E-9402CFD1D5FB}"/>
    <cellStyle name="Ergebnis 4 19" xfId="9487" xr:uid="{E8D070CB-0B55-4EB5-A09E-0D8687A15B82}"/>
    <cellStyle name="Ergebnis 4 2" xfId="768" xr:uid="{2DC466D7-2721-4027-87E5-C9845C845E3A}"/>
    <cellStyle name="Ergebnis 4 2 10" xfId="5416" xr:uid="{24FB1B57-7E7F-4DA0-9A4B-3F55C1916A8B}"/>
    <cellStyle name="Ergebnis 4 2 11" xfId="4924" xr:uid="{48B49703-B742-446E-9AFE-1ACC2C78E039}"/>
    <cellStyle name="Ergebnis 4 2 12" xfId="5134" xr:uid="{3C48F6D6-E5B2-4167-B046-3B12E5C11F5C}"/>
    <cellStyle name="Ergebnis 4 2 13" xfId="6127" xr:uid="{B548A423-06E8-4337-A1B5-1D44A8A37BDB}"/>
    <cellStyle name="Ergebnis 4 2 14" xfId="7488" xr:uid="{3DEE1756-7908-4365-9C0A-22D0D96627A1}"/>
    <cellStyle name="Ergebnis 4 2 15" xfId="7198" xr:uid="{CAA13810-BC41-4150-81C5-22C9E81C60F4}"/>
    <cellStyle name="Ergebnis 4 2 16" xfId="6743" xr:uid="{72412AD6-856C-4B6D-BC8A-95A11CA2B47E}"/>
    <cellStyle name="Ergebnis 4 2 17" xfId="8880" xr:uid="{FB9F549D-6130-4CEA-8014-2CE32BB0952F}"/>
    <cellStyle name="Ergebnis 4 2 18" xfId="9702" xr:uid="{47E3BF21-72A3-40DF-8681-20D6B1900A11}"/>
    <cellStyle name="Ergebnis 4 2 19" xfId="9411" xr:uid="{A3907154-16ED-4608-818A-CBAA4A5916C1}"/>
    <cellStyle name="Ergebnis 4 2 2" xfId="1242" xr:uid="{72C9361E-2834-4592-88F4-A976C5B64ED8}"/>
    <cellStyle name="Ergebnis 4 2 20" xfId="10087" xr:uid="{13497420-945B-4FDD-9D45-CD762DF34330}"/>
    <cellStyle name="Ergebnis 4 2 21" xfId="9357" xr:uid="{F7971497-3F5B-4A57-8AA4-95849A73ADB3}"/>
    <cellStyle name="Ergebnis 4 2 22" xfId="9345" xr:uid="{9D107F96-CD6A-4D55-9044-0C09CD8A4C57}"/>
    <cellStyle name="Ergebnis 4 2 23" xfId="12121" xr:uid="{9C466695-DB4B-47BB-8234-E2FAE007367E}"/>
    <cellStyle name="Ergebnis 4 2 24" xfId="12594" xr:uid="{B714C4EE-5CCC-4DEC-BDE0-5CAAB5DFE890}"/>
    <cellStyle name="Ergebnis 4 2 25" xfId="13028" xr:uid="{0AD58E35-5653-4721-BC9D-1AB91F219064}"/>
    <cellStyle name="Ergebnis 4 2 26" xfId="13465" xr:uid="{0B4F5B64-D602-4702-B4D5-A7053F625BB9}"/>
    <cellStyle name="Ergebnis 4 2 27" xfId="11566" xr:uid="{C9607157-1C51-4C94-BF3B-C1770C8C3320}"/>
    <cellStyle name="Ergebnis 4 2 28" xfId="13664" xr:uid="{256AF1FC-A66C-44DC-9574-9C8F04AD479A}"/>
    <cellStyle name="Ergebnis 4 2 29" xfId="11718" xr:uid="{74FFC96C-887A-4371-95F4-B6E5D2C31C82}"/>
    <cellStyle name="Ergebnis 4 2 3" xfId="1433" xr:uid="{E691D428-BFF2-4747-A950-D91606D4D468}"/>
    <cellStyle name="Ergebnis 4 2 30" xfId="14660" xr:uid="{3E3E149E-5452-4766-9694-55CF8CDD4F6F}"/>
    <cellStyle name="Ergebnis 4 2 31" xfId="14414" xr:uid="{F40EAF01-6036-48F3-8ED8-D56BFA4F36B7}"/>
    <cellStyle name="Ergebnis 4 2 32" xfId="14649" xr:uid="{CC540FBB-9FC6-413D-8447-023E0D7A0B3C}"/>
    <cellStyle name="Ergebnis 4 2 33" xfId="16813" xr:uid="{10DC7C3D-86CC-40A3-82B9-EFD8097356D0}"/>
    <cellStyle name="Ergebnis 4 2 34" xfId="16520" xr:uid="{2C5D0EAD-D439-4E87-AFA8-4E59E916499C}"/>
    <cellStyle name="Ergebnis 4 2 35" xfId="17205" xr:uid="{1170DCEA-62E5-45B9-90A6-C53833AC8113}"/>
    <cellStyle name="Ergebnis 4 2 36" xfId="17534" xr:uid="{16B20D1B-7448-4D5B-B5E2-8CA842A25871}"/>
    <cellStyle name="Ergebnis 4 2 37" xfId="18631" xr:uid="{D0858DFB-0E00-47A1-A437-242E2794419B}"/>
    <cellStyle name="Ergebnis 4 2 38" xfId="19053" xr:uid="{99ED2A36-C729-4F12-84D3-47393B929112}"/>
    <cellStyle name="Ergebnis 4 2 39" xfId="17372" xr:uid="{441CBF9A-33CD-4EC4-9714-0F5774A63359}"/>
    <cellStyle name="Ergebnis 4 2 4" xfId="2590" xr:uid="{2A7C8A72-9B84-400C-BD6D-F97433EF8DFC}"/>
    <cellStyle name="Ergebnis 4 2 40" xfId="20150" xr:uid="{22EF56D4-B6CD-4CA4-BDD4-6E5575ED84F3}"/>
    <cellStyle name="Ergebnis 4 2 41" xfId="19856" xr:uid="{79D41FF5-3816-4D05-A7F8-BB5E6E12F29E}"/>
    <cellStyle name="Ergebnis 4 2 42" xfId="19563" xr:uid="{C8C301E0-D594-453D-9C1F-F0A966E355D4}"/>
    <cellStyle name="Ergebnis 4 2 43" xfId="20658" xr:uid="{81E4C356-AC87-4525-B878-B7B5B70868DA}"/>
    <cellStyle name="Ergebnis 4 2 44" xfId="21399" xr:uid="{7F1D3D8E-20EA-4E68-9A2A-FBCF35D3DE6D}"/>
    <cellStyle name="Ergebnis 4 2 45" xfId="21598" xr:uid="{2E5A4FD6-772F-406D-BBB1-0938487582D7}"/>
    <cellStyle name="Ergebnis 4 2 46" xfId="20813" xr:uid="{81741841-D622-4807-A294-A74E354BA4CE}"/>
    <cellStyle name="Ergebnis 4 2 47" xfId="23331" xr:uid="{6673E49A-3749-4727-8830-7D24B64A957E}"/>
    <cellStyle name="Ergebnis 4 2 48" xfId="23341" xr:uid="{28955F4C-EF96-4D8E-AC19-D74D5F2B5315}"/>
    <cellStyle name="Ergebnis 4 2 49" xfId="23950" xr:uid="{E42B49ED-4363-4AB9-BC98-5D463B64C87A}"/>
    <cellStyle name="Ergebnis 4 2 5" xfId="2001" xr:uid="{0FFDAC65-BEB2-40C3-BF48-195FFB2D3F78}"/>
    <cellStyle name="Ergebnis 4 2 50" xfId="24858" xr:uid="{904A1A7B-0E44-4C35-B874-C73411DFD297}"/>
    <cellStyle name="Ergebnis 4 2 51" xfId="24551" xr:uid="{372A23CE-A8A3-4B44-B7CC-841C4AD41ACB}"/>
    <cellStyle name="Ergebnis 4 2 52" xfId="25774" xr:uid="{EE598586-BF68-4EC5-86F9-CE67C1DDA649}"/>
    <cellStyle name="Ergebnis 4 2 53" xfId="25400" xr:uid="{AED87604-E033-4448-9443-0A1B6A577655}"/>
    <cellStyle name="Ergebnis 4 2 54" xfId="26293" xr:uid="{9B143243-7EC3-46DB-A55F-E498C507821E}"/>
    <cellStyle name="Ergebnis 4 2 55" xfId="27062" xr:uid="{9F541240-F3D7-4933-A9F4-CB5B6CF9D851}"/>
    <cellStyle name="Ergebnis 4 2 56" xfId="27481" xr:uid="{E1E16C23-1AFF-48CB-A5EC-32B442B5554A}"/>
    <cellStyle name="Ergebnis 4 2 57" xfId="27203" xr:uid="{5DDF061E-2A5C-4AE3-8061-AC78C1DEEF97}"/>
    <cellStyle name="Ergebnis 4 2 58" xfId="28608" xr:uid="{C6FA2F6E-7444-4B32-ACAE-2FFD8451E7CC}"/>
    <cellStyle name="Ergebnis 4 2 59" xfId="29075" xr:uid="{8A91AACD-DE6D-4C01-99E3-F59E42AA83B9}"/>
    <cellStyle name="Ergebnis 4 2 6" xfId="2834" xr:uid="{4395274E-5935-424E-BFF8-D0121F4D052C}"/>
    <cellStyle name="Ergebnis 4 2 60" xfId="28097" xr:uid="{1A2110CA-CE8F-413A-9D3F-EB8CF9EEF0C7}"/>
    <cellStyle name="Ergebnis 4 2 61" xfId="29864" xr:uid="{44F861D0-DBF9-40E5-9741-5DD5B852C6D0}"/>
    <cellStyle name="Ergebnis 4 2 62" xfId="30270" xr:uid="{0F9C933F-5AA6-4D9B-BA12-BF02C6DE6852}"/>
    <cellStyle name="Ergebnis 4 2 63" xfId="30687" xr:uid="{2413D833-D951-4BBB-A916-8BBB8F413AED}"/>
    <cellStyle name="Ergebnis 4 2 64" xfId="30404" xr:uid="{E30724A4-AA4B-44BF-85D4-57CAB5FBA128}"/>
    <cellStyle name="Ergebnis 4 2 65" xfId="31303" xr:uid="{F6D59544-09A4-4182-8004-2DD7EDF58521}"/>
    <cellStyle name="Ergebnis 4 2 66" xfId="31994" xr:uid="{4FA23D73-1A76-4F7C-8677-95B9A90DFB24}"/>
    <cellStyle name="Ergebnis 4 2 67" xfId="32263" xr:uid="{1A8F6BFA-1637-46C2-A3C8-17645CDAC487}"/>
    <cellStyle name="Ergebnis 4 2 7" xfId="4086" xr:uid="{0082D409-9C97-452F-86F1-3C435B350F0C}"/>
    <cellStyle name="Ergebnis 4 2 8" xfId="4523" xr:uid="{7B67F1D7-951C-4784-8DDF-71FDF4BA2D62}"/>
    <cellStyle name="Ergebnis 4 2 9" xfId="2028" xr:uid="{A1FE548F-6818-4D80-8A9A-2D219AA37D4C}"/>
    <cellStyle name="Ergebnis 4 20" xfId="10258" xr:uid="{32B9BF72-FC29-4DE0-9C74-1E2CC12E23AD}"/>
    <cellStyle name="Ergebnis 4 21" xfId="10651" xr:uid="{1E99D002-DB16-435A-9D59-368A6B5D618A}"/>
    <cellStyle name="Ergebnis 4 22" xfId="11004" xr:uid="{829E0147-B393-4E48-8FFE-D89773C047FD}"/>
    <cellStyle name="Ergebnis 4 23" xfId="11316" xr:uid="{4BAB9E33-16BF-4566-B3A0-715860B17838}"/>
    <cellStyle name="Ergebnis 4 24" xfId="11906" xr:uid="{B57891DE-1C77-47F5-B4FE-87129DEEF797}"/>
    <cellStyle name="Ergebnis 4 25" xfId="12379" xr:uid="{1612DB61-21B4-4770-9135-DF5748B19B79}"/>
    <cellStyle name="Ergebnis 4 26" xfId="12813" xr:uid="{52D1C17D-AD63-47DB-8FE7-582EB4F8D67A}"/>
    <cellStyle name="Ergebnis 4 27" xfId="13250" xr:uid="{85252197-CFFB-44B6-ABDC-422EFEE45598}"/>
    <cellStyle name="Ergebnis 4 28" xfId="14023" xr:uid="{CA2ABFF4-1F5C-4F5C-B800-7EF6056946C2}"/>
    <cellStyle name="Ergebnis 4 29" xfId="13707" xr:uid="{2007CE7C-7744-4ACF-BCE8-E662BA79BBEE}"/>
    <cellStyle name="Ergebnis 4 3" xfId="1036" xr:uid="{639E79CB-3ACA-41A6-969D-F0FE174DDDD1}"/>
    <cellStyle name="Ergebnis 4 30" xfId="14794" xr:uid="{96F1FE7C-6A10-430E-9AA4-91DE45F9CC0C}"/>
    <cellStyle name="Ergebnis 4 31" xfId="11577" xr:uid="{3E4B87D3-733D-4621-ACF5-59AC833D5487}"/>
    <cellStyle name="Ergebnis 4 32" xfId="15767" xr:uid="{F9A91D98-366C-4050-93C7-310951633AF9}"/>
    <cellStyle name="Ergebnis 4 33" xfId="15992" xr:uid="{A62CA5EA-9C8F-435E-85D1-9D10C0211E6E}"/>
    <cellStyle name="Ergebnis 4 34" xfId="16598" xr:uid="{98B795C7-60C4-4347-B768-E3089B0AC137}"/>
    <cellStyle name="Ergebnis 4 35" xfId="17380" xr:uid="{D3ABF139-5BA6-44B2-8462-03B4CAC2FEBA}"/>
    <cellStyle name="Ergebnis 4 36" xfId="17822" xr:uid="{2FCCB22A-30D7-42B6-BD7B-9AB70B44FA14}"/>
    <cellStyle name="Ergebnis 4 37" xfId="18298" xr:uid="{694B0BA4-1FAA-4264-8089-92C9B5042D36}"/>
    <cellStyle name="Ergebnis 4 38" xfId="18416" xr:uid="{3B2B5F78-EB47-4A88-A041-E4F12A56D92A}"/>
    <cellStyle name="Ergebnis 4 39" xfId="19109" xr:uid="{6773AB34-A394-43AD-B153-26553473FC64}"/>
    <cellStyle name="Ergebnis 4 4" xfId="1674" xr:uid="{321300C9-FC4F-4B69-9640-6F5F060FEF2F}"/>
    <cellStyle name="Ergebnis 4 40" xfId="19341" xr:uid="{B2D13FCC-1AD0-496D-AFD3-AAAA88ABC5BD}"/>
    <cellStyle name="Ergebnis 4 41" xfId="19935" xr:uid="{E8C25C9B-5774-4B85-B560-C6FA4271A3EB}"/>
    <cellStyle name="Ergebnis 4 42" xfId="20729" xr:uid="{FCE45FE2-7D11-4DD2-BC3A-D15D085E630E}"/>
    <cellStyle name="Ergebnis 4 43" xfId="21188" xr:uid="{34E7C6D3-AC77-4A09-8F9F-D6F19190B092}"/>
    <cellStyle name="Ergebnis 4 44" xfId="21680" xr:uid="{8455CAA5-32FE-4C13-A50F-150CDE88949C}"/>
    <cellStyle name="Ergebnis 4 45" xfId="22119" xr:uid="{6D9C9288-B8E2-4870-9647-715BA952A9B3}"/>
    <cellStyle name="Ergebnis 4 46" xfId="22546" xr:uid="{6D0752CC-3E79-4E9B-BADF-75F63EA6D41E}"/>
    <cellStyle name="Ergebnis 4 47" xfId="22992" xr:uid="{15AD3C93-5CA2-4EEC-A6EB-22D64ACA6A29}"/>
    <cellStyle name="Ergebnis 4 48" xfId="23396" xr:uid="{387ABE72-3D40-475A-9393-4DB4A801AA33}"/>
    <cellStyle name="Ergebnis 4 49" xfId="23662" xr:uid="{4D45067D-2175-4F55-8F5E-AD05D375A67B}"/>
    <cellStyle name="Ergebnis 4 5" xfId="2375" xr:uid="{C544EC4E-4417-4F3E-A38D-0EDDF300F518}"/>
    <cellStyle name="Ergebnis 4 50" xfId="23744" xr:uid="{D6BB8F21-53F7-4F9B-8454-9B52C587231E}"/>
    <cellStyle name="Ergebnis 4 51" xfId="24643" xr:uid="{C12088EF-F688-402D-9D96-6F5FB44D3346}"/>
    <cellStyle name="Ergebnis 4 52" xfId="25434" xr:uid="{7ECC891D-306D-4AAA-BC6B-0FA1763BF8FE}"/>
    <cellStyle name="Ergebnis 4 53" xfId="25561" xr:uid="{4CE704EC-8673-4980-8324-A6D5E1ADC12B}"/>
    <cellStyle name="Ergebnis 4 54" xfId="26300" xr:uid="{2F88FBB3-4511-4CDE-A6FE-6BC236D8FE9E}"/>
    <cellStyle name="Ergebnis 4 55" xfId="25092" xr:uid="{54149791-5426-44E4-95C1-41FA0EC4AB94}"/>
    <cellStyle name="Ergebnis 4 56" xfId="26851" xr:uid="{E43351F8-FA0D-48C7-9E60-B70637D28E85}"/>
    <cellStyle name="Ergebnis 4 57" xfId="27270" xr:uid="{DB70A47F-99BA-44FA-BBBF-A2B4FAFBCD9A}"/>
    <cellStyle name="Ergebnis 4 58" xfId="27615" xr:uid="{C88CFF48-47FD-4CD2-8416-BED468EBB1F1}"/>
    <cellStyle name="Ergebnis 4 59" xfId="28393" xr:uid="{F34E7256-4779-4648-8E8A-98FF5F686375}"/>
    <cellStyle name="Ergebnis 4 6" xfId="3196" xr:uid="{EDF514C8-47ED-4E78-8462-9610ABA3E2AB}"/>
    <cellStyle name="Ergebnis 4 60" xfId="28861" xr:uid="{BB660E7F-82F6-4110-ADC5-125313F81B94}"/>
    <cellStyle name="Ergebnis 4 61" xfId="29543" xr:uid="{86E98CEE-38FE-4CB1-8C31-406DB8B25872}"/>
    <cellStyle name="Ergebnis 4 62" xfId="29651" xr:uid="{0F233971-4289-460E-97BB-D2D5D745F475}"/>
    <cellStyle name="Ergebnis 4 63" xfId="30059" xr:uid="{F7A151FF-AF8B-45E9-9EDF-232033737691}"/>
    <cellStyle name="Ergebnis 4 64" xfId="30473" xr:uid="{616A2D64-3E99-4113-91DA-2A0A698A60C2}"/>
    <cellStyle name="Ergebnis 4 65" xfId="30877" xr:uid="{B6A05500-01AF-4EA7-9C72-A3057D47F2CA}"/>
    <cellStyle name="Ergebnis 4 66" xfId="31097" xr:uid="{228739B8-9EAC-45BE-BA29-7C963A893A95}"/>
    <cellStyle name="Ergebnis 4 67" xfId="31783" xr:uid="{08473C5C-E576-45F6-B014-2AED1CE2DF48}"/>
    <cellStyle name="Ergebnis 4 68" xfId="32374" xr:uid="{EFC0F07D-E110-4100-8BE9-D07B04EE24C0}"/>
    <cellStyle name="Ergebnis 4 7" xfId="3013" xr:uid="{CC5092EE-4B5C-4A60-984A-4657988E0632}"/>
    <cellStyle name="Ergebnis 4 8" xfId="3871" xr:uid="{0D01D34E-4D38-4547-B948-ADA0B8C4EC0A}"/>
    <cellStyle name="Ergebnis 4 9" xfId="4309" xr:uid="{03BF1FA3-8F13-441F-8417-C164162094F1}"/>
    <cellStyle name="Ergebnis 5" xfId="627" xr:uid="{415E1329-B024-4A6B-829F-74950D0644E8}"/>
    <cellStyle name="Ergebnis 5 10" xfId="4787" xr:uid="{DB63B1F1-DA8D-48C6-9287-DC1E4F96FD78}"/>
    <cellStyle name="Ergebnis 5 11" xfId="5275" xr:uid="{E266C72E-9821-4649-998B-3D643065AD2C}"/>
    <cellStyle name="Ergebnis 5 12" xfId="5752" xr:uid="{E3998522-D85C-4F3B-83FE-79C512E9D458}"/>
    <cellStyle name="Ergebnis 5 13" xfId="5157" xr:uid="{25BFAABC-FF71-4D46-98EF-A9EE835117C9}"/>
    <cellStyle name="Ergebnis 5 14" xfId="6121" xr:uid="{B3321FE9-6AF9-4133-A43F-0129F91C8017}"/>
    <cellStyle name="Ergebnis 5 15" xfId="7347" xr:uid="{DA5E8530-94B4-41C0-82B7-3BD434A1A993}"/>
    <cellStyle name="Ergebnis 5 16" xfId="7939" xr:uid="{33FC369C-A970-45E1-AEBE-20F0F288EA57}"/>
    <cellStyle name="Ergebnis 5 17" xfId="7950" xr:uid="{61DCDDB2-04D6-4858-853A-71D8439B159D}"/>
    <cellStyle name="Ergebnis 5 18" xfId="8222" xr:uid="{CCCEE9AB-1B8E-4B5F-B09A-51BFA6DC05AF}"/>
    <cellStyle name="Ergebnis 5 19" xfId="9561" xr:uid="{596486B0-0AB5-486A-A4BF-B0A93BF5F32D}"/>
    <cellStyle name="Ergebnis 5 2" xfId="842" xr:uid="{959AD402-7521-4AFF-91F0-B994BB2DDD3B}"/>
    <cellStyle name="Ergebnis 5 2 10" xfId="5490" xr:uid="{2B1F56D5-0E89-4493-A0E2-CAC9381048EE}"/>
    <cellStyle name="Ergebnis 5 2 11" xfId="3278" xr:uid="{3163E1BE-4938-417F-BF06-5011B53986DE}"/>
    <cellStyle name="Ergebnis 5 2 12" xfId="6106" xr:uid="{9CA003B3-F4ED-40CF-8E44-1A7C4F2C93B9}"/>
    <cellStyle name="Ergebnis 5 2 13" xfId="6009" xr:uid="{AB8E98A4-2A2B-4AD9-8CC9-C41301D3BB24}"/>
    <cellStyle name="Ergebnis 5 2 14" xfId="7562" xr:uid="{11AEA55E-A4C9-453A-8B91-D3CE1B6CDCC7}"/>
    <cellStyle name="Ergebnis 5 2 15" xfId="7032" xr:uid="{E82CE91B-38D4-4214-9BF7-C59054F04CFE}"/>
    <cellStyle name="Ergebnis 5 2 16" xfId="7760" xr:uid="{0762140B-880E-47B3-AEDD-3FA2E20CA1DC}"/>
    <cellStyle name="Ergebnis 5 2 17" xfId="7728" xr:uid="{B5E02B64-DA30-4205-A2AF-AF4C9A21A50E}"/>
    <cellStyle name="Ergebnis 5 2 18" xfId="9776" xr:uid="{20DEB70D-CCCF-436D-9557-67AFE2361E90}"/>
    <cellStyle name="Ergebnis 5 2 19" xfId="9245" xr:uid="{1FCE4082-E5BA-4512-81CC-B43E27939023}"/>
    <cellStyle name="Ergebnis 5 2 2" xfId="1316" xr:uid="{823638C4-1266-4E77-B53C-96362AE9DD95}"/>
    <cellStyle name="Ergebnis 5 2 20" xfId="9907" xr:uid="{974F80A3-58C4-45D5-9489-5851BC3578E9}"/>
    <cellStyle name="Ergebnis 5 2 21" xfId="10781" xr:uid="{46CB6400-4531-478E-ACB9-93E529E2F5FF}"/>
    <cellStyle name="Ergebnis 5 2 22" xfId="9934" xr:uid="{323B0ECA-9471-48FF-B4B4-5DD344735700}"/>
    <cellStyle name="Ergebnis 5 2 23" xfId="12195" xr:uid="{D7A220E4-F567-4932-84EC-12D95773781C}"/>
    <cellStyle name="Ergebnis 5 2 24" xfId="12668" xr:uid="{3E025C36-ECE9-46F5-8FCE-E8DC89C465FF}"/>
    <cellStyle name="Ergebnis 5 2 25" xfId="13102" xr:uid="{D9A15A9E-BE6D-4860-8E86-4B7906A768AD}"/>
    <cellStyle name="Ergebnis 5 2 26" xfId="13539" xr:uid="{CB170B24-DF73-4FE4-A240-2C58A6D1758F}"/>
    <cellStyle name="Ergebnis 5 2 27" xfId="13705" xr:uid="{E766DBA5-748E-4BDE-931E-BE5A3F332F71}"/>
    <cellStyle name="Ergebnis 5 2 28" xfId="13750" xr:uid="{152EC1C6-3048-469D-9149-ED4EC3AF910F}"/>
    <cellStyle name="Ergebnis 5 2 29" xfId="11859" xr:uid="{5CC8E24F-1BCD-4F60-AB98-41FA2B166244}"/>
    <cellStyle name="Ergebnis 5 2 3" xfId="1765" xr:uid="{049B296A-13CA-481F-A143-588269F92691}"/>
    <cellStyle name="Ergebnis 5 2 30" xfId="14702" xr:uid="{A7059D63-8963-4612-A751-D5BFF06B4B83}"/>
    <cellStyle name="Ergebnis 5 2 31" xfId="14126" xr:uid="{3D199C46-865B-41FB-A306-B1C3C663E27C}"/>
    <cellStyle name="Ergebnis 5 2 32" xfId="15122" xr:uid="{4826F4D5-E87D-4FCB-8CDC-AD6477D41A4E}"/>
    <cellStyle name="Ergebnis 5 2 33" xfId="16887" xr:uid="{8DE424E5-F35A-4A75-A1DA-5132750F8E3E}"/>
    <cellStyle name="Ergebnis 5 2 34" xfId="16355" xr:uid="{34B97C34-0752-4357-9DE4-CF00384A63FF}"/>
    <cellStyle name="Ergebnis 5 2 35" xfId="17019" xr:uid="{170C826D-1330-4B75-9ABB-2342B052BDD1}"/>
    <cellStyle name="Ergebnis 5 2 36" xfId="18001" xr:uid="{7E888AA2-4925-4A3A-8E42-FFF37A09045D}"/>
    <cellStyle name="Ergebnis 5 2 37" xfId="18705" xr:uid="{178B376B-DC81-469F-AA11-315BEF59851E}"/>
    <cellStyle name="Ergebnis 5 2 38" xfId="18002" xr:uid="{2808B57A-91A4-4C4E-99D2-7C557862BCA1}"/>
    <cellStyle name="Ergebnis 5 2 39" xfId="19208" xr:uid="{02D5E1E0-CE01-4EF8-BCC0-88C3F2F4B63E}"/>
    <cellStyle name="Ergebnis 5 2 4" xfId="2664" xr:uid="{14C7962D-8A2D-4D51-9738-994D14D01148}"/>
    <cellStyle name="Ergebnis 5 2 40" xfId="20224" xr:uid="{97AA2FD3-C587-4692-B685-DDEA2AB1E8E4}"/>
    <cellStyle name="Ergebnis 5 2 41" xfId="19688" xr:uid="{553847C8-96D6-4EE9-8F4D-D00EA2022F1A}"/>
    <cellStyle name="Ergebnis 5 2 42" xfId="20549" xr:uid="{54A31A1E-CA59-4C0E-BCEE-C9A677793204}"/>
    <cellStyle name="Ergebnis 5 2 43" xfId="21631" xr:uid="{243B64DD-4F19-4214-9A08-970AA91D7F85}"/>
    <cellStyle name="Ergebnis 5 2 44" xfId="20858" xr:uid="{5EE118E6-4F47-4176-92A9-73BF73CDF990}"/>
    <cellStyle name="Ergebnis 5 2 45" xfId="21982" xr:uid="{3C4CA2AE-9B2F-42A5-A8DD-268B19DDA549}"/>
    <cellStyle name="Ergebnis 5 2 46" xfId="22702" xr:uid="{154BF2EA-399C-42FE-BBD4-5CD6E1874ACE}"/>
    <cellStyle name="Ergebnis 5 2 47" xfId="22354" xr:uid="{CC8747BA-29CA-4CE7-83BF-36F6E8E2325E}"/>
    <cellStyle name="Ergebnis 5 2 48" xfId="22742" xr:uid="{73A241F1-4A1D-40CE-99F7-36943FE99F57}"/>
    <cellStyle name="Ergebnis 5 2 49" xfId="24024" xr:uid="{E074B4F4-B59E-495F-A3AC-FF2203DB6938}"/>
    <cellStyle name="Ergebnis 5 2 5" xfId="2870" xr:uid="{E9251B65-EE26-405F-AE63-7B442E63EBC9}"/>
    <cellStyle name="Ergebnis 5 2 50" xfId="24932" xr:uid="{9FFA4E9B-92C1-43CB-A500-AFAFDF9177B7}"/>
    <cellStyle name="Ergebnis 5 2 51" xfId="24397" xr:uid="{463C6ED2-0B64-49A8-A9BF-D6AC3A49ED80}"/>
    <cellStyle name="Ergebnis 5 2 52" xfId="25848" xr:uid="{E56BFD14-A818-421D-8C9A-0ED371E23BFD}"/>
    <cellStyle name="Ergebnis 5 2 53" xfId="25959" xr:uid="{D0CBC816-59F3-4DE0-82AE-21359A43C951}"/>
    <cellStyle name="Ergebnis 5 2 54" xfId="26690" xr:uid="{E34920F3-6A1F-49D4-ABF3-305459023594}"/>
    <cellStyle name="Ergebnis 5 2 55" xfId="27136" xr:uid="{C324910F-47FA-46B3-A093-0A107DA4C8DD}"/>
    <cellStyle name="Ergebnis 5 2 56" xfId="27555" xr:uid="{86F52956-F505-44DC-B6F7-A529C084BDBE}"/>
    <cellStyle name="Ergebnis 5 2 57" xfId="27677" xr:uid="{05629E16-6DA0-439B-A8FF-2AA7A981464C}"/>
    <cellStyle name="Ergebnis 5 2 58" xfId="28682" xr:uid="{28921A09-C2E0-4E5A-BC77-A3727AC7F8AF}"/>
    <cellStyle name="Ergebnis 5 2 59" xfId="29149" xr:uid="{8B20D277-1630-4CC9-A103-355DB3CF8195}"/>
    <cellStyle name="Ergebnis 5 2 6" xfId="3194" xr:uid="{4D057DCF-496F-4A69-9F96-1FB569FCAC0C}"/>
    <cellStyle name="Ergebnis 5 2 60" xfId="27895" xr:uid="{7A8D72CA-8705-4014-9075-3CA54C9F6FEA}"/>
    <cellStyle name="Ergebnis 5 2 61" xfId="29938" xr:uid="{99B46DFF-9EC8-44E0-85D3-AB088284EBCE}"/>
    <cellStyle name="Ergebnis 5 2 62" xfId="30344" xr:uid="{ED400CEA-EA5E-4AC4-9308-C1FC02352D17}"/>
    <cellStyle name="Ergebnis 5 2 63" xfId="30761" xr:uid="{0CAC7F2F-CADF-445D-9E01-81096D926B85}"/>
    <cellStyle name="Ergebnis 5 2 64" xfId="28773" xr:uid="{427B28F2-00DE-4F35-A47D-934D0D4FF3A9}"/>
    <cellStyle name="Ergebnis 5 2 65" xfId="31377" xr:uid="{D9AC2037-39ED-479C-B065-5A159FDE6FAD}"/>
    <cellStyle name="Ergebnis 5 2 66" xfId="32068" xr:uid="{2AF0582B-8A04-44B6-A669-9B8204ED7FE4}"/>
    <cellStyle name="Ergebnis 5 2 67" xfId="31430" xr:uid="{FF1739FA-BFAB-402F-9E71-EBC03BBC1024}"/>
    <cellStyle name="Ergebnis 5 2 7" xfId="4160" xr:uid="{A12E5B67-FDDC-4B24-804D-58B026771542}"/>
    <cellStyle name="Ergebnis 5 2 8" xfId="4597" xr:uid="{3728F91B-908E-4A09-85F5-8763BDBAE088}"/>
    <cellStyle name="Ergebnis 5 2 9" xfId="3715" xr:uid="{FD61874D-CE41-42BD-AAA7-FC82CAC4E59C}"/>
    <cellStyle name="Ergebnis 5 20" xfId="10152" xr:uid="{E8C06741-41D2-46E1-BD0C-C18548460D6F}"/>
    <cellStyle name="Ergebnis 5 21" xfId="10562" xr:uid="{3967C382-452A-4FCB-AFB0-3049D2BC3A74}"/>
    <cellStyle name="Ergebnis 5 22" xfId="10496" xr:uid="{136825BF-CBEA-45F6-BC2B-B950A54AE803}"/>
    <cellStyle name="Ergebnis 5 23" xfId="10722" xr:uid="{CCF44D90-324D-4ABD-9761-8A15772646E6}"/>
    <cellStyle name="Ergebnis 5 24" xfId="11980" xr:uid="{61AB2A6E-F2BF-4DE1-A374-16BD75A43BE5}"/>
    <cellStyle name="Ergebnis 5 25" xfId="12453" xr:uid="{7D21D65F-4696-444D-BFF9-6B92C41DB011}"/>
    <cellStyle name="Ergebnis 5 26" xfId="12887" xr:uid="{0EAB5F9F-92A9-4891-A0D1-85D5C2AFA780}"/>
    <cellStyle name="Ergebnis 5 27" xfId="13324" xr:uid="{60BF74AC-F4D4-4473-BF66-D4C3683902A7}"/>
    <cellStyle name="Ergebnis 5 28" xfId="12756" xr:uid="{FA38D1FE-9652-4FF9-88BF-EBCA4A3C89C2}"/>
    <cellStyle name="Ergebnis 5 29" xfId="13782" xr:uid="{5C8B62DA-9C5B-40EC-A5A5-76F2F813ED79}"/>
    <cellStyle name="Ergebnis 5 3" xfId="1110" xr:uid="{00E35B10-095C-43EC-9EB1-DD559B1489C8}"/>
    <cellStyle name="Ergebnis 5 30" xfId="14853" xr:uid="{0B9C28AC-335D-4526-9F84-852A78981EE8}"/>
    <cellStyle name="Ergebnis 5 31" xfId="14912" xr:uid="{E6841CE6-6814-408D-B35A-6BD00FA18224}"/>
    <cellStyle name="Ergebnis 5 32" xfId="13934" xr:uid="{25392C61-4DB2-43AB-AEA6-D223759ACB6E}"/>
    <cellStyle name="Ergebnis 5 33" xfId="15941" xr:uid="{658C43CE-AD28-4FAF-BEB1-2E26985AFA3B}"/>
    <cellStyle name="Ergebnis 5 34" xfId="16672" xr:uid="{07F4F95F-9EE1-4B70-9A43-0A1865EF5270}"/>
    <cellStyle name="Ergebnis 5 35" xfId="17272" xr:uid="{49E467B9-B4CC-458F-A5CB-FBA66AD80C1A}"/>
    <cellStyle name="Ergebnis 5 36" xfId="17716" xr:uid="{41CE389A-32BD-49B3-98AE-64B2B8DDC435}"/>
    <cellStyle name="Ergebnis 5 37" xfId="17546" xr:uid="{CE832540-B700-41DE-8335-AC4ED75F640A}"/>
    <cellStyle name="Ergebnis 5 38" xfId="18490" xr:uid="{66D21F87-1492-4C4C-B24B-0DB0715E0486}"/>
    <cellStyle name="Ergebnis 5 39" xfId="17750" xr:uid="{C2D6CC28-ABA0-4173-BDB2-2E7DA9100233}"/>
    <cellStyle name="Ergebnis 5 4" xfId="1708" xr:uid="{8BAA7851-D687-469D-B4CA-627A65AA5121}"/>
    <cellStyle name="Ergebnis 5 40" xfId="18054" xr:uid="{9E5EF933-4CAF-4246-923A-DCD65D01A211}"/>
    <cellStyle name="Ergebnis 5 41" xfId="20009" xr:uid="{29497CE1-29AD-44F2-AE9D-DFBC365E7345}"/>
    <cellStyle name="Ergebnis 5 42" xfId="20622" xr:uid="{D7D065EA-B123-4393-B170-32335D940242}"/>
    <cellStyle name="Ergebnis 5 43" xfId="21077" xr:uid="{5037403E-AA51-49AC-BE21-EF76A6AC5C7E}"/>
    <cellStyle name="Ergebnis 5 44" xfId="21234" xr:uid="{143F53AC-3794-4BD8-AAE9-E728AFAC7E6B}"/>
    <cellStyle name="Ergebnis 5 45" xfId="22008" xr:uid="{A491BB30-24DF-442F-BE73-3E7785E60B8C}"/>
    <cellStyle name="Ergebnis 5 46" xfId="22439" xr:uid="{3AD254F6-D7BD-4391-865D-73393502DB39}"/>
    <cellStyle name="Ergebnis 5 47" xfId="21837" xr:uid="{65744BB2-7426-402A-8AA9-385F024D09EF}"/>
    <cellStyle name="Ergebnis 5 48" xfId="21834" xr:uid="{65336432-F31E-450B-BB14-332892E81044}"/>
    <cellStyle name="Ergebnis 5 49" xfId="22525" xr:uid="{CA34D687-2998-4955-9CCB-0E843172C119}"/>
    <cellStyle name="Ergebnis 5 5" xfId="2449" xr:uid="{3001BE7D-C145-481D-8807-0AA4E77C429D}"/>
    <cellStyle name="Ergebnis 5 50" xfId="23818" xr:uid="{414F5DE9-EDA6-4CBA-80EC-BAFAF99B69F0}"/>
    <cellStyle name="Ergebnis 5 51" xfId="24717" xr:uid="{EA1C8511-39F2-43E5-AEAD-FFAEAB03D3F0}"/>
    <cellStyle name="Ergebnis 5 52" xfId="25328" xr:uid="{D566A1BA-E9BE-4156-A3E1-E4CC0E48F2E6}"/>
    <cellStyle name="Ergebnis 5 53" xfId="25635" xr:uid="{62B8BA0B-A12D-451E-8BCE-B504467CC6D4}"/>
    <cellStyle name="Ergebnis 5 54" xfId="24396" xr:uid="{28C26C10-3752-4B55-859B-199AB294EF07}"/>
    <cellStyle name="Ergebnis 5 55" xfId="24444" xr:uid="{C519379D-10B2-4D1C-B4AC-7CF0DC487674}"/>
    <cellStyle name="Ergebnis 5 56" xfId="26925" xr:uid="{579402E6-9D0A-4521-A6CA-56898EF76AB7}"/>
    <cellStyle name="Ergebnis 5 57" xfId="27344" xr:uid="{EC849825-BF56-42FD-89C9-D84A21FF8BA4}"/>
    <cellStyle name="Ergebnis 5 58" xfId="27412" xr:uid="{2E36AD0E-1884-435F-B860-1B98E9E61CC0}"/>
    <cellStyle name="Ergebnis 5 59" xfId="28467" xr:uid="{C33BF486-65EE-477E-A51C-2E7EE0950AFC}"/>
    <cellStyle name="Ergebnis 5 6" xfId="2053" xr:uid="{E90543FC-839E-49EE-8F55-600CB7B78A96}"/>
    <cellStyle name="Ergebnis 5 60" xfId="28935" xr:uid="{B7F25151-1E0A-434E-9F84-BBD46D65B06B}"/>
    <cellStyle name="Ergebnis 5 61" xfId="29451" xr:uid="{2D95AEA4-1B89-4E84-95D1-43757AC3C30C}"/>
    <cellStyle name="Ergebnis 5 62" xfId="29725" xr:uid="{DC4EFA52-5473-4F8F-BC9A-4671F144F305}"/>
    <cellStyle name="Ergebnis 5 63" xfId="30133" xr:uid="{47D931D1-46C8-4725-8713-B849DFE36C15}"/>
    <cellStyle name="Ergebnis 5 64" xfId="30547" xr:uid="{BA2BEAE4-3056-4A8C-8AA9-129806283B1C}"/>
    <cellStyle name="Ergebnis 5 65" xfId="29474" xr:uid="{DC4464B7-854D-4C63-B2FF-2B971A172D2C}"/>
    <cellStyle name="Ergebnis 5 66" xfId="31171" xr:uid="{AA540020-FBFF-4EF0-B3F2-0ED329EBB92E}"/>
    <cellStyle name="Ergebnis 5 67" xfId="31857" xr:uid="{128C2869-0F3D-4ACC-A195-6FFAD82F44F8}"/>
    <cellStyle name="Ergebnis 5 68" xfId="32132" xr:uid="{C4856A63-7F34-4F0D-9280-799DAE60C485}"/>
    <cellStyle name="Ergebnis 5 7" xfId="2251" xr:uid="{D68E84D1-1720-42AA-8A56-EB18CC140F0B}"/>
    <cellStyle name="Ergebnis 5 8" xfId="3945" xr:uid="{EDC6E5DF-1D21-4355-8015-7C127F470917}"/>
    <cellStyle name="Ergebnis 5 9" xfId="4383" xr:uid="{C347DE66-14AB-4195-BBC5-FC83095E0701}"/>
    <cellStyle name="Ergebnis 6" xfId="634" xr:uid="{D921398B-05F5-40FF-98C7-DC65241FAA9F}"/>
    <cellStyle name="Ergebnis 6 10" xfId="2016" xr:uid="{A543293D-47B5-4371-A72D-5A269EC21BC8}"/>
    <cellStyle name="Ergebnis 6 11" xfId="5282" xr:uid="{6894B068-1585-48C8-A44F-7253F9DC731A}"/>
    <cellStyle name="Ergebnis 6 12" xfId="6001" xr:uid="{49CBDE23-510E-4A05-A8FB-0F3574FCC996}"/>
    <cellStyle name="Ergebnis 6 13" xfId="6363" xr:uid="{5B54155B-2FFF-4D09-96C5-6CCF91092334}"/>
    <cellStyle name="Ergebnis 6 14" xfId="5953" xr:uid="{3AE13FFC-FA61-42B9-B28C-DBDF1B9850F6}"/>
    <cellStyle name="Ergebnis 6 15" xfId="7354" xr:uid="{823F2C07-A8C4-46CB-AA3D-73D075E3327D}"/>
    <cellStyle name="Ergebnis 6 16" xfId="7777" xr:uid="{7515E5D7-0390-4CE1-ADC5-DF10A91B08AD}"/>
    <cellStyle name="Ergebnis 6 17" xfId="7215" xr:uid="{EF4A220A-5381-48ED-8B2D-E467BC4F05FD}"/>
    <cellStyle name="Ergebnis 6 18" xfId="8231" xr:uid="{888C4D5D-7311-4AB4-B5E8-A1679C4F681A}"/>
    <cellStyle name="Ergebnis 6 19" xfId="9568" xr:uid="{C1CF671A-BDF2-439B-B35E-7F4ABDA1B718}"/>
    <cellStyle name="Ergebnis 6 2" xfId="849" xr:uid="{30B951B7-76CE-49F2-A476-CD93CE0B6103}"/>
    <cellStyle name="Ergebnis 6 2 10" xfId="5497" xr:uid="{E1339751-9E66-47C2-9FD5-2134C8E252DA}"/>
    <cellStyle name="Ergebnis 6 2 11" xfId="4978" xr:uid="{FDADA170-70DF-4F8A-9A65-8489E68A3CD1}"/>
    <cellStyle name="Ergebnis 6 2 12" xfId="6315" xr:uid="{27A3B2B5-F35B-4475-8D24-7BB6B4396F49}"/>
    <cellStyle name="Ergebnis 6 2 13" xfId="6677" xr:uid="{9A95A6E4-4B71-4713-864C-B738E278E39A}"/>
    <cellStyle name="Ergebnis 6 2 14" xfId="7569" xr:uid="{85A59CCD-E046-4B1D-8435-46E4CE875CA3}"/>
    <cellStyle name="Ergebnis 6 2 15" xfId="7206" xr:uid="{8F6D5BCD-0FDD-4D1C-9130-EA198A12674C}"/>
    <cellStyle name="Ergebnis 6 2 16" xfId="8204" xr:uid="{DE6E7638-370C-4C77-AD59-B8101E769409}"/>
    <cellStyle name="Ergebnis 6 2 17" xfId="8712" xr:uid="{ACC2FE70-FD68-4DED-B0A3-A67694EB6E99}"/>
    <cellStyle name="Ergebnis 6 2 18" xfId="9783" xr:uid="{5B39C64A-6C82-4521-A80D-2D59E93607CF}"/>
    <cellStyle name="Ergebnis 6 2 19" xfId="9419" xr:uid="{791675F5-77EF-4952-B89F-9316B85BC77B}"/>
    <cellStyle name="Ergebnis 6 2 2" xfId="1323" xr:uid="{897D3228-3F49-4401-AF8C-4E0A7072FCB4}"/>
    <cellStyle name="Ergebnis 6 2 20" xfId="9148" xr:uid="{BF85CF88-A744-4CF1-A77C-7F605A4A4743}"/>
    <cellStyle name="Ergebnis 6 2 21" xfId="10906" xr:uid="{1A320141-A140-472F-89BA-A34C61226DC2}"/>
    <cellStyle name="Ergebnis 6 2 22" xfId="11294" xr:uid="{8CE5E1C5-22CA-4901-B7C7-A147A123E665}"/>
    <cellStyle name="Ergebnis 6 2 23" xfId="12202" xr:uid="{50B7505C-6FD2-4D52-B455-3AF348856F36}"/>
    <cellStyle name="Ergebnis 6 2 24" xfId="12675" xr:uid="{B16B8C5B-AC3B-48BE-8295-576AF1702675}"/>
    <cellStyle name="Ergebnis 6 2 25" xfId="13109" xr:uid="{3887E4C2-D6D5-4568-A65B-E80ED43E006E}"/>
    <cellStyle name="Ergebnis 6 2 26" xfId="13546" xr:uid="{ECA2ED74-D490-41DA-AD8D-BCC2C06F546D}"/>
    <cellStyle name="Ergebnis 6 2 27" xfId="11809" xr:uid="{9F01A702-EF85-4E1E-BAEA-8457A755CAB9}"/>
    <cellStyle name="Ergebnis 6 2 28" xfId="13192" xr:uid="{A0DE402D-7F33-42C0-B335-DD7F7BA593CC}"/>
    <cellStyle name="Ergebnis 6 2 29" xfId="11440" xr:uid="{A9961E05-936B-47E4-9D30-4454BB22082F}"/>
    <cellStyle name="Ergebnis 6 2 3" xfId="1772" xr:uid="{C5E7C9CF-D932-4CB7-83C0-6E765E88BEBF}"/>
    <cellStyle name="Ergebnis 6 2 30" xfId="11609" xr:uid="{87DC7219-3DEF-450B-8687-EE66D6D17E9B}"/>
    <cellStyle name="Ergebnis 6 2 31" xfId="11562" xr:uid="{8ED170C0-5D77-4410-8FC3-61340971A302}"/>
    <cellStyle name="Ergebnis 6 2 32" xfId="13763" xr:uid="{233D33D2-0510-4104-BED5-C478D50D8ADF}"/>
    <cellStyle name="Ergebnis 6 2 33" xfId="16894" xr:uid="{AB6967C1-F16C-48F0-AC00-B1E29D55E66C}"/>
    <cellStyle name="Ergebnis 6 2 34" xfId="16528" xr:uid="{3248B49E-CA8A-4D05-A558-D94E299F4A02}"/>
    <cellStyle name="Ergebnis 6 2 35" xfId="16133" xr:uid="{08280AD8-6A1D-459D-9B6B-84318D01AD08}"/>
    <cellStyle name="Ergebnis 6 2 36" xfId="17729" xr:uid="{6B0BDDC5-C133-45D6-86BA-C3E1C344E93C}"/>
    <cellStyle name="Ergebnis 6 2 37" xfId="18712" xr:uid="{E37618E8-C10A-4928-8E35-2296F315FF82}"/>
    <cellStyle name="Ergebnis 6 2 38" xfId="18793" xr:uid="{6422F268-F388-42AB-B899-38D26F6AD8EE}"/>
    <cellStyle name="Ergebnis 6 2 39" xfId="18970" xr:uid="{E0E079FA-4B35-43F6-87FA-AB3295FE6526}"/>
    <cellStyle name="Ergebnis 6 2 4" xfId="2671" xr:uid="{88E5CBCD-4F39-47CF-91AF-580F43866B18}"/>
    <cellStyle name="Ergebnis 6 2 40" xfId="20231" xr:uid="{7464985D-7574-47B7-BDDC-D189AD6FF1D7}"/>
    <cellStyle name="Ergebnis 6 2 41" xfId="19864" xr:uid="{B0453BF1-6150-42AD-8514-0C77E3344E05}"/>
    <cellStyle name="Ergebnis 6 2 42" xfId="20474" xr:uid="{0A0693B4-02DA-4298-9E1B-3A31D4812092}"/>
    <cellStyle name="Ergebnis 6 2 43" xfId="21157" xr:uid="{98F388FD-35BF-4F87-A37E-DD1361646964}"/>
    <cellStyle name="Ergebnis 6 2 44" xfId="21529" xr:uid="{CC7EFF8D-CCF6-4175-A453-9BC46A6023E6}"/>
    <cellStyle name="Ergebnis 6 2 45" xfId="21962" xr:uid="{82407A96-29DB-4D54-A48F-C57962C1A988}"/>
    <cellStyle name="Ergebnis 6 2 46" xfId="21887" xr:uid="{8D330E0F-8359-4AB3-8919-9A09117BB14F}"/>
    <cellStyle name="Ergebnis 6 2 47" xfId="23065" xr:uid="{33F3AA8A-6864-40D5-8BD9-267FBB43B4D9}"/>
    <cellStyle name="Ergebnis 6 2 48" xfId="23475" xr:uid="{BEE22420-9E3F-489E-A324-457B9EB22BE5}"/>
    <cellStyle name="Ergebnis 6 2 49" xfId="24031" xr:uid="{7C8D1EF2-3CEF-4CE4-94BD-F8DAF9DF1EB7}"/>
    <cellStyle name="Ergebnis 6 2 5" xfId="1852" xr:uid="{D599A4A0-C8DE-4FEE-8460-1C0F638724FF}"/>
    <cellStyle name="Ergebnis 6 2 50" xfId="24939" xr:uid="{004C23FB-4596-4E20-AC10-5295D0806460}"/>
    <cellStyle name="Ergebnis 6 2 51" xfId="24570" xr:uid="{C432443F-E12C-4C3D-93FA-58C2387A1A3B}"/>
    <cellStyle name="Ergebnis 6 2 52" xfId="25855" xr:uid="{25B2CE2F-9013-4D5D-98B2-5F89A56F725B}"/>
    <cellStyle name="Ergebnis 6 2 53" xfId="25014" xr:uid="{45A46974-7A86-4FB0-82BB-745D0BF73B0D}"/>
    <cellStyle name="Ergebnis 6 2 54" xfId="26497" xr:uid="{AB94981F-3A78-4F59-A87D-C2D2CBB4D8A4}"/>
    <cellStyle name="Ergebnis 6 2 55" xfId="27143" xr:uid="{77BEBDE2-2728-4987-BF6C-197B89B61E21}"/>
    <cellStyle name="Ergebnis 6 2 56" xfId="27562" xr:uid="{9B47E769-29B9-4AEE-A32D-0DEA8520AFBA}"/>
    <cellStyle name="Ergebnis 6 2 57" xfId="26713" xr:uid="{AEC01E6F-FC32-46C1-A3C5-D041D21122DC}"/>
    <cellStyle name="Ergebnis 6 2 58" xfId="28689" xr:uid="{44B91235-E0BE-4070-8426-C836610DAE54}"/>
    <cellStyle name="Ergebnis 6 2 59" xfId="29156" xr:uid="{D4D0763D-1933-40CC-86D7-E0F6062CAE57}"/>
    <cellStyle name="Ergebnis 6 2 6" xfId="2788" xr:uid="{C13F77FD-19FE-4176-B180-465846769777}"/>
    <cellStyle name="Ergebnis 6 2 60" xfId="28801" xr:uid="{820F6C73-859C-4D34-9C07-671FCD0527C5}"/>
    <cellStyle name="Ergebnis 6 2 61" xfId="29945" xr:uid="{BC3E7BBD-8C96-401E-8EFB-016859C80DF1}"/>
    <cellStyle name="Ergebnis 6 2 62" xfId="30351" xr:uid="{C477E2D2-80EF-497E-B72C-55BD499B5953}"/>
    <cellStyle name="Ergebnis 6 2 63" xfId="30768" xr:uid="{B6E5A6DF-85C9-47E5-AFB8-6618B6FACCB3}"/>
    <cellStyle name="Ergebnis 6 2 64" xfId="29224" xr:uid="{A4A7247F-B248-4C89-ABCD-31DE914430C6}"/>
    <cellStyle name="Ergebnis 6 2 65" xfId="31384" xr:uid="{8FB09B95-1FDB-4E28-809B-490B5146FABB}"/>
    <cellStyle name="Ergebnis 6 2 66" xfId="32075" xr:uid="{48141934-752B-4DFF-8F37-F924FE2AE3E0}"/>
    <cellStyle name="Ergebnis 6 2 67" xfId="31535" xr:uid="{6DF40B2F-A4A7-4E40-B4D6-9DE99E23FBBC}"/>
    <cellStyle name="Ergebnis 6 2 7" xfId="4167" xr:uid="{1975F592-416F-451F-86AE-6FD6809F950D}"/>
    <cellStyle name="Ergebnis 6 2 8" xfId="4604" xr:uid="{C93099FB-A27C-42EE-A90F-B90687A03E9B}"/>
    <cellStyle name="Ergebnis 6 2 9" xfId="3626" xr:uid="{B14B91E7-515A-43A1-8144-92A84DF98166}"/>
    <cellStyle name="Ergebnis 6 20" xfId="9990" xr:uid="{7FA9039A-04E8-4256-84F8-DA43920D87B7}"/>
    <cellStyle name="Ergebnis 6 21" xfId="10415" xr:uid="{E202CE44-29BD-4133-9166-D7212C85FA4E}"/>
    <cellStyle name="Ergebnis 6 22" xfId="10575" xr:uid="{7928F047-C780-4938-9D7C-D87DB1BD5C7B}"/>
    <cellStyle name="Ergebnis 6 23" xfId="11216" xr:uid="{ABBA175D-47F5-4D59-9206-CB27974397D7}"/>
    <cellStyle name="Ergebnis 6 24" xfId="11987" xr:uid="{87EDED69-BE05-47CE-9145-361A2A7D2468}"/>
    <cellStyle name="Ergebnis 6 25" xfId="12460" xr:uid="{462EAD7A-795A-43F4-B05A-C31B0B580BEE}"/>
    <cellStyle name="Ergebnis 6 26" xfId="12894" xr:uid="{B216BB83-4D2B-4234-AD3B-EFFFD3942584}"/>
    <cellStyle name="Ergebnis 6 27" xfId="13331" xr:uid="{5E0684D2-2294-4F5E-8863-00A2AE058EFB}"/>
    <cellStyle name="Ergebnis 6 28" xfId="13869" xr:uid="{2723C03E-22E3-4536-9E8B-D4EF03BEF7B8}"/>
    <cellStyle name="Ergebnis 6 29" xfId="12530" xr:uid="{F2C8484D-FD33-4873-AC95-5E312375BE45}"/>
    <cellStyle name="Ergebnis 6 3" xfId="1117" xr:uid="{FC7C49FC-5CF0-4CA9-8041-05BB1E2E6F5F}"/>
    <cellStyle name="Ergebnis 6 30" xfId="14908" xr:uid="{5B2ED34D-593F-4E8A-B6A9-99AF3338C5E5}"/>
    <cellStyle name="Ergebnis 6 31" xfId="15379" xr:uid="{DB070358-6E04-45D3-9B10-D6A358B086F7}"/>
    <cellStyle name="Ergebnis 6 32" xfId="15495" xr:uid="{4B4A5AAC-1FCE-40A9-80A9-3032AF45A295}"/>
    <cellStyle name="Ergebnis 6 33" xfId="15846" xr:uid="{E3FA5F38-009E-405C-B51D-E696130CA5D0}"/>
    <cellStyle name="Ergebnis 6 34" xfId="16679" xr:uid="{D10102A5-6823-4718-B243-7E5B0594D2C7}"/>
    <cellStyle name="Ergebnis 6 35" xfId="17106" xr:uid="{94D94756-AFB6-4EFD-B837-658E79D30EAC}"/>
    <cellStyle name="Ergebnis 6 36" xfId="17553" xr:uid="{CEDB2356-0F3B-4A3B-9985-36124C7112B3}"/>
    <cellStyle name="Ergebnis 6 37" xfId="17476" xr:uid="{99DE8FFD-866E-4D93-A696-B6B71AB0BB06}"/>
    <cellStyle name="Ergebnis 6 38" xfId="18497" xr:uid="{400C00CB-E7E3-46DC-A189-C55EA48E76C0}"/>
    <cellStyle name="Ergebnis 6 39" xfId="17580" xr:uid="{7994D981-D9B2-495B-BADB-6D687365B285}"/>
    <cellStyle name="Ergebnis 6 4" xfId="1684" xr:uid="{A72AC744-85A6-466A-8660-E4CA352FCE0C}"/>
    <cellStyle name="Ergebnis 6 40" xfId="18066" xr:uid="{456E8C33-9745-4191-AA67-55E781846019}"/>
    <cellStyle name="Ergebnis 6 41" xfId="20016" xr:uid="{A6DA8C13-00D3-4A70-BEC1-3FCCCDDB12B9}"/>
    <cellStyle name="Ergebnis 6 42" xfId="20459" xr:uid="{D96FA4E6-30A9-4F2E-A4BB-610B76D313A8}"/>
    <cellStyle name="Ergebnis 6 43" xfId="20912" xr:uid="{3E4F030B-5AB5-49F1-84A7-B1641092C75B}"/>
    <cellStyle name="Ergebnis 6 44" xfId="19601" xr:uid="{C585AB52-ADBD-479B-857B-F4B547239A33}"/>
    <cellStyle name="Ergebnis 6 45" xfId="21841" xr:uid="{D2F9AF57-EF14-48BA-B6FB-151E1859C804}"/>
    <cellStyle name="Ergebnis 6 46" xfId="22278" xr:uid="{EC76AA24-BA6F-4ED5-94FE-7A8B5BBB2D1F}"/>
    <cellStyle name="Ergebnis 6 47" xfId="22853" xr:uid="{0C034937-4D63-4603-ABF6-05067E92666D}"/>
    <cellStyle name="Ergebnis 6 48" xfId="22807" xr:uid="{66048B91-824A-4EDA-B112-2B2FEC181D60}"/>
    <cellStyle name="Ergebnis 6 49" xfId="22098" xr:uid="{317F25F6-AD34-4869-9FEB-5B07BC29D430}"/>
    <cellStyle name="Ergebnis 6 5" xfId="2456" xr:uid="{D662ED98-EBE8-4F38-83B5-9A586CF35B36}"/>
    <cellStyle name="Ergebnis 6 50" xfId="23825" xr:uid="{EBA99F9E-5410-4799-B08D-A75B00743A9F}"/>
    <cellStyle name="Ergebnis 6 51" xfId="24724" xr:uid="{50F09490-243A-49A9-9D40-C41ADFD9AAF7}"/>
    <cellStyle name="Ergebnis 6 52" xfId="25167" xr:uid="{EC969511-3D33-40F7-B319-BD393AC49477}"/>
    <cellStyle name="Ergebnis 6 53" xfId="25642" xr:uid="{A07C2CDA-0BEA-4331-88B8-9ECBA368EB33}"/>
    <cellStyle name="Ergebnis 6 54" xfId="26158" xr:uid="{1A3DE061-B0D3-4559-90B4-2E2DC50171CF}"/>
    <cellStyle name="Ergebnis 6 55" xfId="26418" xr:uid="{0927BE5D-F3A3-49B7-BD74-E1D9C11953C9}"/>
    <cellStyle name="Ergebnis 6 56" xfId="26932" xr:uid="{E71AFA95-66FA-4243-A766-55A35DFA685E}"/>
    <cellStyle name="Ergebnis 6 57" xfId="27351" xr:uid="{88C1C591-D99B-420A-8EE1-03A05827385F}"/>
    <cellStyle name="Ergebnis 6 58" xfId="27655" xr:uid="{50C1C9D5-65E8-4E19-A376-0F0B196A5068}"/>
    <cellStyle name="Ergebnis 6 59" xfId="28474" xr:uid="{F9EE6BEF-682D-4A56-9740-53253FADE5D4}"/>
    <cellStyle name="Ergebnis 6 6" xfId="3036" xr:uid="{FDC59967-1571-45CD-8654-F9026FE6E4BB}"/>
    <cellStyle name="Ergebnis 6 60" xfId="28942" xr:uid="{12FD04B7-CE84-40C4-9ED4-3515C60DFB88}"/>
    <cellStyle name="Ergebnis 6 61" xfId="29314" xr:uid="{7786AF14-E116-4B38-83AB-FAD4A860F595}"/>
    <cellStyle name="Ergebnis 6 62" xfId="29732" xr:uid="{9A6B6C2B-C29B-4E04-B7E0-26082577AA11}"/>
    <cellStyle name="Ergebnis 6 63" xfId="30140" xr:uid="{B6A83467-0506-40BE-9E46-4FBCBD3F6A95}"/>
    <cellStyle name="Ergebnis 6 64" xfId="30554" xr:uid="{1B2844F0-B65F-4CA7-A51E-175F6197C41E}"/>
    <cellStyle name="Ergebnis 6 65" xfId="28317" xr:uid="{541FA952-3957-4944-B1BA-176BECFC39B1}"/>
    <cellStyle name="Ergebnis 6 66" xfId="31178" xr:uid="{D6082A65-D306-44DB-8AB5-9E849E52453B}"/>
    <cellStyle name="Ergebnis 6 67" xfId="31864" xr:uid="{B0AEF049-75A7-445A-BF9C-EC87AB7EE4A5}"/>
    <cellStyle name="Ergebnis 6 68" xfId="32207" xr:uid="{ECE19269-A6CF-43AA-8B8D-0FE7BCBAB396}"/>
    <cellStyle name="Ergebnis 6 7" xfId="3382" xr:uid="{3989118F-25EC-493A-8E51-19504FFAA165}"/>
    <cellStyle name="Ergebnis 6 8" xfId="3952" xr:uid="{803657B6-4F9E-4FEF-8FF8-B9BA4B62790F}"/>
    <cellStyle name="Ergebnis 6 9" xfId="4390" xr:uid="{2A2DFE51-EF46-48CF-BC30-F4AD1DC4E3F8}"/>
    <cellStyle name="Ergebnis 7" xfId="682" xr:uid="{B750EA32-5882-4883-8CDD-AD19EF7AF3B5}"/>
    <cellStyle name="Ergebnis 7 10" xfId="5330" xr:uid="{F4658865-F047-4DCD-8082-59E30EE69EEC}"/>
    <cellStyle name="Ergebnis 7 11" xfId="5999" xr:uid="{5C2FF10C-9C4F-4452-9098-AF5E1CF76677}"/>
    <cellStyle name="Ergebnis 7 12" xfId="6361" xr:uid="{E95948C4-C85B-4830-95D0-247013F65D42}"/>
    <cellStyle name="Ergebnis 7 13" xfId="6701" xr:uid="{25832A6B-5EC9-44E5-B18F-1117BE972AC5}"/>
    <cellStyle name="Ergebnis 7 14" xfId="7402" xr:uid="{97BA3641-1ACA-4F0A-8483-C24413A44214}"/>
    <cellStyle name="Ergebnis 7 15" xfId="8041" xr:uid="{4125011C-13BB-4D0A-8AEE-9A731F5EA55C}"/>
    <cellStyle name="Ergebnis 7 16" xfId="8348" xr:uid="{DC5A3163-E648-4C3E-BE11-EE6108710236}"/>
    <cellStyle name="Ergebnis 7 17" xfId="8914" xr:uid="{B0F0B5AE-ADC6-491E-8029-0B93F9ACB905}"/>
    <cellStyle name="Ergebnis 7 18" xfId="9616" xr:uid="{C7BCC28F-BF2F-4D8C-99D0-420EE62B4A57}"/>
    <cellStyle name="Ergebnis 7 19" xfId="10260" xr:uid="{3996817B-7A10-4A07-9EC8-AAB99901E067}"/>
    <cellStyle name="Ergebnis 7 2" xfId="1164" xr:uid="{F0C0A8C7-AB28-4D89-9C84-528E78EE10EF}"/>
    <cellStyle name="Ergebnis 7 20" xfId="10653" xr:uid="{00D925E8-5059-424A-B69F-6D8D26CA4156}"/>
    <cellStyle name="Ergebnis 7 21" xfId="11006" xr:uid="{8E72D9AC-7A88-49C8-A4C5-06D51C3252B9}"/>
    <cellStyle name="Ergebnis 7 22" xfId="11318" xr:uid="{019575C2-1681-4777-A6CF-407D04DE83DA}"/>
    <cellStyle name="Ergebnis 7 23" xfId="12035" xr:uid="{6EE2FCA6-CDA7-4F48-A124-DA27C5F61AAB}"/>
    <cellStyle name="Ergebnis 7 24" xfId="12508" xr:uid="{9CFDB6A6-6290-464A-9BC5-C0552859E646}"/>
    <cellStyle name="Ergebnis 7 25" xfId="12942" xr:uid="{DAA4AF8B-9F3B-4DF4-8DA0-95ECEE50785C}"/>
    <cellStyle name="Ergebnis 7 26" xfId="13379" xr:uid="{C0579B9C-2964-4741-BD74-E7C1D8C53633}"/>
    <cellStyle name="Ergebnis 7 27" xfId="14025" xr:uid="{6AD0D0A8-7C71-46AF-996B-4BDCEECAA793}"/>
    <cellStyle name="Ergebnis 7 28" xfId="14398" xr:uid="{2792F966-2F2E-4A3E-9731-5A980105524B}"/>
    <cellStyle name="Ergebnis 7 29" xfId="14906" xr:uid="{53C11B58-396F-4643-88C5-160E215359C2}"/>
    <cellStyle name="Ergebnis 7 3" xfId="1722" xr:uid="{FCF744C4-6E19-4502-8E1D-90EE990CA456}"/>
    <cellStyle name="Ergebnis 7 30" xfId="15377" xr:uid="{0EF2E733-5B79-4CA3-9116-940746E068E2}"/>
    <cellStyle name="Ergebnis 7 31" xfId="15769" xr:uid="{84CB7C79-CA63-44DB-9A6E-7A8DA9529D12}"/>
    <cellStyle name="Ergebnis 7 32" xfId="15994" xr:uid="{EB0E37D9-BFC6-4E10-A985-E3C48C3DF469}"/>
    <cellStyle name="Ergebnis 7 33" xfId="16727" xr:uid="{AD03E3BD-30F9-4D15-9281-E1086C765715}"/>
    <cellStyle name="Ergebnis 7 34" xfId="17382" xr:uid="{69C8120B-9D3C-4573-B64B-2807FF9598F3}"/>
    <cellStyle name="Ergebnis 7 35" xfId="17824" xr:uid="{42C6008B-357E-446B-B5FF-AE54B954886F}"/>
    <cellStyle name="Ergebnis 7 36" xfId="18300" xr:uid="{9BF6A849-7838-4C98-996B-6672B405E079}"/>
    <cellStyle name="Ergebnis 7 37" xfId="18545" xr:uid="{87EB4F21-0E28-40D9-9940-5798E2818062}"/>
    <cellStyle name="Ergebnis 7 38" xfId="19111" xr:uid="{AAF0BCED-6FBC-4441-B6F9-2649B8456F59}"/>
    <cellStyle name="Ergebnis 7 39" xfId="19343" xr:uid="{78AFD7A0-7E09-467D-9F8B-33A1018B4B53}"/>
    <cellStyle name="Ergebnis 7 4" xfId="2504" xr:uid="{B153C251-0633-4776-8580-86A36C88BB3F}"/>
    <cellStyle name="Ergebnis 7 40" xfId="20064" xr:uid="{640C1F5B-DEA5-4CF9-BFBA-D14C29F731AB}"/>
    <cellStyle name="Ergebnis 7 41" xfId="20731" xr:uid="{EA6DEFEB-C14E-4096-ACA1-CA383949B480}"/>
    <cellStyle name="Ergebnis 7 42" xfId="21190" xr:uid="{67F199C5-34A7-4534-9D53-10585C26A91B}"/>
    <cellStyle name="Ergebnis 7 43" xfId="21682" xr:uid="{99A9EFD7-2B68-45DE-A1F8-87D10B8C5A8C}"/>
    <cellStyle name="Ergebnis 7 44" xfId="22121" xr:uid="{77C8E99C-7579-402C-9516-65EE3ADFC5C4}"/>
    <cellStyle name="Ergebnis 7 45" xfId="22548" xr:uid="{E1631627-08E8-4F20-B99C-9FD8D92C5DC8}"/>
    <cellStyle name="Ergebnis 7 46" xfId="22994" xr:uid="{9511E72E-0737-41A9-985F-20758B6E7D88}"/>
    <cellStyle name="Ergebnis 7 47" xfId="23398" xr:uid="{AE10BB7E-1310-4D01-AADC-413766B8030A}"/>
    <cellStyle name="Ergebnis 7 48" xfId="23664" xr:uid="{B645FC4E-D581-4AA1-8DD3-DACF57636E56}"/>
    <cellStyle name="Ergebnis 7 49" xfId="23872" xr:uid="{842E2E39-51C6-4E92-977E-7030DB3962CB}"/>
    <cellStyle name="Ergebnis 7 5" xfId="3198" xr:uid="{E695FC18-EEFF-4F06-9428-18D60F517405}"/>
    <cellStyle name="Ergebnis 7 50" xfId="24772" xr:uid="{EC69A39E-13F2-4EA5-9E4A-0601E2EFE6E5}"/>
    <cellStyle name="Ergebnis 7 51" xfId="25436" xr:uid="{C2A94ED1-D264-42D9-8A25-768743CF6D48}"/>
    <cellStyle name="Ergebnis 7 52" xfId="25690" xr:uid="{453D7CDC-D11B-4D7A-B20E-A705B2863E63}"/>
    <cellStyle name="Ergebnis 7 53" xfId="26302" xr:uid="{3FE422F6-9DF6-4E4A-992F-545F8312724D}"/>
    <cellStyle name="Ergebnis 7 54" xfId="26438" xr:uid="{29DCA41F-86C4-41F4-A378-8130A1170014}"/>
    <cellStyle name="Ergebnis 7 55" xfId="26980" xr:uid="{09AA21B0-1EFA-4703-ACE4-CE6C3EF9840F}"/>
    <cellStyle name="Ergebnis 7 56" xfId="27399" xr:uid="{E0BC478C-D751-4915-9D44-9A726DFEC41E}"/>
    <cellStyle name="Ergebnis 7 57" xfId="27413" xr:uid="{03252698-102F-469A-9A19-DFB81C9BE347}"/>
    <cellStyle name="Ergebnis 7 58" xfId="28522" xr:uid="{2E7E46B9-7FCE-4DC3-83E0-79D44A579F1A}"/>
    <cellStyle name="Ergebnis 7 59" xfId="28990" xr:uid="{0BB17324-1E0C-47E6-B5CA-2CC45E0F528A}"/>
    <cellStyle name="Ergebnis 7 6" xfId="2234" xr:uid="{8C9084F4-E000-4D46-8ADB-73E21946E7C2}"/>
    <cellStyle name="Ergebnis 7 60" xfId="29545" xr:uid="{C3D8EC5B-E48E-4E47-B239-847AC4C3D4CE}"/>
    <cellStyle name="Ergebnis 7 61" xfId="29780" xr:uid="{ACBB435F-834A-4689-8FB1-99BB9DFF8BD4}"/>
    <cellStyle name="Ergebnis 7 62" xfId="30187" xr:uid="{5F4C50D6-562D-4CE2-B9FA-8771223C20D5}"/>
    <cellStyle name="Ergebnis 7 63" xfId="30602" xr:uid="{53C5893B-772A-4DD0-84EE-0D120FCC00C4}"/>
    <cellStyle name="Ergebnis 7 64" xfId="30946" xr:uid="{9AF5909E-055C-462F-9A65-BC0A052AF98E}"/>
    <cellStyle name="Ergebnis 7 65" xfId="31225" xr:uid="{81E5160F-5B0D-4350-ABB9-97F5539A98D0}"/>
    <cellStyle name="Ergebnis 7 66" xfId="31911" xr:uid="{B6150D2C-5052-4E9E-9368-A7172A1C8805}"/>
    <cellStyle name="Ergebnis 7 67" xfId="32376" xr:uid="{7EA76329-9D58-4B9F-91FB-442AB92D3280}"/>
    <cellStyle name="Ergebnis 7 7" xfId="4000" xr:uid="{F3098A28-3133-4E31-9192-60FBB2A1EBF0}"/>
    <cellStyle name="Ergebnis 7 8" xfId="4438" xr:uid="{91499719-4364-4DDC-9246-432C2CCD5839}"/>
    <cellStyle name="Ergebnis 7 9" xfId="4736" xr:uid="{AE2451B5-9A2F-4DC0-918B-D9B62346FC9F}"/>
    <cellStyle name="Erklärender Text" xfId="29220" hidden="1" xr:uid="{4F483CFD-1470-4F84-8BB2-405EABBA710B}"/>
    <cellStyle name="Erklärender Text" xfId="29582" hidden="1" xr:uid="{D0FE5ED9-A1BB-4FA9-B980-E80B56434FB3}"/>
    <cellStyle name="Erklärender Text" xfId="29768" hidden="1" xr:uid="{598AF4E8-B251-4E02-A3AB-59939FA6A549}"/>
    <cellStyle name="Erklärender Text" xfId="31459" hidden="1" xr:uid="{62C2DB3A-9EB9-4D0E-B93D-50E6DF90A091}"/>
    <cellStyle name="Erklärender Text" xfId="32170" hidden="1" xr:uid="{B4DB16B7-5B94-466B-A5CB-FC7AFFD97610}"/>
    <cellStyle name="Erklärender Text" xfId="32233" hidden="1" xr:uid="{E0BB34A9-A823-48EB-9E2D-EC417DB9AD4E}"/>
    <cellStyle name="Erklärender Text" xfId="32238" hidden="1" xr:uid="{854BA7AC-8120-4A40-86E0-5E43D86EEA52}"/>
    <cellStyle name="Erklärender Text" xfId="31454" hidden="1" xr:uid="{C9B4B5B6-A43D-400D-A924-AC803BABEF75}"/>
    <cellStyle name="Erklärender Text" xfId="31732" hidden="1" xr:uid="{ECE4F930-288F-4CEF-87C3-9C46798F9A60}"/>
    <cellStyle name="Erklärender Text" xfId="11825" hidden="1" xr:uid="{A72F652A-171C-440D-8F68-6FE5351B9E9C}"/>
    <cellStyle name="Erklärender Text" xfId="14997" hidden="1" xr:uid="{C411C615-C088-44EE-8CEE-BEF74C58F3CA}"/>
    <cellStyle name="Erklärender Text" xfId="14557" hidden="1" xr:uid="{C8E2B24A-DBED-4B43-929D-FF5B1B3CC19A}"/>
    <cellStyle name="Erklärender Text" xfId="13846" hidden="1" xr:uid="{7F81A2EC-42CD-43D3-9934-C34D7AFE2CFF}"/>
    <cellStyle name="Erklärender Text" xfId="14091" hidden="1" xr:uid="{1E938FFB-C8E2-421F-9A59-677C42EBA01C}"/>
    <cellStyle name="Erklärender Text" xfId="15345" hidden="1" xr:uid="{6E82B722-D7DF-4239-A9F8-54995E49E977}"/>
    <cellStyle name="Erklärender Text" xfId="15450" hidden="1" xr:uid="{96E608EB-F117-40F3-ADF8-9B5C1274F52C}"/>
    <cellStyle name="Erklärender Text" xfId="15540" hidden="1" xr:uid="{37E00D27-48D1-4A7C-B069-BE7402D15443}"/>
    <cellStyle name="Erklärender Text" xfId="15348" hidden="1" xr:uid="{C3C805B5-6439-4713-B015-BFAF592F8229}"/>
    <cellStyle name="Erklärender Text" xfId="15268" hidden="1" xr:uid="{37EED9F5-DB70-48BE-ABE6-11372D4008CB}"/>
    <cellStyle name="Erklärender Text" xfId="15478" hidden="1" xr:uid="{A22B15FA-59A5-45AA-959A-8262C01F879E}"/>
    <cellStyle name="Erklärender Text" xfId="14526" hidden="1" xr:uid="{7193DC51-75E6-4401-9737-E5DC345A3D3C}"/>
    <cellStyle name="Erklärender Text" xfId="15902" hidden="1" xr:uid="{7EFC3F10-4973-4390-AC1C-DA5A3433DB54}"/>
    <cellStyle name="Erklärender Text" xfId="12320" hidden="1" xr:uid="{4322B920-41C9-46A5-AAEA-AAE9A772758A}"/>
    <cellStyle name="Erklärender Text" xfId="16094" hidden="1" xr:uid="{2BADB311-50B4-43AD-9C0B-2F911D4CEB31}"/>
    <cellStyle name="Erklärender Text" xfId="16384" hidden="1" xr:uid="{EE53E618-746F-45DD-806A-E97C823263CC}"/>
    <cellStyle name="Erklärender Text" xfId="17244" hidden="1" xr:uid="{F31B6A14-9AA0-4B49-BE42-51FF7D20C4C3}"/>
    <cellStyle name="Erklärender Text" xfId="16071" hidden="1" xr:uid="{4D96ACF3-8734-4E04-BD49-B709F99F16AD}"/>
    <cellStyle name="Erklärender Text" xfId="17688" hidden="1" xr:uid="{B56E5392-3B7A-4C22-A3C4-D2F3E6A0880D}"/>
    <cellStyle name="Erklärender Text" xfId="17449" hidden="1" xr:uid="{64794F92-8CE9-4F9E-A393-12BCE1B42A5E}"/>
    <cellStyle name="Erklärender Text" xfId="18106" hidden="1" xr:uid="{F121BBD3-E201-490A-841C-8534084F8A46}"/>
    <cellStyle name="Erklärender Text" xfId="17533" hidden="1" xr:uid="{F141AD9D-F3B5-4C39-8CCD-A90C1F0C60B7}"/>
    <cellStyle name="Erklärender Text" xfId="17197" hidden="1" xr:uid="{C8EE9C0F-12A9-4652-A34D-5953E6168F12}"/>
    <cellStyle name="Erklärender Text" xfId="17962" hidden="1" xr:uid="{247C5AA2-8FFC-475B-B674-5B5B90A2D8E0}"/>
    <cellStyle name="Erklärender Text" xfId="17789" hidden="1" xr:uid="{137A9733-7F95-4DEE-BBEC-17D4EAADEF59}"/>
    <cellStyle name="Erklärender Text" xfId="18185" hidden="1" xr:uid="{DFBE4205-DF60-4EE2-8DFD-5B6223E9AFDE}"/>
    <cellStyle name="Erklärender Text" xfId="18962" hidden="1" xr:uid="{0E344BFC-9F1D-4711-ABFF-B7C7045CDEBB}"/>
    <cellStyle name="Erklärender Text" xfId="17863" hidden="1" xr:uid="{1F7ED2F3-82DC-481A-A483-EA8E5DCE44D3}"/>
    <cellStyle name="Erklärender Text" xfId="17966" hidden="1" xr:uid="{961E854F-B37A-4C72-B46C-FAA9094DF49E}"/>
    <cellStyle name="Erklärender Text" xfId="19061" hidden="1" xr:uid="{AA077D71-16C4-48A2-B365-342EE268A1D5}"/>
    <cellStyle name="Erklärender Text" xfId="19277" hidden="1" xr:uid="{BCCD56BF-740E-4BA5-9A66-0E2CC1A9B1A6}"/>
    <cellStyle name="Erklärender Text" xfId="18894" hidden="1" xr:uid="{52E2C89F-DF81-4EFB-A491-D49E6A9E1861}"/>
    <cellStyle name="Erklärender Text" xfId="19427" hidden="1" xr:uid="{CC1726EA-44F8-45E9-AB67-0FD36318EB4D}"/>
    <cellStyle name="Erklärender Text" xfId="19718" hidden="1" xr:uid="{64BB62E3-3BB5-404C-B7D2-434D367EC4BC}"/>
    <cellStyle name="Erklärender Text" xfId="20594" hidden="1" xr:uid="{D357EF24-983B-4A61-A8BC-6D2C8869B986}"/>
    <cellStyle name="Erklärender Text" xfId="20415" hidden="1" xr:uid="{F99F9C0D-C02F-4C7B-A9C3-4BFFBA5696E4}"/>
    <cellStyle name="Erklärender Text" xfId="21049" hidden="1" xr:uid="{3AFBBE73-8CF1-40A5-BCC3-6BBB1B6529DE}"/>
    <cellStyle name="Erklärender Text" xfId="20807" hidden="1" xr:uid="{B1988331-5C51-4ABA-B96F-920541D0E346}"/>
    <cellStyle name="Erklärender Text" xfId="20447" hidden="1" xr:uid="{B317F7BA-4CCE-4658-888F-FED4AD513FBD}"/>
    <cellStyle name="Erklärender Text" xfId="20818" hidden="1" xr:uid="{6FF97D1E-D508-4DA6-AAFF-CC4F4A2019AD}"/>
    <cellStyle name="Erklärender Text" xfId="19465" hidden="1" xr:uid="{5719918F-CFFC-4CEB-9DB7-AABB97E00474}"/>
    <cellStyle name="Erklärender Text" xfId="21671" hidden="1" xr:uid="{1A8280AB-4657-489E-9CF3-1C6D84BA58F0}"/>
    <cellStyle name="Erklärender Text" xfId="21980" hidden="1" xr:uid="{A26133CC-7E93-4246-8E05-3599CFCA0AAC}"/>
    <cellStyle name="Erklärender Text" xfId="21738" hidden="1" xr:uid="{F9C39B47-F432-4E51-B323-9636633085CB}"/>
    <cellStyle name="Erklärender Text" xfId="22411" hidden="1" xr:uid="{E2F06255-4430-45E7-9602-1A2D032BC34D}"/>
    <cellStyle name="Erklärender Text" xfId="21363" hidden="1" xr:uid="{F9C60F3B-3E5B-43AB-BB32-FE1E2F9A01F7}"/>
    <cellStyle name="Erklärender Text" xfId="22850" hidden="1" xr:uid="{9F05541D-9D7A-4156-AF2E-21E9028D6C3B}"/>
    <cellStyle name="Erklärender Text" xfId="22257" hidden="1" xr:uid="{95773528-BCF3-40D5-9DA8-6ED3B76EFA19}"/>
    <cellStyle name="Erklärender Text" xfId="22204" hidden="1" xr:uid="{83D8FDFC-CD1B-40B1-9AB2-C1AC4D452C26}"/>
    <cellStyle name="Erklärender Text" xfId="23250" hidden="1" xr:uid="{CE16F00C-A6FF-417C-B405-9AA11C93D39B}"/>
    <cellStyle name="Erklärender Text" xfId="22397" hidden="1" xr:uid="{2A88A299-6D27-4124-930D-616070DD37B6}"/>
    <cellStyle name="Erklärender Text" xfId="22428" hidden="1" xr:uid="{23A07C57-CE8C-4BAF-8F71-4AE9A0F7264A}"/>
    <cellStyle name="Erklärender Text" xfId="23389" hidden="1" xr:uid="{48D8C20F-15FD-49FA-9E2F-E9ED7D01D130}"/>
    <cellStyle name="Erklärender Text" xfId="23362" hidden="1" xr:uid="{E5BC7320-285A-436D-B3E6-DE5BE1852CB7}"/>
    <cellStyle name="Erklärender Text" xfId="21865" hidden="1" xr:uid="{C25D259F-4871-4B2C-AD64-54392A90E9B7}"/>
    <cellStyle name="Erklärender Text" xfId="23533" hidden="1" xr:uid="{4F53460B-B7FB-491F-B752-2F95DEF77420}"/>
    <cellStyle name="Erklärender Text" xfId="23628" hidden="1" xr:uid="{B96F49A9-5812-49A9-BC64-53A8FC1F0C03}"/>
    <cellStyle name="Erklärender Text" xfId="24089" hidden="1" xr:uid="{EA92B810-71E6-47CF-99EC-B9B3D926AE46}"/>
    <cellStyle name="Erklärender Text" xfId="23100" hidden="1" xr:uid="{7E1E8C48-073C-4694-8EBE-0FC38A1860C4}"/>
    <cellStyle name="Erklärender Text" xfId="24150" hidden="1" xr:uid="{D5DEBF32-60AB-42B6-8F94-B1BF6BAD5987}"/>
    <cellStyle name="Erklärender Text" xfId="24589" hidden="1" xr:uid="{A80F2BD8-1BF6-45AD-846F-9C2374768264}"/>
    <cellStyle name="Erklärender Text" xfId="24256" hidden="1" xr:uid="{B12470A6-315D-472A-9152-5F1BAF08F0DA}"/>
    <cellStyle name="Erklärender Text" xfId="25269" hidden="1" xr:uid="{1D3CAD19-06AE-45AA-A0CA-B09037FDB2D2}"/>
    <cellStyle name="Erklärender Text" xfId="25000" hidden="1" xr:uid="{1793D7C2-1DEB-4C7D-B209-6F790FFDC7DD}"/>
    <cellStyle name="Erklärender Text" xfId="25192" hidden="1" xr:uid="{CF4D6959-DB54-4CB1-B38A-2254E36567AD}"/>
    <cellStyle name="Erklärender Text" xfId="25089" hidden="1" xr:uid="{0D7C0693-EEB5-43B4-86C5-DD190F3B011D}"/>
    <cellStyle name="Erklärender Text" xfId="26221" hidden="1" xr:uid="{DA4B7AF4-7CE4-4185-A686-ECDAF11128FF}"/>
    <cellStyle name="Erklärender Text" xfId="26388" hidden="1" xr:uid="{06BEAD09-C022-4406-B36C-38925AFAD006}"/>
    <cellStyle name="Erklärender Text" xfId="25490" hidden="1" xr:uid="{CDC47D50-1810-4E15-B177-DD0011320323}"/>
    <cellStyle name="Erklärender Text" xfId="26611" hidden="1" xr:uid="{015D55BD-2811-4129-A58F-B783B1C3CB8B}"/>
    <cellStyle name="Erklärender Text" xfId="26126" hidden="1" xr:uid="{C201ECEC-09D9-42B5-A9CC-4A0034C753CE}"/>
    <cellStyle name="Erklärender Text" xfId="26381" hidden="1" xr:uid="{839305CE-CFE6-49A0-B440-7BBC2BBC2F1A}"/>
    <cellStyle name="Erklärender Text" xfId="26481" hidden="1" xr:uid="{B4BDF991-BFB3-4CC8-813A-365ED3F8E61E}"/>
    <cellStyle name="Erklärender Text" xfId="27740" hidden="1" xr:uid="{EB7F9735-1257-4D0D-8004-B5AA769EC496}"/>
    <cellStyle name="Erklärender Text" xfId="26273" hidden="1" xr:uid="{772F338D-09AD-4EB4-9EC7-E31ACCB4FCCA}"/>
    <cellStyle name="Erklärender Text" xfId="27874" hidden="1" xr:uid="{91C3AF5B-5A52-4A64-81C3-82F91451C9FA}"/>
    <cellStyle name="Erklärender Text" xfId="27645" hidden="1" xr:uid="{1698BB82-DD44-40F4-A9B6-C68585DDF024}"/>
    <cellStyle name="Erklärender Text" xfId="26434" hidden="1" xr:uid="{1CE0F106-90E2-42F1-9F29-4C7E9DB40A8D}"/>
    <cellStyle name="Erklärender Text" xfId="27857" hidden="1" xr:uid="{7175A8E0-CCA6-4DE1-8AD4-F764B7DC174D}"/>
    <cellStyle name="Erklärender Text" xfId="27941" hidden="1" xr:uid="{1B891280-1F45-42A3-A1B9-091FB13B67C3}"/>
    <cellStyle name="Erklärender Text" xfId="28200" hidden="1" xr:uid="{5FAFFF26-2DF8-4664-A4D1-24EA4BDC5EC1}"/>
    <cellStyle name="Erklärender Text" xfId="28297" hidden="1" xr:uid="{ACB8B9BB-5A27-4958-AE04-7A4BA79FEBB2}"/>
    <cellStyle name="Erklärender Text" xfId="29426" hidden="1" xr:uid="{A4720932-9CE1-467B-9798-0C8E3BAD4E2D}"/>
    <cellStyle name="Erklärender Text" xfId="29222" hidden="1" xr:uid="{C88096F8-F188-447D-9788-4C507A3A37B7}"/>
    <cellStyle name="Erklärender Text" xfId="28244" hidden="1" xr:uid="{B31CA7AF-B39D-43CF-92D0-2EB033C2AC33}"/>
    <cellStyle name="Erklärender Text" xfId="29219" hidden="1" xr:uid="{4569C469-4564-4ADA-9D72-242F4C12674D}"/>
    <cellStyle name="Erklärender Text" xfId="8315" hidden="1" xr:uid="{E0F39A6E-1A24-4F64-A8B5-A5E184FE3889}"/>
    <cellStyle name="Erklärender Text" xfId="8374" hidden="1" xr:uid="{6575EF82-29FF-4AB2-9477-1FC3A3E515BB}"/>
    <cellStyle name="Erklärender Text" xfId="8156" hidden="1" xr:uid="{17CFBBDD-8AF2-4721-97D3-20DFEE3107F3}"/>
    <cellStyle name="Erklärender Text" xfId="7745" hidden="1" xr:uid="{E2B6A746-CE12-4BDD-926E-E17BC4862473}"/>
    <cellStyle name="Erklärender Text" xfId="7905" hidden="1" xr:uid="{6D4FC57E-EF9E-4341-98A4-BF8D2B53186D}"/>
    <cellStyle name="Erklärender Text" xfId="7680" hidden="1" xr:uid="{82D18BDB-AB39-4A72-836C-D97A038798E1}"/>
    <cellStyle name="Erklärender Text" xfId="8173" hidden="1" xr:uid="{31AE2F69-F237-4FC5-88C3-F5F86B64F124}"/>
    <cellStyle name="Erklärender Text" xfId="8050" hidden="1" xr:uid="{B804B04F-2C53-4F44-9532-A6B3C41D48D0}"/>
    <cellStyle name="Erklärender Text" xfId="7806" hidden="1" xr:uid="{DCF00F1C-245F-4231-9A5C-B419720BA86E}"/>
    <cellStyle name="Erklärender Text" xfId="7897" hidden="1" xr:uid="{95DDC1DA-349F-417C-80E6-3B9B917A6DFC}"/>
    <cellStyle name="Erklärender Text" xfId="8078" hidden="1" xr:uid="{8F496B42-4CF0-4FE9-8C50-5760385CB048}"/>
    <cellStyle name="Erklärender Text" xfId="7136" hidden="1" xr:uid="{4562121B-042C-4C63-B5AB-BF5206425B19}"/>
    <cellStyle name="Erklärender Text" xfId="6941" hidden="1" xr:uid="{2AB9C271-6D2B-4CBE-935C-3B4B945FB314}"/>
    <cellStyle name="Erklärender Text" xfId="8823" hidden="1" xr:uid="{E2A0FBF9-66F6-4135-A894-0D7A6E4DA9C0}"/>
    <cellStyle name="Erklärender Text" xfId="8265" hidden="1" xr:uid="{9A2DAE2C-DB5A-47CF-97AF-FDC7CDA11246}"/>
    <cellStyle name="Erklärender Text" xfId="8244" hidden="1" xr:uid="{7C321843-F767-43C4-8777-93BECD8B7BFA}"/>
    <cellStyle name="Erklärender Text" xfId="6852" hidden="1" xr:uid="{E27E852E-7285-48DF-AAFE-BA7DE14C5F18}"/>
    <cellStyle name="Erklärender Text" xfId="8997" hidden="1" xr:uid="{6ABAFB89-9364-4885-9ADA-D6E8D1794DED}"/>
    <cellStyle name="Erklärender Text" xfId="9275" hidden="1" xr:uid="{0AF5D56A-C586-4A33-B20A-9B8D8DD12051}"/>
    <cellStyle name="Erklärender Text" xfId="10125" hidden="1" xr:uid="{0C91417E-3A36-45BE-A3C3-1B518C434DF8}"/>
    <cellStyle name="Erklärender Text" xfId="8975" hidden="1" xr:uid="{5A9C666B-6CE1-4CC0-B33C-DA2C64AF4B7F}"/>
    <cellStyle name="Erklärender Text" xfId="10536" hidden="1" xr:uid="{CBB08B0A-5ED5-4A61-99F1-E0CE6D1CAB56}"/>
    <cellStyle name="Erklärender Text" xfId="10323" hidden="1" xr:uid="{6CFA9236-949B-4BFC-AAAA-EA26914C9CD5}"/>
    <cellStyle name="Erklärender Text" xfId="10308" hidden="1" xr:uid="{D5734CFA-D6B0-46A0-A33B-D624BFC8FB7D}"/>
    <cellStyle name="Erklärender Text" xfId="10445" hidden="1" xr:uid="{60CCB4BA-A7DA-4B87-ABC0-301C71BDF9EB}"/>
    <cellStyle name="Erklärender Text" xfId="10981" hidden="1" xr:uid="{07280DD4-113E-438B-BD23-09205DF7566F}"/>
    <cellStyle name="Erklärender Text" xfId="11243" hidden="1" xr:uid="{88AE72E0-0E8F-4D16-A874-D0E46E6D4EBB}"/>
    <cellStyle name="Erklärender Text" xfId="11050" hidden="1" xr:uid="{34E8029D-470B-4CE6-AA1D-0C409C472E61}"/>
    <cellStyle name="Erklärender Text" xfId="11232" hidden="1" xr:uid="{067AE656-67E7-4786-8D9B-79CE6D7ABA98}"/>
    <cellStyle name="Erklärender Text" xfId="9101" hidden="1" xr:uid="{314F42A3-EF3D-498B-B284-56FAE92C3E7A}"/>
    <cellStyle name="Erklärender Text" xfId="11285" hidden="1" xr:uid="{4E052114-70B4-4D46-8D78-A831F73043DE}"/>
    <cellStyle name="Erklärender Text" xfId="11296" hidden="1" xr:uid="{9DFE380D-D43B-4E33-A9C1-F753AAD971EA}"/>
    <cellStyle name="Erklärender Text" xfId="11403" hidden="1" xr:uid="{81179773-8ECA-4937-88D0-6E8C2E40BBC1}"/>
    <cellStyle name="Erklärender Text" xfId="11689" hidden="1" xr:uid="{D7C48121-CA17-4940-A7BA-2049108C433D}"/>
    <cellStyle name="Erklärender Text" xfId="11799" hidden="1" xr:uid="{91CBB19B-F764-403D-B2AE-83E75BA431C2}"/>
    <cellStyle name="Erklärender Text" xfId="11860" hidden="1" xr:uid="{DEED7CCB-75DC-40B9-B554-2757205F78DC}"/>
    <cellStyle name="Erklärender Text" xfId="11570" hidden="1" xr:uid="{B7845E21-BDAB-48BE-A522-3C7DBE26EBC6}"/>
    <cellStyle name="Erklärender Text" xfId="13866" hidden="1" xr:uid="{307C1CE6-1468-46BB-815F-B55E71ECE021}"/>
    <cellStyle name="Erklärender Text" xfId="11527" hidden="1" xr:uid="{EB90AA9F-A6FF-415D-A85E-63FCAC326CAA}"/>
    <cellStyle name="Erklärender Text" xfId="13393" hidden="1" xr:uid="{A1B9EE57-B252-473C-B9A5-576F4BD8ED97}"/>
    <cellStyle name="Erklärender Text" xfId="14009" hidden="1" xr:uid="{C1B34A89-08A9-494F-A18F-755C88154EA6}"/>
    <cellStyle name="Erklärender Text" xfId="14384" hidden="1" xr:uid="{D8D8949F-0DE0-4FAB-9D06-6B2182D51774}"/>
    <cellStyle name="Erklärender Text" xfId="14569" hidden="1" xr:uid="{9387C3EB-DBEB-4C84-8FD2-EA9D5DBB407E}"/>
    <cellStyle name="Erklärender Text" xfId="7664" hidden="1" xr:uid="{7DA7FF9C-1DB5-4274-8385-C18BEA8AAAFC}"/>
    <cellStyle name="Erklärender Text" xfId="5626" hidden="1" xr:uid="{665D8766-2413-4F95-92C9-ABBB489094E0}"/>
    <cellStyle name="Erklärender Text" xfId="5719" hidden="1" xr:uid="{06E614C6-0F3E-4046-8BC2-E53042056CE3}"/>
    <cellStyle name="Erklärender Text" xfId="5791" hidden="1" xr:uid="{8D1C1F1C-CD73-4EE8-B5F8-A8D6089C3207}"/>
    <cellStyle name="Erklärender Text" xfId="3729" hidden="1" xr:uid="{BE563C47-C504-4031-ACB8-28CF0FC7C409}"/>
    <cellStyle name="Erklärender Text" xfId="3410" hidden="1" xr:uid="{93A9BBDE-1876-4230-9256-597E7F688810}"/>
    <cellStyle name="Erklärender Text" xfId="6076" hidden="1" xr:uid="{C89B96A1-6103-49CB-9F23-E83F93B9CBDB}"/>
    <cellStyle name="Erklärender Text" xfId="6163" hidden="1" xr:uid="{0B44763D-CD14-41CB-A973-9735ED764242}"/>
    <cellStyle name="Erklärender Text" xfId="6319" hidden="1" xr:uid="{90FA5601-3A35-4A3B-A411-3486EE832E65}"/>
    <cellStyle name="Erklärender Text" xfId="3283" hidden="1" xr:uid="{B36D2B83-1622-44FA-B57F-24B319811D24}"/>
    <cellStyle name="Erklärender Text" xfId="6056" hidden="1" xr:uid="{910A7AE8-3B5C-40AF-9793-543D4790E19A}"/>
    <cellStyle name="Erklärender Text" xfId="6621" hidden="1" xr:uid="{CF67E190-4914-45C2-BE8D-0486DF71B17D}"/>
    <cellStyle name="Erklärender Text" xfId="6635" hidden="1" xr:uid="{0ED0620B-023E-46B5-906D-217D994873BF}"/>
    <cellStyle name="Erklärender Text" xfId="6646" hidden="1" xr:uid="{F5BF0BEF-BD31-41CD-8499-B944A929FC07}"/>
    <cellStyle name="Erklärender Text" xfId="6658" hidden="1" xr:uid="{B8AE0243-38C6-424E-9CAF-B746A7872795}"/>
    <cellStyle name="Erklärender Text" xfId="6668" hidden="1" xr:uid="{81D31870-9923-45D1-BAE9-F42F28D5B495}"/>
    <cellStyle name="Erklärender Text" xfId="6679" hidden="1" xr:uid="{8EAF1F66-8D2C-45A7-B514-60A0923CBBEC}"/>
    <cellStyle name="Erklärender Text" xfId="6785" hidden="1" xr:uid="{03636AE8-60AF-48FC-9E01-C441BB18F9D5}"/>
    <cellStyle name="Erklärender Text" xfId="7062" hidden="1" xr:uid="{CFE9D278-9854-45BA-9FB8-E45121DC4CD5}"/>
    <cellStyle name="Erklärender Text" xfId="7912" hidden="1" xr:uid="{2C7594D4-CB2C-4650-93ED-CFB17CC30406}"/>
    <cellStyle name="Erklärender Text" xfId="6763" hidden="1" xr:uid="{69D22C98-D330-4245-8356-61555205B02E}"/>
    <cellStyle name="Erklärender Text" xfId="8296" hidden="1" xr:uid="{F54E2869-7899-424C-A51B-255748472F02}"/>
    <cellStyle name="Erklärender Text" xfId="3513" hidden="1" xr:uid="{EFD2178F-8E59-4BEC-B3A3-A1C68E2D2534}"/>
    <cellStyle name="Erklärender Text" xfId="1987" hidden="1" xr:uid="{86B764B6-CAEB-4B05-BD86-D9538B710B15}"/>
    <cellStyle name="Erklärender Text" xfId="2761" hidden="1" xr:uid="{C09119F1-A755-49E9-9919-BAC3DF976030}"/>
    <cellStyle name="Erklärender Text" xfId="3345" hidden="1" xr:uid="{5D644A25-08FC-455E-B992-0FF14CAE5B50}"/>
    <cellStyle name="Erklärender Text" xfId="3320" hidden="1" xr:uid="{68A0F0E5-421D-41F4-B3AE-6B80B5A84A8A}"/>
    <cellStyle name="Erklärender Text" xfId="3310" hidden="1" xr:uid="{12D0F28D-116F-41A0-803D-69D7B830BDD7}"/>
    <cellStyle name="Erklärender Text" xfId="3405" hidden="1" xr:uid="{C3825548-2B66-461A-97F6-5B2FA43372E7}"/>
    <cellStyle name="Erklärender Text" xfId="3611" hidden="1" xr:uid="{8551F196-1AD2-450F-8F29-B24B3F5BC6B1}"/>
    <cellStyle name="Erklärender Text" xfId="4801" hidden="1" xr:uid="{78CBCF42-5020-41E2-B57A-8E72485799DB}"/>
    <cellStyle name="Erklärender Text" xfId="4857" hidden="1" xr:uid="{57442732-593F-4BE5-9DFB-23C8AB2C47A8}"/>
    <cellStyle name="Erklärender Text" xfId="4769" hidden="1" xr:uid="{D2069D6F-E1F0-4815-BCE2-36D238EEFC92}"/>
    <cellStyle name="Erklärender Text" xfId="1871" hidden="1" xr:uid="{16CC8DD4-F113-4690-9044-D38269D9AE90}"/>
    <cellStyle name="Erklärender Text" xfId="2134" hidden="1" xr:uid="{F3A0C86C-584E-480D-AD49-076F1C918EE8}"/>
    <cellStyle name="Erklärender Text" xfId="3033" hidden="1" xr:uid="{94B5C457-58E3-4564-858D-A1782B6ECBC2}"/>
    <cellStyle name="Erklärender Text" xfId="1863" hidden="1" xr:uid="{0F49E8E7-A08E-4DB8-A7BB-7D06F97F0C5C}"/>
    <cellStyle name="Erklärender Text" xfId="2168" hidden="1" xr:uid="{B35AF193-7C3E-4FA1-96DE-282AF29EC1E7}"/>
    <cellStyle name="Erklärender Text" xfId="966" hidden="1" xr:uid="{43471BE0-3CFF-428F-B6F3-B7F252766864}"/>
    <cellStyle name="Erklärender Text" xfId="1389" hidden="1" xr:uid="{D99E5D00-1126-474C-9F6D-FD7B248867DB}"/>
    <cellStyle name="Erklärender Text" xfId="1599" hidden="1" xr:uid="{94F9A3CE-2B13-4572-9DE7-1FA14EEDBB40}"/>
    <cellStyle name="Erklärender Text" xfId="895" hidden="1" xr:uid="{F2423B8B-994A-40F5-83C2-760C70CA1D03}"/>
    <cellStyle name="Erklärender Text" xfId="48" hidden="1" xr:uid="{E845483F-6FD1-4F2B-816B-45FDB57A505A}"/>
    <cellStyle name="Erklärender Text 2" xfId="394" xr:uid="{A316E00B-2DD6-4B6B-ACC6-2A13099DF183}"/>
    <cellStyle name="Erklärender Text 3" xfId="276" xr:uid="{FB0E2BD3-32B7-40C4-A0F6-5F66D7D80AB9}"/>
    <cellStyle name="Explanatory Text 2" xfId="135" xr:uid="{1C0C5D5F-A9CB-4CCA-AD64-737998BE09EC}"/>
    <cellStyle name="Explanatory Text 3" xfId="226" xr:uid="{1F63E021-F9D5-46DB-A015-2D9EDBE4E23E}"/>
    <cellStyle name="Good 2" xfId="136" xr:uid="{EF6EE00A-458F-4B07-91A7-C73970951E5C}"/>
    <cellStyle name="Good 3" xfId="227" xr:uid="{D679EF5E-A44A-4FD7-B461-290D9A456135}"/>
    <cellStyle name="Good 4" xfId="356" xr:uid="{37423D11-F5E4-4D58-9533-C08BD5112C00}"/>
    <cellStyle name="Gut" xfId="137" xr:uid="{B37D1694-9774-421E-9569-9FB42C74944E}"/>
    <cellStyle name="Heading 1 2" xfId="138" xr:uid="{62C720FE-FC3A-4D90-923D-95E6F220E7DF}"/>
    <cellStyle name="Heading 1 3" xfId="228" xr:uid="{43EBB232-D73B-48E3-A681-B57C06BFE947}"/>
    <cellStyle name="Heading 1 4" xfId="364" xr:uid="{700867FA-BAD8-487B-AD80-1477BD2B2436}"/>
    <cellStyle name="Heading 2 2" xfId="139" xr:uid="{A9B4CE85-4E53-46C2-8265-3BD981269EFD}"/>
    <cellStyle name="Heading 2 3" xfId="229" xr:uid="{A3F1A194-D552-44DA-A756-4626C2BCCBC1}"/>
    <cellStyle name="Heading 2 4" xfId="365" xr:uid="{9285E168-34F4-4122-9EF5-6E21CEC527D2}"/>
    <cellStyle name="Heading 3 2" xfId="140" xr:uid="{9F4981D9-60FD-4563-869D-9680790FC0BA}"/>
    <cellStyle name="Heading 3 3" xfId="230" xr:uid="{1C835878-C527-4D67-AEAA-0C079349966B}"/>
    <cellStyle name="Heading 3 4" xfId="366" xr:uid="{319ABC47-AA54-4F84-96C1-601E52B43C8E}"/>
    <cellStyle name="Heading 4 2" xfId="141" xr:uid="{38808DD9-2D97-432C-A257-62A8050BD48C}"/>
    <cellStyle name="Heading 4 3" xfId="231" xr:uid="{6AB55271-DEB0-48C5-9E26-39B04E373627}"/>
    <cellStyle name="Heading 4 4" xfId="367" xr:uid="{AE1628DD-921A-4552-AE38-03655B224B22}"/>
    <cellStyle name="Headline" xfId="3" xr:uid="{088FA78D-5F00-440C-8345-7B22478FF750}"/>
    <cellStyle name="Hyperlink" xfId="1814" builtinId="8"/>
    <cellStyle name="Input 2" xfId="142" xr:uid="{9828FA01-AA38-4A11-825C-13B7B9BBBFD1}"/>
    <cellStyle name="Input 2 10" xfId="3037" xr:uid="{7BAD97EC-CDC2-4528-8795-B94C8ACFCD18}"/>
    <cellStyle name="Input 2 11" xfId="1933" xr:uid="{32AE62AC-F51B-4A50-89F3-815B7A9196A0}"/>
    <cellStyle name="Input 2 12" xfId="3002" xr:uid="{C2557F0B-1263-4458-90EF-767C44913D96}"/>
    <cellStyle name="Input 2 13" xfId="4776" xr:uid="{E9897968-D604-4343-B62C-8937D4F19047}"/>
    <cellStyle name="Input 2 14" xfId="6705" xr:uid="{C5DDE963-51DF-4BF3-B63E-2CC52CBF1108}"/>
    <cellStyle name="Input 2 15" xfId="6878" xr:uid="{96733177-6521-42E6-BD9C-4A91D9DF428D}"/>
    <cellStyle name="Input 2 16" xfId="7171" xr:uid="{C006D086-32BA-4DBD-8B1A-9F18FFC34131}"/>
    <cellStyle name="Input 2 17" xfId="8654" xr:uid="{D878EC34-4FF7-4986-A6D0-FAEAC7B16255}"/>
    <cellStyle name="Input 2 18" xfId="8538" xr:uid="{C20A680D-92B8-4C80-AC28-4203DB720558}"/>
    <cellStyle name="Input 2 19" xfId="9091" xr:uid="{480E0DE9-FC58-4B28-B281-4301CAF1EC73}"/>
    <cellStyle name="Input 2 2" xfId="556" xr:uid="{1805109A-2446-4F49-B1B2-D50CF908B0BF}"/>
    <cellStyle name="Input 2 2 10" xfId="3163" xr:uid="{F2A77C88-ACB2-461C-94FC-147098B9A36E}"/>
    <cellStyle name="Input 2 2 11" xfId="5204" xr:uid="{232FFF7C-161C-4D22-9EEA-429251629920}"/>
    <cellStyle name="Input 2 2 12" xfId="5619" xr:uid="{09B09F4A-AD76-49E9-8CD7-D6B510D76F42}"/>
    <cellStyle name="Input 2 2 13" xfId="5907" xr:uid="{74275080-ED98-4532-B342-8C3018290C6B}"/>
    <cellStyle name="Input 2 2 14" xfId="6060" xr:uid="{C0B3035A-E101-4538-ABB5-CFB56E4983F9}"/>
    <cellStyle name="Input 2 2 15" xfId="7276" xr:uid="{ECEB9E21-6563-44CE-ADA9-13118A577CA3}"/>
    <cellStyle name="Input 2 2 16" xfId="7726" xr:uid="{8891D7BA-A5B8-40D8-9305-21F04980F9E5}"/>
    <cellStyle name="Input 2 2 17" xfId="7181" xr:uid="{A86E3FE5-8004-4D1E-A0B0-33483EF4824E}"/>
    <cellStyle name="Input 2 2 18" xfId="8594" xr:uid="{521F3193-5E19-4285-B4B5-C9A197064821}"/>
    <cellStyle name="Input 2 2 19" xfId="9490" xr:uid="{FFEFD51B-B894-42E5-AF40-0C7922252C6A}"/>
    <cellStyle name="Input 2 2 2" xfId="771" xr:uid="{925A25E1-F962-4879-9C45-9666CB7AD6D6}"/>
    <cellStyle name="Input 2 2 2 10" xfId="5419" xr:uid="{3E1694F0-16B5-4E8A-A2B6-8597CC7E7E3F}"/>
    <cellStyle name="Input 2 2 2 11" xfId="4758" xr:uid="{6EDC2767-17F3-4C11-A6EE-2FA56765069B}"/>
    <cellStyle name="Input 2 2 2 12" xfId="6042" xr:uid="{C495FD95-747B-47CA-AED3-88F5162AF559}"/>
    <cellStyle name="Input 2 2 2 13" xfId="5710" xr:uid="{A3622D99-B3D8-42E0-9F66-34673C86ADEB}"/>
    <cellStyle name="Input 2 2 2 14" xfId="7491" xr:uid="{91F2CF34-48BB-4E14-8478-7EF03731C1DE}"/>
    <cellStyle name="Input 2 2 2 15" xfId="6963" xr:uid="{9A7EF718-4762-4BFC-9547-5A084B90E9F6}"/>
    <cellStyle name="Input 2 2 2 16" xfId="7025" xr:uid="{B0CDEB32-9AD7-4F16-B5B4-277451E72B98}"/>
    <cellStyle name="Input 2 2 2 17" xfId="8742" xr:uid="{48CA109F-74B2-4755-8EF9-8D625E38A017}"/>
    <cellStyle name="Input 2 2 2 18" xfId="9705" xr:uid="{D432E48D-5CE8-433E-A7C7-0690A70F6A9E}"/>
    <cellStyle name="Input 2 2 2 19" xfId="9176" xr:uid="{680D11AA-AC33-4F95-837E-5851EF7FF7EC}"/>
    <cellStyle name="Input 2 2 2 2" xfId="1245" xr:uid="{88F705BC-8BF0-4098-8453-EC684CCF443D}"/>
    <cellStyle name="Input 2 2 2 20" xfId="9311" xr:uid="{D2777D59-03BB-4872-8796-3DEB61C0242E}"/>
    <cellStyle name="Input 2 2 2 21" xfId="10689" xr:uid="{6B1E8CBA-50E4-4565-90E7-A9B4E4DD0656}"/>
    <cellStyle name="Input 2 2 2 22" xfId="11225" xr:uid="{3A02BDEC-4DDE-40D3-8D3B-B0E3DB9DD3E2}"/>
    <cellStyle name="Input 2 2 2 23" xfId="12124" xr:uid="{93B78A68-DE2C-42EE-A438-F1FED9A28FD5}"/>
    <cellStyle name="Input 2 2 2 24" xfId="12597" xr:uid="{552A7AB0-AAB6-4209-94F1-19F840E0C798}"/>
    <cellStyle name="Input 2 2 2 25" xfId="13031" xr:uid="{87E9BD6C-B8B4-44C5-A9E1-DF65D7EA2990}"/>
    <cellStyle name="Input 2 2 2 26" xfId="13468" xr:uid="{BFF53FE4-F32C-49C9-9FEA-4233896D1422}"/>
    <cellStyle name="Input 2 2 2 27" xfId="13613" xr:uid="{769C77F1-2F21-4C58-B1ED-215DC480B07F}"/>
    <cellStyle name="Input 2 2 2 28" xfId="12053" xr:uid="{69E18910-4765-4780-9175-EE4D236C970F}"/>
    <cellStyle name="Input 2 2 2 29" xfId="11839" xr:uid="{549B82F4-370F-4D90-BAB1-395AA23F5451}"/>
    <cellStyle name="Input 2 2 2 3" xfId="1369" xr:uid="{F7560845-2665-4962-A9B4-EFF94B3B6809}"/>
    <cellStyle name="Input 2 2 2 30" xfId="15068" xr:uid="{306B270D-7F80-46E6-97BD-A4AC05B527FC}"/>
    <cellStyle name="Input 2 2 2 31" xfId="14762" xr:uid="{73C857C3-FDDE-4BA0-B2C4-D2BB68BCD1A4}"/>
    <cellStyle name="Input 2 2 2 32" xfId="15080" xr:uid="{5E11692B-B3E5-4559-A03D-8EF155C92788}"/>
    <cellStyle name="Input 2 2 2 33" xfId="16816" xr:uid="{46DE61EE-C0C0-4524-8AF3-17BC262156AE}"/>
    <cellStyle name="Input 2 2 2 34" xfId="16282" xr:uid="{DC6571CD-C92B-453B-9F43-3DA37ADF51CF}"/>
    <cellStyle name="Input 2 2 2 35" xfId="16420" xr:uid="{7F97627A-2A84-4E4A-AD19-2274CBC31273}"/>
    <cellStyle name="Input 2 2 2 36" xfId="17986" xr:uid="{34E9DB4B-E618-42C0-947C-3684AF066B50}"/>
    <cellStyle name="Input 2 2 2 37" xfId="18634" xr:uid="{B4B3107C-0A25-4BEC-98C7-1BDC6C81FDD6}"/>
    <cellStyle name="Input 2 2 2 38" xfId="18933" xr:uid="{32C772B3-A3CD-40A0-B735-3576793F05FF}"/>
    <cellStyle name="Input 2 2 2 39" xfId="19169" xr:uid="{84BFDF23-CE58-44B7-BD25-62F556A45DD9}"/>
    <cellStyle name="Input 2 2 2 4" xfId="2593" xr:uid="{FB7764AD-06C3-43AA-B9EC-EC6D878E0054}"/>
    <cellStyle name="Input 2 2 2 40" xfId="20153" xr:uid="{DAD849BE-38BD-4A28-8CBB-74C450B31939}"/>
    <cellStyle name="Input 2 2 2 41" xfId="19615" xr:uid="{F717243C-F57E-4032-B365-AF1767C0093A}"/>
    <cellStyle name="Input 2 2 2 42" xfId="19531" xr:uid="{B9B2CA25-E060-4C53-BCBD-EA1BFF7EE2AD}"/>
    <cellStyle name="Input 2 2 2 43" xfId="21582" xr:uid="{6F465257-D38B-47A5-A912-D70F1693C6B7}"/>
    <cellStyle name="Input 2 2 2 44" xfId="21330" xr:uid="{06F49501-9F8D-4A63-A71A-11A209A57715}"/>
    <cellStyle name="Input 2 2 2 45" xfId="22095" xr:uid="{A7C4ABF3-CD68-4938-A330-D539C96E0AF6}"/>
    <cellStyle name="Input 2 2 2 46" xfId="22622" xr:uid="{D90A7A8F-2F94-4463-B1B7-DF61F464D65A}"/>
    <cellStyle name="Input 2 2 2 47" xfId="23220" xr:uid="{95D8E4C3-A007-4D23-9189-67800113EB27}"/>
    <cellStyle name="Input 2 2 2 48" xfId="23437" xr:uid="{DF94A2B2-5891-48AA-A077-30B3D933AE55}"/>
    <cellStyle name="Input 2 2 2 49" xfId="23953" xr:uid="{E0E45B4D-FDC4-482B-AFC8-4B3B6C7BFDF9}"/>
    <cellStyle name="Input 2 2 2 5" xfId="2780" xr:uid="{56C0565F-9B55-46CF-B038-D335DB45F753}"/>
    <cellStyle name="Input 2 2 2 50" xfId="24861" xr:uid="{6F3E173F-59A3-42DA-A91A-F8937EED29C5}"/>
    <cellStyle name="Input 2 2 2 51" xfId="24462" xr:uid="{F5A2D67B-AC2B-4693-8E14-14C619E0D6AA}"/>
    <cellStyle name="Input 2 2 2 52" xfId="25777" xr:uid="{51661B88-9375-4486-BAB1-0C3DF227CC78}"/>
    <cellStyle name="Input 2 2 2 53" xfId="24359" xr:uid="{D4736D3E-1E81-4800-BAE7-566B9625931D}"/>
    <cellStyle name="Input 2 2 2 54" xfId="26068" xr:uid="{85375473-020F-4A13-BA45-6BBB1870ED98}"/>
    <cellStyle name="Input 2 2 2 55" xfId="27065" xr:uid="{D6DB6C35-4047-4CC9-A8B0-32C65CB7D2B1}"/>
    <cellStyle name="Input 2 2 2 56" xfId="27484" xr:uid="{4F98D697-4FAB-4831-8C3A-A633A64C6359}"/>
    <cellStyle name="Input 2 2 2 57" xfId="27202" xr:uid="{5D5EF25B-7B3B-488B-B512-B68E7122B39F}"/>
    <cellStyle name="Input 2 2 2 58" xfId="28611" xr:uid="{B4BE8AD4-0F89-4688-8D54-2D4A9B31769C}"/>
    <cellStyle name="Input 2 2 2 59" xfId="29078" xr:uid="{89E5620D-4E12-4F20-9B7E-8BBA53ACF90D}"/>
    <cellStyle name="Input 2 2 2 6" xfId="3453" xr:uid="{FE1A95ED-B62B-4F38-89AC-F1B2BD6E373B}"/>
    <cellStyle name="Input 2 2 2 60" xfId="28080" xr:uid="{723B6C96-C0FC-4E94-B9F9-C0B6DC835191}"/>
    <cellStyle name="Input 2 2 2 61" xfId="29867" xr:uid="{E848A107-BBCD-4EFD-8C79-203FF66B73E5}"/>
    <cellStyle name="Input 2 2 2 62" xfId="30273" xr:uid="{EF322A48-F640-461F-BD8C-1DEE300C7A6B}"/>
    <cellStyle name="Input 2 2 2 63" xfId="30690" xr:uid="{9D6EDB5A-F568-414E-BED6-EE1BB3264643}"/>
    <cellStyle name="Input 2 2 2 64" xfId="30618" xr:uid="{CBF02FC2-A831-458B-8D6A-6DE7498B5D44}"/>
    <cellStyle name="Input 2 2 2 65" xfId="31306" xr:uid="{7BAB4DB9-D96A-466E-9078-A87F10671286}"/>
    <cellStyle name="Input 2 2 2 66" xfId="31997" xr:uid="{67F98C86-2155-4398-949A-E316730DF7E0}"/>
    <cellStyle name="Input 2 2 2 67" xfId="32176" xr:uid="{ADEFEDCE-BB28-482D-8220-55886D5081B7}"/>
    <cellStyle name="Input 2 2 2 7" xfId="4089" xr:uid="{DBF4B845-1A2D-455E-8EE7-C9E9686AE528}"/>
    <cellStyle name="Input 2 2 2 8" xfId="4526" xr:uid="{FFFF577F-A398-49CC-877A-3BC972622393}"/>
    <cellStyle name="Input 2 2 2 9" xfId="2744" xr:uid="{0E306195-71E6-4043-AC65-A01AACD3EF2A}"/>
    <cellStyle name="Input 2 2 20" xfId="9940" xr:uid="{AFDE7E7C-219E-4054-906D-E06DC8754F40}"/>
    <cellStyle name="Input 2 2 21" xfId="10371" xr:uid="{1B8094AA-E047-4A53-B67B-E97BA9B579A7}"/>
    <cellStyle name="Input 2 2 22" xfId="10821" xr:uid="{5C97BA50-FD39-4B93-AE84-B4DDA4457329}"/>
    <cellStyle name="Input 2 2 23" xfId="11092" xr:uid="{66A1BB22-BC1F-47B6-B9F5-932C1AC6B4C8}"/>
    <cellStyle name="Input 2 2 24" xfId="11909" xr:uid="{C85AE0B3-0811-43F3-8FA7-4F240341D452}"/>
    <cellStyle name="Input 2 2 25" xfId="12382" xr:uid="{8545DEA7-434F-4370-A258-5A8A1D12147C}"/>
    <cellStyle name="Input 2 2 26" xfId="12816" xr:uid="{E56F3EE0-F636-400A-A0E5-C8C5420504BC}"/>
    <cellStyle name="Input 2 2 27" xfId="13253" xr:uid="{26E81B3A-EAE5-4842-A772-DB822B5A8856}"/>
    <cellStyle name="Input 2 2 28" xfId="13701" xr:uid="{64BA5EF8-624E-48E1-BC55-4772440D5D59}"/>
    <cellStyle name="Input 2 2 29" xfId="13660" xr:uid="{EA4A3D70-3E1C-4BEC-9D07-BC6A5B5A7CF9}"/>
    <cellStyle name="Input 2 2 3" xfId="1039" xr:uid="{463DE6EF-2632-4085-8370-34AC4E58D2EA}"/>
    <cellStyle name="Input 2 2 30" xfId="14789" xr:uid="{EDC00025-55F0-4C06-AA06-64DC5ED39F3A}"/>
    <cellStyle name="Input 2 2 31" xfId="15015" xr:uid="{4A8EEF10-6450-417D-9514-8800E1FED914}"/>
    <cellStyle name="Input 2 2 32" xfId="14874" xr:uid="{771CCD61-05B2-46F4-99A5-55876C82F7FB}"/>
    <cellStyle name="Input 2 2 33" xfId="15821" xr:uid="{2F3B9025-783B-4014-B10E-80DA71E6D1CC}"/>
    <cellStyle name="Input 2 2 34" xfId="16601" xr:uid="{3651AC16-0603-4F94-A0F0-0ADD75E5AAD7}"/>
    <cellStyle name="Input 2 2 35" xfId="17054" xr:uid="{BEE4DE10-4FA4-451D-BF45-91012A13C4F8}"/>
    <cellStyle name="Input 2 2 36" xfId="17501" xr:uid="{9E41A70F-4116-445C-94AB-C169C11B9E81}"/>
    <cellStyle name="Input 2 2 37" xfId="17963" xr:uid="{B1E47DFE-3643-4989-904D-3ADEA131658C}"/>
    <cellStyle name="Input 2 2 38" xfId="18419" xr:uid="{F9225492-FB9D-4349-B5CF-D10AB7F25780}"/>
    <cellStyle name="Input 2 2 39" xfId="18342" xr:uid="{ABD30A21-186F-4448-A1AB-CFE729559C5F}"/>
    <cellStyle name="Input 2 2 4" xfId="1742" xr:uid="{D0D063BB-7755-4B3D-AF08-29FE36242F02}"/>
    <cellStyle name="Input 2 2 40" xfId="19324" xr:uid="{203EE0B0-1286-453C-92F4-E9D6F37A5616}"/>
    <cellStyle name="Input 2 2 41" xfId="19938" xr:uid="{BA528E05-9BAC-4696-86F3-37E56A27495E}"/>
    <cellStyle name="Input 2 2 42" xfId="20406" xr:uid="{21CF025B-805B-44B5-943E-938FB77EA052}"/>
    <cellStyle name="Input 2 2 43" xfId="20859" xr:uid="{A07FBC43-A5FB-40D0-A639-CDB49342EA09}"/>
    <cellStyle name="Input 2 2 44" xfId="21184" xr:uid="{2FC29F49-0910-40BC-A37D-4F22110D1AF5}"/>
    <cellStyle name="Input 2 2 45" xfId="21791" xr:uid="{0F484CEC-1BDF-4448-BF05-B8E0AE6F60B5}"/>
    <cellStyle name="Input 2 2 46" xfId="22228" xr:uid="{8D27E756-88E0-447E-B6C4-F7228F8B9079}"/>
    <cellStyle name="Input 2 2 47" xfId="22698" xr:uid="{E62940AC-D6D7-4C12-AD14-B78CFEB70DA0}"/>
    <cellStyle name="Input 2 2 48" xfId="22663" xr:uid="{EE497999-0365-4D28-B631-021D94008CBE}"/>
    <cellStyle name="Input 2 2 49" xfId="22615" xr:uid="{98471CC1-9743-4A9C-AEB9-A09B57ABC01E}"/>
    <cellStyle name="Input 2 2 5" xfId="2378" xr:uid="{4B59670A-F926-47E1-B2E6-6B9BA2B4CD4A}"/>
    <cellStyle name="Input 2 2 50" xfId="23747" xr:uid="{44FAECFA-881A-44F2-902D-6A61BAD9BA02}"/>
    <cellStyle name="Input 2 2 51" xfId="24646" xr:uid="{DEDD338E-9CCF-4E3B-A856-47D623C75CC5}"/>
    <cellStyle name="Input 2 2 52" xfId="25114" xr:uid="{C6479A58-14A4-4BC6-9FFE-C578763BA805}"/>
    <cellStyle name="Input 2 2 53" xfId="25564" xr:uid="{A5616E37-9E6C-4E4A-903C-79D11454EB5C}"/>
    <cellStyle name="Input 2 2 54" xfId="26003" xr:uid="{AEB4A397-FBE8-4D21-96DE-6B9E80219BF4}"/>
    <cellStyle name="Input 2 2 55" xfId="26657" xr:uid="{C27E3F01-2C4F-45AF-843B-D41884455D98}"/>
    <cellStyle name="Input 2 2 56" xfId="26854" xr:uid="{547A4CF0-4E9C-48FB-8BC8-44B727D12144}"/>
    <cellStyle name="Input 2 2 57" xfId="27273" xr:uid="{5D1FE4C5-34D3-4DAE-9E7A-7FC7819AADB9}"/>
    <cellStyle name="Input 2 2 58" xfId="26185" xr:uid="{F3E99430-CCFC-48E9-B464-0932B3F4AA4C}"/>
    <cellStyle name="Input 2 2 59" xfId="28396" xr:uid="{75DDD4B6-734C-4BB9-95E4-D02BA4E72A93}"/>
    <cellStyle name="Input 2 2 6" xfId="2866" xr:uid="{564132F5-EAAA-4D58-9447-892326114042}"/>
    <cellStyle name="Input 2 2 60" xfId="28864" xr:uid="{B52845C3-243D-4A22-8F07-39919B3BEDBB}"/>
    <cellStyle name="Input 2 2 61" xfId="29269" xr:uid="{3CCD5DCE-E6BA-4E36-A379-B9CAAB4CFF0A}"/>
    <cellStyle name="Input 2 2 62" xfId="29654" xr:uid="{FB97CA05-27AB-43BC-9EA6-D6A64D6A4D11}"/>
    <cellStyle name="Input 2 2 63" xfId="30062" xr:uid="{1F88C222-9F88-4CC8-AC31-4282946FC400}"/>
    <cellStyle name="Input 2 2 64" xfId="30476" xr:uid="{F78CAD52-D851-48FD-8891-B22C465DB42F}"/>
    <cellStyle name="Input 2 2 65" xfId="30949" xr:uid="{F6C94254-C2E3-4708-A8FC-91DF1C716933}"/>
    <cellStyle name="Input 2 2 66" xfId="31100" xr:uid="{B3399E1C-BC27-47AF-9F10-8384AAD1EE86}"/>
    <cellStyle name="Input 2 2 67" xfId="31786" xr:uid="{F4A83156-EF9D-4F77-9AC1-B876F0230F68}"/>
    <cellStyle name="Input 2 2 68" xfId="31736" xr:uid="{657D0AF6-67FE-408B-BF44-B37C63C9AA36}"/>
    <cellStyle name="Input 2 2 7" xfId="3505" xr:uid="{987DB198-C605-48C6-A6CB-2E5E30DB5CD8}"/>
    <cellStyle name="Input 2 2 8" xfId="3874" xr:uid="{57E49886-A47E-4864-9B13-DAEF02FD4A1A}"/>
    <cellStyle name="Input 2 2 9" xfId="4312" xr:uid="{49E7C890-9D6D-462B-AD5F-585BF82F5A42}"/>
    <cellStyle name="Input 2 20" xfId="9385" xr:uid="{798261CD-2AFF-483B-A029-17549563FA5B}"/>
    <cellStyle name="Input 2 21" xfId="11322" xr:uid="{BB2BC0F4-CE3F-47B0-8CE0-96B2016B2F36}"/>
    <cellStyle name="Input 2 22" xfId="11502" xr:uid="{D4D40F74-DB7A-41E9-929E-21ADA270BF94}"/>
    <cellStyle name="Input 2 23" xfId="11808" xr:uid="{3D16B1DE-35B8-45F6-B7AF-4A810FA4D063}"/>
    <cellStyle name="Input 2 24" xfId="12285" xr:uid="{51AF823B-7706-45AF-8AC8-9C62640A56AA}"/>
    <cellStyle name="Input 2 25" xfId="11737" xr:uid="{437D0C2B-AAEC-4D2E-B416-C23EFE0DAED9}"/>
    <cellStyle name="Input 2 26" xfId="11646" xr:uid="{F0F140A4-EC5E-4FD3-B464-D35F43AA9C07}"/>
    <cellStyle name="Input 2 27" xfId="14883" xr:uid="{91163802-A9B5-44A6-9B35-9C691DC65BAD}"/>
    <cellStyle name="Input 2 28" xfId="15998" xr:uid="{335BA464-FF62-4500-B892-CBCCE4EA960B}"/>
    <cellStyle name="Input 2 29" xfId="16194" xr:uid="{1D9513DF-0494-4643-9EEC-5EBB403795A9}"/>
    <cellStyle name="Input 2 3" xfId="660" xr:uid="{4919F7F4-B067-4434-8D53-7690C8733545}"/>
    <cellStyle name="Input 2 3 10" xfId="4264" xr:uid="{C9BBFE19-1905-4DB1-8020-986BEE88573B}"/>
    <cellStyle name="Input 2 3 11" xfId="5308" xr:uid="{4999ACCF-6430-4C7C-87F7-BE7ABCB89FA3}"/>
    <cellStyle name="Input 2 3 12" xfId="5548" xr:uid="{0DDB5BE6-FE4C-4CF2-874E-8860B36B44CD}"/>
    <cellStyle name="Input 2 3 13" xfId="6303" xr:uid="{2EF042FF-2BAE-4798-ADE0-12240780A799}"/>
    <cellStyle name="Input 2 3 14" xfId="6301" xr:uid="{66F395BA-0B45-4CCE-89F8-DB84AFD97A3F}"/>
    <cellStyle name="Input 2 3 15" xfId="7380" xr:uid="{204F3FC2-1665-4E28-BB22-E9E131B90A4F}"/>
    <cellStyle name="Input 2 3 16" xfId="7773" xr:uid="{A2F8DFCE-CF7B-4164-BE08-950FDF0E1208}"/>
    <cellStyle name="Input 2 3 17" xfId="7940" xr:uid="{B0F0CA2F-42AA-4465-BDFE-9EE7BFC31E49}"/>
    <cellStyle name="Input 2 3 18" xfId="8383" xr:uid="{DAC6BC42-8B2F-410A-AC33-4366D22D1FA6}"/>
    <cellStyle name="Input 2 3 19" xfId="9594" xr:uid="{86F67767-9A05-46E0-8A29-B4F70F61DCEB}"/>
    <cellStyle name="Input 2 3 2" xfId="875" xr:uid="{38A83B1E-A3AC-4445-8CDA-412CAC39609D}"/>
    <cellStyle name="Input 2 3 2 10" xfId="5523" xr:uid="{AF3D27EB-359F-461E-8D52-E25759D463FE}"/>
    <cellStyle name="Input 2 3 2 11" xfId="6017" xr:uid="{908EDA5D-9893-4246-85CB-E700E32B34B5}"/>
    <cellStyle name="Input 2 3 2 12" xfId="6376" xr:uid="{FD5B0C51-13AC-4AF3-AD02-45FC0DA2A47B}"/>
    <cellStyle name="Input 2 3 2 13" xfId="6714" xr:uid="{47E38975-1C67-48E8-915A-5E19B06DD419}"/>
    <cellStyle name="Input 2 3 2 14" xfId="7595" xr:uid="{C69942E6-D50F-47A6-98E4-E50B9C63D471}"/>
    <cellStyle name="Input 2 3 2 15" xfId="8059" xr:uid="{A2398EE4-5A39-4039-8075-A8DCF0ACCD0B}"/>
    <cellStyle name="Input 2 3 2 16" xfId="8668" xr:uid="{B1A4ED8D-51AF-4A8E-9A20-A1B8F3B40102}"/>
    <cellStyle name="Input 2 3 2 17" xfId="8927" xr:uid="{359EAC21-575B-4825-B49E-EE4AFAE55B34}"/>
    <cellStyle name="Input 2 3 2 18" xfId="9809" xr:uid="{C2256104-30B7-4B37-A72B-87670CC0E37B}"/>
    <cellStyle name="Input 2 3 2 19" xfId="10278" xr:uid="{99B37B25-F3EC-4785-BC2D-5B2DE875CAC2}"/>
    <cellStyle name="Input 2 3 2 2" xfId="1349" xr:uid="{9E5568C5-04E2-4A4F-986B-2C79B1838B44}"/>
    <cellStyle name="Input 2 3 2 20" xfId="10672" xr:uid="{8383A9A5-4DE6-46BF-848C-2AA6060C114E}"/>
    <cellStyle name="Input 2 3 2 21" xfId="11021" xr:uid="{7A4F5B00-C953-434D-AC62-4A2302183704}"/>
    <cellStyle name="Input 2 3 2 22" xfId="11331" xr:uid="{21738E37-2BDB-463B-BEF4-1A136724B2D1}"/>
    <cellStyle name="Input 2 3 2 23" xfId="12228" xr:uid="{13FD650A-EB82-4FD7-8DAB-D8F8C4A5F160}"/>
    <cellStyle name="Input 2 3 2 24" xfId="12701" xr:uid="{7BC12525-DBB1-46B9-8233-FDECD49F0763}"/>
    <cellStyle name="Input 2 3 2 25" xfId="13135" xr:uid="{C19CB6DC-C4F5-450B-8C47-5AB4DE63E449}"/>
    <cellStyle name="Input 2 3 2 26" xfId="13572" xr:uid="{06A5C6DA-B6A7-4417-BD77-3D405660888E}"/>
    <cellStyle name="Input 2 3 2 27" xfId="14044" xr:uid="{BA78047E-1AA1-4480-96B8-99D7255047DD}"/>
    <cellStyle name="Input 2 3 2 28" xfId="14491" xr:uid="{2324A813-C674-4232-A568-0571953378A4}"/>
    <cellStyle name="Input 2 3 2 29" xfId="14925" xr:uid="{B33B7A1A-3CB2-42C1-8103-DD80C4171BB0}"/>
    <cellStyle name="Input 2 3 2 3" xfId="1798" xr:uid="{42329E48-71EF-46DE-95E3-0B371EE8E9CE}"/>
    <cellStyle name="Input 2 3 2 30" xfId="15395" xr:uid="{6AC606CD-CBB9-45E5-8C24-495102206709}"/>
    <cellStyle name="Input 2 3 2 31" xfId="15785" xr:uid="{7F5A1098-713D-4FCB-B639-AE2C4EED06C7}"/>
    <cellStyle name="Input 2 3 2 32" xfId="16007" xr:uid="{D473BFC0-82E3-4216-9033-FD528B9F6365}"/>
    <cellStyle name="Input 2 3 2 33" xfId="16920" xr:uid="{92925FF4-19A3-4B79-B23B-3597F2F931F4}"/>
    <cellStyle name="Input 2 3 2 34" xfId="17401" xr:uid="{A1AE85E7-14FC-413C-84D7-B25E30615AAD}"/>
    <cellStyle name="Input 2 3 2 35" xfId="17842" xr:uid="{AC34E51C-4367-4F5E-A455-9B7275309991}"/>
    <cellStyle name="Input 2 3 2 36" xfId="18317" xr:uid="{001175B2-9648-4B49-BDDD-E7AEF5A3481A}"/>
    <cellStyle name="Input 2 3 2 37" xfId="18738" xr:uid="{52A68868-3768-4877-A12F-1CAF3F8CDFAE}"/>
    <cellStyle name="Input 2 3 2 38" xfId="19125" xr:uid="{A66368C8-C639-496E-ABFA-6DC86507872A}"/>
    <cellStyle name="Input 2 3 2 39" xfId="19355" xr:uid="{9F0D23ED-44E3-40FC-BC31-D3DD61A9464B}"/>
    <cellStyle name="Input 2 3 2 4" xfId="2697" xr:uid="{4537CCAB-080C-4717-A4E4-9A2E588F0498}"/>
    <cellStyle name="Input 2 3 2 40" xfId="20257" xr:uid="{1CA54825-94F2-4C0D-BD89-9EE2FFF91F45}"/>
    <cellStyle name="Input 2 3 2 41" xfId="20750" xr:uid="{7D7C7288-0571-4426-A16B-5BE88526F2A5}"/>
    <cellStyle name="Input 2 3 2 42" xfId="21209" xr:uid="{5E7AAAE4-1349-4EF8-AB8D-E5E578E4B9C3}"/>
    <cellStyle name="Input 2 3 2 43" xfId="21701" xr:uid="{2E1D9CCC-23EE-40A6-8384-DC3FC06C9F49}"/>
    <cellStyle name="Input 2 3 2 44" xfId="22140" xr:uid="{386E63DE-1F2C-4F56-BBA5-E4195F74AEB1}"/>
    <cellStyle name="Input 2 3 2 45" xfId="22567" xr:uid="{38B7EC7A-1183-4E69-88DF-A64CBD790C69}"/>
    <cellStyle name="Input 2 3 2 46" xfId="23012" xr:uid="{7DAF264A-A8C9-4B36-AA09-AA7A8408BCE4}"/>
    <cellStyle name="Input 2 3 2 47" xfId="23414" xr:uid="{607918EE-36CC-420D-89B9-A78113D39EE9}"/>
    <cellStyle name="Input 2 3 2 48" xfId="23677" xr:uid="{B7EA97CE-D4CD-40E7-9460-2AEE248040FB}"/>
    <cellStyle name="Input 2 3 2 49" xfId="24057" xr:uid="{58021187-BE0A-4A8C-B62B-B67411BE4003}"/>
    <cellStyle name="Input 2 3 2 5" xfId="3217" xr:uid="{D8E5E287-D494-4981-B237-50BEC91850A5}"/>
    <cellStyle name="Input 2 3 2 50" xfId="24965" xr:uid="{36582FE3-38B7-4ABE-99D2-F32E18C85424}"/>
    <cellStyle name="Input 2 3 2 51" xfId="25453" xr:uid="{3F368F53-CB42-4922-B505-EEC5EB045D5E}"/>
    <cellStyle name="Input 2 3 2 52" xfId="25881" xr:uid="{12875CD9-6629-44D8-93BE-0D4537F82404}"/>
    <cellStyle name="Input 2 3 2 53" xfId="26319" xr:uid="{320D6B19-2CF8-4A6F-9560-21832BC9CFD9}"/>
    <cellStyle name="Input 2 3 2 54" xfId="26748" xr:uid="{B0FDDEB7-6C7A-441C-B73D-988AFBA77293}"/>
    <cellStyle name="Input 2 3 2 55" xfId="27169" xr:uid="{7F48998B-374F-4A00-B7AF-891881CC8533}"/>
    <cellStyle name="Input 2 3 2 56" xfId="27588" xr:uid="{66B5D4B2-C4F2-4E83-82AE-D2676A6E8271}"/>
    <cellStyle name="Input 2 3 2 57" xfId="26366" xr:uid="{BC58C862-8741-4E68-B946-2D0EF6345FE0}"/>
    <cellStyle name="Input 2 3 2 58" xfId="28715" xr:uid="{CDC68E79-E6A5-4A8A-87CD-1351284F7A90}"/>
    <cellStyle name="Input 2 3 2 59" xfId="29182" xr:uid="{7CF0C58D-612E-403C-AD3C-4DBC7E25EA7D}"/>
    <cellStyle name="Input 2 3 2 6" xfId="3772" xr:uid="{AD420D30-FD09-4EAF-AF20-A78F3892DD88}"/>
    <cellStyle name="Input 2 3 2 60" xfId="29564" xr:uid="{57343628-C53C-4AB2-9425-C1DDC60B376A}"/>
    <cellStyle name="Input 2 3 2 61" xfId="29971" xr:uid="{D75FBC34-D150-4948-B146-D8AD4515087B}"/>
    <cellStyle name="Input 2 3 2 62" xfId="30377" xr:uid="{5B46D08F-3707-461C-A203-A81A3773E139}"/>
    <cellStyle name="Input 2 3 2 63" xfId="30794" xr:uid="{85D5786C-1003-4B81-ABFD-B314E5F21C6C}"/>
    <cellStyle name="Input 2 3 2 64" xfId="31039" xr:uid="{D16A9494-F21B-4849-8967-1D5C320CE077}"/>
    <cellStyle name="Input 2 3 2 65" xfId="31410" xr:uid="{05D4A3EE-03AC-46B5-8D72-86515D391DDA}"/>
    <cellStyle name="Input 2 3 2 66" xfId="32101" xr:uid="{BAAE2549-417F-40CD-8880-CAEB88D5F5C3}"/>
    <cellStyle name="Input 2 3 2 67" xfId="32388" xr:uid="{F6014E16-C10F-403A-8E75-1708BA3BA528}"/>
    <cellStyle name="Input 2 3 2 7" xfId="4193" xr:uid="{EA78260F-E030-482D-AFDE-474C8FCFE2F7}"/>
    <cellStyle name="Input 2 3 2 8" xfId="4630" xr:uid="{84F02E4B-B62F-4BF7-BBDA-10888EC294A1}"/>
    <cellStyle name="Input 2 3 2 9" xfId="5076" xr:uid="{BEE63B8B-C204-4C97-A5C4-971F6DA23D19}"/>
    <cellStyle name="Input 2 3 20" xfId="9985" xr:uid="{DE975A51-D704-4E01-986C-4DFE7731B5DD}"/>
    <cellStyle name="Input 2 3 21" xfId="10411" xr:uid="{F71B971B-7410-4251-BD33-618D71940695}"/>
    <cellStyle name="Input 2 3 22" xfId="10492" xr:uid="{59B1B0C4-B104-4F5C-88BB-91BB92ED5E8A}"/>
    <cellStyle name="Input 2 3 23" xfId="11204" xr:uid="{098C71BB-4A13-4B91-BA60-D7133733FF63}"/>
    <cellStyle name="Input 2 3 24" xfId="12013" xr:uid="{D68A5B95-7BE5-43AE-9C48-37D85564BC07}"/>
    <cellStyle name="Input 2 3 25" xfId="12486" xr:uid="{CEB32DD0-7667-42DC-B010-E81FC19E12B0}"/>
    <cellStyle name="Input 2 3 26" xfId="12920" xr:uid="{E94E8CA9-630C-446D-9530-49E7DFBBA3E8}"/>
    <cellStyle name="Input 2 3 27" xfId="13357" xr:uid="{EAF9053C-7FC2-451F-B493-AD941FF17C82}"/>
    <cellStyle name="Input 2 3 28" xfId="13929" xr:uid="{68D52FB5-BF41-4AB3-9A6F-AFAF56208B7F}"/>
    <cellStyle name="Input 2 3 29" xfId="14303" xr:uid="{61B09EDB-6655-4196-8B27-4E020DFEB5E2}"/>
    <cellStyle name="Input 2 3 3" xfId="1143" xr:uid="{E33E4122-CEEA-4C5A-AC09-D7508C586F46}"/>
    <cellStyle name="Input 2 3 30" xfId="14639" xr:uid="{85142B9B-8361-4A02-A8C3-A6F9ADA6F54E}"/>
    <cellStyle name="Input 2 3 31" xfId="13634" xr:uid="{19BCE1A8-F654-42CA-BC25-E127A61B7ED1}"/>
    <cellStyle name="Input 2 3 32" xfId="15287" xr:uid="{2CA8B58A-196D-4F78-9EFF-9A4487E94848}"/>
    <cellStyle name="Input 2 3 33" xfId="15843" xr:uid="{2A7783BB-756E-40DC-B31B-BD0E0FBF416C}"/>
    <cellStyle name="Input 2 3 34" xfId="16705" xr:uid="{BF23FFFA-01CA-41CD-BAA7-C32AFB0D05AB}"/>
    <cellStyle name="Input 2 3 35" xfId="17101" xr:uid="{9DD4D3DB-17A9-44F3-B543-BD2686FB5A9A}"/>
    <cellStyle name="Input 2 3 36" xfId="17548" xr:uid="{F41FE514-BE2D-4FA0-84E7-2575E7EED14D}"/>
    <cellStyle name="Input 2 3 37" xfId="18142" xr:uid="{980EF1C3-FC90-40F6-B2E1-95CB28BBCF69}"/>
    <cellStyle name="Input 2 3 38" xfId="18523" xr:uid="{F6DD8D22-581A-42A9-BD3C-F745FC45E91F}"/>
    <cellStyle name="Input 2 3 39" xfId="18207" xr:uid="{EF515B16-9ADB-4D9F-AACB-0386650D3E8F}"/>
    <cellStyle name="Input 2 3 4" xfId="1695" xr:uid="{8D4FBFB9-8FA3-4EF7-BD46-90D9355BE2B0}"/>
    <cellStyle name="Input 2 3 40" xfId="18974" xr:uid="{EA3A63BB-6AFC-47F6-B54B-E2D567974866}"/>
    <cellStyle name="Input 2 3 41" xfId="20042" xr:uid="{7C939833-2501-46C7-8240-591AF277A655}"/>
    <cellStyle name="Input 2 3 42" xfId="20454" xr:uid="{3289866E-EF92-4016-AFDC-5B284829AA11}"/>
    <cellStyle name="Input 2 3 43" xfId="20907" xr:uid="{37C10F6A-8089-4CDB-944E-76DC0520E73D}"/>
    <cellStyle name="Input 2 3 44" xfId="19611" xr:uid="{3164D28F-8220-481B-9CA9-ABF21C2DCE4E}"/>
    <cellStyle name="Input 2 3 45" xfId="21836" xr:uid="{E4662E5D-CE95-422E-8E6C-D28623ED5B05}"/>
    <cellStyle name="Input 2 3 46" xfId="22273" xr:uid="{D01A4364-05DE-4017-999B-EF205FE9874F}"/>
    <cellStyle name="Input 2 3 47" xfId="22905" xr:uid="{F49F0D16-CE10-45EC-B860-BF2B4C24EDD5}"/>
    <cellStyle name="Input 2 3 48" xfId="22863" xr:uid="{51B0F7F4-37A2-4018-B8E4-409B05D0FD63}"/>
    <cellStyle name="Input 2 3 49" xfId="23577" xr:uid="{B47F6A26-92A0-436E-8F8D-DBC16264E6A8}"/>
    <cellStyle name="Input 2 3 5" xfId="2482" xr:uid="{D8666256-095F-43CE-ACE5-68C526341E1E}"/>
    <cellStyle name="Input 2 3 50" xfId="23851" xr:uid="{33F487B7-AFF3-48CC-96B0-AE44EF489168}"/>
    <cellStyle name="Input 2 3 51" xfId="24750" xr:uid="{8AF84E59-76FB-440B-9FD7-AF6596B5B6FE}"/>
    <cellStyle name="Input 2 3 52" xfId="25162" xr:uid="{5DD661F4-0E52-4170-A4ED-0C4E98C007CD}"/>
    <cellStyle name="Input 2 3 53" xfId="25668" xr:uid="{1C851A7A-1BE2-42A0-96FC-2916A45A6549}"/>
    <cellStyle name="Input 2 3 54" xfId="26210" xr:uid="{3ACCD6CD-41B1-4658-BB10-DE23C5A9DFB8}"/>
    <cellStyle name="Input 2 3 55" xfId="26232" xr:uid="{B8450383-BB8C-41F1-AFE6-DD9290E4EDA7}"/>
    <cellStyle name="Input 2 3 56" xfId="26958" xr:uid="{96DA6C5C-57C7-4644-9EDF-1DDDFC6BAA87}"/>
    <cellStyle name="Input 2 3 57" xfId="27377" xr:uid="{439F70C5-1812-4E19-968A-6ECB192FF38C}"/>
    <cellStyle name="Input 2 3 58" xfId="26397" xr:uid="{00C0BD06-01D2-4D1C-8278-435CC5C44254}"/>
    <cellStyle name="Input 2 3 59" xfId="28500" xr:uid="{CD7C98A9-B96B-46E1-BD68-FFEE53E81A51}"/>
    <cellStyle name="Input 2 3 6" xfId="3097" xr:uid="{43F4A20C-CEDD-4B0A-B22E-19DD35540317}"/>
    <cellStyle name="Input 2 3 60" xfId="28968" xr:uid="{07F3F6CA-79C8-4E1C-A818-B73712F79EEB}"/>
    <cellStyle name="Input 2 3 61" xfId="29311" xr:uid="{147696AA-2625-47F5-BC05-439DCB89121B}"/>
    <cellStyle name="Input 2 3 62" xfId="29758" xr:uid="{4E5017DD-4FF4-4610-B922-B1AFD3CA5A96}"/>
    <cellStyle name="Input 2 3 63" xfId="30166" xr:uid="{DA1B6BBB-235A-4FD3-BEEB-32F27B1617DA}"/>
    <cellStyle name="Input 2 3 64" xfId="30580" xr:uid="{556BF807-4D03-45AF-ADE4-32731BA67653}"/>
    <cellStyle name="Input 2 3 65" xfId="30944" xr:uid="{36793502-6F14-490B-95ED-81A4D8113008}"/>
    <cellStyle name="Input 2 3 66" xfId="31204" xr:uid="{C8528D28-8108-49D6-8BA2-DE14549ED3DD}"/>
    <cellStyle name="Input 2 3 67" xfId="31890" xr:uid="{BF16BD69-4687-4BC4-B40D-BF13A12BC409}"/>
    <cellStyle name="Input 2 3 68" xfId="32124" xr:uid="{AF7411F7-B58B-4F5F-A76B-821FA6AD0884}"/>
    <cellStyle name="Input 2 3 7" xfId="3054" xr:uid="{AAA3E27F-5BD6-459D-AE77-8D70AECED349}"/>
    <cellStyle name="Input 2 3 8" xfId="3978" xr:uid="{98291520-49BD-4092-BB78-AE0458196B5F}"/>
    <cellStyle name="Input 2 3 9" xfId="4416" xr:uid="{221147CD-16CE-4C81-91BF-E18B9813F3E0}"/>
    <cellStyle name="Input 2 30" xfId="16492" xr:uid="{E6E3D202-FE29-4EC7-845D-56021163B6D3}"/>
    <cellStyle name="Input 2 31" xfId="17433" xr:uid="{B01D0883-D482-41AE-888D-012CA3AC0AE3}"/>
    <cellStyle name="Input 2 32" xfId="16500" xr:uid="{B7118764-BEEF-4A51-B88F-FF9FA8BC6AD4}"/>
    <cellStyle name="Input 2 33" xfId="18280" xr:uid="{94EFDD60-39A4-41D9-A99A-5D0167DF57B7}"/>
    <cellStyle name="Input 2 34" xfId="19526" xr:uid="{3E0B6A83-85FE-4D4F-8DD5-7B1922FC7B86}"/>
    <cellStyle name="Input 2 35" xfId="19828" xr:uid="{42949FC4-34BE-4428-B5DF-05C2F583495C}"/>
    <cellStyle name="Input 2 36" xfId="20483" xr:uid="{534AD173-EC23-45E2-812C-D7B1AACDC9F6}"/>
    <cellStyle name="Input 2 37" xfId="22224" xr:uid="{39C95C88-DED1-4A03-8713-92F2934C163D}"/>
    <cellStyle name="Input 2 38" xfId="21978" xr:uid="{87E53063-4C02-427F-B1B7-E4E4F99AE390}"/>
    <cellStyle name="Input 2 39" xfId="24247" xr:uid="{8EF270BF-DFB4-4DDA-9D53-B995024EFDDC}"/>
    <cellStyle name="Input 2 4" xfId="671" xr:uid="{8E974FB2-B86E-4828-96F2-46A64E13EC43}"/>
    <cellStyle name="Input 2 4 10" xfId="4830" xr:uid="{CB496A98-1322-4947-A889-0E0556504BBD}"/>
    <cellStyle name="Input 2 4 11" xfId="5319" xr:uid="{48E17F09-2B3D-4FC5-9AB4-D8ECAA9BDE89}"/>
    <cellStyle name="Input 2 4 12" xfId="5553" xr:uid="{226CB143-2C7D-45C5-BDB6-5359BB1808EB}"/>
    <cellStyle name="Input 2 4 13" xfId="6116" xr:uid="{5FA9A5CE-97D8-47A7-BDF8-0427B660FCA7}"/>
    <cellStyle name="Input 2 4 14" xfId="6620" xr:uid="{6FA64E03-5890-4545-A313-C7185D9262B9}"/>
    <cellStyle name="Input 2 4 15" xfId="7391" xr:uid="{321DC71D-5A6B-461B-9ACE-739A97C3F201}"/>
    <cellStyle name="Input 2 4 16" xfId="7695" xr:uid="{A3C6A447-6A7F-4138-97D7-7D3EEC78C4E3}"/>
    <cellStyle name="Input 2 4 17" xfId="8036" xr:uid="{2ED11B56-D20C-4F4F-99EA-1CE0733A5A5F}"/>
    <cellStyle name="Input 2 4 18" xfId="8745" xr:uid="{D1FCB120-0645-489C-83BF-222D1777C3D5}"/>
    <cellStyle name="Input 2 4 19" xfId="9605" xr:uid="{83D01823-47D5-4E4D-B8CD-5ADB8BCCDDD3}"/>
    <cellStyle name="Input 2 4 2" xfId="885" xr:uid="{37063EF5-7879-4B42-89B4-C3C2189D854F}"/>
    <cellStyle name="Input 2 4 2 10" xfId="5533" xr:uid="{034F0424-7EF8-46B8-9122-D1AD15C39C20}"/>
    <cellStyle name="Input 2 4 2 11" xfId="6027" xr:uid="{82C09D98-E550-4779-BB4D-F5A7244000AF}"/>
    <cellStyle name="Input 2 4 2 12" xfId="6386" xr:uid="{C27CEAD8-AB26-4D24-892B-33394C35DDA9}"/>
    <cellStyle name="Input 2 4 2 13" xfId="6724" xr:uid="{3519D841-7439-4298-B3A2-7E088D2043E7}"/>
    <cellStyle name="Input 2 4 2 14" xfId="7605" xr:uid="{9F596E24-F386-4319-A8D1-D400C6A256A7}"/>
    <cellStyle name="Input 2 4 2 15" xfId="8069" xr:uid="{5B8270BE-F4D7-4916-BC95-6B6EEF39921E}"/>
    <cellStyle name="Input 2 4 2 16" xfId="8678" xr:uid="{37A49FB1-5D77-42D7-8474-393F9577020D}"/>
    <cellStyle name="Input 2 4 2 17" xfId="8937" xr:uid="{A4F2E13D-00C1-44F9-AB32-44F1CD321B0A}"/>
    <cellStyle name="Input 2 4 2 18" xfId="9819" xr:uid="{6E7E0921-F5F6-4371-BEEE-885463191F37}"/>
    <cellStyle name="Input 2 4 2 19" xfId="10288" xr:uid="{C5C629E2-1A75-4D21-A189-F54970C87296}"/>
    <cellStyle name="Input 2 4 2 2" xfId="1359" xr:uid="{CCB5FB55-9218-4674-8663-CAE9774818B3}"/>
    <cellStyle name="Input 2 4 2 20" xfId="10682" xr:uid="{94860101-EF7A-40F7-AFDF-171B1AE16CE0}"/>
    <cellStyle name="Input 2 4 2 21" xfId="11031" xr:uid="{9EB428E0-3AA3-42F0-B830-3E5ED327DA2F}"/>
    <cellStyle name="Input 2 4 2 22" xfId="11341" xr:uid="{91C4DA00-0BD1-4DA3-921E-2B5287B24768}"/>
    <cellStyle name="Input 2 4 2 23" xfId="12238" xr:uid="{0DA9970B-0A4D-4CA2-B800-FED4CF3B1EAC}"/>
    <cellStyle name="Input 2 4 2 24" xfId="12711" xr:uid="{8FD0D2FE-A6CC-499C-A1AD-FEF7A240D5E0}"/>
    <cellStyle name="Input 2 4 2 25" xfId="13145" xr:uid="{733191EB-90A6-45DD-91F8-0803B6E7DFAC}"/>
    <cellStyle name="Input 2 4 2 26" xfId="13582" xr:uid="{EB1FA5A0-6C19-4804-85B1-84082C08D437}"/>
    <cellStyle name="Input 2 4 2 27" xfId="14054" xr:uid="{54C4F384-273F-477F-8849-26E016B05B78}"/>
    <cellStyle name="Input 2 4 2 28" xfId="14501" xr:uid="{7C71D5AE-23F0-4FC5-A54A-1CD1D0671FA9}"/>
    <cellStyle name="Input 2 4 2 29" xfId="14935" xr:uid="{CA048F24-1B22-48C8-AEF3-A782D3DF7F45}"/>
    <cellStyle name="Input 2 4 2 3" xfId="1808" xr:uid="{2CD9A0D1-23F2-4A97-A6D7-505E3F873583}"/>
    <cellStyle name="Input 2 4 2 30" xfId="15405" xr:uid="{45E6D55D-5656-4B4C-8F0A-17B790A1E7C1}"/>
    <cellStyle name="Input 2 4 2 31" xfId="15795" xr:uid="{C7ED23DA-AF8B-44A0-AF08-A770FE1F135C}"/>
    <cellStyle name="Input 2 4 2 32" xfId="16017" xr:uid="{2452D8D4-0509-4BB1-A981-AA8CB7F153D5}"/>
    <cellStyle name="Input 2 4 2 33" xfId="16930" xr:uid="{B6853EFA-D103-4176-9D3A-34B39685DD4A}"/>
    <cellStyle name="Input 2 4 2 34" xfId="17411" xr:uid="{EDD33BE3-0702-4285-A181-DB857638A713}"/>
    <cellStyle name="Input 2 4 2 35" xfId="17852" xr:uid="{3875A9F1-CBCC-4E64-90D4-392AA29DAA73}"/>
    <cellStyle name="Input 2 4 2 36" xfId="18327" xr:uid="{31C568C5-6CA0-41B5-9881-89477FAABA5D}"/>
    <cellStyle name="Input 2 4 2 37" xfId="18748" xr:uid="{A6EB7B53-4142-429E-9BF6-DFB14B288944}"/>
    <cellStyle name="Input 2 4 2 38" xfId="19135" xr:uid="{45213F9D-9419-4BAA-BE3B-C2FD60AA61C6}"/>
    <cellStyle name="Input 2 4 2 39" xfId="19365" xr:uid="{82629031-6067-4738-B887-0BCDEE8EF86C}"/>
    <cellStyle name="Input 2 4 2 4" xfId="2707" xr:uid="{2D3CA91B-254A-4ADD-98D9-165334195A78}"/>
    <cellStyle name="Input 2 4 2 40" xfId="20267" xr:uid="{92B1897F-5185-4D56-B4B9-32472E06045C}"/>
    <cellStyle name="Input 2 4 2 41" xfId="20760" xr:uid="{92A98343-2B49-48B8-BFBF-A6BDA432B42D}"/>
    <cellStyle name="Input 2 4 2 42" xfId="21219" xr:uid="{6B4FEF70-36D3-4EAE-8395-2FED24AAE1C9}"/>
    <cellStyle name="Input 2 4 2 43" xfId="21711" xr:uid="{C68A8161-2191-4DB6-9375-68E2108CF288}"/>
    <cellStyle name="Input 2 4 2 44" xfId="22150" xr:uid="{A19A8B0C-7459-44A6-B668-2974B4F7EF3D}"/>
    <cellStyle name="Input 2 4 2 45" xfId="22577" xr:uid="{3E1836F9-A993-4CCF-97A0-F7378042543A}"/>
    <cellStyle name="Input 2 4 2 46" xfId="23022" xr:uid="{A84B149B-80CB-4603-93FD-8C6D00671196}"/>
    <cellStyle name="Input 2 4 2 47" xfId="23424" xr:uid="{341F1C80-7E75-488D-96B5-5D07CBDDC4F0}"/>
    <cellStyle name="Input 2 4 2 48" xfId="23687" xr:uid="{4B594AD1-1330-4768-98CF-F637B08C405C}"/>
    <cellStyle name="Input 2 4 2 49" xfId="24067" xr:uid="{8C98A6D5-139C-41FF-9403-F11B80AF5C71}"/>
    <cellStyle name="Input 2 4 2 5" xfId="3227" xr:uid="{6814C279-8F1C-4F5A-A601-7CC9D4E4F2E1}"/>
    <cellStyle name="Input 2 4 2 50" xfId="24975" xr:uid="{84B8AE89-0B50-4FCA-B8A5-E5F2C6D64092}"/>
    <cellStyle name="Input 2 4 2 51" xfId="25463" xr:uid="{0E41DEA0-DF00-4E3D-BC31-6CEB5E81B070}"/>
    <cellStyle name="Input 2 4 2 52" xfId="25891" xr:uid="{195D6065-AED6-4BF8-873F-0BB74EF7517C}"/>
    <cellStyle name="Input 2 4 2 53" xfId="26329" xr:uid="{6B00433A-DF63-468C-9B16-4D8AD6297F90}"/>
    <cellStyle name="Input 2 4 2 54" xfId="26758" xr:uid="{4833CEEA-1EFB-4C94-8A40-7593B82137C4}"/>
    <cellStyle name="Input 2 4 2 55" xfId="27179" xr:uid="{F759BA47-0905-4E9D-912A-59A74FF21233}"/>
    <cellStyle name="Input 2 4 2 56" xfId="27598" xr:uid="{EA2BC3A0-1F03-4B19-8238-8D98B723C254}"/>
    <cellStyle name="Input 2 4 2 57" xfId="27836" xr:uid="{EBA243B3-C761-4563-8A38-C9AD61ABD23C}"/>
    <cellStyle name="Input 2 4 2 58" xfId="28725" xr:uid="{04BE5940-A199-4605-BBC2-F91FC1095D22}"/>
    <cellStyle name="Input 2 4 2 59" xfId="29192" xr:uid="{245E5E81-8972-4D98-B5D1-658978EE772A}"/>
    <cellStyle name="Input 2 4 2 6" xfId="3782" xr:uid="{EE4D1A85-C5D2-4093-8B82-0F2FD5AA2A6E}"/>
    <cellStyle name="Input 2 4 2 60" xfId="29574" xr:uid="{0FBC5371-DB0E-415D-965F-108E94895A65}"/>
    <cellStyle name="Input 2 4 2 61" xfId="29981" xr:uid="{4ADD25B2-F998-43CD-81DB-CCF93DAD8AD8}"/>
    <cellStyle name="Input 2 4 2 62" xfId="30387" xr:uid="{5AA81A7E-243A-4B33-BAFA-E5C1BAA39323}"/>
    <cellStyle name="Input 2 4 2 63" xfId="30804" xr:uid="{F3497923-8C11-42C8-8BB1-9189E6901CE4}"/>
    <cellStyle name="Input 2 4 2 64" xfId="31049" xr:uid="{1666EA10-43FD-4B7E-8928-6D9F237CD0E6}"/>
    <cellStyle name="Input 2 4 2 65" xfId="31420" xr:uid="{B907424B-550F-4EB0-8AEF-28120FE2229D}"/>
    <cellStyle name="Input 2 4 2 66" xfId="32111" xr:uid="{CD72A8A6-9178-462E-87CC-047B8E98C864}"/>
    <cellStyle name="Input 2 4 2 67" xfId="32398" xr:uid="{A44F13DE-B092-48D6-8885-8B9C9F03A5AA}"/>
    <cellStyle name="Input 2 4 2 7" xfId="4203" xr:uid="{483F6021-56C2-4FA0-AE9E-C8F11D6520C1}"/>
    <cellStyle name="Input 2 4 2 8" xfId="4640" xr:uid="{3FDFA2B0-CE6A-4112-A40E-1FE6E1918076}"/>
    <cellStyle name="Input 2 4 2 9" xfId="5086" xr:uid="{6A3978E5-98B9-43AB-B8C3-2557D3A2A519}"/>
    <cellStyle name="Input 2 4 20" xfId="9911" xr:uid="{7D9C4109-839A-4930-BD82-5AC4D3092454}"/>
    <cellStyle name="Input 2 4 21" xfId="10341" xr:uid="{5289F576-1932-4B8B-806B-3BCBD178FF87}"/>
    <cellStyle name="Input 2 4 22" xfId="10779" xr:uid="{BED08D5A-FABF-4245-AEF7-6A6BAFC0D176}"/>
    <cellStyle name="Input 2 4 23" xfId="9159" xr:uid="{92801512-072D-4FE4-8DE9-D8F58DB421E4}"/>
    <cellStyle name="Input 2 4 24" xfId="12024" xr:uid="{5B95292E-74AA-432C-8984-2A5AE2787C29}"/>
    <cellStyle name="Input 2 4 25" xfId="12497" xr:uid="{726116A5-4821-40C5-97A7-B7D972FF6487}"/>
    <cellStyle name="Input 2 4 26" xfId="12931" xr:uid="{1293BB82-11C7-468E-828D-D516E17113B8}"/>
    <cellStyle name="Input 2 4 27" xfId="13368" xr:uid="{52700607-BA0C-41FD-9A20-5D5F2DE1C02C}"/>
    <cellStyle name="Input 2 4 28" xfId="13785" xr:uid="{2C17EE63-3BE9-4AB7-8983-9FC2D0E6030C}"/>
    <cellStyle name="Input 2 4 29" xfId="14397" xr:uid="{252375A7-C265-45E4-B3AA-8FB04DE4D5BA}"/>
    <cellStyle name="Input 2 4 3" xfId="1153" xr:uid="{8E8905DD-6FE0-4F99-8D21-50329F9A2330}"/>
    <cellStyle name="Input 2 4 30" xfId="14562" xr:uid="{3F40DE50-4B71-49D3-BC1F-CA0525CF19E0}"/>
    <cellStyle name="Input 2 4 31" xfId="15047" xr:uid="{A62C068A-6FFC-4F9D-8CCA-745EABA20DBA}"/>
    <cellStyle name="Input 2 4 32" xfId="15682" xr:uid="{D6C844E5-3A48-4457-8F67-CEB259967FFE}"/>
    <cellStyle name="Input 2 4 33" xfId="15806" xr:uid="{6C5AD5B2-E523-4503-A37D-1E669D556C52}"/>
    <cellStyle name="Input 2 4 34" xfId="16716" xr:uid="{2E357808-6DA0-48B0-9387-AA6FB04E8C45}"/>
    <cellStyle name="Input 2 4 35" xfId="17023" xr:uid="{B07471EC-47C8-4C77-8F5B-52D0E8E1D7F0}"/>
    <cellStyle name="Input 2 4 36" xfId="17470" xr:uid="{9A062DE3-FB58-43B5-9006-479CD7D4EE1D}"/>
    <cellStyle name="Input 2 4 37" xfId="18136" xr:uid="{89506EBD-C0B5-4873-8696-665065DAAFCF}"/>
    <cellStyle name="Input 2 4 38" xfId="18534" xr:uid="{64884569-46DE-4744-B1CB-402F9CB3C758}"/>
    <cellStyle name="Input 2 4 39" xfId="18371" xr:uid="{4959F60D-2182-4521-9A87-007A1DFCCE79}"/>
    <cellStyle name="Input 2 4 4" xfId="1721" xr:uid="{9C045FDD-6E7C-499D-8830-5C695CEAEE66}"/>
    <cellStyle name="Input 2 4 40" xfId="19305" xr:uid="{D0E512F3-8F0B-42E5-9EA1-1F6B1F5BA673}"/>
    <cellStyle name="Input 2 4 41" xfId="20053" xr:uid="{E3BAA1F3-F61C-4311-B4B0-00231F0D59E7}"/>
    <cellStyle name="Input 2 4 42" xfId="20374" xr:uid="{F53845D1-A1B3-4A88-86F3-B52514C6DF84}"/>
    <cellStyle name="Input 2 4 43" xfId="20828" xr:uid="{23CC10D5-AD30-43DA-80C7-38C9E2AC4AE5}"/>
    <cellStyle name="Input 2 4 44" xfId="21349" xr:uid="{F28D9211-A532-4946-BEFC-4D9C2260F7A6}"/>
    <cellStyle name="Input 2 4 45" xfId="21760" xr:uid="{61E25951-9F43-46FB-916A-8EEF2CFF6F09}"/>
    <cellStyle name="Input 2 4 46" xfId="22199" xr:uid="{7A02AB6F-E6A5-4397-807A-8742C5F9D115}"/>
    <cellStyle name="Input 2 4 47" xfId="22777" xr:uid="{054BEB5B-08DA-42B9-9200-71DD7B64D3D8}"/>
    <cellStyle name="Input 2 4 48" xfId="22614" xr:uid="{FEB27AE7-C9F6-4E5D-B3F6-40AE66832E66}"/>
    <cellStyle name="Input 2 4 49" xfId="22560" xr:uid="{E66DE86A-FD1A-413C-AA49-70F45CBFC958}"/>
    <cellStyle name="Input 2 4 5" xfId="2493" xr:uid="{88F4FBEF-56C6-4492-ABA1-8A50E8004FD8}"/>
    <cellStyle name="Input 2 4 50" xfId="23861" xr:uid="{702D122C-48A4-406B-8C88-B44489133F37}"/>
    <cellStyle name="Input 2 4 51" xfId="24761" xr:uid="{6C99E19F-7950-42C6-927D-35AC40AB65E8}"/>
    <cellStyle name="Input 2 4 52" xfId="25085" xr:uid="{29C383F7-D8E8-4D87-AD52-107FCBACE52F}"/>
    <cellStyle name="Input 2 4 53" xfId="25679" xr:uid="{672DE9BC-CCAA-4C38-B65F-16D0DD5D26C2}"/>
    <cellStyle name="Input 2 4 54" xfId="26081" xr:uid="{8336B925-9A04-4542-9E72-3C68A8830F23}"/>
    <cellStyle name="Input 2 4 55" xfId="25064" xr:uid="{E172EF68-367F-4FAC-B8A2-54536EE8AA12}"/>
    <cellStyle name="Input 2 4 56" xfId="26969" xr:uid="{D6BAF2E8-D887-450E-826A-FA462FF2D585}"/>
    <cellStyle name="Input 2 4 57" xfId="27388" xr:uid="{8B327F14-05D4-4E1D-A1D3-C1030593B31B}"/>
    <cellStyle name="Input 2 4 58" xfId="26433" xr:uid="{879C2D6F-3955-4883-A1D5-AD01B2A61A15}"/>
    <cellStyle name="Input 2 4 59" xfId="28511" xr:uid="{413CB6E3-8137-44EC-BD86-87DEF01F6851}"/>
    <cellStyle name="Input 2 4 6" xfId="2952" xr:uid="{0924420F-4D00-41EB-AC26-64CD6D0F6AE4}"/>
    <cellStyle name="Input 2 4 60" xfId="28979" xr:uid="{D9CEBE6C-B7D6-4D0E-BC94-DEA8BB6477F2}"/>
    <cellStyle name="Input 2 4 61" xfId="29240" xr:uid="{0A6E027B-FAD3-45E2-BE61-3E3D74E4DA1E}"/>
    <cellStyle name="Input 2 4 62" xfId="29769" xr:uid="{742E920A-6680-4854-82AE-09DC4360FDE1}"/>
    <cellStyle name="Input 2 4 63" xfId="30176" xr:uid="{B69C48E9-5CF1-4F7F-9C47-896E60B53054}"/>
    <cellStyle name="Input 2 4 64" xfId="30591" xr:uid="{C6D791E5-E1D1-4F22-A06A-2735A67C150C}"/>
    <cellStyle name="Input 2 4 65" xfId="30398" xr:uid="{2CFDC685-CF98-4D0D-A18F-6FC7BDFCF492}"/>
    <cellStyle name="Input 2 4 66" xfId="31214" xr:uid="{4C7E329B-10EB-495D-A9E5-7A158EC17462}"/>
    <cellStyle name="Input 2 4 67" xfId="31900" xr:uid="{53B4ED44-B41B-459C-8E5E-29E810F58A01}"/>
    <cellStyle name="Input 2 4 68" xfId="32127" xr:uid="{D2A6CC26-937E-4122-8922-30274B05052F}"/>
    <cellStyle name="Input 2 4 7" xfId="3563" xr:uid="{77DA0760-5287-4C6C-9B73-17B3B22FAFBA}"/>
    <cellStyle name="Input 2 4 8" xfId="3989" xr:uid="{EF62C334-1D15-475C-9C94-CD34A2B96038}"/>
    <cellStyle name="Input 2 4 9" xfId="4427" xr:uid="{46595573-CCE4-4DA7-99C5-B7716E4F80F1}"/>
    <cellStyle name="Input 2 40" xfId="25440" xr:uid="{8F5D6DEE-F392-4F56-BFE1-1A70513EA927}"/>
    <cellStyle name="Input 2 41" xfId="25267" xr:uid="{AA8C0140-79DC-41A8-B9B4-77997E75FD78}"/>
    <cellStyle name="Input 2 42" xfId="26306" xr:uid="{9FEFD87B-7EF3-43BF-BEB2-C1A4E6EA4248}"/>
    <cellStyle name="Input 2 43" xfId="26582" xr:uid="{D237782B-5619-400E-B602-0FA62D5D1A11}"/>
    <cellStyle name="Input 2 44" xfId="26547" xr:uid="{F2495A5B-F1E5-4B0F-9BFF-6DD003DCE1F1}"/>
    <cellStyle name="Input 2 45" xfId="27732" xr:uid="{490B2E79-9CF4-4B0C-A759-CB526C25FAD1}"/>
    <cellStyle name="Input 2 46" xfId="28037" xr:uid="{7AE0FEEA-2FF3-4DEE-BBCF-FEBD6249A9D2}"/>
    <cellStyle name="Input 2 47" xfId="28304" xr:uid="{DB2A245D-EB2D-4B52-952A-F657C2AFA0CE}"/>
    <cellStyle name="Input 2 48" xfId="28765" xr:uid="{C4F9E575-12A9-4BC7-B593-A35B7BCF9ABB}"/>
    <cellStyle name="Input 2 49" xfId="27930" xr:uid="{2A253528-BC38-4146-8124-6AE8E63384AE}"/>
    <cellStyle name="Input 2 5" xfId="683" xr:uid="{7C694493-D8B2-45FD-ABE0-A65D4BA4AB73}"/>
    <cellStyle name="Input 2 5 10" xfId="5331" xr:uid="{17BEC1B9-BAE8-4261-B1A6-9DB6786CE9F4}"/>
    <cellStyle name="Input 2 5 11" xfId="5132" xr:uid="{2E1B83AD-EAF2-4470-86B7-1ABE23245BEB}"/>
    <cellStyle name="Input 2 5 12" xfId="6225" xr:uid="{EF5DBFAC-EA9C-438A-A79B-6C0A5397CA5D}"/>
    <cellStyle name="Input 2 5 13" xfId="6055" xr:uid="{D0B18941-B8B7-4B75-B94A-2C0C73ACF354}"/>
    <cellStyle name="Input 2 5 14" xfId="7403" xr:uid="{853C10F4-2B74-42FC-8700-49829FF10900}"/>
    <cellStyle name="Input 2 5 15" xfId="7842" xr:uid="{795EE1F4-85D5-4EDD-9606-9F1367D2978E}"/>
    <cellStyle name="Input 2 5 16" xfId="7031" xr:uid="{24D7624E-BB67-41AA-8319-80816E72A696}"/>
    <cellStyle name="Input 2 5 17" xfId="8827" xr:uid="{70B31893-626F-415F-87BA-7FAF41AD508E}"/>
    <cellStyle name="Input 2 5 18" xfId="9617" xr:uid="{C5943E87-3A33-4D68-921B-166DDF18A694}"/>
    <cellStyle name="Input 2 5 19" xfId="10054" xr:uid="{EB5FEAC6-F756-4525-834E-96F852E936C3}"/>
    <cellStyle name="Input 2 5 2" xfId="1165" xr:uid="{B3F05BE1-28CD-4363-881F-CA5AA20BE16B}"/>
    <cellStyle name="Input 2 5 20" xfId="10474" xr:uid="{8948416B-904D-4397-914A-C9FA56139EAE}"/>
    <cellStyle name="Input 2 5 21" xfId="10887" xr:uid="{66B91530-B3BA-46FD-9291-7FCB7C05B978}"/>
    <cellStyle name="Input 2 5 22" xfId="9389" xr:uid="{016C3588-A58F-4A97-9058-A1E96598C32C}"/>
    <cellStyle name="Input 2 5 23" xfId="12036" xr:uid="{CE7BBD19-47B4-46C8-AAAC-BDDE89ED06D7}"/>
    <cellStyle name="Input 2 5 24" xfId="12509" xr:uid="{4CDF1A42-D480-43AF-8BB1-13E75481FAED}"/>
    <cellStyle name="Input 2 5 25" xfId="12943" xr:uid="{36D64306-1DAF-4D35-BBC0-FD94AF24385F}"/>
    <cellStyle name="Input 2 5 26" xfId="13380" xr:uid="{EA170155-BF87-4CDD-9791-8D2CEB614074}"/>
    <cellStyle name="Input 2 5 27" xfId="13843" xr:uid="{02F17D84-F79A-4223-9314-3233875F8FE9}"/>
    <cellStyle name="Input 2 5 28" xfId="14200" xr:uid="{96E2B99B-A3BF-4802-BC4D-6E52B37F7059}"/>
    <cellStyle name="Input 2 5 29" xfId="14708" xr:uid="{EDEC2DF9-A316-4C9F-A5C1-A6EADC582F15}"/>
    <cellStyle name="Input 2 5 3" xfId="1630" xr:uid="{5AA14901-D54A-4794-9B7B-5F11CDE45B9F}"/>
    <cellStyle name="Input 2 5 30" xfId="14807" xr:uid="{9C7DB80B-A7C3-4610-8648-676673D94789}"/>
    <cellStyle name="Input 2 5 31" xfId="14715" xr:uid="{F1C54BCB-636C-42A5-853A-1568C56FB1D6}"/>
    <cellStyle name="Input 2 5 32" xfId="15884" xr:uid="{C68E2C0E-A285-4BA6-BE1E-0B4B9C4DB54E}"/>
    <cellStyle name="Input 2 5 33" xfId="16728" xr:uid="{DDE1CFE0-F4EB-4E30-87AE-54DCAECA39D6}"/>
    <cellStyle name="Input 2 5 34" xfId="17172" xr:uid="{BF12785B-E24D-414F-8F6F-A1D5203A2037}"/>
    <cellStyle name="Input 2 5 35" xfId="17617" xr:uid="{E7E7529A-54C1-441F-B0CD-0EA5EC84BEF8}"/>
    <cellStyle name="Input 2 5 36" xfId="17466" xr:uid="{BF69DA3D-BC3A-4C2E-8F6B-F57CC163C6D0}"/>
    <cellStyle name="Input 2 5 37" xfId="18546" xr:uid="{11E7F2AC-46D3-42A5-9A24-4B96BBAEECDF}"/>
    <cellStyle name="Input 2 5 38" xfId="19027" xr:uid="{AB34DB04-7648-4FFE-ABD7-B1C20D8E522D}"/>
    <cellStyle name="Input 2 5 39" xfId="19189" xr:uid="{BB221D49-C455-4D1A-94BA-08AD0C3A96BF}"/>
    <cellStyle name="Input 2 5 4" xfId="2505" xr:uid="{0B25F421-9CD8-498E-B025-28145BA52118}"/>
    <cellStyle name="Input 2 5 40" xfId="20065" xr:uid="{1DFC0D83-01CC-416B-83BF-4EFB461FAF2F}"/>
    <cellStyle name="Input 2 5 41" xfId="20524" xr:uid="{C829FECB-84B7-464C-A0C6-CF4D2DADDF43}"/>
    <cellStyle name="Input 2 5 42" xfId="20977" xr:uid="{8BD5595F-0083-433E-A034-115C752E962F}"/>
    <cellStyle name="Input 2 5 43" xfId="21286" xr:uid="{0CE8C647-7C71-4408-B038-9D1816208CEF}"/>
    <cellStyle name="Input 2 5 44" xfId="21908" xr:uid="{CD57DC69-571C-44B0-B62F-B50FCD684EF8}"/>
    <cellStyle name="Input 2 5 45" xfId="22342" xr:uid="{D6252201-4783-447D-BC45-E779808A931D}"/>
    <cellStyle name="Input 2 5 46" xfId="22829" xr:uid="{4E7B9933-82CE-469F-B901-A58525549649}"/>
    <cellStyle name="Input 2 5 47" xfId="23306" xr:uid="{37860C24-3B6A-4BFD-A5ED-01C2B5E1B997}"/>
    <cellStyle name="Input 2 5 48" xfId="23461" xr:uid="{2D1DC3A8-D59F-4DD1-AD2B-623665612B79}"/>
    <cellStyle name="Input 2 5 49" xfId="23873" xr:uid="{F7C8B95B-5D70-48D9-92E1-F7AFE2137015}"/>
    <cellStyle name="Input 2 5 5" xfId="3009" xr:uid="{004EC78A-61E7-4A99-9982-84A34DD17A86}"/>
    <cellStyle name="Input 2 5 50" xfId="24773" xr:uid="{4933C09C-93D9-4801-85FF-3665707C4736}"/>
    <cellStyle name="Input 2 5 51" xfId="25233" xr:uid="{018F3333-95E5-4BE4-83FD-536E811AF02A}"/>
    <cellStyle name="Input 2 5 52" xfId="25691" xr:uid="{801F00D5-9780-4110-BE64-7F3010864D63}"/>
    <cellStyle name="Input 2 5 53" xfId="26133" xr:uid="{C52A4AA7-1FF8-49DE-A766-44DD16E02781}"/>
    <cellStyle name="Input 2 5 54" xfId="25220" xr:uid="{3C2253F1-9C52-4570-B261-36F764A919CB}"/>
    <cellStyle name="Input 2 5 55" xfId="26981" xr:uid="{4B48B857-22D8-40DA-8D05-7FBD3E712093}"/>
    <cellStyle name="Input 2 5 56" xfId="27400" xr:uid="{60340528-D48E-4FB7-BECA-87D0A0853650}"/>
    <cellStyle name="Input 2 5 57" xfId="27728" xr:uid="{992F3A86-87B6-4B3C-A296-E90EE72B3D68}"/>
    <cellStyle name="Input 2 5 58" xfId="28523" xr:uid="{9868D249-E1BD-403C-A76A-D898DD1C2E2C}"/>
    <cellStyle name="Input 2 5 59" xfId="28991" xr:uid="{2BC44965-7F77-4ABC-B72A-70CC188FE0F3}"/>
    <cellStyle name="Input 2 5 6" xfId="3365" xr:uid="{DFAA080B-9CF4-40E0-AC17-D664C77233CC}"/>
    <cellStyle name="Input 2 5 60" xfId="29372" xr:uid="{979E2092-160A-492B-AC62-C0B938FB2366}"/>
    <cellStyle name="Input 2 5 61" xfId="29781" xr:uid="{6EAADA13-B46E-4A1F-AA0B-028827672737}"/>
    <cellStyle name="Input 2 5 62" xfId="30188" xr:uid="{16B23FB2-5AEE-49A7-BE39-DB6CD734E8F0}"/>
    <cellStyle name="Input 2 5 63" xfId="30603" xr:uid="{3FAE775E-9518-4CC2-AA0C-60F8531A4D10}"/>
    <cellStyle name="Input 2 5 64" xfId="30829" xr:uid="{5B3D6525-4D8A-4D80-A589-8FC253341ED6}"/>
    <cellStyle name="Input 2 5 65" xfId="31226" xr:uid="{5D92FF29-E7F3-46F8-A86A-AC41EE0E208D}"/>
    <cellStyle name="Input 2 5 66" xfId="31912" xr:uid="{4B42B289-22AE-481F-8A2E-B5B8C89A2FA8}"/>
    <cellStyle name="Input 2 5 67" xfId="31547" xr:uid="{5DAA9885-756A-4F9A-B0FB-71EC10E2EA8C}"/>
    <cellStyle name="Input 2 5 7" xfId="4001" xr:uid="{73CB7F91-1D47-432B-8024-7736B0824FD0}"/>
    <cellStyle name="Input 2 5 8" xfId="4439" xr:uid="{FE0592EC-3E5A-4251-8680-4F8C02073B24}"/>
    <cellStyle name="Input 2 5 9" xfId="4985" xr:uid="{7B2BBCBA-2E18-4ECC-9E01-D2C82A0BE023}"/>
    <cellStyle name="Input 2 50" xfId="30934" xr:uid="{7778F0FB-0ACF-4DE6-BBA6-704BBBC0F216}"/>
    <cellStyle name="Input 2 51" xfId="30990" xr:uid="{99A5BD2E-43BF-41F2-962B-30078D5F653C}"/>
    <cellStyle name="Input 2 52" xfId="31523" xr:uid="{B20B0CF7-1D68-4B5C-8FF6-17EA0D9F5BB2}"/>
    <cellStyle name="Input 2 53" xfId="31556" xr:uid="{813E77F7-0F2C-4C77-83C3-00E9BBD4AB3F}"/>
    <cellStyle name="Input 2 6" xfId="925" xr:uid="{69ADF105-792B-4C2B-A8CA-D2EF6FBD9168}"/>
    <cellStyle name="Input 2 7" xfId="1969" xr:uid="{D28078A5-F1B9-447C-901A-52803D612B51}"/>
    <cellStyle name="Input 2 8" xfId="1836" xr:uid="{FB4A1641-9D91-424B-96F9-DF73F755218C}"/>
    <cellStyle name="Input 2 9" xfId="3124" xr:uid="{BB4BCD5C-274C-4701-B17E-C8637E2DB7A6}"/>
    <cellStyle name="Input 3" xfId="232" xr:uid="{DB9D521E-8708-49D2-8FD2-03A070228785}"/>
    <cellStyle name="Input 3 10" xfId="3148" xr:uid="{21E5FAF1-8E30-4F54-B077-78EB3DB9B6C2}"/>
    <cellStyle name="Input 3 11" xfId="4657" xr:uid="{CEBA8AB8-2BF9-4F89-81A8-72DC0FFC78EC}"/>
    <cellStyle name="Input 3 12" xfId="1976" xr:uid="{8AC66FE2-C638-4A94-9CB0-2B7907931BE1}"/>
    <cellStyle name="Input 3 13" xfId="6242" xr:uid="{5BA41F41-9856-4657-BB67-E4060FA2B52F}"/>
    <cellStyle name="Input 3 14" xfId="6644" xr:uid="{91EACA21-1D70-4CE7-BAEA-0B6A7EC59826}"/>
    <cellStyle name="Input 3 15" xfId="6964" xr:uid="{502FA301-5CD2-446E-A080-58030739F519}"/>
    <cellStyle name="Input 3 16" xfId="6851" xr:uid="{2390A72D-B0B5-4E80-83E7-A741BCD50F7C}"/>
    <cellStyle name="Input 3 17" xfId="8472" xr:uid="{120DD8E9-F0AB-471F-A22A-82D19208E0B5}"/>
    <cellStyle name="Input 3 18" xfId="7135" xr:uid="{1C00B851-F6BD-4940-9B91-A1FDF1D0812A}"/>
    <cellStyle name="Input 3 19" xfId="9177" xr:uid="{4B628BFF-5F5A-4A60-91F1-C306A11192FB}"/>
    <cellStyle name="Input 3 2" xfId="588" xr:uid="{E4860540-9DDE-42F7-A222-A8EBB5DE77C9}"/>
    <cellStyle name="Input 3 2 10" xfId="4250" xr:uid="{054A94CF-2DF7-4A6B-BBB6-066BE982F7E0}"/>
    <cellStyle name="Input 3 2 11" xfId="5236" xr:uid="{185BABB7-69CB-423C-BEA7-05E1C3667CBC}"/>
    <cellStyle name="Input 3 2 12" xfId="3789" xr:uid="{4388F1FF-3E2E-4772-ABF7-5A0971643733}"/>
    <cellStyle name="Input 3 2 13" xfId="5141" xr:uid="{177BF533-320E-41BC-B94F-2895447D175F}"/>
    <cellStyle name="Input 3 2 14" xfId="6237" xr:uid="{B943C751-5516-4FF3-BB08-1FCAD36B4A27}"/>
    <cellStyle name="Input 3 2 15" xfId="7308" xr:uid="{F8BD26A9-B291-426B-B749-8A2E517B38A4}"/>
    <cellStyle name="Input 3 2 16" xfId="6974" xr:uid="{CA28011E-6095-4FA3-8663-80407AA27BC4}"/>
    <cellStyle name="Input 3 2 17" xfId="8414" xr:uid="{113F02BA-4526-42E5-B705-F3737F167951}"/>
    <cellStyle name="Input 3 2 18" xfId="8819" xr:uid="{2A361A04-0E6F-4EDF-9B77-6C20525F697C}"/>
    <cellStyle name="Input 3 2 19" xfId="9522" xr:uid="{2D7E73DB-556C-4DFE-9F8A-52E6F0DBD0AA}"/>
    <cellStyle name="Input 3 2 2" xfId="803" xr:uid="{D1FD6DFA-83F7-49E8-9511-F4A1AB66DF30}"/>
    <cellStyle name="Input 3 2 2 10" xfId="5451" xr:uid="{50A59E4E-FC82-48CD-981A-44C83A67B73F}"/>
    <cellStyle name="Input 3 2 2 11" xfId="2130" xr:uid="{366A1D72-D185-4F9C-9258-C43CF8332CBA}"/>
    <cellStyle name="Input 3 2 2 12" xfId="5584" xr:uid="{974E62A8-C3E1-48DB-9E51-4CCB10865655}"/>
    <cellStyle name="Input 3 2 2 13" xfId="6555" xr:uid="{24E37AAE-42E6-4A60-A2BF-33F1AA213645}"/>
    <cellStyle name="Input 3 2 2 14" xfId="7523" xr:uid="{6608F466-F296-4057-A7C7-6743599160E3}"/>
    <cellStyle name="Input 3 2 2 15" xfId="7194" xr:uid="{FEF7F9B8-1B3D-410C-AE32-C4C332F533A8}"/>
    <cellStyle name="Input 3 2 2 16" xfId="6840" xr:uid="{1C38442B-25C0-4E16-B26E-880A9C232DF0}"/>
    <cellStyle name="Input 3 2 2 17" xfId="8367" xr:uid="{082537CD-B469-4669-A186-029D0A540D78}"/>
    <cellStyle name="Input 3 2 2 18" xfId="9737" xr:uid="{6A9CC924-0E78-4FD6-B5BA-23E8DB7D2F53}"/>
    <cellStyle name="Input 3 2 2 19" xfId="9407" xr:uid="{DA93CB61-6097-4EC4-9E48-F6A8EBDB6BCB}"/>
    <cellStyle name="Input 3 2 2 2" xfId="1277" xr:uid="{3AD18AE7-2103-4EB2-9586-90420B3E4285}"/>
    <cellStyle name="Input 3 2 2 20" xfId="9955" xr:uid="{95E175C3-4219-4964-927A-695A646DE1D1}"/>
    <cellStyle name="Input 3 2 2 21" xfId="10504" xr:uid="{AFD749E3-08C1-4FD9-92F0-E3C65B11645B}"/>
    <cellStyle name="Input 3 2 2 22" xfId="10748" xr:uid="{B268D04C-412A-43B7-A188-88EF9279924A}"/>
    <cellStyle name="Input 3 2 2 23" xfId="12156" xr:uid="{79FA0B09-4B2C-499F-A14B-3F26C37D027F}"/>
    <cellStyle name="Input 3 2 2 24" xfId="12629" xr:uid="{B8614489-F34B-4CA5-84F4-401392E9CBAA}"/>
    <cellStyle name="Input 3 2 2 25" xfId="13063" xr:uid="{4269BDA5-C3E9-49F8-9B8B-1CC13FDB3D43}"/>
    <cellStyle name="Input 3 2 2 26" xfId="13500" xr:uid="{DD9287F5-46AE-4F83-8857-6AC537A759B5}"/>
    <cellStyle name="Input 3 2 2 27" xfId="13966" xr:uid="{BBB59368-ACD2-4F25-A915-EB6F11F6E5C1}"/>
    <cellStyle name="Input 3 2 2 28" xfId="11787" xr:uid="{8E16D3A7-D58A-464D-90E9-643278BD2A7C}"/>
    <cellStyle name="Input 3 2 2 29" xfId="12748" xr:uid="{D3E53677-0C24-41EE-8F4D-1D5A8A217BCF}"/>
    <cellStyle name="Input 3 2 2 3" xfId="1681" xr:uid="{A6149A6C-99D6-44C0-B131-B4B40125E394}"/>
    <cellStyle name="Input 3 2 2 30" xfId="15260" xr:uid="{A7875986-89E5-4BDB-B743-9BE1761AC3B9}"/>
    <cellStyle name="Input 3 2 2 31" xfId="15596" xr:uid="{FCD2DF3C-64E0-4F22-9BBB-E0E87D8D799A}"/>
    <cellStyle name="Input 3 2 2 32" xfId="15669" xr:uid="{6BFCCB0D-9EEE-4E87-A161-85F051221248}"/>
    <cellStyle name="Input 3 2 2 33" xfId="16848" xr:uid="{31EED1EB-051E-4092-B06A-A2FD2F7CD57E}"/>
    <cellStyle name="Input 3 2 2 34" xfId="16516" xr:uid="{27181FFE-CE01-48AE-8B7C-04455D7DDA8E}"/>
    <cellStyle name="Input 3 2 2 35" xfId="17068" xr:uid="{36B42B45-1CC0-4758-80DD-EFC02B43548F}"/>
    <cellStyle name="Input 3 2 2 36" xfId="17943" xr:uid="{3E9D0EA5-E02B-450D-9522-A05BBC3A7E61}"/>
    <cellStyle name="Input 3 2 2 37" xfId="18666" xr:uid="{D1AABBBD-7590-4D49-AFFE-2A08DE89EB7A}"/>
    <cellStyle name="Input 3 2 2 38" xfId="17889" xr:uid="{C4070F51-E711-4B60-8C7B-E05D84353B58}"/>
    <cellStyle name="Input 3 2 2 39" xfId="19319" xr:uid="{0B81545D-F981-4F40-9DF6-5DF7DDFD6E10}"/>
    <cellStyle name="Input 3 2 2 4" xfId="2625" xr:uid="{9D53EEDE-4965-4862-AFDD-48304BB727B6}"/>
    <cellStyle name="Input 3 2 2 40" xfId="20185" xr:uid="{020C76C2-4849-45AE-8941-4CDFAA986F90}"/>
    <cellStyle name="Input 3 2 2 41" xfId="19852" xr:uid="{7AE75018-2847-40D9-A3F7-589414D9C8E9}"/>
    <cellStyle name="Input 3 2 2 42" xfId="20613" xr:uid="{BD23EF9E-B752-4301-B303-DE7087CC9820}"/>
    <cellStyle name="Input 3 2 2 43" xfId="21183" xr:uid="{EE82B160-A6AE-476A-97D9-2C1956F2CE23}"/>
    <cellStyle name="Input 3 2 2 44" xfId="20439" xr:uid="{D15E27CE-903E-4A55-9FF2-E09CE472E38C}"/>
    <cellStyle name="Input 3 2 2 45" xfId="22070" xr:uid="{26C402BA-54B8-4104-9002-F9524EE0E68C}"/>
    <cellStyle name="Input 3 2 2 46" xfId="22940" xr:uid="{772EAEB1-E860-4697-9E80-51DAF10D8DAF}"/>
    <cellStyle name="Input 3 2 2 47" xfId="21967" xr:uid="{8226EBAF-D594-481F-B28F-033838FAFCF7}"/>
    <cellStyle name="Input 3 2 2 48" xfId="23231" xr:uid="{9AFDB261-0BF4-4128-9845-D20399D84B35}"/>
    <cellStyle name="Input 3 2 2 49" xfId="23985" xr:uid="{9935C963-ACE2-44C1-8741-4D8D36BF081B}"/>
    <cellStyle name="Input 3 2 2 5" xfId="3136" xr:uid="{12E9E5A7-C123-48C1-9C2C-BAC50402EB79}"/>
    <cellStyle name="Input 3 2 2 50" xfId="24893" xr:uid="{F1C99928-6CDF-4C9B-B37C-B8FC76B62E4B}"/>
    <cellStyle name="Input 3 2 2 51" xfId="24564" xr:uid="{3DC129AE-7C24-40C4-AC5D-8C1B4E9B976C}"/>
    <cellStyle name="Input 3 2 2 52" xfId="25809" xr:uid="{A930651B-B14D-4570-BADE-46F5C14A0689}"/>
    <cellStyle name="Input 3 2 2 53" xfId="24418" xr:uid="{7A1901A1-B5A0-4578-97B8-0593F1996789}"/>
    <cellStyle name="Input 3 2 2 54" xfId="26490" xr:uid="{BBD7C00B-477A-42C8-9473-7001EB48FC16}"/>
    <cellStyle name="Input 3 2 2 55" xfId="27097" xr:uid="{A9ACFC95-0A1F-4405-A28F-8BBA097C3E6B}"/>
    <cellStyle name="Input 3 2 2 56" xfId="27516" xr:uid="{E752BDB9-E2FE-4661-9E79-D917C2FA3661}"/>
    <cellStyle name="Input 3 2 2 57" xfId="27770" xr:uid="{D9885EB1-48D1-4A4D-AEAE-33C0389BC099}"/>
    <cellStyle name="Input 3 2 2 58" xfId="28643" xr:uid="{22837D52-71B3-48C6-A78D-C1AD882B050D}"/>
    <cellStyle name="Input 3 2 2 59" xfId="29110" xr:uid="{E6E2F1FE-17E1-4EB8-99EA-5827DBDD8E55}"/>
    <cellStyle name="Input 3 2 2 6" xfId="2071" xr:uid="{C3E89969-352B-41B6-9A42-DB474B443239}"/>
    <cellStyle name="Input 3 2 2 60" xfId="28793" xr:uid="{DBEECAED-FF69-4B64-9237-6895D58F00F9}"/>
    <cellStyle name="Input 3 2 2 61" xfId="29899" xr:uid="{91FD8887-0446-4C33-A45B-35BE3CB47C20}"/>
    <cellStyle name="Input 3 2 2 62" xfId="30305" xr:uid="{D7593628-88F0-4205-BB38-AA53B86BB18B}"/>
    <cellStyle name="Input 3 2 2 63" xfId="30722" xr:uid="{BC6323B8-6036-4FF2-8441-0E877B7ECB9E}"/>
    <cellStyle name="Input 3 2 2 64" xfId="28279" xr:uid="{202E98E8-F2AB-4955-BEEF-795F63481911}"/>
    <cellStyle name="Input 3 2 2 65" xfId="31338" xr:uid="{50323BAE-C672-4F3A-A6A9-9E2B98D32C58}"/>
    <cellStyle name="Input 3 2 2 66" xfId="32029" xr:uid="{DE8B0573-CFF9-4970-A2A0-E53D87B8F986}"/>
    <cellStyle name="Input 3 2 2 67" xfId="31603" xr:uid="{70727A13-A1C5-4A24-B237-F64D6FA34C6F}"/>
    <cellStyle name="Input 3 2 2 7" xfId="4121" xr:uid="{16032E6D-74AE-480E-B5E9-699C8247518F}"/>
    <cellStyle name="Input 3 2 2 8" xfId="4558" xr:uid="{4368F3C6-DF8A-482A-90DD-674758DB253D}"/>
    <cellStyle name="Input 3 2 2 9" xfId="3698" xr:uid="{CCE566B2-4D25-4E57-B1E4-28D0580ED624}"/>
    <cellStyle name="Input 3 2 20" xfId="9315" xr:uid="{A0EDC85B-1CDF-4412-A045-2F864D15FA0E}"/>
    <cellStyle name="Input 3 2 21" xfId="9859" xr:uid="{4AFCB9FB-8C59-4C5B-9EF6-1CEFEEFDD09C}"/>
    <cellStyle name="Input 3 2 22" xfId="10775" xr:uid="{A2E216BF-84FA-4D0C-BDC8-34FD197FC550}"/>
    <cellStyle name="Input 3 2 23" xfId="10927" xr:uid="{9C217728-7286-4EA7-88A8-486276D4BED9}"/>
    <cellStyle name="Input 3 2 24" xfId="11941" xr:uid="{A1959E53-40F1-4DEC-9F43-FF7573ED9918}"/>
    <cellStyle name="Input 3 2 25" xfId="12414" xr:uid="{178ED15F-8310-4253-BF92-87D0C75EA169}"/>
    <cellStyle name="Input 3 2 26" xfId="12848" xr:uid="{0E624C28-E26C-41C6-A492-D0E545C94637}"/>
    <cellStyle name="Input 3 2 27" xfId="13285" xr:uid="{194C21B3-C69C-4D8D-8BE4-5F70EA8152F4}"/>
    <cellStyle name="Input 3 2 28" xfId="13837" xr:uid="{8EB8E659-8927-4724-A1E4-7C4F4FE41D75}"/>
    <cellStyle name="Input 3 2 29" xfId="14282" xr:uid="{90C3C9BA-8498-45B2-8080-836737AA0DA4}"/>
    <cellStyle name="Input 3 2 3" xfId="1071" xr:uid="{0796E8C9-91BD-4603-A6A3-9FAA3FC94BB1}"/>
    <cellStyle name="Input 3 2 30" xfId="14817" xr:uid="{FD9C932B-CB4A-42C0-AB7D-5DAB16B1E152}"/>
    <cellStyle name="Input 3 2 31" xfId="13876" xr:uid="{4F4042C7-A30B-42CD-9F27-4CC8006CB015}"/>
    <cellStyle name="Input 3 2 32" xfId="15652" xr:uid="{856E896C-EA3E-4692-A40B-0FD7A3AABAEF}"/>
    <cellStyle name="Input 3 2 33" xfId="15366" xr:uid="{7820B85A-81E7-4B98-B98B-44FFFE848836}"/>
    <cellStyle name="Input 3 2 34" xfId="16633" xr:uid="{85531718-6FFD-4663-B2F9-DDFC38DE2A8A}"/>
    <cellStyle name="Input 3 2 35" xfId="16294" xr:uid="{F5157DD2-A043-47E7-8149-7A6D8544386A}"/>
    <cellStyle name="Input 3 2 36" xfId="16260" xr:uid="{16724F2A-05E6-4B81-829C-9E327040F135}"/>
    <cellStyle name="Input 3 2 37" xfId="17634" xr:uid="{B0AA69E1-A7CB-46FA-8756-642F6A24B34F}"/>
    <cellStyle name="Input 3 2 38" xfId="18451" xr:uid="{27CE158F-793F-469D-8513-AB251502D2A9}"/>
    <cellStyle name="Input 3 2 39" xfId="18034" xr:uid="{FA05B407-C604-403E-894A-845D979B3E89}"/>
    <cellStyle name="Input 3 2 4" xfId="1673" xr:uid="{7A44C7CD-8D6E-4216-B728-EE6C24791320}"/>
    <cellStyle name="Input 3 2 40" xfId="19303" xr:uid="{3826463D-C28C-446F-AD11-E2EDF2310971}"/>
    <cellStyle name="Input 3 2 41" xfId="19970" xr:uid="{3C01F8D0-32CC-47F4-8196-92306FE581D7}"/>
    <cellStyle name="Input 3 2 42" xfId="20275" xr:uid="{9B309BBB-169A-4188-BEB0-7B6400837B34}"/>
    <cellStyle name="Input 3 2 43" xfId="19577" xr:uid="{43DF345C-149F-4DB8-A0D0-C0EDB23283B2}"/>
    <cellStyle name="Input 3 2 44" xfId="21271" xr:uid="{8C5DE505-ABAE-4F21-A9D4-B520E7644487}"/>
    <cellStyle name="Input 3 2 45" xfId="21490" xr:uid="{8B56EBE5-49C0-4289-B4AA-3AE20E2139AD}"/>
    <cellStyle name="Input 3 2 46" xfId="22083" xr:uid="{1D3D7F1F-AB20-4CC2-B6C8-CF8F8A6E0BA7}"/>
    <cellStyle name="Input 3 2 47" xfId="22823" xr:uid="{35BB63A7-95A8-4247-9FF6-098CB9E9BDE1}"/>
    <cellStyle name="Input 3 2 48" xfId="22982" xr:uid="{F94D9679-A716-4C80-9171-9480DC6FFFD3}"/>
    <cellStyle name="Input 3 2 49" xfId="23646" xr:uid="{48CC3F13-11FF-4901-9355-4E9476DD9600}"/>
    <cellStyle name="Input 3 2 5" xfId="2410" xr:uid="{870C70B0-CCE3-4EC5-BE78-2F826F9A7E7C}"/>
    <cellStyle name="Input 3 2 50" xfId="23779" xr:uid="{068676AA-965F-47E6-A293-42E7EA74D272}"/>
    <cellStyle name="Input 3 2 51" xfId="24678" xr:uid="{CED47C3B-25F0-4F09-A817-48E2D7BDDADE}"/>
    <cellStyle name="Input 3 2 52" xfId="24991" xr:uid="{20AFBCAA-3448-4A91-A0E3-B9400079F1BF}"/>
    <cellStyle name="Input 3 2 53" xfId="25596" xr:uid="{2B43CBA9-23DC-4A39-9750-04C974712B65}"/>
    <cellStyle name="Input 3 2 54" xfId="26127" xr:uid="{110D7908-6E24-4AA7-8446-810A391256AC}"/>
    <cellStyle name="Input 3 2 55" xfId="26568" xr:uid="{2F1EFD98-4149-46F7-9401-686BE29E6BB8}"/>
    <cellStyle name="Input 3 2 56" xfId="26886" xr:uid="{8E8E6652-9726-4A2A-B6F8-A7BAC1502044}"/>
    <cellStyle name="Input 3 2 57" xfId="27305" xr:uid="{25A9242F-0E04-4E28-88BD-F7DCED706640}"/>
    <cellStyle name="Input 3 2 58" xfId="27804" xr:uid="{B062962E-BED8-4165-AED2-FEAA043EC1E2}"/>
    <cellStyle name="Input 3 2 59" xfId="28428" xr:uid="{775428F0-EEF9-4E57-BC3D-F1C38842C10D}"/>
    <cellStyle name="Input 3 2 6" xfId="3003" xr:uid="{5CACBA96-CC46-49E5-839D-635C1D5124E5}"/>
    <cellStyle name="Input 3 2 60" xfId="28896" xr:uid="{AC3874B3-F063-49DE-A27B-488297F384D4}"/>
    <cellStyle name="Input 3 2 61" xfId="28039" xr:uid="{0236B0EC-3AF2-41BE-B01D-5A0ED93E7AE9}"/>
    <cellStyle name="Input 3 2 62" xfId="29686" xr:uid="{F3640B35-2480-4DF8-92F0-922BCC8230DF}"/>
    <cellStyle name="Input 3 2 63" xfId="30094" xr:uid="{B57A1061-1236-4ABF-B7CA-C9B157C08338}"/>
    <cellStyle name="Input 3 2 64" xfId="30508" xr:uid="{92468EAC-E90E-42CA-95AD-5410578F4599}"/>
    <cellStyle name="Input 3 2 65" xfId="28054" xr:uid="{B112AB13-BEDA-4112-9C58-ED08E3E4744B}"/>
    <cellStyle name="Input 3 2 66" xfId="31132" xr:uid="{C9FC7100-3770-4A3D-9739-45A4609EA89A}"/>
    <cellStyle name="Input 3 2 67" xfId="31818" xr:uid="{E9A7938B-C823-4E23-8670-38752934A62E}"/>
    <cellStyle name="Input 3 2 68" xfId="31501" xr:uid="{49786DF0-30AB-457E-9D7E-8FAA40AE2BD9}"/>
    <cellStyle name="Input 3 2 7" xfId="3480" xr:uid="{78B5D595-3486-42E7-873C-B48679DB401E}"/>
    <cellStyle name="Input 3 2 8" xfId="3906" xr:uid="{17A675DC-3BF4-4D02-8075-5F8B2A36F84A}"/>
    <cellStyle name="Input 3 2 9" xfId="4344" xr:uid="{0038155F-DF41-4DC2-81EC-4EB963A65278}"/>
    <cellStyle name="Input 3 20" xfId="9343" xr:uid="{56A2A02F-7213-46A9-AF6B-E8A7637E6C5B}"/>
    <cellStyle name="Input 3 21" xfId="11226" xr:uid="{82B9F2DE-4155-4D8A-97BC-63312423C67C}"/>
    <cellStyle name="Input 3 22" xfId="11588" xr:uid="{AD122808-E0EB-4301-B814-72798E11D1D6}"/>
    <cellStyle name="Input 3 23" xfId="11748" xr:uid="{C893E9EB-52A1-4BAF-9885-A4849DBF1101}"/>
    <cellStyle name="Input 3 24" xfId="11632" xr:uid="{70C10A6E-B59F-48A7-9F5B-E46A54F43C3D}"/>
    <cellStyle name="Input 3 25" xfId="11500" xr:uid="{E6795DDE-5DC7-440A-9AC4-68FA279896C2}"/>
    <cellStyle name="Input 3 26" xfId="11749" xr:uid="{B5B3E15B-D008-4B50-9156-56049794DA4C}"/>
    <cellStyle name="Input 3 27" xfId="14522" xr:uid="{800ED43E-8661-483C-9F26-ABD2495E3F6C}"/>
    <cellStyle name="Input 3 28" xfId="15595" xr:uid="{2E5903E0-258D-4874-8981-D2A9B7A19DFA}"/>
    <cellStyle name="Input 3 29" xfId="16283" xr:uid="{6960A286-5EC2-4271-8613-8BA8D283EA0D}"/>
    <cellStyle name="Input 3 3" xfId="587" xr:uid="{0BE961A3-F770-450F-AD6A-992FF118D9B9}"/>
    <cellStyle name="Input 3 3 10" xfId="2230" xr:uid="{9A4F39F0-672F-402F-BFAF-15B4395363C3}"/>
    <cellStyle name="Input 3 3 11" xfId="5235" xr:uid="{93166A83-0B82-485E-83BF-9F9759DE9A97}"/>
    <cellStyle name="Input 3 3 12" xfId="5956" xr:uid="{F5B28F3C-5EAD-4AEE-A9A9-13EA3A1CA452}"/>
    <cellStyle name="Input 3 3 13" xfId="6099" xr:uid="{DE7FCD68-C660-4976-877E-15A483C7235E}"/>
    <cellStyle name="Input 3 3 14" xfId="6489" xr:uid="{7A25D977-A80A-4DAD-8D09-DC382DF999DE}"/>
    <cellStyle name="Input 3 3 15" xfId="7307" xr:uid="{522403A9-59B2-46AB-A4DE-2AC6BD50DA62}"/>
    <cellStyle name="Input 3 3 16" xfId="6898" xr:uid="{5A51924D-A06C-43E6-B6CC-8E03AE2595D7}"/>
    <cellStyle name="Input 3 3 17" xfId="8567" xr:uid="{6B55F851-9718-40B7-B2C2-C12F78D0C724}"/>
    <cellStyle name="Input 3 3 18" xfId="8504" xr:uid="{07A41D9F-D784-46ED-AD3D-13166ABA26C9}"/>
    <cellStyle name="Input 3 3 19" xfId="9521" xr:uid="{A4B2E98B-CB8C-4039-A4D4-06296DF0DCD2}"/>
    <cellStyle name="Input 3 3 2" xfId="802" xr:uid="{04B7D6A5-C979-423B-9D25-770B4AF2DE88}"/>
    <cellStyle name="Input 3 3 2 10" xfId="5450" xr:uid="{A56A93E0-6831-42F6-99D2-51B270CB8FF4}"/>
    <cellStyle name="Input 3 3 2 11" xfId="3676" xr:uid="{24BEA7D4-2DB6-4674-BCDD-2EF145BBB05F}"/>
    <cellStyle name="Input 3 3 2 12" xfId="5925" xr:uid="{00984DD3-9C90-4566-9F74-11631E1A7FF7}"/>
    <cellStyle name="Input 3 3 2 13" xfId="6613" xr:uid="{916DD8A2-A55F-4F36-A462-6CAE6278D653}"/>
    <cellStyle name="Input 3 3 2 14" xfId="7522" xr:uid="{E57CC347-5694-4036-B7B0-995F5E96FCFF}"/>
    <cellStyle name="Input 3 3 2 15" xfId="7201" xr:uid="{C471428A-8E17-4239-8CE5-8BF7DF808730}"/>
    <cellStyle name="Input 3 3 2 16" xfId="8438" xr:uid="{7ADA61B0-71C7-4974-9F75-AD5FEA12FA4D}"/>
    <cellStyle name="Input 3 3 2 17" xfId="8841" xr:uid="{486D0C2A-AC87-4A81-AEA8-221BFB347A60}"/>
    <cellStyle name="Input 3 3 2 18" xfId="9736" xr:uid="{4C0055ED-C5DE-4F7D-BC5E-387814E4D10B}"/>
    <cellStyle name="Input 3 3 2 19" xfId="9414" xr:uid="{8879BFB9-ED8C-445A-B7E5-C8581CAAA03C}"/>
    <cellStyle name="Input 3 3 2 2" xfId="1276" xr:uid="{5193D4CA-5FF6-4330-A90E-54C17DC9CB58}"/>
    <cellStyle name="Input 3 3 2 20" xfId="10147" xr:uid="{B7315DC9-1952-4FF6-BCB0-3C14E4E64888}"/>
    <cellStyle name="Input 3 3 2 21" xfId="10331" xr:uid="{5E83C809-85D9-4B7E-AF52-9A1DD0CAC523}"/>
    <cellStyle name="Input 3 3 2 22" xfId="10956" xr:uid="{2CA5C061-E2AF-4B62-897F-082C8CCFFE73}"/>
    <cellStyle name="Input 3 3 2 23" xfId="12155" xr:uid="{61FFC056-7D5B-40CF-A4E9-3F8857CEBD5E}"/>
    <cellStyle name="Input 3 3 2 24" xfId="12628" xr:uid="{E98BB11E-C493-4EBE-8377-FF0A780167EB}"/>
    <cellStyle name="Input 3 3 2 25" xfId="13062" xr:uid="{655122BE-135B-4D70-BDC9-ED4C3B29227B}"/>
    <cellStyle name="Input 3 3 2 26" xfId="13499" xr:uid="{EF047D8A-63E8-4A0B-B096-5750B669E31D}"/>
    <cellStyle name="Input 3 3 2 27" xfId="13756" xr:uid="{1219D013-5A63-4C1D-98B9-3C395199B744}"/>
    <cellStyle name="Input 3 3 2 28" xfId="13964" xr:uid="{1A38A21E-AFC5-47B5-AEE9-A9A865BCCBDD}"/>
    <cellStyle name="Input 3 3 2 29" xfId="14262" xr:uid="{7ABEA85C-075C-4D3F-BC4C-AAE8DEB904A1}"/>
    <cellStyle name="Input 3 3 2 3" xfId="1540" xr:uid="{CE5032E1-0603-41A6-A423-8059BBAE9278}"/>
    <cellStyle name="Input 3 3 2 30" xfId="15166" xr:uid="{7C0CC465-A977-4592-B412-D185DE5C81EF}"/>
    <cellStyle name="Input 3 3 2 31" xfId="15614" xr:uid="{2BB1E77F-CD3A-4754-B189-025281944587}"/>
    <cellStyle name="Input 3 3 2 32" xfId="14683" xr:uid="{7D9DD5E0-5566-43DF-846C-3B4DB51AB8EB}"/>
    <cellStyle name="Input 3 3 2 33" xfId="16847" xr:uid="{682A8FE4-DC28-461A-9EF6-2A90202428F7}"/>
    <cellStyle name="Input 3 3 2 34" xfId="16523" xr:uid="{79D00EAC-13F3-4513-B5B3-CCB0A5FBE4F5}"/>
    <cellStyle name="Input 3 3 2 35" xfId="17267" xr:uid="{6772B9F7-4564-49E4-B081-09959BC1C77F}"/>
    <cellStyle name="Input 3 3 2 36" xfId="17374" xr:uid="{8B5E964C-1857-4ADB-9842-6E7BA2DFB369}"/>
    <cellStyle name="Input 3 3 2 37" xfId="18665" xr:uid="{07D4620F-3C13-484F-8CAE-00D2852FCF82}"/>
    <cellStyle name="Input 3 3 2 38" xfId="19025" xr:uid="{5B1706EB-0240-4D29-8C41-0EB4CE58631B}"/>
    <cellStyle name="Input 3 3 2 39" xfId="19232" xr:uid="{E0BECDA7-6809-488F-A918-BC0BAA1AAC83}"/>
    <cellStyle name="Input 3 3 2 4" xfId="2624" xr:uid="{BFB9D7F2-7A7A-415F-A665-0EC00A8975E9}"/>
    <cellStyle name="Input 3 3 2 40" xfId="20184" xr:uid="{98E76703-D45B-4BCC-ACA0-5F0E107B5C62}"/>
    <cellStyle name="Input 3 3 2 41" xfId="19859" xr:uid="{1EB4ABC8-4050-42AD-80D7-9F0D5786A670}"/>
    <cellStyle name="Input 3 3 2 42" xfId="19574" xr:uid="{0BAE0902-7109-4BD3-8DB6-26AF84C08651}"/>
    <cellStyle name="Input 3 3 2 43" xfId="21360" xr:uid="{33BBB32E-41BF-4C10-A181-A3CDE7A3A3AC}"/>
    <cellStyle name="Input 3 3 2 44" xfId="21464" xr:uid="{A47C6886-F39B-45F1-B412-77CDFA515527}"/>
    <cellStyle name="Input 3 3 2 45" xfId="21933" xr:uid="{7C449A6C-9148-40C9-9637-8C71062D481E}"/>
    <cellStyle name="Input 3 3 2 46" xfId="22751" xr:uid="{3ED54A07-4E67-40E6-8C15-0C31DDAB7A4D}"/>
    <cellStyle name="Input 3 3 2 47" xfId="23304" xr:uid="{82FADE7D-C088-45F7-BADD-73DE7D8210F4}"/>
    <cellStyle name="Input 3 3 2 48" xfId="23310" xr:uid="{3BFE424A-B0A1-4119-A371-023F9B677E31}"/>
    <cellStyle name="Input 3 3 2 49" xfId="23984" xr:uid="{ADA35942-6FB8-46FD-A7ED-6D83F38E66BE}"/>
    <cellStyle name="Input 3 3 2 5" xfId="2922" xr:uid="{2DA802B2-2A68-4B7F-803D-2095CFB89BDD}"/>
    <cellStyle name="Input 3 3 2 50" xfId="24892" xr:uid="{648D3EE4-78AB-431B-B6CA-F0CAB71C9374}"/>
    <cellStyle name="Input 3 3 2 51" xfId="24427" xr:uid="{76D4D728-A1BD-43DD-9DF9-CF0111A4973B}"/>
    <cellStyle name="Input 3 3 2 52" xfId="25808" xr:uid="{6E2D8F86-66DC-4FC7-BE5E-FE92BCEC5685}"/>
    <cellStyle name="Input 3 3 2 53" xfId="25249" xr:uid="{DC54CD90-8F98-42C2-87E8-8C1A8870B5E8}"/>
    <cellStyle name="Input 3 3 2 54" xfId="26131" xr:uid="{9D4E5866-4FCD-4561-BC1A-BF61EC19B58F}"/>
    <cellStyle name="Input 3 3 2 55" xfId="27096" xr:uid="{A42B8DEC-46DB-403A-9181-3C17230B8FAA}"/>
    <cellStyle name="Input 3 3 2 56" xfId="27515" xr:uid="{D17BAFDD-906E-4DEA-93F8-4130C8E9FFAB}"/>
    <cellStyle name="Input 3 3 2 57" xfId="27698" xr:uid="{57730369-D8F2-4386-9723-CA855DA5DF8E}"/>
    <cellStyle name="Input 3 3 2 58" xfId="28642" xr:uid="{1AADBB42-E94E-40BD-9CBC-5DC7C3570EE7}"/>
    <cellStyle name="Input 3 3 2 59" xfId="29109" xr:uid="{FA9FB460-C794-4E47-9467-6474995302F7}"/>
    <cellStyle name="Input 3 3 2 6" xfId="3474" xr:uid="{FBE4BCCE-128A-438A-9798-0B1F66B17C8A}"/>
    <cellStyle name="Input 3 3 2 60" xfId="28000" xr:uid="{3FCEC2D9-C385-4A05-8BAA-AB72FACC499B}"/>
    <cellStyle name="Input 3 3 2 61" xfId="29898" xr:uid="{143227E9-027E-4697-982E-2FE9E7C618C7}"/>
    <cellStyle name="Input 3 3 2 62" xfId="30304" xr:uid="{C5101065-0EEB-4BFC-A05E-9EC2825C23E6}"/>
    <cellStyle name="Input 3 3 2 63" xfId="30721" xr:uid="{943CBB85-5D19-44DD-956F-D974AC028BC8}"/>
    <cellStyle name="Input 3 3 2 64" xfId="28289" xr:uid="{ABB61F77-4CFF-43C8-8C6A-18A546E92C0D}"/>
    <cellStyle name="Input 3 3 2 65" xfId="31337" xr:uid="{DFD7115A-1668-4445-82DF-E1317CCD57EA}"/>
    <cellStyle name="Input 3 3 2 66" xfId="32028" xr:uid="{22B60DB0-FB27-4E35-9107-AFCA4C5DC88C}"/>
    <cellStyle name="Input 3 3 2 67" xfId="31541" xr:uid="{125FE084-B445-4639-9CF7-F8BA48664C69}"/>
    <cellStyle name="Input 3 3 2 7" xfId="4120" xr:uid="{F19B9DC0-C6D8-4E80-A744-31E1D4545BB5}"/>
    <cellStyle name="Input 3 3 2 8" xfId="4557" xr:uid="{E8F22D5E-5517-4582-9645-92A8474C6550}"/>
    <cellStyle name="Input 3 3 2 9" xfId="4243" xr:uid="{F6F23F01-6AB8-4637-B924-8FAEE3A39844}"/>
    <cellStyle name="Input 3 3 20" xfId="9111" xr:uid="{2F2B399D-E558-483D-AC1B-E7D35180A868}"/>
    <cellStyle name="Input 3 3 21" xfId="10186" xr:uid="{B41FFC45-9AB4-4458-A547-622C88C2D30A}"/>
    <cellStyle name="Input 3 3 22" xfId="10924" xr:uid="{97B82400-B67A-4590-A963-6F04120D1671}"/>
    <cellStyle name="Input 3 3 23" xfId="11108" xr:uid="{A695D605-7DBD-45E4-A70B-43325D9C55AA}"/>
    <cellStyle name="Input 3 3 24" xfId="11940" xr:uid="{C16E1904-0782-427B-B760-EDF03A96B232}"/>
    <cellStyle name="Input 3 3 25" xfId="12413" xr:uid="{C9A05C67-5122-4C04-A33F-B1F8B89C89ED}"/>
    <cellStyle name="Input 3 3 26" xfId="12847" xr:uid="{581C28D5-1A1A-4ED5-B13A-659D58AFA2F1}"/>
    <cellStyle name="Input 3 3 27" xfId="13284" xr:uid="{C2D2A700-8574-4E58-AB71-62EFBD890B08}"/>
    <cellStyle name="Input 3 3 28" xfId="13752" xr:uid="{88FCED2C-4B97-4A9C-87B2-74168ECE0D94}"/>
    <cellStyle name="Input 3 3 29" xfId="13909" xr:uid="{4A09C4BC-B1B0-4A1D-B0AE-9E44063936C0}"/>
    <cellStyle name="Input 3 3 3" xfId="1070" xr:uid="{41CEE0C6-01F3-40F6-93B0-5CE2B8CE6D0E}"/>
    <cellStyle name="Input 3 3 30" xfId="14738" xr:uid="{0928E349-8CC6-48C7-B99C-596C52502E57}"/>
    <cellStyle name="Input 3 3 31" xfId="15069" xr:uid="{86967B63-6D25-4ADE-91EB-5D9C70DBEFC7}"/>
    <cellStyle name="Input 3 3 32" xfId="15617" xr:uid="{D5FCCB6C-5DD9-4971-A093-F0DDDF6D9136}"/>
    <cellStyle name="Input 3 3 33" xfId="15762" xr:uid="{2C148C5C-1CFE-4B42-9907-F776F35359A2}"/>
    <cellStyle name="Input 3 3 34" xfId="16632" xr:uid="{6066E8FB-6839-452E-931E-4A49F8EBE7BC}"/>
    <cellStyle name="Input 3 3 35" xfId="16214" xr:uid="{9D8A3DA2-512A-409D-BA50-41A09943EB18}"/>
    <cellStyle name="Input 3 3 36" xfId="17306" xr:uid="{D4208777-8D4C-462B-BD66-1290298D1A9C}"/>
    <cellStyle name="Input 3 3 37" xfId="18122" xr:uid="{F28539A6-B15C-411B-AA61-FC7E2593F218}"/>
    <cellStyle name="Input 3 3 38" xfId="18450" xr:uid="{6123C996-A4AC-4915-9FDA-28FAB21CCF72}"/>
    <cellStyle name="Input 3 3 39" xfId="17010" xr:uid="{EF58D5B2-F7CA-43B7-B999-E8C0EEF418B1}"/>
    <cellStyle name="Input 3 3 4" xfId="1580" xr:uid="{D2EFCA9F-5FF7-4DDF-9166-21592CEB54E9}"/>
    <cellStyle name="Input 3 3 40" xfId="19229" xr:uid="{82196B6D-7E5D-448F-8945-A1EDC2DC24AA}"/>
    <cellStyle name="Input 3 3 41" xfId="19969" xr:uid="{E690F0BE-0B66-484E-901E-E582A59E81DA}"/>
    <cellStyle name="Input 3 3 42" xfId="19547" xr:uid="{BCF39DDC-660B-4B8A-B161-27C4F0444C3F}"/>
    <cellStyle name="Input 3 3 43" xfId="20082" xr:uid="{B0D61D9C-D8A6-4EC1-B9AA-6C5B691F8DF2}"/>
    <cellStyle name="Input 3 3 44" xfId="21353" xr:uid="{70F426D9-0454-4ED1-A9BB-DB5470AF59D1}"/>
    <cellStyle name="Input 3 3 45" xfId="21197" xr:uid="{30F02610-57E0-4A74-9F2F-AF2B0F1B254E}"/>
    <cellStyle name="Input 3 3 46" xfId="22000" xr:uid="{866670EC-4E28-4618-BE46-E77C63487879}"/>
    <cellStyle name="Input 3 3 47" xfId="22747" xr:uid="{BC04565E-D1DB-4AEE-AE2B-5BB468EB695C}"/>
    <cellStyle name="Input 3 3 48" xfId="22990" xr:uid="{B85F51C8-3B80-4A62-A39B-97042B0144C4}"/>
    <cellStyle name="Input 3 3 49" xfId="23491" xr:uid="{F674DDD0-4DDB-4021-B776-99E3669B8159}"/>
    <cellStyle name="Input 3 3 5" xfId="2409" xr:uid="{F8CBDAF1-CAFA-429D-861A-25CE285A8D21}"/>
    <cellStyle name="Input 3 3 50" xfId="23778" xr:uid="{56B37C66-1ED5-4FE8-84C7-9739132435C6}"/>
    <cellStyle name="Input 3 3 51" xfId="24677" xr:uid="{CA5413E1-BF62-460A-9B10-3AB1DB1EA027}"/>
    <cellStyle name="Input 3 3 52" xfId="24521" xr:uid="{BBBF4A16-2FD8-4B0B-90A3-BD761D16EF2F}"/>
    <cellStyle name="Input 3 3 53" xfId="25595" xr:uid="{F751E60E-B949-43A7-9E29-BC498CCB5BDD}"/>
    <cellStyle name="Input 3 3 54" xfId="25999" xr:uid="{FA2CBC0C-EDA8-4601-ADCD-CD94010F6866}"/>
    <cellStyle name="Input 3 3 55" xfId="26383" xr:uid="{3678278F-349B-49AF-80DE-7864105E11B8}"/>
    <cellStyle name="Input 3 3 56" xfId="26885" xr:uid="{8DF79A34-5911-482E-82EF-A18F88797181}"/>
    <cellStyle name="Input 3 3 57" xfId="27304" xr:uid="{5E5683F0-259F-4F94-9F63-B2567FF2C1F7}"/>
    <cellStyle name="Input 3 3 58" xfId="27694" xr:uid="{43101B99-492A-42C2-A0F7-3BA5873AB406}"/>
    <cellStyle name="Input 3 3 59" xfId="28427" xr:uid="{D513DC14-BAAD-400B-B243-77E2AE830D6D}"/>
    <cellStyle name="Input 3 3 6" xfId="2918" xr:uid="{A95E3E4C-1C65-4213-8A7B-8349647B18C2}"/>
    <cellStyle name="Input 3 3 60" xfId="28895" xr:uid="{7D8441E6-1265-46F4-9474-67F3CCD71BE9}"/>
    <cellStyle name="Input 3 3 61" xfId="28079" xr:uid="{89C4AFBD-8364-4C11-95CF-90287241BFC4}"/>
    <cellStyle name="Input 3 3 62" xfId="29685" xr:uid="{E3BF2944-7F01-4E03-949A-2E69D2601304}"/>
    <cellStyle name="Input 3 3 63" xfId="30093" xr:uid="{E60E7702-8702-47DC-B0B7-2660BF200E22}"/>
    <cellStyle name="Input 3 3 64" xfId="30507" xr:uid="{D0466182-0941-42E3-A41F-BE0084E67359}"/>
    <cellStyle name="Input 3 3 65" xfId="30875" xr:uid="{AB9C962C-2596-4A23-9C7F-DA5761DBD33A}"/>
    <cellStyle name="Input 3 3 66" xfId="31131" xr:uid="{9C17C1D4-AEE4-4AAF-82F6-3E89F64CBF61}"/>
    <cellStyle name="Input 3 3 67" xfId="31817" xr:uid="{FF41CFF3-EDE3-458A-8984-39B22C7B4E4E}"/>
    <cellStyle name="Input 3 3 68" xfId="32288" xr:uid="{F5F892C9-2A1C-40F4-A7E8-336C0495BBA4}"/>
    <cellStyle name="Input 3 3 7" xfId="3035" xr:uid="{48F670D2-26D2-4258-BD07-44B5747DC9B2}"/>
    <cellStyle name="Input 3 3 8" xfId="3905" xr:uid="{D8F395E4-805D-4A33-BAA5-6B8784A19A20}"/>
    <cellStyle name="Input 3 3 9" xfId="4343" xr:uid="{9367C389-ED3C-4A2A-8C97-BFE3103EC317}"/>
    <cellStyle name="Input 3 30" xfId="16166" xr:uid="{C19FF874-AC40-4222-A22B-E7DF7B9602AF}"/>
    <cellStyle name="Input 3 31" xfId="17465" xr:uid="{29E5785C-C83A-4091-8EB0-88210F3BD991}"/>
    <cellStyle name="Input 3 32" xfId="18095" xr:uid="{4A6B2212-1752-4640-BF87-D3D25B9FDA00}"/>
    <cellStyle name="Input 3 33" xfId="17282" xr:uid="{40F5FD44-2C32-4A9F-9932-C3BF883D5DAC}"/>
    <cellStyle name="Input 3 34" xfId="19616" xr:uid="{61C5D0A6-AFEE-4BAE-AB46-94D621F26B93}"/>
    <cellStyle name="Input 3 35" xfId="19380" xr:uid="{09FEA69D-CEA2-4839-BCE4-1307F38F4BA3}"/>
    <cellStyle name="Input 3 36" xfId="21965" xr:uid="{A10F7F6B-A05F-45EE-BCBF-CB56E41D1FEB}"/>
    <cellStyle name="Input 3 37" xfId="22539" xr:uid="{395778F0-A1BA-44CB-842B-35720AA6FD01}"/>
    <cellStyle name="Input 3 38" xfId="23452" xr:uid="{2A3D75A5-766C-4129-BA3D-FCB726F0EF58}"/>
    <cellStyle name="Input 3 39" xfId="24337" xr:uid="{9DDC1A40-4DFB-46CF-B2B8-D7738ACE9452}"/>
    <cellStyle name="Input 3 4" xfId="531" xr:uid="{3B4C0FF8-83BB-4419-8601-16E764647C6D}"/>
    <cellStyle name="Input 3 4 10" xfId="4700" xr:uid="{39ACDF01-B293-4337-A416-C928351E9901}"/>
    <cellStyle name="Input 3 4 11" xfId="5179" xr:uid="{F4585C83-9CDB-41C3-AB6E-1C096D7CD359}"/>
    <cellStyle name="Input 3 4 12" xfId="4680" xr:uid="{143F5DC1-1EDF-4DD1-B7AF-82B66443F772}"/>
    <cellStyle name="Input 3 4 13" xfId="6297" xr:uid="{772F3236-C8F4-41ED-9651-9CB556DEEE2F}"/>
    <cellStyle name="Input 3 4 14" xfId="6643" xr:uid="{6A6EE0D3-497A-4C3F-9568-DBB8CD948753}"/>
    <cellStyle name="Input 3 4 15" xfId="7251" xr:uid="{2A0BE5E3-FA2F-4C8D-8E68-385132DA30D8}"/>
    <cellStyle name="Input 3 4 16" xfId="7933" xr:uid="{19C21379-554D-4721-8374-2A541394F98E}"/>
    <cellStyle name="Input 3 4 17" xfId="8562" xr:uid="{206C7414-EBFC-460E-88A6-C97BC1C29765}"/>
    <cellStyle name="Input 3 4 18" xfId="8698" xr:uid="{3F47DCAA-D49F-4BB7-BE59-26D07CA27AA2}"/>
    <cellStyle name="Input 3 4 19" xfId="9465" xr:uid="{B4FB9F41-68A8-495E-ACA3-82114DCEF168}"/>
    <cellStyle name="Input 3 4 2" xfId="746" xr:uid="{3B0D784A-ED2C-492C-B59E-DD88B8AA6C91}"/>
    <cellStyle name="Input 3 4 2 10" xfId="5394" xr:uid="{6B08E4E2-64CB-4777-BEA3-231EC63C842B}"/>
    <cellStyle name="Input 3 4 2 11" xfId="2138" xr:uid="{10EB0635-9C6E-440C-89E5-88F61DAD908F}"/>
    <cellStyle name="Input 3 4 2 12" xfId="6067" xr:uid="{F55C0571-8ED0-4CBF-8DF3-4F6929E1144B}"/>
    <cellStyle name="Input 3 4 2 13" xfId="6464" xr:uid="{52EE36E0-2067-4B4A-8E05-FE4585801BF9}"/>
    <cellStyle name="Input 3 4 2 14" xfId="7466" xr:uid="{72AD6F19-39D5-407F-9F37-D68643AC5F95}"/>
    <cellStyle name="Input 3 4 2 15" xfId="7158" xr:uid="{C412CCA8-04C1-4E35-BAD2-3876DA8118D8}"/>
    <cellStyle name="Input 3 4 2 16" xfId="7770" xr:uid="{1A3CC963-F494-4A3C-9A23-E9CE5BA7F2EF}"/>
    <cellStyle name="Input 3 4 2 17" xfId="8708" xr:uid="{DEFB808C-7FAA-457D-8DDC-321236012448}"/>
    <cellStyle name="Input 3 4 2 18" xfId="9680" xr:uid="{8BE2B0E1-35B3-480B-B52D-76ABCA1DF067}"/>
    <cellStyle name="Input 3 4 2 19" xfId="9373" xr:uid="{69A2AB17-B447-4A2A-86FC-998C21EE43B5}"/>
    <cellStyle name="Input 3 4 2 2" xfId="1220" xr:uid="{39398FBE-CEE7-4771-A897-EEAA07A9600B}"/>
    <cellStyle name="Input 3 4 2 20" xfId="10213" xr:uid="{64F48B97-2BD3-49FE-8150-958F558223AC}"/>
    <cellStyle name="Input 3 4 2 21" xfId="10719" xr:uid="{9C74DDFB-19E4-4744-A819-B40BE7F5F1F0}"/>
    <cellStyle name="Input 3 4 2 22" xfId="11166" xr:uid="{5E5E1D8A-D5E3-49DE-BC2C-7F9C6E4AB6BF}"/>
    <cellStyle name="Input 3 4 2 23" xfId="12099" xr:uid="{C4141C3D-11E2-4F17-8B0F-0F0D96A9FE07}"/>
    <cellStyle name="Input 3 4 2 24" xfId="12572" xr:uid="{7BBDA337-0D97-4100-95B4-D9A7A2CABA19}"/>
    <cellStyle name="Input 3 4 2 25" xfId="13006" xr:uid="{09613734-852C-49C8-AC20-DD63DDB9FE35}"/>
    <cellStyle name="Input 3 4 2 26" xfId="13443" xr:uid="{EED02616-BDEF-4C57-BDF2-7B388D48C2FB}"/>
    <cellStyle name="Input 3 4 2 27" xfId="11667" xr:uid="{53A02693-0BD8-4636-87D7-83A31E304043}"/>
    <cellStyle name="Input 3 4 2 28" xfId="13636" xr:uid="{0C5471B3-710C-47FD-95D5-D1B905030E27}"/>
    <cellStyle name="Input 3 4 2 29" xfId="14289" xr:uid="{8B7DD29A-CF93-41D6-B5AB-348FE2D8D4E0}"/>
    <cellStyle name="Input 3 4 2 3" xfId="1516" xr:uid="{E2306C1B-C263-4641-8561-E95F2B2F5C4D}"/>
    <cellStyle name="Input 3 4 2 30" xfId="15330" xr:uid="{2B6D3C8E-7CC5-4A4D-B788-26508613D14E}"/>
    <cellStyle name="Input 3 4 2 31" xfId="14540" xr:uid="{67D44F02-F93D-47AA-9528-D8F16981BF29}"/>
    <cellStyle name="Input 3 4 2 32" xfId="15673" xr:uid="{50D23C0D-BC46-45BD-8336-675BCEC367E5}"/>
    <cellStyle name="Input 3 4 2 33" xfId="16791" xr:uid="{4D41A428-F90A-4463-BB1A-61D100F21A5B}"/>
    <cellStyle name="Input 3 4 2 34" xfId="16479" xr:uid="{D9D90F50-553B-4C76-A1B4-64644B2B85FB}"/>
    <cellStyle name="Input 3 4 2 35" xfId="17334" xr:uid="{F1F96049-0398-4602-A1E2-46A9EC8AC96C}"/>
    <cellStyle name="Input 3 4 2 36" xfId="17512" xr:uid="{AF4891B2-A209-4D3C-A7EB-0900B504D94A}"/>
    <cellStyle name="Input 3 4 2 37" xfId="18609" xr:uid="{761E33CA-BAF4-4EAF-86C8-EF4F48735E3C}"/>
    <cellStyle name="Input 3 4 2 38" xfId="18789" xr:uid="{D4E4A912-4BB0-4A50-8987-2584D389F692}"/>
    <cellStyle name="Input 3 4 2 39" xfId="19011" xr:uid="{55B0B27B-CB82-4B40-84E8-7716D96E45A4}"/>
    <cellStyle name="Input 3 4 2 4" xfId="2568" xr:uid="{90FE62FC-3179-41CB-BD1D-0C5D2B9BA288}"/>
    <cellStyle name="Input 3 4 2 40" xfId="20128" xr:uid="{69F91476-8472-4B08-BF3C-D9E6EA0B6FDE}"/>
    <cellStyle name="Input 3 4 2 41" xfId="19815" xr:uid="{70C50BE1-A6BB-48FC-9EFD-538899CBA1F5}"/>
    <cellStyle name="Input 3 4 2 42" xfId="19536" xr:uid="{4090AA75-4987-4947-B32A-D5738A810EDC}"/>
    <cellStyle name="Input 3 4 2 43" xfId="21252" xr:uid="{BA0FED16-210D-46DB-8BDE-3F76C6E5BBE2}"/>
    <cellStyle name="Input 3 4 2 44" xfId="21652" xr:uid="{0B0B8D86-FBC4-4D47-9ABA-012966D8EC57}"/>
    <cellStyle name="Input 3 4 2 45" xfId="21078" xr:uid="{47FD692E-DBB9-4661-8A70-1AF25C6E3996}"/>
    <cellStyle name="Input 3 4 2 46" xfId="22193" xr:uid="{8DDFB935-1A33-4220-8C64-72E5A51840AC}"/>
    <cellStyle name="Input 3 4 2 47" xfId="23061" xr:uid="{3543E190-CDA1-4513-BC94-E7407F7B6194}"/>
    <cellStyle name="Input 3 4 2 48" xfId="23094" xr:uid="{B6067819-AC5E-4EF8-A04B-0CFA800F3F15}"/>
    <cellStyle name="Input 3 4 2 49" xfId="23928" xr:uid="{F1066324-189E-4D9A-8605-3FC73AA74242}"/>
    <cellStyle name="Input 3 4 2 5" xfId="2332" xr:uid="{7337D35A-64F4-4E8B-96B9-29E3A0B5F011}"/>
    <cellStyle name="Input 3 4 2 50" xfId="24836" xr:uid="{A5A683A2-F071-4218-B2F4-4A9C68AC57DD}"/>
    <cellStyle name="Input 3 4 2 51" xfId="24526" xr:uid="{DC91A393-8ABE-4E91-9648-0BAD671B7FEC}"/>
    <cellStyle name="Input 3 4 2 52" xfId="25752" xr:uid="{2813498B-5626-418B-B208-2D31AC3BE1BE}"/>
    <cellStyle name="Input 3 4 2 53" xfId="25149" xr:uid="{E3F81272-FF83-493F-BAA3-65D211C150F3}"/>
    <cellStyle name="Input 3 4 2 54" xfId="26291" xr:uid="{E99E9A35-E311-4AEA-BF61-B106323EFD03}"/>
    <cellStyle name="Input 3 4 2 55" xfId="27040" xr:uid="{2DBE40FB-59C4-4DB3-9FB1-87BEA04F268F}"/>
    <cellStyle name="Input 3 4 2 56" xfId="27459" xr:uid="{71A27C55-2DC1-426A-80E3-83D1D5A1938B}"/>
    <cellStyle name="Input 3 4 2 57" xfId="25393" xr:uid="{A3E7EB4C-ADA3-41E9-A4AD-E11BF166CB6A}"/>
    <cellStyle name="Input 3 4 2 58" xfId="28586" xr:uid="{8231D21C-B3D9-4749-BDC0-B3D4D23F1D8C}"/>
    <cellStyle name="Input 3 4 2 59" xfId="29053" xr:uid="{859DB729-B102-4DCF-BCF1-4F063A6E4ACD}"/>
    <cellStyle name="Input 3 4 2 6" xfId="3461" xr:uid="{80439BE7-9712-4F20-8C74-6E5B465FAC96}"/>
    <cellStyle name="Input 3 4 2 60" xfId="28749" xr:uid="{19503F3B-917C-4D55-B032-4552F2DEC923}"/>
    <cellStyle name="Input 3 4 2 61" xfId="29842" xr:uid="{A0A4E5F6-38CB-4999-96FC-7771098C7E6D}"/>
    <cellStyle name="Input 3 4 2 62" xfId="30248" xr:uid="{85075A99-01D7-4AC7-94D7-58FE949EC888}"/>
    <cellStyle name="Input 3 4 2 63" xfId="30665" xr:uid="{240BCAB4-10C8-4D04-87D8-6572F987714A}"/>
    <cellStyle name="Input 3 4 2 64" xfId="30403" xr:uid="{0C2F4481-F17D-4FAA-BDA5-62EAAC197896}"/>
    <cellStyle name="Input 3 4 2 65" xfId="31281" xr:uid="{635226DB-4043-40C4-BDC1-7FCE0FE03E6D}"/>
    <cellStyle name="Input 3 4 2 66" xfId="31972" xr:uid="{3E4F0F2D-4664-47CF-8425-7C0B07145374}"/>
    <cellStyle name="Input 3 4 2 67" xfId="32239" xr:uid="{480F5438-993A-4EE3-91FF-2E27813A0D18}"/>
    <cellStyle name="Input 3 4 2 7" xfId="4064" xr:uid="{8F9B9E50-6891-4884-8725-1BA9D365DE36}"/>
    <cellStyle name="Input 3 4 2 8" xfId="4501" xr:uid="{BFCF04EE-1AA6-47C0-A677-7078CC0F706A}"/>
    <cellStyle name="Input 3 4 2 9" xfId="3414" xr:uid="{65F6FBD8-A90D-4CA0-8BD1-4D2FA600FBCB}"/>
    <cellStyle name="Input 3 4 20" xfId="10146" xr:uid="{1D9A4884-EBAB-4B48-A684-5F0510F03A38}"/>
    <cellStyle name="Input 3 4 21" xfId="10556" xr:uid="{4DB1F49C-C2C8-4FCF-A641-0E4E80A5886B}"/>
    <cellStyle name="Input 3 4 22" xfId="10553" xr:uid="{BA260212-2211-495F-A22A-77C684D42822}"/>
    <cellStyle name="Input 3 4 23" xfId="11049" xr:uid="{F12F4C26-BDEB-4DB6-B1FB-85B3688E0772}"/>
    <cellStyle name="Input 3 4 24" xfId="11884" xr:uid="{000924C8-24E9-453B-94A2-C6FB04670AAC}"/>
    <cellStyle name="Input 3 4 25" xfId="12357" xr:uid="{33551E80-ADF6-4BB4-8865-8CB9B8453A88}"/>
    <cellStyle name="Input 3 4 26" xfId="12791" xr:uid="{0E3D20CA-44E4-4DEF-8122-8521991E4AAB}"/>
    <cellStyle name="Input 3 4 27" xfId="13228" xr:uid="{D9CA839F-626B-4529-9B55-74D09A0A1886}"/>
    <cellStyle name="Input 3 4 28" xfId="11811" xr:uid="{E21BB54D-E0AD-400E-A604-4FD45DA93E8A}"/>
    <cellStyle name="Input 3 4 29" xfId="14443" xr:uid="{79CCFA2D-2352-447D-8AF5-C40F1E2B24ED}"/>
    <cellStyle name="Input 3 4 3" xfId="1014" xr:uid="{F56B4FC3-F4D7-46D2-88F6-A388015DA23A}"/>
    <cellStyle name="Input 3 4 30" xfId="14739" xr:uid="{A2A70D43-5156-4331-BFAA-09334BDC5681}"/>
    <cellStyle name="Input 3 4 31" xfId="14095" xr:uid="{F1CA1D1E-D6E8-4D86-9391-44135D4C71DF}"/>
    <cellStyle name="Input 3 4 32" xfId="15441" xr:uid="{907F5CB3-DC1A-44A7-9C09-2FD53CDD4072}"/>
    <cellStyle name="Input 3 4 33" xfId="15936" xr:uid="{814AE9EF-4EBF-492E-8385-75749805C864}"/>
    <cellStyle name="Input 3 4 34" xfId="16576" xr:uid="{FFC79447-C0EA-444E-8EE7-42739D460DA4}"/>
    <cellStyle name="Input 3 4 35" xfId="17266" xr:uid="{CF08117D-8349-48DA-AFC1-A3659C1FF0E0}"/>
    <cellStyle name="Input 3 4 36" xfId="17710" xr:uid="{92153CA0-3679-4F29-8C2F-C3AE75B4F21C}"/>
    <cellStyle name="Input 3 4 37" xfId="17720" xr:uid="{70148EA7-1A9F-4E56-87EC-5888DCEA21D8}"/>
    <cellStyle name="Input 3 4 38" xfId="18394" xr:uid="{A87F0D64-44E3-41F6-A229-DD69765C9BE6}"/>
    <cellStyle name="Input 3 4 39" xfId="18774" xr:uid="{DA415E29-2C5D-475C-9E0A-7CBD2F988508}"/>
    <cellStyle name="Input 3 4 4" xfId="1701" xr:uid="{9CFC1AFC-182E-431D-B8BF-E59958A13CE5}"/>
    <cellStyle name="Input 3 4 40" xfId="18155" xr:uid="{18E95773-4FF5-4275-A86C-FAAC1C523A86}"/>
    <cellStyle name="Input 3 4 41" xfId="19913" xr:uid="{79212410-6365-4E90-B5BB-60D087ABBF1C}"/>
    <cellStyle name="Input 3 4 42" xfId="20616" xr:uid="{DBDBDDAC-FC2F-46FC-B4D8-FADF7C058370}"/>
    <cellStyle name="Input 3 4 43" xfId="21071" xr:uid="{8DF18A2C-B749-45AE-BC5B-F8DA35163DDA}"/>
    <cellStyle name="Input 3 4 44" xfId="21020" xr:uid="{CFCC1E83-55FE-47DF-BEBA-DB6D769E0AE6}"/>
    <cellStyle name="Input 3 4 45" xfId="22002" xr:uid="{D4A058D6-CEE9-42F4-AA16-F25E07174068}"/>
    <cellStyle name="Input 3 4 46" xfId="22433" xr:uid="{626AF258-9099-4EE3-8493-B291AD2B9CCA}"/>
    <cellStyle name="Input 3 4 47" xfId="21305" xr:uid="{8CED5BCE-7F16-4320-8CE0-B030BB5BE562}"/>
    <cellStyle name="Input 3 4 48" xfId="23043" xr:uid="{9197CA3A-DC10-4C5D-B492-47F97102B397}"/>
    <cellStyle name="Input 3 4 49" xfId="22836" xr:uid="{589C1437-4D32-4969-B72A-C2B652812D32}"/>
    <cellStyle name="Input 3 4 5" xfId="2353" xr:uid="{C0B81B63-05B9-401E-BFE9-18AEC8B30F81}"/>
    <cellStyle name="Input 3 4 50" xfId="23722" xr:uid="{4AE780C7-C520-485A-88A3-102A2A79546F}"/>
    <cellStyle name="Input 3 4 51" xfId="24621" xr:uid="{6D2F2594-7079-4AE1-91A5-F55EE57880AA}"/>
    <cellStyle name="Input 3 4 52" xfId="25322" xr:uid="{1E362173-D469-4908-82AD-1BDC4E4DDFFD}"/>
    <cellStyle name="Input 3 4 53" xfId="25539" xr:uid="{4B38F802-1081-4FAE-AE0B-BDE868687211}"/>
    <cellStyle name="Input 3 4 54" xfId="24327" xr:uid="{8205EE19-08A5-4B10-B185-EAC9E2319328}"/>
    <cellStyle name="Input 3 4 55" xfId="24210" xr:uid="{FCC99AA8-4F39-4149-AEB8-C492C08F402F}"/>
    <cellStyle name="Input 3 4 56" xfId="26829" xr:uid="{D3E123AB-AEA2-45FB-B598-BC0A63B93C10}"/>
    <cellStyle name="Input 3 4 57" xfId="27248" xr:uid="{4371CDA9-4FC8-4A36-BBBE-E7872166046E}"/>
    <cellStyle name="Input 3 4 58" xfId="27631" xr:uid="{34FC272B-157C-4DB2-9F35-81A854AC1A6D}"/>
    <cellStyle name="Input 3 4 59" xfId="28371" xr:uid="{ED1F1F73-CB3F-49B5-8E8D-7027287963A8}"/>
    <cellStyle name="Input 3 4 6" xfId="1964" xr:uid="{E148C2B0-B088-4817-8BB2-C3F3698929C8}"/>
    <cellStyle name="Input 3 4 60" xfId="28839" xr:uid="{71E11862-86EA-44F7-B234-FC4882C9DEAD}"/>
    <cellStyle name="Input 3 4 61" xfId="29446" xr:uid="{F8B7FD43-22EE-4DAC-836E-5C6E919893DC}"/>
    <cellStyle name="Input 3 4 62" xfId="29629" xr:uid="{3005A7BA-6B57-4603-A157-41BD550CA499}"/>
    <cellStyle name="Input 3 4 63" xfId="30037" xr:uid="{3DCE88D2-57E4-4E1D-8AEE-332390CE4D05}"/>
    <cellStyle name="Input 3 4 64" xfId="30451" xr:uid="{B99C51BB-9300-4E35-BA62-83C6F5F03707}"/>
    <cellStyle name="Input 3 4 65" xfId="30876" xr:uid="{C4091A8F-3C19-4DD5-9103-B790CB26AF82}"/>
    <cellStyle name="Input 3 4 66" xfId="31075" xr:uid="{845B4E71-C3F2-4386-BF13-B04D3D7CBE1F}"/>
    <cellStyle name="Input 3 4 67" xfId="31761" xr:uid="{FA3001DC-9772-4852-9926-08DDCBEDCE2A}"/>
    <cellStyle name="Input 3 4 68" xfId="31558" xr:uid="{38259A91-AEFD-484C-B018-CD1392BB5FC8}"/>
    <cellStyle name="Input 3 4 7" xfId="2919" xr:uid="{B75CDFC8-20F5-4E10-A8A4-54CE9DED87F4}"/>
    <cellStyle name="Input 3 4 8" xfId="3849" xr:uid="{F44C9DFD-AA5F-4323-8A84-1030FA4B5C87}"/>
    <cellStyle name="Input 3 4 9" xfId="4287" xr:uid="{414E44AE-AB55-4124-822C-54B52754B051}"/>
    <cellStyle name="Input 3 40" xfId="24443" xr:uid="{48FCA1D1-9012-47D9-9117-A191C98FEAB9}"/>
    <cellStyle name="Input 3 41" xfId="24214" xr:uid="{159972BB-FA23-4D94-91D7-4868E8E830BB}"/>
    <cellStyle name="Input 3 42" xfId="25678" xr:uid="{EB89CA04-447A-42A5-82F2-F106562F8768}"/>
    <cellStyle name="Input 3 43" xfId="26118" xr:uid="{692DD2C0-2491-4065-9131-80923A595534}"/>
    <cellStyle name="Input 3 44" xfId="24573" xr:uid="{7798BF0C-E33E-4F1D-9235-97907428F2CC}"/>
    <cellStyle name="Input 3 45" xfId="27605" xr:uid="{F27B051F-2E9F-42DB-AFF9-A372C8FACF03}"/>
    <cellStyle name="Input 3 46" xfId="28111" xr:uid="{49BF5115-9789-462A-966B-C08C0568064E}"/>
    <cellStyle name="Input 3 47" xfId="28251" xr:uid="{C5CE99FC-6949-44C1-849A-3BD676CADAFA}"/>
    <cellStyle name="Input 3 48" xfId="27910" xr:uid="{59016165-9CEA-4A56-A793-E54685106EA5}"/>
    <cellStyle name="Input 3 49" xfId="28081" xr:uid="{DFC04158-6BE6-49A8-B88B-1E481FECC581}"/>
    <cellStyle name="Input 3 5" xfId="689" xr:uid="{E5D25F2D-C348-4B51-9B91-EFD3B775CCB7}"/>
    <cellStyle name="Input 3 5 10" xfId="5337" xr:uid="{AD8F774E-7A69-4ED6-89F8-F338671D8ADC}"/>
    <cellStyle name="Input 3 5 11" xfId="5891" xr:uid="{1CF86E1B-59D9-41D6-B5DA-DD250717FCCE}"/>
    <cellStyle name="Input 3 5 12" xfId="6236" xr:uid="{208C50C2-03BF-4A98-B737-8F022C19CB60}"/>
    <cellStyle name="Input 3 5 13" xfId="3301" xr:uid="{CE86797C-1B81-4F7B-9BBA-7E672C1DA0CB}"/>
    <cellStyle name="Input 3 5 14" xfId="7409" xr:uid="{BDB657ED-490F-43FA-921C-10A4CBA43DAF}"/>
    <cellStyle name="Input 3 5 15" xfId="7886" xr:uid="{F1D8F895-B3FB-4EEA-A957-88C21F2EE1AC}"/>
    <cellStyle name="Input 3 5 16" xfId="8406" xr:uid="{7B8E273E-3B8C-4859-A857-9FFC1FEF9EB8}"/>
    <cellStyle name="Input 3 5 17" xfId="8186" xr:uid="{C13187D9-7964-4CDF-B0C8-E37FB3E9CC95}"/>
    <cellStyle name="Input 3 5 18" xfId="9623" xr:uid="{3C110981-A550-44CF-BBF3-F283A93A37B3}"/>
    <cellStyle name="Input 3 5 19" xfId="10099" xr:uid="{24420A1F-5FF3-47A5-AF3E-4DA16EEF5357}"/>
    <cellStyle name="Input 3 5 2" xfId="1171" xr:uid="{1EA2C184-09A2-4921-A4E6-EE7B499AB945}"/>
    <cellStyle name="Input 3 5 20" xfId="10515" xr:uid="{16C121E3-7279-4225-B408-11B5B7FEA32C}"/>
    <cellStyle name="Input 3 5 21" xfId="10156" xr:uid="{995ABFF5-1888-4CA3-A0BF-F92E9B24D2E6}"/>
    <cellStyle name="Input 3 5 22" xfId="10705" xr:uid="{78B2D53B-BE91-430B-8A84-45588B0915A8}"/>
    <cellStyle name="Input 3 5 23" xfId="12042" xr:uid="{387845C5-E91C-48A3-ACF2-80BA9E696FAE}"/>
    <cellStyle name="Input 3 5 24" xfId="12515" xr:uid="{DFE7DD1D-1A08-4364-A83B-842F180B5381}"/>
    <cellStyle name="Input 3 5 25" xfId="12949" xr:uid="{04EC8F29-93B7-4B70-8900-358CE35E46CB}"/>
    <cellStyle name="Input 3 5 26" xfId="13386" xr:uid="{189BC303-8488-4A69-9F98-AA28FAB36CCB}"/>
    <cellStyle name="Input 3 5 27" xfId="13859" xr:uid="{69C3804B-12AD-47F5-8366-52953AB0B98F}"/>
    <cellStyle name="Input 3 5 28" xfId="13695" xr:uid="{CCF61A84-23A9-4D9D-BCE9-EF26A01F9724}"/>
    <cellStyle name="Input 3 5 29" xfId="14749" xr:uid="{A4E4A31F-E216-495E-B4BD-3BFDFA3ACA92}"/>
    <cellStyle name="Input 3 5 3" xfId="1754" xr:uid="{3216E670-B39A-41D7-B13C-1B18EBE1BAF1}"/>
    <cellStyle name="Input 3 5 30" xfId="15232" xr:uid="{24189BD3-5374-47FB-896C-78B5612599F6}"/>
    <cellStyle name="Input 3 5 31" xfId="14771" xr:uid="{74A5578B-4889-462D-9E72-E0AAAB323F37}"/>
    <cellStyle name="Input 3 5 32" xfId="15910" xr:uid="{3413E1F8-FA44-49E2-85D4-027034F1AEF5}"/>
    <cellStyle name="Input 3 5 33" xfId="16734" xr:uid="{ABB74A94-5051-44B3-87F3-BF8292AE4A69}"/>
    <cellStyle name="Input 3 5 34" xfId="17218" xr:uid="{80497A6A-BB28-4A96-8A59-6726112A1426}"/>
    <cellStyle name="Input 3 5 35" xfId="17664" xr:uid="{673FC1F8-410B-4F15-AC57-83596B29EA4C}"/>
    <cellStyle name="Input 3 5 36" xfId="18221" xr:uid="{A2506036-A717-4F0A-8310-A600117BC618}"/>
    <cellStyle name="Input 3 5 37" xfId="18552" xr:uid="{25E528E8-BEC7-45E6-BB42-F1A58F1841C0}"/>
    <cellStyle name="Input 3 5 38" xfId="18851" xr:uid="{C956920C-328F-4A5D-8B81-BAD387D75EA2}"/>
    <cellStyle name="Input 3 5 39" xfId="19279" xr:uid="{74BD1FA0-F1F6-4773-917A-90C5A7B13C46}"/>
    <cellStyle name="Input 3 5 4" xfId="2511" xr:uid="{BBB966DE-3463-4852-8B5A-EF3A491003DA}"/>
    <cellStyle name="Input 3 5 40" xfId="20071" xr:uid="{72EC3D65-E39E-499C-BAAB-E96D35666980}"/>
    <cellStyle name="Input 3 5 41" xfId="20571" xr:uid="{867FCB37-2823-495A-99B2-116158C5E865}"/>
    <cellStyle name="Input 3 5 42" xfId="21024" xr:uid="{DC34D845-5ADA-474D-8733-5F305EDCC1EE}"/>
    <cellStyle name="Input 3 5 43" xfId="21080" xr:uid="{2319B9E3-3505-4929-893A-854ECF686390}"/>
    <cellStyle name="Input 3 5 44" xfId="21955" xr:uid="{0075FD8D-C8A1-4221-A767-0A37D4260278}"/>
    <cellStyle name="Input 3 5 45" xfId="22386" xr:uid="{2B3DE675-144C-4E9D-8E64-ADD50FF40966}"/>
    <cellStyle name="Input 3 5 46" xfId="22843" xr:uid="{70F7F79F-43C1-4192-BC71-27DF88E1FB05}"/>
    <cellStyle name="Input 3 5 47" xfId="23126" xr:uid="{42AD0AED-B4D2-4556-AAA6-0EA5AECEF724}"/>
    <cellStyle name="Input 3 5 48" xfId="23559" xr:uid="{A14670DF-2CCC-4665-BF15-A0B51E774FCE}"/>
    <cellStyle name="Input 3 5 49" xfId="23879" xr:uid="{7AA035E3-402C-440D-8139-AB90BB0F15E6}"/>
    <cellStyle name="Input 3 5 5" xfId="3025" xr:uid="{B7E28FD4-822C-4D11-94DE-9348772CA200}"/>
    <cellStyle name="Input 3 5 50" xfId="24779" xr:uid="{D92F426A-3DC2-412A-8373-49A01230F3E7}"/>
    <cellStyle name="Input 3 5 51" xfId="25279" xr:uid="{238A6FFB-823E-49F5-AD7E-E0EB63A10F68}"/>
    <cellStyle name="Input 3 5 52" xfId="25697" xr:uid="{77C4D2EC-2A51-4D35-8D6A-B05B4B69F33E}"/>
    <cellStyle name="Input 3 5 53" xfId="26147" xr:uid="{5EBB9AB0-3674-412D-B93E-13731C3EEDE8}"/>
    <cellStyle name="Input 3 5 54" xfId="25953" xr:uid="{8A99F106-3908-4CA4-AAC0-114DE741716B}"/>
    <cellStyle name="Input 3 5 55" xfId="26987" xr:uid="{B1AEC577-DFFD-4A6B-A7E7-6B4133507FE7}"/>
    <cellStyle name="Input 3 5 56" xfId="27406" xr:uid="{9DC58012-EF5C-4F54-8B62-93645FBE5605}"/>
    <cellStyle name="Input 3 5 57" xfId="24109" xr:uid="{17468387-5B17-4179-B51D-C569510BFA75}"/>
    <cellStyle name="Input 3 5 58" xfId="28529" xr:uid="{C7C536C0-5BF9-4FB8-B5CA-D12F5BEB6D92}"/>
    <cellStyle name="Input 3 5 59" xfId="28997" xr:uid="{2FD7EE3E-BFE7-483E-B1F2-A8FADAD5D996}"/>
    <cellStyle name="Input 3 5 6" xfId="1988" xr:uid="{72D9B1D4-15B4-4114-87DE-5D7FC51FE9CB}"/>
    <cellStyle name="Input 3 5 60" xfId="29407" xr:uid="{0F78014D-4703-43C1-8D80-5ABC9A21AEE3}"/>
    <cellStyle name="Input 3 5 61" xfId="29787" xr:uid="{A9A6CF30-FDE3-48AC-A3AC-579DE4F2D6B3}"/>
    <cellStyle name="Input 3 5 62" xfId="30194" xr:uid="{7DBCE8EB-C7E2-48C0-AE1B-615643C4F82A}"/>
    <cellStyle name="Input 3 5 63" xfId="30609" xr:uid="{38E16BE0-40BE-444C-84F1-20B020C6C3BA}"/>
    <cellStyle name="Input 3 5 64" xfId="30980" xr:uid="{E2BD57FE-06CF-4642-A18C-79E24714C809}"/>
    <cellStyle name="Input 3 5 65" xfId="31232" xr:uid="{523269E7-81D8-48DC-A108-59EDE07A7235}"/>
    <cellStyle name="Input 3 5 66" xfId="31918" xr:uid="{154C35CB-A051-4589-863D-4D3D11BE42B7}"/>
    <cellStyle name="Input 3 5 67" xfId="31542" xr:uid="{A7000AC0-D6C4-4BC2-8FA1-D05E709A520F}"/>
    <cellStyle name="Input 3 5 7" xfId="4007" xr:uid="{FD47397A-3723-47C9-9732-109EE30B557F}"/>
    <cellStyle name="Input 3 5 8" xfId="4445" xr:uid="{51AD45D9-8693-48F0-9740-A7B949EBB29D}"/>
    <cellStyle name="Input 3 5 9" xfId="3805" xr:uid="{744EFBF7-D8E5-4336-A1F5-77E713F1D664}"/>
    <cellStyle name="Input 3 50" xfId="30815" xr:uid="{3137D187-D5BA-4994-982C-280AF994503B}"/>
    <cellStyle name="Input 3 51" xfId="30834" xr:uid="{6BFFCDB7-E80E-4299-9A7D-C1F04DBC9042}"/>
    <cellStyle name="Input 3 52" xfId="31570" xr:uid="{DEB0BA91-548F-406C-A268-D009F4FF1E3C}"/>
    <cellStyle name="Input 3 53" xfId="32242" xr:uid="{EAF4F7E2-6D4F-4896-98BB-9BCEB0F25D1B}"/>
    <cellStyle name="Input 3 6" xfId="932" xr:uid="{D1D7D482-81EB-4424-AEB2-561F104AA2D4}"/>
    <cellStyle name="Input 3 7" xfId="2057" xr:uid="{FF66476C-8450-48EF-93EB-B5C76F4DF6D7}"/>
    <cellStyle name="Input 3 8" xfId="2241" xr:uid="{F88D91D9-4F43-47CC-A2A2-760CC850509D}"/>
    <cellStyle name="Input 3 9" xfId="3756" xr:uid="{F6B62600-31C8-4419-B8DF-8B6ADBC5E465}"/>
    <cellStyle name="Input 4" xfId="343" xr:uid="{F1974FB9-F6E4-4196-90DA-98D79D25093C}"/>
    <cellStyle name="InputCells" xfId="11" xr:uid="{7178EF6D-87E0-48BF-8BBB-763795055469}"/>
    <cellStyle name="InputCells 2" xfId="143" xr:uid="{13413629-C6C4-49D6-96C3-8E202D91CBD8}"/>
    <cellStyle name="InputCells 3" xfId="194" xr:uid="{ADB60E43-8BA5-497E-BC87-59765815C84C}"/>
    <cellStyle name="InputCells 4" xfId="346" xr:uid="{DBFA5568-AE25-4C62-914C-6768DBB8A84D}"/>
    <cellStyle name="InputCells_Bborder_1" xfId="144" xr:uid="{81C0FB55-87CC-4178-8082-4F54C76042B0}"/>
    <cellStyle name="InputCells12" xfId="20" xr:uid="{9A45EE3B-E8BF-4336-B2E4-7B0494E52BE3}"/>
    <cellStyle name="InputCells12 2" xfId="145" xr:uid="{1504E456-1CB1-4234-85E6-6926146A4EB3}"/>
    <cellStyle name="InputCells12 2 2" xfId="420" xr:uid="{FE690286-C3F4-46F4-8B1B-67B352F942A0}"/>
    <cellStyle name="InputCells12 2 2 2" xfId="594" xr:uid="{D677EDA6-DB60-4DD3-9700-B72FA00DB0BB}"/>
    <cellStyle name="InputCells12 2 2 2 10" xfId="4990" xr:uid="{ACB97DC0-2CD6-4C7F-B344-60A718360EF5}"/>
    <cellStyle name="InputCells12 2 2 2 11" xfId="5242" xr:uid="{AF964B8B-31C1-44E3-85D3-E45DDD536895}"/>
    <cellStyle name="InputCells12 2 2 2 12" xfId="3489" xr:uid="{A78E430F-D410-44B8-BF57-74D78D92B295}"/>
    <cellStyle name="InputCells12 2 2 2 13" xfId="5108" xr:uid="{A435A3B2-B846-4DAC-AFF7-A96D8D6B9F88}"/>
    <cellStyle name="InputCells12 2 2 2 14" xfId="6034" xr:uid="{5D1E83CF-F873-48F0-9949-F46C7CA42290}"/>
    <cellStyle name="InputCells12 2 2 2 15" xfId="7314" xr:uid="{565C75A6-4C13-419A-B4B1-FAC8321EFDE2}"/>
    <cellStyle name="InputCells12 2 2 2 16" xfId="7992" xr:uid="{BCA619E9-896E-4FDE-A5B1-9BA494FE5EBC}"/>
    <cellStyle name="InputCells12 2 2 2 17" xfId="8529" xr:uid="{C6022477-95DE-46FD-93CF-DD4583D8E70C}"/>
    <cellStyle name="InputCells12 2 2 2 18" xfId="8272" xr:uid="{31EB33CA-E91B-41BF-B956-39F9230FFBBE}"/>
    <cellStyle name="InputCells12 2 2 2 19" xfId="9528" xr:uid="{FC587709-A5F2-45A0-BA48-F4BF6BD8FAA8}"/>
    <cellStyle name="InputCells12 2 2 2 2" xfId="809" xr:uid="{C9CEDC2F-6D80-4453-9462-6B7209AAAC2A}"/>
    <cellStyle name="InputCells12 2 2 2 2 10" xfId="5457" xr:uid="{2CE6C1B4-0469-4520-823C-51E325E400CD}"/>
    <cellStyle name="InputCells12 2 2 2 2 11" xfId="2729" xr:uid="{F27E5792-B266-4343-9FD3-26BA6698BDCA}"/>
    <cellStyle name="InputCells12 2 2 2 2 12" xfId="6044" xr:uid="{52FFCCCC-5165-45E5-AFEA-96B710DDC047}"/>
    <cellStyle name="InputCells12 2 2 2 2 13" xfId="6548" xr:uid="{64577002-9020-4B2F-8526-F57D2A6A175C}"/>
    <cellStyle name="InputCells12 2 2 2 2 14" xfId="7529" xr:uid="{09D312FB-447C-45D6-B71F-14765D6FDEA9}"/>
    <cellStyle name="InputCells12 2 2 2 2 15" xfId="6879" xr:uid="{790015A4-2B28-44B6-A140-9BD3CA1F4F85}"/>
    <cellStyle name="InputCells12 2 2 2 2 16" xfId="7146" xr:uid="{53DB1E3A-7364-4C1B-AC23-816A9D1DAEC6}"/>
    <cellStyle name="InputCells12 2 2 2 2 17" xfId="8630" xr:uid="{04356F4C-1150-4779-B622-A1C873E89573}"/>
    <cellStyle name="InputCells12 2 2 2 2 18" xfId="9743" xr:uid="{A43DA1FA-7CFB-4B4A-B25F-98CB9E8DCDC7}"/>
    <cellStyle name="InputCells12 2 2 2 2 19" xfId="9092" xr:uid="{CFC4B23A-A136-4807-A715-5ABCB8967CC5}"/>
    <cellStyle name="InputCells12 2 2 2 2 2" xfId="1283" xr:uid="{89561740-0834-4F11-8BDA-9CCD438343B8}"/>
    <cellStyle name="InputCells12 2 2 2 2 20" xfId="10266" xr:uid="{3D338DC6-38E2-4C8C-AF29-1FF1965E59F4}"/>
    <cellStyle name="InputCells12 2 2 2 2 21" xfId="10565" xr:uid="{1BC1E2BA-7989-43DB-BB14-61098DB13D68}"/>
    <cellStyle name="InputCells12 2 2 2 2 22" xfId="8959" xr:uid="{4B8AEB2F-D177-40F2-9F45-F74A86FF00A8}"/>
    <cellStyle name="InputCells12 2 2 2 2 23" xfId="12162" xr:uid="{2642E987-90DB-436F-9E1E-3DE24A7DF12B}"/>
    <cellStyle name="InputCells12 2 2 2 2 24" xfId="12635" xr:uid="{999DDB07-A7A6-447F-B875-7509011E9B80}"/>
    <cellStyle name="InputCells12 2 2 2 2 25" xfId="13069" xr:uid="{A9D35E5C-76EE-4B4C-AE9E-342FC879B57C}"/>
    <cellStyle name="InputCells12 2 2 2 2 26" xfId="13506" xr:uid="{47A0DADA-BD7B-4BF5-A99D-E0FB7B7C55ED}"/>
    <cellStyle name="InputCells12 2 2 2 2 27" xfId="11559" xr:uid="{8932C1EF-F592-45E3-ACF2-87144FBC68A4}"/>
    <cellStyle name="InputCells12 2 2 2 2 28" xfId="11536" xr:uid="{7E359E3C-ADB1-4B62-9607-7A6796DF12DD}"/>
    <cellStyle name="InputCells12 2 2 2 2 29" xfId="14411" xr:uid="{E36E557B-55AD-4E75-AC03-9994EBF07483}"/>
    <cellStyle name="InputCells12 2 2 2 2 3" xfId="1422" xr:uid="{D1F2C808-D760-4F18-BB24-6CABA44BE5CC}"/>
    <cellStyle name="InputCells12 2 2 2 2 30" xfId="15278" xr:uid="{6D89BE81-AA84-4D6D-8AAC-6CEF3BE7788E}"/>
    <cellStyle name="InputCells12 2 2 2 2 31" xfId="15076" xr:uid="{6C3A6EA5-AFD4-4A29-A7DD-DE8526792F7B}"/>
    <cellStyle name="InputCells12 2 2 2 2 32" xfId="14764" xr:uid="{0AD3F840-709D-4E3A-B9FD-9193199C79B4}"/>
    <cellStyle name="InputCells12 2 2 2 2 33" xfId="16854" xr:uid="{F9930BC9-748F-44D7-9833-11D1B1035416}"/>
    <cellStyle name="InputCells12 2 2 2 2 34" xfId="16195" xr:uid="{4A131A37-A550-4C36-B944-A5292A6EABCB}"/>
    <cellStyle name="InputCells12 2 2 2 2 35" xfId="17388" xr:uid="{D2DBCDD3-4E6A-4423-92D5-B7C625C7B28F}"/>
    <cellStyle name="InputCells12 2 2 2 2 36" xfId="18216" xr:uid="{4B4A4BE9-B3A5-40EC-ADF9-66F947D410A7}"/>
    <cellStyle name="InputCells12 2 2 2 2 37" xfId="18672" xr:uid="{363FE542-D604-4849-8D14-122B63F5BDBF}"/>
    <cellStyle name="InputCells12 2 2 2 2 38" xfId="19043" xr:uid="{EE97E129-3D17-431D-AF58-E9695EACAF4B}"/>
    <cellStyle name="InputCells12 2 2 2 2 39" xfId="18909" xr:uid="{8D8430E2-BD77-4CA8-BD06-CBDC8418D829}"/>
    <cellStyle name="InputCells12 2 2 2 2 4" xfId="2631" xr:uid="{303464D1-D02A-44F4-B7A7-FE5F51A3D556}"/>
    <cellStyle name="InputCells12 2 2 2 2 40" xfId="20191" xr:uid="{FE85D68C-4C2D-4084-AF8C-ABD79860ABFA}"/>
    <cellStyle name="InputCells12 2 2 2 2 41" xfId="19527" xr:uid="{9A660C8C-B9CE-424D-93C7-D0E41455887F}"/>
    <cellStyle name="InputCells12 2 2 2 2 42" xfId="19755" xr:uid="{48353126-76CC-4E3A-BB44-5420A5CC8AAE}"/>
    <cellStyle name="InputCells12 2 2 2 2 43" xfId="21281" xr:uid="{AD9CE8DC-49EC-44AA-9C14-139A06C3A480}"/>
    <cellStyle name="InputCells12 2 2 2 2 44" xfId="21661" xr:uid="{BA365E6B-DEA6-4F8C-9F47-1CCA59866A8A}"/>
    <cellStyle name="InputCells12 2 2 2 2 45" xfId="21963" xr:uid="{9FF09F56-3081-47C1-BA60-7BC46CEE12CB}"/>
    <cellStyle name="InputCells12 2 2 2 2 46" xfId="21672" xr:uid="{8E1AC0AB-F513-4431-8622-BD688A14B42F}"/>
    <cellStyle name="InputCells12 2 2 2 2 47" xfId="23320" xr:uid="{61554405-9314-4A89-90E2-11BBAFD7E159}"/>
    <cellStyle name="InputCells12 2 2 2 2 48" xfId="23439" xr:uid="{4F878B97-588E-4C1D-BFAB-6F1369AE1011}"/>
    <cellStyle name="InputCells12 2 2 2 2 49" xfId="23991" xr:uid="{F869D416-0411-4D31-9F9B-06D0426F74A9}"/>
    <cellStyle name="InputCells12 2 2 2 2 5" xfId="2038" xr:uid="{63FE7051-FAD7-47E7-9D44-1567180848A4}"/>
    <cellStyle name="InputCells12 2 2 2 2 50" xfId="24899" xr:uid="{57332645-036D-4E7F-9F7B-D3E34415F0B2}"/>
    <cellStyle name="InputCells12 2 2 2 2 51" xfId="24464" xr:uid="{99A43550-5969-4258-9414-2989172F91AC}"/>
    <cellStyle name="InputCells12 2 2 2 2 52" xfId="25815" xr:uid="{4A4B25E6-D73E-4AB6-8C14-1B05B846466D}"/>
    <cellStyle name="InputCells12 2 2 2 2 53" xfId="25016" xr:uid="{B683A5EF-3375-4C69-80C2-3142C42AD914}"/>
    <cellStyle name="InputCells12 2 2 2 2 54" xfId="26223" xr:uid="{8D5C3852-9203-4CED-968D-289CB1EB01E2}"/>
    <cellStyle name="InputCells12 2 2 2 2 55" xfId="27103" xr:uid="{8D99B565-8B95-469F-9760-0E779BCCC4A8}"/>
    <cellStyle name="InputCells12 2 2 2 2 56" xfId="27522" xr:uid="{99851493-24B1-4433-B828-C5D4B7ACD30E}"/>
    <cellStyle name="InputCells12 2 2 2 2 57" xfId="26548" xr:uid="{1384A7A6-601B-48B8-AB58-BC9A4DECD027}"/>
    <cellStyle name="InputCells12 2 2 2 2 58" xfId="28649" xr:uid="{2F070A46-061A-44A6-9C8C-40EDC74E7402}"/>
    <cellStyle name="InputCells12 2 2 2 2 59" xfId="29116" xr:uid="{787E63CC-6170-49DD-A458-5A43C4BB948E}"/>
    <cellStyle name="InputCells12 2 2 2 2 6" xfId="3696" xr:uid="{BE540FCC-3CC1-4CFC-89C9-D79EBB2885BA}"/>
    <cellStyle name="InputCells12 2 2 2 2 60" xfId="28233" xr:uid="{272C6D0D-A969-4B1A-9236-19C8C0B8F36D}"/>
    <cellStyle name="InputCells12 2 2 2 2 61" xfId="29905" xr:uid="{3945EC1D-36DD-4013-9E62-2C371630602E}"/>
    <cellStyle name="InputCells12 2 2 2 2 62" xfId="30311" xr:uid="{61F5D271-0F30-4279-860D-F9EF2DDAD3C3}"/>
    <cellStyle name="InputCells12 2 2 2 2 63" xfId="30728" xr:uid="{188C5EEC-BB77-40C3-93E6-1A069354A823}"/>
    <cellStyle name="InputCells12 2 2 2 2 64" xfId="29552" xr:uid="{EE9207E6-2B1D-4E43-BAC9-DD8D3574CB35}"/>
    <cellStyle name="InputCells12 2 2 2 2 65" xfId="31344" xr:uid="{7B3C8310-E1BC-48A7-9DBF-AFA69F32C735}"/>
    <cellStyle name="InputCells12 2 2 2 2 66" xfId="32035" xr:uid="{1C6DD86D-FAC0-4DC0-94C9-6DB291F20E75}"/>
    <cellStyle name="InputCells12 2 2 2 2 67" xfId="32282" xr:uid="{1C604B1C-4F11-41EB-94ED-C12CFEF57F55}"/>
    <cellStyle name="InputCells12 2 2 2 2 7" xfId="4127" xr:uid="{51E7395E-F621-4893-8595-8FB17A7189B2}"/>
    <cellStyle name="InputCells12 2 2 2 2 8" xfId="4564" xr:uid="{546F5136-7E56-404C-BF2C-2543F7003E6F}"/>
    <cellStyle name="InputCells12 2 2 2 2 9" xfId="3239" xr:uid="{231CFB2A-0B58-4AB3-A222-D1D5F8CBB68C}"/>
    <cellStyle name="InputCells12 2 2 2 20" xfId="10208" xr:uid="{9F7DC70A-332B-4D87-929E-320B79C0684D}"/>
    <cellStyle name="InputCells12 2 2 2 21" xfId="10612" xr:uid="{D45ADA2A-2EB1-4834-ACDC-10027D4934F8}"/>
    <cellStyle name="InputCells12 2 2 2 22" xfId="10891" xr:uid="{B50F9B5E-2152-4D35-A75E-E729938FE7B1}"/>
    <cellStyle name="InputCells12 2 2 2 23" xfId="11177" xr:uid="{A8EACFA9-C41D-4355-B614-6D5C40C8FCCE}"/>
    <cellStyle name="InputCells12 2 2 2 24" xfId="11947" xr:uid="{8CD63319-ECB4-4D0F-8005-A8C8BDC00151}"/>
    <cellStyle name="InputCells12 2 2 2 25" xfId="12420" xr:uid="{DCD0A277-F403-4712-897E-45D42A83A437}"/>
    <cellStyle name="InputCells12 2 2 2 26" xfId="12854" xr:uid="{3E35628F-A191-417E-BDB1-7C238256402E}"/>
    <cellStyle name="InputCells12 2 2 2 27" xfId="13291" xr:uid="{EDB30BC0-5B99-42B1-BA7D-9E6BB2010642}"/>
    <cellStyle name="InputCells12 2 2 2 28" xfId="12308" xr:uid="{015075B7-93E2-4C1B-9E9E-4B5455E73F7C}"/>
    <cellStyle name="InputCells12 2 2 2 29" xfId="14205" xr:uid="{3A99B5EB-C68C-42BA-93AD-4B5164707D92}"/>
    <cellStyle name="InputCells12 2 2 2 3" xfId="1077" xr:uid="{EB18A701-2DBE-4B08-9D6A-02739A71F7AE}"/>
    <cellStyle name="InputCells12 2 2 2 30" xfId="14075" xr:uid="{594B30E1-FDFA-4E31-9551-718BED36741D}"/>
    <cellStyle name="InputCells12 2 2 2 31" xfId="15106" xr:uid="{5E65D536-9827-4A2A-AEE7-647F5464908F}"/>
    <cellStyle name="InputCells12 2 2 2 32" xfId="15556" xr:uid="{698528F3-812E-439B-A26A-0C0DD4B16EA8}"/>
    <cellStyle name="InputCells12 2 2 2 33" xfId="15971" xr:uid="{1609ADCE-CDCF-45AE-92BE-9752578DC3AD}"/>
    <cellStyle name="InputCells12 2 2 2 34" xfId="16639" xr:uid="{A26C7A2A-D54F-4E8C-9AE7-2C53149977BA}"/>
    <cellStyle name="InputCells12 2 2 2 35" xfId="17329" xr:uid="{36602476-8DCD-447F-AAE6-C38363793FFF}"/>
    <cellStyle name="InputCells12 2 2 2 36" xfId="17772" xr:uid="{F8B5C185-6BF6-4FB3-A4E1-EA86E6BE4D60}"/>
    <cellStyle name="InputCells12 2 2 2 37" xfId="16552" xr:uid="{4101E24A-92F5-4473-BD0F-1BDBE1EA3BA7}"/>
    <cellStyle name="InputCells12 2 2 2 38" xfId="18457" xr:uid="{51123B0F-EF5A-4735-A218-5E9C99ED9F74}"/>
    <cellStyle name="InputCells12 2 2 2 39" xfId="17589" xr:uid="{7AAFA8B0-4D88-4DFD-89FB-3287486C3C20}"/>
    <cellStyle name="InputCells12 2 2 2 4" xfId="1638" xr:uid="{A6AAAC7D-E723-4854-A160-51DD392CEEDB}"/>
    <cellStyle name="InputCells12 2 2 2 40" xfId="19237" xr:uid="{BCB81BCC-F174-4A89-A743-D7859264EC13}"/>
    <cellStyle name="InputCells12 2 2 2 41" xfId="19976" xr:uid="{B7192AEA-E821-4ED2-B442-4F0B06F34988}"/>
    <cellStyle name="InputCells12 2 2 2 42" xfId="20680" xr:uid="{E7635C1F-4DBB-45C3-9210-57526AC27078}"/>
    <cellStyle name="InputCells12 2 2 2 43" xfId="21136" xr:uid="{0D434695-D111-43C6-AF80-D2BA23DB5F65}"/>
    <cellStyle name="InputCells12 2 2 2 44" xfId="21115" xr:uid="{287A474C-A2BD-499B-B8F2-2610B2F2C98D}"/>
    <cellStyle name="InputCells12 2 2 2 45" xfId="22068" xr:uid="{12087063-CD91-43C1-B89C-18A806A24B66}"/>
    <cellStyle name="InputCells12 2 2 2 46" xfId="22496" xr:uid="{A8F761BC-11DE-425B-BE29-47D1990F0821}"/>
    <cellStyle name="InputCells12 2 2 2 47" xfId="22387" xr:uid="{21D48587-0780-4FF5-86C0-75E9C9525023}"/>
    <cellStyle name="InputCells12 2 2 2 48" xfId="22784" xr:uid="{D9666F5D-A67F-495E-BAF7-EC9AA2907D07}"/>
    <cellStyle name="InputCells12 2 2 2 49" xfId="23464" xr:uid="{728EB2D3-78AA-4F1C-BC9D-906E25553685}"/>
    <cellStyle name="InputCells12 2 2 2 5" xfId="2416" xr:uid="{C14E3446-8175-4052-81E7-F5958FB0E5E3}"/>
    <cellStyle name="InputCells12 2 2 2 50" xfId="23785" xr:uid="{4BAD6C52-A913-4F93-8DC2-CC547D8BFF57}"/>
    <cellStyle name="InputCells12 2 2 2 51" xfId="24684" xr:uid="{D6202E94-B0CF-48CC-95A2-377E0649EFE5}"/>
    <cellStyle name="InputCells12 2 2 2 52" xfId="25383" xr:uid="{703FFAE5-6BC3-4264-9B85-E8790520AAD3}"/>
    <cellStyle name="InputCells12 2 2 2 53" xfId="25602" xr:uid="{B9E2BF6D-9F52-46F4-AD50-298B9FE2E82A}"/>
    <cellStyle name="InputCells12 2 2 2 54" xfId="24508" xr:uid="{3C58E174-BDEE-40C1-94F0-7460CF0065D2}"/>
    <cellStyle name="InputCells12 2 2 2 55" xfId="25940" xr:uid="{928CBA10-0EEC-4AB2-9D65-B56AB75DB11C}"/>
    <cellStyle name="InputCells12 2 2 2 56" xfId="26892" xr:uid="{D47BA7E2-42A2-4A2D-AB32-E9F96FB713D2}"/>
    <cellStyle name="InputCells12 2 2 2 57" xfId="27311" xr:uid="{D006076D-BF20-4D2D-971C-7DCD4B876AB1}"/>
    <cellStyle name="InputCells12 2 2 2 58" xfId="27682" xr:uid="{6B766C94-1B7B-424C-9240-63B4782B8344}"/>
    <cellStyle name="InputCells12 2 2 2 59" xfId="28434" xr:uid="{E3731350-49AF-47EF-B02D-4A42C77A565A}"/>
    <cellStyle name="InputCells12 2 2 2 6" xfId="1954" xr:uid="{1AAEB20B-2BCC-4267-9366-B3EFCA5C0408}"/>
    <cellStyle name="InputCells12 2 2 2 60" xfId="28902" xr:uid="{D2EC759C-8B86-4503-AF10-22B462681017}"/>
    <cellStyle name="InputCells12 2 2 2 61" xfId="29505" xr:uid="{68AA0501-6C10-43F1-8731-99C7FFA51E14}"/>
    <cellStyle name="InputCells12 2 2 2 62" xfId="29692" xr:uid="{19F34B12-9450-4A98-B3BC-168D720FD284}"/>
    <cellStyle name="InputCells12 2 2 2 63" xfId="30100" xr:uid="{24481FEE-5572-45E8-81F0-0888D679C484}"/>
    <cellStyle name="InputCells12 2 2 2 64" xfId="30514" xr:uid="{59361549-758D-46A1-A015-169378ECA3B4}"/>
    <cellStyle name="InputCells12 2 2 2 65" xfId="30418" xr:uid="{D50CC9A3-B47B-47E9-B1E7-63BF981A8F4D}"/>
    <cellStyle name="InputCells12 2 2 2 66" xfId="31138" xr:uid="{AE79D37D-7065-47F2-9951-334B500AF867}"/>
    <cellStyle name="InputCells12 2 2 2 67" xfId="31824" xr:uid="{C8D536FD-8E24-44BB-9151-AC2B212687C7}"/>
    <cellStyle name="InputCells12 2 2 2 68" xfId="32196" xr:uid="{1332983F-DB33-47BD-8561-737C42996EC7}"/>
    <cellStyle name="InputCells12 2 2 2 7" xfId="2164" xr:uid="{4FAAC915-5C45-4226-A17C-0C0EC7A509F5}"/>
    <cellStyle name="InputCells12 2 2 2 8" xfId="3912" xr:uid="{A2591DB2-99C0-4172-B5FE-F0866131064D}"/>
    <cellStyle name="InputCells12 2 2 2 9" xfId="4350" xr:uid="{12C35395-42B7-4482-B824-4F7DC1860477}"/>
    <cellStyle name="InputCells12 2 2 3" xfId="719" xr:uid="{23C51A7D-7966-41E6-B11F-B2A27478AB56}"/>
    <cellStyle name="InputCells12 2 2 3 10" xfId="5367" xr:uid="{579A8F00-2A1C-431B-9B8D-B902AE226397}"/>
    <cellStyle name="InputCells12 2 2 3 11" xfId="5825" xr:uid="{F09D3336-D900-43A9-A6EF-687B1C6C15F1}"/>
    <cellStyle name="InputCells12 2 2 3 12" xfId="6218" xr:uid="{595A4A4B-6D47-4FA5-8A9F-865E53F92ADC}"/>
    <cellStyle name="InputCells12 2 2 3 13" xfId="6587" xr:uid="{79FF506C-CBB4-45AA-B220-BB673B0F6955}"/>
    <cellStyle name="InputCells12 2 2 3 14" xfId="7439" xr:uid="{F024AD27-7A40-4A74-9739-AC6F868A4A87}"/>
    <cellStyle name="InputCells12 2 2 3 15" xfId="6932" xr:uid="{924CF952-DE43-41F5-86A0-2E69E34A5A91}"/>
    <cellStyle name="InputCells12 2 2 3 16" xfId="8651" xr:uid="{DB695427-2DBD-40AD-8D0C-90BDA17E9226}"/>
    <cellStyle name="InputCells12 2 2 3 17" xfId="6951" xr:uid="{6D354CB2-6DBD-4F0F-9743-246359E474CA}"/>
    <cellStyle name="InputCells12 2 2 3 18" xfId="9653" xr:uid="{E3CDC040-F9FA-4F7B-A6C5-BF0411F8BC8C}"/>
    <cellStyle name="InputCells12 2 2 3 19" xfId="9035" xr:uid="{0011C01E-A927-4301-B061-C1351727E483}"/>
    <cellStyle name="InputCells12 2 2 3 2" xfId="1193" xr:uid="{231529B4-BE83-4793-9B49-CF89FEB815AB}"/>
    <cellStyle name="InputCells12 2 2 3 20" xfId="9161" xr:uid="{6758D66E-C495-4D4B-80C9-4FCEB5CBCF35}"/>
    <cellStyle name="InputCells12 2 2 3 21" xfId="10761" xr:uid="{EE0692C7-4CD4-48F3-8B2C-DD1EDC49260B}"/>
    <cellStyle name="InputCells12 2 2 3 22" xfId="10951" xr:uid="{0FBA59B7-335C-4EE6-8628-8974FAFF57FD}"/>
    <cellStyle name="InputCells12 2 2 3 23" xfId="12072" xr:uid="{950286B8-0E17-47EA-9903-F3D3F12FEE79}"/>
    <cellStyle name="InputCells12 2 2 3 24" xfId="12545" xr:uid="{52BCFF47-5291-498D-97A5-EE72C11D5E1A}"/>
    <cellStyle name="InputCells12 2 2 3 25" xfId="12979" xr:uid="{E7874A52-B4F0-48D9-9EB3-65C73566629A}"/>
    <cellStyle name="InputCells12 2 2 3 26" xfId="13416" xr:uid="{96B30D68-40C8-4004-88E5-2F4A1310B901}"/>
    <cellStyle name="InputCells12 2 2 3 27" xfId="13896" xr:uid="{8CFE1B7D-B867-4223-899B-00152B17CA3C}"/>
    <cellStyle name="InputCells12 2 2 3 28" xfId="13635" xr:uid="{CA31AF57-14E0-4E34-9C60-E084035896BF}"/>
    <cellStyle name="InputCells12 2 2 3 29" xfId="13728" xr:uid="{D60A72FD-0370-4F7F-A07C-D481C477DDDC}"/>
    <cellStyle name="InputCells12 2 2 3 3" xfId="1546" xr:uid="{A63339AA-BF40-44DD-A35F-A3E60E448A40}"/>
    <cellStyle name="InputCells12 2 2 3 30" xfId="15277" xr:uid="{BB9B03E8-2438-4546-A8D8-802E0573996C}"/>
    <cellStyle name="InputCells12 2 2 3 31" xfId="15690" xr:uid="{49B7C70C-2458-41F0-BE85-8DC7944D5F66}"/>
    <cellStyle name="InputCells12 2 2 3 32" xfId="15492" xr:uid="{F762E58E-A90F-46CE-AB59-D66EA3C78747}"/>
    <cellStyle name="InputCells12 2 2 3 33" xfId="16764" xr:uid="{F0A3B46B-F06B-4FCA-A710-6E296618B4FE}"/>
    <cellStyle name="InputCells12 2 2 3 34" xfId="16250" xr:uid="{1931019B-69AA-482E-86F9-3688C31267DD}"/>
    <cellStyle name="InputCells12 2 2 3 35" xfId="17191" xr:uid="{DCBD96C5-63E7-4829-B63D-4629113B4F43}"/>
    <cellStyle name="InputCells12 2 2 3 36" xfId="17571" xr:uid="{96D606CF-4B78-47E9-BD8C-091341D09C9E}"/>
    <cellStyle name="InputCells12 2 2 3 37" xfId="18582" xr:uid="{3F7974EE-32B9-4FFE-8CC9-41C5F33B4D96}"/>
    <cellStyle name="InputCells12 2 2 3 38" xfId="18350" xr:uid="{912EDAAB-6741-45C8-858E-95D11D2CAD7B}"/>
    <cellStyle name="InputCells12 2 2 3 39" xfId="19294" xr:uid="{26C75E5D-E4EA-4351-87EC-3A7A380916A2}"/>
    <cellStyle name="InputCells12 2 2 3 4" xfId="2541" xr:uid="{7FE74B58-EDCF-42D5-9A67-5B987BE2B3B5}"/>
    <cellStyle name="InputCells12 2 2 3 40" xfId="20101" xr:uid="{1D7E4474-57F7-43BE-A679-21077AB8E77F}"/>
    <cellStyle name="InputCells12 2 2 3 41" xfId="19629" xr:uid="{A032B93F-01C1-497B-86EE-B4276CB68D8C}"/>
    <cellStyle name="InputCells12 2 2 3 42" xfId="20345" xr:uid="{4311921A-1552-4FC9-A78E-CBE1846560B8}"/>
    <cellStyle name="InputCells12 2 2 3 43" xfId="20455" xr:uid="{538B56D6-CB7E-4910-A644-CF22F3322D7B}"/>
    <cellStyle name="InputCells12 2 2 3 44" xfId="20870" xr:uid="{B45B0FA4-D8D5-4D0F-B5BA-582DE33DDBCE}"/>
    <cellStyle name="InputCells12 2 2 3 45" xfId="21686" xr:uid="{D7889AA5-5847-4A5B-94F1-6A14FE376C2B}"/>
    <cellStyle name="InputCells12 2 2 3 46" xfId="22876" xr:uid="{27C00D0F-A96C-4BAF-A59D-42E592E62B48}"/>
    <cellStyle name="InputCells12 2 2 3 47" xfId="22225" xr:uid="{42125DB3-2AF0-446F-91D6-B86B8EEA477C}"/>
    <cellStyle name="InputCells12 2 2 3 48" xfId="23588" xr:uid="{0F1B2BE6-E23F-4253-BB76-8BDB3C576EF6}"/>
    <cellStyle name="InputCells12 2 2 3 49" xfId="23901" xr:uid="{E263491E-A5B8-4F69-B993-F75F1E9DD5B5}"/>
    <cellStyle name="InputCells12 2 2 3 5" xfId="3064" xr:uid="{E39E27F1-DE08-4572-AB54-5D60AA065967}"/>
    <cellStyle name="InputCells12 2 2 3 50" xfId="24809" xr:uid="{9AFC5375-00CF-4BAE-8A22-A424C0F04EDA}"/>
    <cellStyle name="InputCells12 2 2 3 51" xfId="24130" xr:uid="{982E3559-409D-46D6-8F37-E8A99A401E03}"/>
    <cellStyle name="InputCells12 2 2 3 52" xfId="25725" xr:uid="{C1FFB93F-3A90-4D7A-8B3F-33DD49FB5AF9}"/>
    <cellStyle name="InputCells12 2 2 3 53" xfId="26182" xr:uid="{185AC320-4285-4135-A9EC-8455FEEA7961}"/>
    <cellStyle name="InputCells12 2 2 3 54" xfId="26474" xr:uid="{E9042A55-71F6-4471-9070-93B7427F466F}"/>
    <cellStyle name="InputCells12 2 2 3 55" xfId="27013" xr:uid="{C15B4982-8C8B-4D97-85EF-E17C1B1D0AB8}"/>
    <cellStyle name="InputCells12 2 2 3 56" xfId="27432" xr:uid="{FF59A7A9-C782-4591-BADE-E513577C3421}"/>
    <cellStyle name="InputCells12 2 2 3 57" xfId="27737" xr:uid="{A6251166-5321-4379-9E45-08871C59D844}"/>
    <cellStyle name="InputCells12 2 2 3 58" xfId="28559" xr:uid="{86FA304F-334D-45C6-AF51-1B294B7AD2BA}"/>
    <cellStyle name="InputCells12 2 2 3 59" xfId="29026" xr:uid="{9429BCF4-286E-4CEB-8B68-82CE9201D25C}"/>
    <cellStyle name="InputCells12 2 2 3 6" xfId="3753" xr:uid="{0C23C8D9-C2DE-4C36-8A10-663EED208C7F}"/>
    <cellStyle name="InputCells12 2 2 3 60" xfId="28208" xr:uid="{2B42566D-E3DF-4682-80FB-86A3D005BF8D}"/>
    <cellStyle name="InputCells12 2 2 3 61" xfId="29815" xr:uid="{1975FA26-1320-4FC8-A972-9C65E040F475}"/>
    <cellStyle name="InputCells12 2 2 3 62" xfId="30221" xr:uid="{F976D3F8-A69E-4F3C-916F-EFD1DE187041}"/>
    <cellStyle name="InputCells12 2 2 3 63" xfId="30638" xr:uid="{3274709C-95EA-4595-A284-6D1F2BB00821}"/>
    <cellStyle name="InputCells12 2 2 3 64" xfId="30926" xr:uid="{ECCD18A4-FD6B-4AAA-92A5-0BBEDF11B72F}"/>
    <cellStyle name="InputCells12 2 2 3 65" xfId="31254" xr:uid="{E0CF2B95-6522-4A0A-B0B2-8F26BE6F00B4}"/>
    <cellStyle name="InputCells12 2 2 3 66" xfId="31945" xr:uid="{237285A5-0EA6-410D-86C3-691640308B2B}"/>
    <cellStyle name="InputCells12 2 2 3 67" xfId="31560" xr:uid="{E3716DB3-0F25-487C-8CF9-C707A96D9081}"/>
    <cellStyle name="InputCells12 2 2 3 7" xfId="4037" xr:uid="{DFD401EC-2E71-4DCE-89CA-AC6D3A749BAD}"/>
    <cellStyle name="InputCells12 2 2 3 8" xfId="4474" xr:uid="{D5699725-F77B-489C-B63B-95AB5BAAE519}"/>
    <cellStyle name="InputCells12 2 2 3 9" xfId="3292" xr:uid="{B859A495-77FD-4596-AF5E-1A1422DE0A7E}"/>
    <cellStyle name="InputCells12 2 3" xfId="279" xr:uid="{FE2ADDC0-E774-4C9A-B1DD-2668BADC81DC}"/>
    <cellStyle name="InputCells12 2 3 10" xfId="3258" xr:uid="{4FFDA76B-0E62-4163-A1F5-334F1245F818}"/>
    <cellStyle name="InputCells12 2 3 11" xfId="3350" xr:uid="{913963E7-84F7-4C50-BF52-77B8B8CE64CF}"/>
    <cellStyle name="InputCells12 2 3 12" xfId="3463" xr:uid="{41AF326F-436C-4779-B11A-1BBA1767C5FA}"/>
    <cellStyle name="InputCells12 2 3 13" xfId="4808" xr:uid="{36A9FB7F-3B73-4CC9-BCED-B51DEC750AEA}"/>
    <cellStyle name="InputCells12 2 3 14" xfId="3745" xr:uid="{6A6916CB-7D5D-4181-832D-8E5DA97A9508}"/>
    <cellStyle name="InputCells12 2 3 15" xfId="5114" xr:uid="{C7851A0D-7CA8-4E15-B494-4612F5F5F0C9}"/>
    <cellStyle name="InputCells12 2 3 16" xfId="6487" xr:uid="{550AFE8F-C737-4BB5-8D9A-3C8B38783FF6}"/>
    <cellStyle name="InputCells12 2 3 17" xfId="7009" xr:uid="{099C7A5A-7711-439C-906A-124B9347F242}"/>
    <cellStyle name="InputCells12 2 3 18" xfId="7639" xr:uid="{FF245449-E901-40E5-BC91-D125C4A5F3B2}"/>
    <cellStyle name="InputCells12 2 3 19" xfId="8134" xr:uid="{6F52477A-7275-461E-8A94-8A41A4D3A228}"/>
    <cellStyle name="InputCells12 2 3 2" xfId="617" xr:uid="{8EAE4368-E289-4F27-91CC-E3325E251677}"/>
    <cellStyle name="InputCells12 2 3 2 10" xfId="2822" xr:uid="{E4FD8745-B74F-4F30-8B4C-73072B196A91}"/>
    <cellStyle name="InputCells12 2 3 2 11" xfId="5265" xr:uid="{14048626-8357-4EDC-8A5C-04C1B5DF7182}"/>
    <cellStyle name="InputCells12 2 3 2 12" xfId="5729" xr:uid="{5D88D210-F461-4608-8EE1-774645AF0B43}"/>
    <cellStyle name="InputCells12 2 3 2 13" xfId="4743" xr:uid="{FAB4CC88-8DC7-4B85-A9AB-F7A60403E94F}"/>
    <cellStyle name="InputCells12 2 3 2 14" xfId="5630" xr:uid="{82E30113-F850-4FDF-B58D-E6B51BFAC81B}"/>
    <cellStyle name="InputCells12 2 3 2 15" xfId="7337" xr:uid="{E92D6047-A6C5-4B7A-994E-4F3BE57DD9D9}"/>
    <cellStyle name="InputCells12 2 3 2 16" xfId="7990" xr:uid="{9E52606A-7580-48E5-8996-4A2EB5061F61}"/>
    <cellStyle name="InputCells12 2 3 2 17" xfId="8550" xr:uid="{A212FBB0-337F-48A8-97E2-53E590D89B0B}"/>
    <cellStyle name="InputCells12 2 3 2 18" xfId="7958" xr:uid="{C125A2C0-AAA1-4878-9459-5A717F29CFB2}"/>
    <cellStyle name="InputCells12 2 3 2 19" xfId="9551" xr:uid="{4B9AF540-EF76-45BF-B116-4DC254C58F79}"/>
    <cellStyle name="InputCells12 2 3 2 2" xfId="832" xr:uid="{6CF6E12C-7A54-423D-A8F8-B51C94AE84AC}"/>
    <cellStyle name="InputCells12 2 3 2 2 10" xfId="5480" xr:uid="{7CF5C80E-56F1-4084-A8C4-60A8EE05444C}"/>
    <cellStyle name="InputCells12 2 3 2 2 11" xfId="4910" xr:uid="{7B029EC0-DE93-418F-A2F5-286C8893EC6C}"/>
    <cellStyle name="InputCells12 2 3 2 2 12" xfId="6180" xr:uid="{8BDAD63D-AEE7-4876-B453-6695A83ECE7B}"/>
    <cellStyle name="InputCells12 2 3 2 2 13" xfId="6593" xr:uid="{94837B54-250E-4B12-B4BA-CC2780F22879}"/>
    <cellStyle name="InputCells12 2 3 2 2 14" xfId="7552" xr:uid="{F49B3765-2F18-47CB-AA04-C4331A32E1B1}"/>
    <cellStyle name="InputCells12 2 3 2 2 15" xfId="7815" xr:uid="{6670362A-A074-43D9-8824-26BEBD441B2D}"/>
    <cellStyle name="InputCells12 2 3 2 2 16" xfId="7753" xr:uid="{685A3BE3-3348-4C07-9051-E7361F57C9B8}"/>
    <cellStyle name="InputCells12 2 3 2 2 17" xfId="8724" xr:uid="{B7746209-E7AD-4C3E-8B15-B06583A56851}"/>
    <cellStyle name="InputCells12 2 3 2 2 18" xfId="9766" xr:uid="{15BCF072-F11F-4455-AFBC-D0A0BCC2F8F6}"/>
    <cellStyle name="InputCells12 2 3 2 2 19" xfId="10028" xr:uid="{DEB588DB-F28F-4019-8F16-11B4DE13C66A}"/>
    <cellStyle name="InputCells12 2 3 2 2 2" xfId="1306" xr:uid="{7192BE28-726B-4459-86A8-DC67E7E74D5D}"/>
    <cellStyle name="InputCells12 2 3 2 2 20" xfId="10448" xr:uid="{08A8E907-32E0-46EC-9E85-12315CD7F080}"/>
    <cellStyle name="InputCells12 2 3 2 2 21" xfId="10794" xr:uid="{C018E002-61D3-400C-838B-47B184DA7594}"/>
    <cellStyle name="InputCells12 2 3 2 2 22" xfId="11268" xr:uid="{3F5B657B-4D10-4578-AF56-20A475E61715}"/>
    <cellStyle name="InputCells12 2 3 2 2 23" xfId="12185" xr:uid="{95850217-913E-4807-8EAE-731A88239018}"/>
    <cellStyle name="InputCells12 2 3 2 2 24" xfId="12658" xr:uid="{4D18526E-F576-4C27-957B-4E66DE62A1F6}"/>
    <cellStyle name="InputCells12 2 3 2 2 25" xfId="13092" xr:uid="{FABB4C19-7C68-42A6-BBA5-0E5A33F102D3}"/>
    <cellStyle name="InputCells12 2 3 2 2 26" xfId="13529" xr:uid="{04CECC70-82FF-45A2-AF0A-4E90EA9D919D}"/>
    <cellStyle name="InputCells12 2 3 2 2 27" xfId="13796" xr:uid="{2C1849C7-C4B1-4F8B-AF6F-5638F44DB2F7}"/>
    <cellStyle name="InputCells12 2 3 2 2 28" xfId="11518" xr:uid="{B0ED9833-1A2A-4BF1-879D-1512A74260EC}"/>
    <cellStyle name="InputCells12 2 3 2 2 29" xfId="14682" xr:uid="{67C694DC-C8AC-4376-8A36-B127FBFD5D19}"/>
    <cellStyle name="InputCells12 2 3 2 2 3" xfId="1552" xr:uid="{E5953B54-E6D6-448F-B24E-2E15D827A033}"/>
    <cellStyle name="InputCells12 2 3 2 2 30" xfId="14994" xr:uid="{C49A2F42-38CF-4233-9216-9A0B63F8F5C9}"/>
    <cellStyle name="InputCells12 2 3 2 2 31" xfId="14171" xr:uid="{241D694C-997A-4CB7-AB27-0479692E8BCE}"/>
    <cellStyle name="InputCells12 2 3 2 2 32" xfId="15866" xr:uid="{12E6AF16-79E8-40B8-A815-347505110491}"/>
    <cellStyle name="InputCells12 2 3 2 2 33" xfId="16877" xr:uid="{66EB8297-6861-4743-9479-20AF1B4FFD0D}"/>
    <cellStyle name="InputCells12 2 3 2 2 34" xfId="17145" xr:uid="{E2F4D396-EFA7-4642-9CCA-A567CB955240}"/>
    <cellStyle name="InputCells12 2 3 2 2 35" xfId="17592" xr:uid="{473EC84E-6DAA-4377-B8C3-36CC9FC95875}"/>
    <cellStyle name="InputCells12 2 3 2 2 36" xfId="17725" xr:uid="{FAAD8588-B241-42C3-8DA6-BA1B72FB9A02}"/>
    <cellStyle name="InputCells12 2 3 2 2 37" xfId="18695" xr:uid="{599EC862-9089-49FD-8787-063B70B27B69}"/>
    <cellStyle name="InputCells12 2 3 2 2 38" xfId="18901" xr:uid="{5C2E8F68-94F5-4105-A7C4-91DE01E5FD2B}"/>
    <cellStyle name="InputCells12 2 3 2 2 39" xfId="19224" xr:uid="{E5A42B4A-3CC6-4EF3-A9F7-8F883C2E5FC9}"/>
    <cellStyle name="InputCells12 2 3 2 2 4" xfId="2654" xr:uid="{643B3D82-50CA-4322-A1D5-142A15321D1F}"/>
    <cellStyle name="InputCells12 2 3 2 2 40" xfId="20214" xr:uid="{2E9E4289-8D37-4AC4-86B3-CBE944ED1C03}"/>
    <cellStyle name="InputCells12 2 3 2 2 41" xfId="20497" xr:uid="{A2E040C3-6921-4147-B294-8D747B5D6CF0}"/>
    <cellStyle name="InputCells12 2 3 2 2 42" xfId="20952" xr:uid="{01070847-C5E0-4649-B2AD-800D81E170B4}"/>
    <cellStyle name="InputCells12 2 3 2 2 43" xfId="21268" xr:uid="{1ED228C1-AB41-46D8-81A8-3E7624CD7A70}"/>
    <cellStyle name="InputCells12 2 3 2 2 44" xfId="21881" xr:uid="{6A5BBE5D-EE83-4B90-9FB4-EEF3C2572342}"/>
    <cellStyle name="InputCells12 2 3 2 2 45" xfId="22317" xr:uid="{7D42C16B-1462-4494-B90A-C13D9FE711DF}"/>
    <cellStyle name="InputCells12 2 3 2 2 46" xfId="22788" xr:uid="{74D7B6CA-1F17-4366-AE13-D876C3680BF3}"/>
    <cellStyle name="InputCells12 2 3 2 2 47" xfId="23176" xr:uid="{3E584887-7DDD-47FF-8C12-8B1B6903F13E}"/>
    <cellStyle name="InputCells12 2 3 2 2 48" xfId="23267" xr:uid="{43A26389-1651-4D9C-A182-7D332C4258F1}"/>
    <cellStyle name="InputCells12 2 3 2 2 49" xfId="24014" xr:uid="{CD3AC4EB-0F7D-463A-96A5-7744D2469C76}"/>
    <cellStyle name="InputCells12 2 3 2 2 5" xfId="2963" xr:uid="{06226469-64A0-43F8-BF3C-749D559C3C66}"/>
    <cellStyle name="InputCells12 2 3 2 2 50" xfId="24922" xr:uid="{F9A71171-3464-4DA9-BC26-C0B47C986189}"/>
    <cellStyle name="InputCells12 2 3 2 2 51" xfId="25206" xr:uid="{1C5676BB-92C4-4A20-AF59-2AC92AA0A20E}"/>
    <cellStyle name="InputCells12 2 3 2 2 52" xfId="25838" xr:uid="{E25C4792-ABBB-46D8-8B1A-F079AE6ED3C2}"/>
    <cellStyle name="InputCells12 2 3 2 2 53" xfId="26090" xr:uid="{D67DFACA-4EDA-4F7F-AF02-53A293AAD0C1}"/>
    <cellStyle name="InputCells12 2 3 2 2 54" xfId="26442" xr:uid="{71F585DA-CC54-4292-9EC9-D4909F10A08D}"/>
    <cellStyle name="InputCells12 2 3 2 2 55" xfId="27126" xr:uid="{0F50F812-8DD8-47B3-8FAB-32E4EC908755}"/>
    <cellStyle name="InputCells12 2 3 2 2 56" xfId="27545" xr:uid="{073DC460-5A76-4EFD-B415-207F5C0E884B}"/>
    <cellStyle name="InputCells12 2 3 2 2 57" xfId="26362" xr:uid="{3BAF869B-DF80-4BEF-93D2-69CCAA3DD502}"/>
    <cellStyle name="InputCells12 2 3 2 2 58" xfId="28672" xr:uid="{E4B0F0E7-6FCD-4149-AAA2-082D694B8B0F}"/>
    <cellStyle name="InputCells12 2 3 2 2 59" xfId="29139" xr:uid="{0991EB7D-948D-4C8C-9488-486A528D761E}"/>
    <cellStyle name="InputCells12 2 3 2 2 6" xfId="2899" xr:uid="{E0BBBF87-355D-4648-9DE1-11F81F22345F}"/>
    <cellStyle name="InputCells12 2 3 2 2 60" xfId="29348" xr:uid="{AE32E0FC-66F6-42E4-B0CE-BA583F1E2E04}"/>
    <cellStyle name="InputCells12 2 3 2 2 61" xfId="29928" xr:uid="{0E047B4C-3580-492C-AB44-9067F4999C1E}"/>
    <cellStyle name="InputCells12 2 3 2 2 62" xfId="30334" xr:uid="{5B8B9521-EF8D-405E-A8E8-91B19D8F5288}"/>
    <cellStyle name="InputCells12 2 3 2 2 63" xfId="30751" xr:uid="{232D16A0-F239-4851-8EF1-20D8FDDA483D}"/>
    <cellStyle name="InputCells12 2 3 2 2 64" xfId="28190" xr:uid="{BD5DEFD8-3578-49FB-80D2-90A5FCF694FC}"/>
    <cellStyle name="InputCells12 2 3 2 2 65" xfId="31367" xr:uid="{C8DA192C-3204-4B86-9A0B-A2E4C566AD09}"/>
    <cellStyle name="InputCells12 2 3 2 2 66" xfId="32058" xr:uid="{19004D26-376A-4730-BE90-E02B52FF9478}"/>
    <cellStyle name="InputCells12 2 3 2 2 67" xfId="31442" xr:uid="{3EC48E75-8F57-4A47-BF47-EFE03371E506}"/>
    <cellStyle name="InputCells12 2 3 2 2 7" xfId="4150" xr:uid="{AE7E44D3-4C50-41B5-B50A-7FC987A367A3}"/>
    <cellStyle name="InputCells12 2 3 2 2 8" xfId="4587" xr:uid="{29B146D4-C376-4524-BF32-E13D88C5A1C7}"/>
    <cellStyle name="InputCells12 2 3 2 2 9" xfId="3740" xr:uid="{78C2F0DA-D7BE-4D55-9985-94AE70C39F60}"/>
    <cellStyle name="InputCells12 2 3 2 20" xfId="10206" xr:uid="{2DF38090-6D98-40DC-A35E-45B3DE62ADF2}"/>
    <cellStyle name="InputCells12 2 3 2 21" xfId="10610" xr:uid="{ABE3F2D6-B06E-4DA6-8FD7-249ABFBF8920}"/>
    <cellStyle name="InputCells12 2 3 2 22" xfId="9834" xr:uid="{5D206E20-7B82-4EF7-84C0-707E4AE32B58}"/>
    <cellStyle name="InputCells12 2 3 2 23" xfId="11074" xr:uid="{D4193843-B5FB-4963-835D-1468B3DDD828}"/>
    <cellStyle name="InputCells12 2 3 2 24" xfId="11970" xr:uid="{3C22CEA5-CE17-4F28-80DA-7376A3BB34B3}"/>
    <cellStyle name="InputCells12 2 3 2 25" xfId="12443" xr:uid="{6BF53EEB-6D2A-4509-8AA6-7FEEE78A865A}"/>
    <cellStyle name="InputCells12 2 3 2 26" xfId="12877" xr:uid="{890F24D3-77F3-4153-AA21-CF4628DF595F}"/>
    <cellStyle name="InputCells12 2 3 2 27" xfId="13314" xr:uid="{93D18E54-128E-4860-B10E-C725D5BCA705}"/>
    <cellStyle name="InputCells12 2 3 2 28" xfId="11405" xr:uid="{6B5FC175-9B86-4687-ADEC-7FDEC617B44C}"/>
    <cellStyle name="InputCells12 2 3 2 29" xfId="14304" xr:uid="{CE9F1331-244A-4399-BA76-B47D6397BD1F}"/>
    <cellStyle name="InputCells12 2 3 2 3" xfId="1100" xr:uid="{3A37C695-4325-4A00-B933-09D1E0F94E45}"/>
    <cellStyle name="InputCells12 2 3 2 30" xfId="14334" xr:uid="{0B28FC19-C439-4738-805E-364B7AFE3A3C}"/>
    <cellStyle name="InputCells12 2 3 2 31" xfId="15206" xr:uid="{B149DB99-BA6E-4690-89E4-B16CDC1F7DBD}"/>
    <cellStyle name="InputCells12 2 3 2 32" xfId="15619" xr:uid="{ABA139FD-138D-4CB0-B265-63F598F531CA}"/>
    <cellStyle name="InputCells12 2 3 2 33" xfId="15969" xr:uid="{DDCC163F-4FBC-4333-BEC5-7B69B0281587}"/>
    <cellStyle name="InputCells12 2 3 2 34" xfId="16662" xr:uid="{69462503-EB81-4440-9D9F-2A2DFB99BE70}"/>
    <cellStyle name="InputCells12 2 3 2 35" xfId="17327" xr:uid="{D3286130-70E6-415E-969D-00640858C578}"/>
    <cellStyle name="InputCells12 2 3 2 36" xfId="17770" xr:uid="{532EF38B-130C-4D95-ACA3-8B8EBC35CBD1}"/>
    <cellStyle name="InputCells12 2 3 2 37" xfId="16399" xr:uid="{FF03D42A-65F5-41E5-AFEB-F44C579E15AE}"/>
    <cellStyle name="InputCells12 2 3 2 38" xfId="18480" xr:uid="{A7C8B9E5-CCA3-49B4-A27A-338B778A2317}"/>
    <cellStyle name="InputCells12 2 3 2 39" xfId="18556" xr:uid="{78AAB436-78A3-4440-AD09-B2677476820F}"/>
    <cellStyle name="InputCells12 2 3 2 4" xfId="1636" xr:uid="{5A47EA5D-6570-4D69-A23D-50618DAF44D0}"/>
    <cellStyle name="InputCells12 2 3 2 40" xfId="19190" xr:uid="{71800F61-08FE-4D5F-9882-A0E031CCE5D0}"/>
    <cellStyle name="InputCells12 2 3 2 41" xfId="19999" xr:uid="{57BA448A-C54A-45A2-8CF0-4F081356A6CA}"/>
    <cellStyle name="InputCells12 2 3 2 42" xfId="20678" xr:uid="{A1809DF2-44C9-4F6A-843F-E3D3E8ADF66B}"/>
    <cellStyle name="InputCells12 2 3 2 43" xfId="21134" xr:uid="{18262EC4-C5C2-4DDB-B695-7642C837B2D9}"/>
    <cellStyle name="InputCells12 2 3 2 44" xfId="20476" xr:uid="{1681F28E-C940-4B9B-94BF-002548D363AC}"/>
    <cellStyle name="InputCells12 2 3 2 45" xfId="22066" xr:uid="{E01DB7A8-9BC7-4504-84ED-F82E385D07A0}"/>
    <cellStyle name="InputCells12 2 3 2 46" xfId="22494" xr:uid="{533149FF-0848-48A4-B8F3-B93544B0AA81}"/>
    <cellStyle name="InputCells12 2 3 2 47" xfId="22534" xr:uid="{D7FBDEAD-636E-4938-AF6C-19C1E4F672CE}"/>
    <cellStyle name="InputCells12 2 3 2 48" xfId="22365" xr:uid="{3006C8AE-104A-49F0-A6E0-FF3B8B72390F}"/>
    <cellStyle name="InputCells12 2 3 2 49" xfId="23141" xr:uid="{B8DF5205-0988-437E-A043-657419B9A474}"/>
    <cellStyle name="InputCells12 2 3 2 5" xfId="2439" xr:uid="{55AEB57F-3CCA-497C-8C57-3FFACE8A484B}"/>
    <cellStyle name="InputCells12 2 3 2 50" xfId="23808" xr:uid="{EE9407C9-8FAC-49D9-99B2-CF8E6AF84082}"/>
    <cellStyle name="InputCells12 2 3 2 51" xfId="24707" xr:uid="{4AFABA60-EA86-4EB4-8BE9-266E8D81E822}"/>
    <cellStyle name="InputCells12 2 3 2 52" xfId="25381" xr:uid="{582FC105-150F-4D45-8E1A-AE922753D978}"/>
    <cellStyle name="InputCells12 2 3 2 53" xfId="25625" xr:uid="{5A0BF8A2-5E5F-44EF-A323-1011B0A9AFF0}"/>
    <cellStyle name="InputCells12 2 3 2 54" xfId="25191" xr:uid="{B14168F1-E21E-492A-9C6E-C8D72F6DA34C}"/>
    <cellStyle name="InputCells12 2 3 2 55" xfId="25111" xr:uid="{157A170B-B580-42AC-B790-B1FA13285E7E}"/>
    <cellStyle name="InputCells12 2 3 2 56" xfId="26915" xr:uid="{01BE1672-9BDB-4305-A573-EC82C824B463}"/>
    <cellStyle name="InputCells12 2 3 2 57" xfId="27334" xr:uid="{6D9272B3-01FD-4A7F-A780-C11924160895}"/>
    <cellStyle name="InputCells12 2 3 2 58" xfId="27664" xr:uid="{53B587F2-9452-49EC-B2D4-C6E93BB5C795}"/>
    <cellStyle name="InputCells12 2 3 2 59" xfId="28457" xr:uid="{EC9A87C7-0C18-42AC-88F7-BD2DE8564444}"/>
    <cellStyle name="InputCells12 2 3 2 6" xfId="2186" xr:uid="{539A9B68-768B-4A40-97F8-38E321133DEA}"/>
    <cellStyle name="InputCells12 2 3 2 60" xfId="28925" xr:uid="{93AA4F07-B92D-4901-B81D-1727F52870A1}"/>
    <cellStyle name="InputCells12 2 3 2 61" xfId="29503" xr:uid="{FD511D8C-7B3F-4C5F-8193-06CEBA3CE44E}"/>
    <cellStyle name="InputCells12 2 3 2 62" xfId="29715" xr:uid="{0B2067F5-3E61-41C2-9E04-45447CBC1E2C}"/>
    <cellStyle name="InputCells12 2 3 2 63" xfId="30123" xr:uid="{AE5EA3FA-9F31-405D-A26D-B597D43D3869}"/>
    <cellStyle name="InputCells12 2 3 2 64" xfId="30537" xr:uid="{F9ED2652-D94F-47FF-AB2E-95078DB51514}"/>
    <cellStyle name="InputCells12 2 3 2 65" xfId="30975" xr:uid="{5722D885-7187-4D23-8275-E4F3503C0E54}"/>
    <cellStyle name="InputCells12 2 3 2 66" xfId="31161" xr:uid="{1D6E27D0-72BB-42A7-9241-78490DA1F969}"/>
    <cellStyle name="InputCells12 2 3 2 67" xfId="31847" xr:uid="{9192A754-2F79-4133-A0F2-FDA2B577EE12}"/>
    <cellStyle name="InputCells12 2 3 2 68" xfId="32232" xr:uid="{B9790FAA-994A-4F3B-BD14-FD38762956AE}"/>
    <cellStyle name="InputCells12 2 3 2 7" xfId="3303" xr:uid="{DD3AD900-D965-48C8-8753-D00078FD6F70}"/>
    <cellStyle name="InputCells12 2 3 2 8" xfId="3935" xr:uid="{FDBCE3AE-479E-49CB-A164-6C9B2EE5AAB7}"/>
    <cellStyle name="InputCells12 2 3 2 9" xfId="4373" xr:uid="{AD4B9C76-9418-4991-BCEC-C94655A892BD}"/>
    <cellStyle name="InputCells12 2 3 20" xfId="8137" xr:uid="{78081E3F-2030-4A9E-BC7D-EEBFCE6221BA}"/>
    <cellStyle name="InputCells12 2 3 21" xfId="9222" xr:uid="{5071F7AC-F162-49C8-9584-BF05AC17ED1B}"/>
    <cellStyle name="InputCells12 2 3 22" xfId="9849" xr:uid="{90FAEDE8-B713-4FF5-AA35-0D35A6B2C9AE}"/>
    <cellStyle name="InputCells12 2 3 23" xfId="9064" xr:uid="{6FD3DE82-9AD1-411E-8CF1-CCED61A60A27}"/>
    <cellStyle name="InputCells12 2 3 24" xfId="10778" xr:uid="{C2968995-A9DB-4569-8A1E-6942E81D6242}"/>
    <cellStyle name="InputCells12 2 3 25" xfId="11239" xr:uid="{0389DE53-96A5-4AD6-80CF-2D0B5B5D9996}"/>
    <cellStyle name="InputCells12 2 3 26" xfId="11635" xr:uid="{EBD18F52-52A4-4D1A-A296-EC17E9CEC4CF}"/>
    <cellStyle name="InputCells12 2 3 27" xfId="12047" xr:uid="{9DCF4090-BAFD-468A-93C6-1A70EA387849}"/>
    <cellStyle name="InputCells12 2 3 28" xfId="11645" xr:uid="{6EC76F6F-D1A2-46D3-996F-BBB76EAC4F3A}"/>
    <cellStyle name="InputCells12 2 3 29" xfId="11806" xr:uid="{E89DC0A3-C489-48C1-8861-4BE2C8DE4663}"/>
    <cellStyle name="InputCells12 2 3 3" xfId="540" xr:uid="{7491A65D-FA3C-487B-BF40-655964F0EFCB}"/>
    <cellStyle name="InputCells12 2 3 3 10" xfId="4839" xr:uid="{A728E525-8069-4536-8C3D-02A2528CB7CA}"/>
    <cellStyle name="InputCells12 2 3 3 11" xfId="5188" xr:uid="{064BEC4D-0059-4E9B-8173-FEEBA5021A7A}"/>
    <cellStyle name="InputCells12 2 3 3 12" xfId="3481" xr:uid="{A11E4E54-CE21-4BEA-8A6A-50A12EF84AA4}"/>
    <cellStyle name="InputCells12 2 3 3 13" xfId="5661" xr:uid="{40E6F649-CBE8-4C7C-8357-A9D00ED3305C}"/>
    <cellStyle name="InputCells12 2 3 3 14" xfId="6678" xr:uid="{49F1B20A-F8C7-47F2-9CCB-578AA43B66CF}"/>
    <cellStyle name="InputCells12 2 3 3 15" xfId="7260" xr:uid="{E2E4E140-B3F8-4547-B319-40FF493CF5E3}"/>
    <cellStyle name="InputCells12 2 3 3 16" xfId="7138" xr:uid="{0D267E9B-8C13-47DD-8110-25E5AF727FFA}"/>
    <cellStyle name="InputCells12 2 3 3 17" xfId="8160" xr:uid="{50CD1C64-3BA4-428F-B70A-A9BA15CE2558}"/>
    <cellStyle name="InputCells12 2 3 3 18" xfId="6944" xr:uid="{CBA2FD20-8A3D-485D-B35C-75AAB6EA93F6}"/>
    <cellStyle name="InputCells12 2 3 3 19" xfId="9474" xr:uid="{44332C5E-641D-4504-AF6A-A9B55DA36906}"/>
    <cellStyle name="InputCells12 2 3 3 2" xfId="755" xr:uid="{DE740F5F-00D6-4D75-865F-8CA2F36D3893}"/>
    <cellStyle name="InputCells12 2 3 3 2 10" xfId="5403" xr:uid="{71520439-2FC1-4A23-A387-E46EAB54CBC1}"/>
    <cellStyle name="InputCells12 2 3 3 2 11" xfId="5908" xr:uid="{581BDE6D-0666-4C95-8148-7CACDA451AFD}"/>
    <cellStyle name="InputCells12 2 3 3 2 12" xfId="5744" xr:uid="{393D3036-ED54-4724-A2CA-E2F83001F532}"/>
    <cellStyle name="InputCells12 2 3 3 2 13" xfId="6617" xr:uid="{1BA7899F-E557-4322-8220-AEEEF6C99BA1}"/>
    <cellStyle name="InputCells12 2 3 3 2 14" xfId="7475" xr:uid="{5DAC2325-34F7-4271-9EF1-7CFBDA2A41C5}"/>
    <cellStyle name="InputCells12 2 3 3 2 15" xfId="7113" xr:uid="{D6FAD18E-E5D3-4241-BFA7-19AF19717B8A}"/>
    <cellStyle name="InputCells12 2 3 3 2 16" xfId="7865" xr:uid="{3B46D0F5-75A7-47E5-ADCD-D17EBE1E45C8}"/>
    <cellStyle name="InputCells12 2 3 3 2 17" xfId="8788" xr:uid="{DB26563E-DA6F-409F-B760-7D99452FDAAA}"/>
    <cellStyle name="InputCells12 2 3 3 2 18" xfId="9689" xr:uid="{533A552C-FB96-4E80-8479-28F7F7A15BA2}"/>
    <cellStyle name="InputCells12 2 3 3 2 19" xfId="9199" xr:uid="{8EC70834-0BB0-4371-A70A-CAFD364593F5}"/>
    <cellStyle name="InputCells12 2 3 3 2 2" xfId="1229" xr:uid="{82669DB1-DA5C-4A93-9476-FF71A37D31F3}"/>
    <cellStyle name="InputCells12 2 3 3 2 20" xfId="9875" xr:uid="{4A4CDA7B-1A4D-4CBA-8C6D-119BB1C4772D}"/>
    <cellStyle name="InputCells12 2 3 3 2 21" xfId="10389" xr:uid="{93AB9A2D-FBCA-412C-ACBF-44CEFCFCBEE4}"/>
    <cellStyle name="InputCells12 2 3 3 2 22" xfId="11067" xr:uid="{31EBCEE6-14D7-4ECE-AB65-18F128EB1D3D}"/>
    <cellStyle name="InputCells12 2 3 3 2 23" xfId="12108" xr:uid="{4AD15DFF-4C30-494F-8FFC-B1C324CFB303}"/>
    <cellStyle name="InputCells12 2 3 3 2 24" xfId="12581" xr:uid="{EEE966BE-E046-4CD4-AE65-F2213C2495EC}"/>
    <cellStyle name="InputCells12 2 3 3 2 25" xfId="13015" xr:uid="{5BAAE21B-A0AD-4FE3-8E18-647284515FF7}"/>
    <cellStyle name="InputCells12 2 3 3 2 26" xfId="13452" xr:uid="{9D27101A-7630-4A65-9651-E0981E2FED4E}"/>
    <cellStyle name="InputCells12 2 3 3 2 27" xfId="12520" xr:uid="{7AA3B519-A7E8-42ED-8B05-79E504907A55}"/>
    <cellStyle name="InputCells12 2 3 3 2 28" xfId="11475" xr:uid="{0503E021-494B-49D5-9038-9FCB85F9920A}"/>
    <cellStyle name="InputCells12 2 3 3 2 29" xfId="14311" xr:uid="{FA1B3F7C-A10F-4259-9E44-89692CB08529}"/>
    <cellStyle name="InputCells12 2 3 3 2 3" xfId="1564" xr:uid="{6849FAF2-1D09-4A47-9EF8-BC349974CB1A}"/>
    <cellStyle name="InputCells12 2 3 3 2 30" xfId="15327" xr:uid="{E035E73A-34AD-4435-9240-EDCA02E1B607}"/>
    <cellStyle name="InputCells12 2 3 3 2 31" xfId="15722" xr:uid="{A2B8F420-D5A5-497F-9463-77A2AE157AC9}"/>
    <cellStyle name="InputCells12 2 3 3 2 32" xfId="15174" xr:uid="{8F2A1421-5887-4542-8C31-9F1073025648}"/>
    <cellStyle name="InputCells12 2 3 3 2 33" xfId="16800" xr:uid="{0E03BEF7-67F1-4CA4-B11B-90BE6859F87C}"/>
    <cellStyle name="InputCells12 2 3 3 2 34" xfId="16435" xr:uid="{FD4B55CF-BC68-4FC6-AE1F-3E25568128AF}"/>
    <cellStyle name="InputCells12 2 3 3 2 35" xfId="16247" xr:uid="{F8CF3BAE-D543-4414-8D35-79E2E11D1F34}"/>
    <cellStyle name="InputCells12 2 3 3 2 36" xfId="18110" xr:uid="{07258838-9A0B-4014-A463-6D182DB458C8}"/>
    <cellStyle name="InputCells12 2 3 3 2 37" xfId="18618" xr:uid="{33141DAE-B38F-4E4A-9096-3AEE6BE42192}"/>
    <cellStyle name="InputCells12 2 3 3 2 38" xfId="18914" xr:uid="{C08321AD-53DB-4FB8-9C7B-96CD5E1136D6}"/>
    <cellStyle name="InputCells12 2 3 3 2 39" xfId="18090" xr:uid="{1E161B98-5E71-4DAB-9FCF-960E6E250A43}"/>
    <cellStyle name="InputCells12 2 3 3 2 4" xfId="2577" xr:uid="{F4B59176-1F12-43C9-BFD4-985A7F8370F7}"/>
    <cellStyle name="InputCells12 2 3 3 2 40" xfId="20137" xr:uid="{59620BEF-3DBB-40E7-800E-A64971BE998E}"/>
    <cellStyle name="InputCells12 2 3 3 2 41" xfId="19481" xr:uid="{B1A3F75A-41AD-430D-9C4C-9962F8F45EA4}"/>
    <cellStyle name="InputCells12 2 3 3 2 42" xfId="19805" xr:uid="{53D7F5D5-A0ED-4F7C-AB27-FDCEFC57AEAA}"/>
    <cellStyle name="InputCells12 2 3 3 2 43" xfId="20882" xr:uid="{40DA7982-9064-4EED-90B4-20E924A12503}"/>
    <cellStyle name="InputCells12 2 3 3 2 44" xfId="21337" xr:uid="{1AB9893A-821B-49DA-B4FD-F9953B744D9C}"/>
    <cellStyle name="InputCells12 2 3 3 2 45" xfId="21280" xr:uid="{97CC4F37-2A2A-4AA9-AF55-C82989ADCCA8}"/>
    <cellStyle name="InputCells12 2 3 3 2 46" xfId="21309" xr:uid="{68655517-5836-4BA5-A95A-B582DBE2C0D3}"/>
    <cellStyle name="InputCells12 2 3 3 2 47" xfId="23195" xr:uid="{FF6A0E64-037D-47D1-9EDC-B8A864296340}"/>
    <cellStyle name="InputCells12 2 3 3 2 48" xfId="23368" xr:uid="{F7B68A66-35CB-400D-A300-7B72B113F3B8}"/>
    <cellStyle name="InputCells12 2 3 3 2 49" xfId="23937" xr:uid="{C6A83CE9-0B61-4803-8D34-3E3E957555D1}"/>
    <cellStyle name="InputCells12 2 3 3 2 5" xfId="2117" xr:uid="{43ED9D6A-FC89-4C2B-99F3-07785250F184}"/>
    <cellStyle name="InputCells12 2 3 3 2 50" xfId="24845" xr:uid="{E604D510-8A4A-496A-99F6-EDDD868F332D}"/>
    <cellStyle name="InputCells12 2 3 3 2 51" xfId="24313" xr:uid="{A009A694-4199-4248-8523-24EE947C139C}"/>
    <cellStyle name="InputCells12 2 3 3 2 52" xfId="25761" xr:uid="{0245A738-ED17-42BC-AA5E-A8026E543851}"/>
    <cellStyle name="InputCells12 2 3 3 2 53" xfId="25126" xr:uid="{BA1D2BAF-274B-4CF0-8CC2-0B4D43ABCFF7}"/>
    <cellStyle name="InputCells12 2 3 3 2 54" xfId="26551" xr:uid="{E703B909-EB15-45CE-B7A3-78DE204A689F}"/>
    <cellStyle name="InputCells12 2 3 3 2 55" xfId="27049" xr:uid="{F352DFBE-E3A7-4C17-B17F-41134A0D7056}"/>
    <cellStyle name="InputCells12 2 3 3 2 56" xfId="27468" xr:uid="{0D988BE0-1A61-46CF-8EFA-89A89051A70D}"/>
    <cellStyle name="InputCells12 2 3 3 2 57" xfId="27200" xr:uid="{7DE1F87D-B15B-40E6-B052-B85EC86F22B1}"/>
    <cellStyle name="InputCells12 2 3 3 2 58" xfId="28595" xr:uid="{6B467C40-2608-409D-B291-0AB5DD3D63A0}"/>
    <cellStyle name="InputCells12 2 3 3 2 59" xfId="29062" xr:uid="{7F97A54E-DB51-40A3-818F-A46ED23BF8F1}"/>
    <cellStyle name="InputCells12 2 3 3 2 6" xfId="3277" xr:uid="{36EBFD72-1C71-4C34-8DCB-68AE22377AE0}"/>
    <cellStyle name="InputCells12 2 3 3 2 60" xfId="28258" xr:uid="{D4A8AF23-E33C-4978-BF73-256DE05270F4}"/>
    <cellStyle name="InputCells12 2 3 3 2 61" xfId="29851" xr:uid="{C2B55263-403E-422B-A87E-85134DB075FE}"/>
    <cellStyle name="InputCells12 2 3 3 2 62" xfId="30257" xr:uid="{5918FB9A-9E1D-4FEF-94C3-F5B45E7F4FE3}"/>
    <cellStyle name="InputCells12 2 3 3 2 63" xfId="30674" xr:uid="{B493B04F-F7AC-40DC-80AD-1EE811699E0F}"/>
    <cellStyle name="InputCells12 2 3 3 2 64" xfId="28766" xr:uid="{1C0AB8E5-9D2F-4F7D-B05F-C58694068751}"/>
    <cellStyle name="InputCells12 2 3 3 2 65" xfId="31290" xr:uid="{ABC71D48-F596-44BE-9DED-B95C8A3BFA4C}"/>
    <cellStyle name="InputCells12 2 3 3 2 66" xfId="31981" xr:uid="{D496B7BC-70C9-405D-BEA3-9065856194E7}"/>
    <cellStyle name="InputCells12 2 3 3 2 67" xfId="31677" xr:uid="{AD5187E1-FFEF-4AEC-AE9F-9F2183AC53C9}"/>
    <cellStyle name="InputCells12 2 3 3 2 7" xfId="4073" xr:uid="{DA360A05-3F63-4536-8FDA-1169A009C5C5}"/>
    <cellStyle name="InputCells12 2 3 3 2 8" xfId="4510" xr:uid="{E9235175-4D8A-470A-91B4-24B59FDA6850}"/>
    <cellStyle name="InputCells12 2 3 3 2 9" xfId="1944" xr:uid="{A3E6C2C7-539F-4349-8968-54CFF6CCF20C}"/>
    <cellStyle name="InputCells12 2 3 3 20" xfId="9630" xr:uid="{090955DB-6FE8-467A-BDD3-B8050CC9DC13}"/>
    <cellStyle name="InputCells12 2 3 3 21" xfId="9976" xr:uid="{77F093E4-DC19-4BB6-9B6D-09312A37AD2D}"/>
    <cellStyle name="InputCells12 2 3 3 22" xfId="10386" xr:uid="{4492458D-B84A-4EAD-BE53-E4F05D115353}"/>
    <cellStyle name="InputCells12 2 3 3 23" xfId="11295" xr:uid="{D101D98D-5880-46E4-ABAA-3841431DC663}"/>
    <cellStyle name="InputCells12 2 3 3 24" xfId="11893" xr:uid="{1ABA52DE-8194-4468-911C-AE2AFB3E85C0}"/>
    <cellStyle name="InputCells12 2 3 3 25" xfId="12366" xr:uid="{FFB1E3FE-E530-4767-97D5-741EBFE79F4B}"/>
    <cellStyle name="InputCells12 2 3 3 26" xfId="12800" xr:uid="{02325DB3-98BF-47B1-A6EB-535EF1A57E2C}"/>
    <cellStyle name="InputCells12 2 3 3 27" xfId="13237" xr:uid="{D3E7FC7F-12DD-4043-996A-CCBD9D752F8B}"/>
    <cellStyle name="InputCells12 2 3 3 28" xfId="11741" xr:uid="{2F35BDA0-EF2F-41A5-B0F2-F853799D220F}"/>
    <cellStyle name="InputCells12 2 3 3 29" xfId="14342" xr:uid="{F01C1AE6-FA8A-49CB-B832-882DB058BC82}"/>
    <cellStyle name="InputCells12 2 3 3 3" xfId="1023" xr:uid="{2AF97464-0C48-45FE-B74C-BCD97F8721F3}"/>
    <cellStyle name="InputCells12 2 3 3 30" xfId="14818" xr:uid="{1F1D821D-F476-46D3-9176-F04E1A66CAC8}"/>
    <cellStyle name="InputCells12 2 3 3 31" xfId="14876" xr:uid="{4686A8EA-D574-4164-A71D-95DDFA27BFFD}"/>
    <cellStyle name="InputCells12 2 3 3 32" xfId="15102" xr:uid="{DF8A956B-91E1-452F-B8B3-97F32BE8CEFD}"/>
    <cellStyle name="InputCells12 2 3 3 33" xfId="14775" xr:uid="{FFB9EB5B-7203-40F7-B6AB-DB46B92357A4}"/>
    <cellStyle name="InputCells12 2 3 3 34" xfId="16585" xr:uid="{FD17FED2-F6DF-40F5-8692-D087B0470D72}"/>
    <cellStyle name="InputCells12 2 3 3 35" xfId="16461" xr:uid="{0213B52D-8F5E-415F-85B1-994F755C42DE}"/>
    <cellStyle name="InputCells12 2 3 3 36" xfId="17302" xr:uid="{C53195D8-7F86-474D-8BAD-39F6BD63CA87}"/>
    <cellStyle name="InputCells12 2 3 3 37" xfId="17544" xr:uid="{46B2F4A2-776D-4FCD-B239-DB9F8B021A8E}"/>
    <cellStyle name="InputCells12 2 3 3 38" xfId="18403" xr:uid="{6889341E-A604-47BF-9C58-0F6E3BA61CF1}"/>
    <cellStyle name="InputCells12 2 3 3 39" xfId="18018" xr:uid="{C3D176F6-99E0-48A4-8137-ABD0C66942B9}"/>
    <cellStyle name="InputCells12 2 3 3 4" xfId="1698" xr:uid="{0C3E6E8C-202B-46B5-AFAB-54F65282182B}"/>
    <cellStyle name="InputCells12 2 3 3 40" xfId="18875" xr:uid="{6AECA577-09B9-49EC-ADC5-3BDB58194AF7}"/>
    <cellStyle name="InputCells12 2 3 3 41" xfId="19922" xr:uid="{06378CBD-434B-4BD1-BFAF-C1E3E8AE1EB3}"/>
    <cellStyle name="InputCells12 2 3 3 42" xfId="20076" xr:uid="{47ECA9C2-90C6-41DF-81F2-28F76F2A39AB}"/>
    <cellStyle name="InputCells12 2 3 3 43" xfId="20450" xr:uid="{D4B78A9B-D3DA-4CA5-93F5-0DDA57321EBF}"/>
    <cellStyle name="InputCells12 2 3 3 44" xfId="20371" xr:uid="{EEBFBDA5-2CDC-464A-A6FD-0CAE8C98AF1B}"/>
    <cellStyle name="InputCells12 2 3 3 45" xfId="20837" xr:uid="{A168C2DA-39F9-4596-B5D1-E3CAB2E71036}"/>
    <cellStyle name="InputCells12 2 3 3 46" xfId="21826" xr:uid="{838E7497-F124-4A3D-A8F6-3695312572F4}"/>
    <cellStyle name="InputCells12 2 3 3 47" xfId="22311" xr:uid="{94112DDC-C911-48BA-B37F-1C7F5B7758A2}"/>
    <cellStyle name="InputCells12 2 3 3 48" xfId="22785" xr:uid="{D94030BD-C272-46E9-B4CC-2BD10D55B8A9}"/>
    <cellStyle name="InputCells12 2 3 3 49" xfId="22804" xr:uid="{2FF6AB9B-7CCE-419B-9959-6875B4F6FCE9}"/>
    <cellStyle name="InputCells12 2 3 3 5" xfId="2362" xr:uid="{2D372D85-48B2-4965-85F6-B36495BE8DF3}"/>
    <cellStyle name="InputCells12 2 3 3 50" xfId="23731" xr:uid="{4683E0D1-6D98-4CE9-9EA5-E9B5045F8497}"/>
    <cellStyle name="InputCells12 2 3 3 51" xfId="24630" xr:uid="{63548553-1237-447C-B2B9-16A31A2CE9A3}"/>
    <cellStyle name="InputCells12 2 3 3 52" xfId="24111" xr:uid="{10644B62-60A5-47B9-BF0A-7068D9AF9FC7}"/>
    <cellStyle name="InputCells12 2 3 3 53" xfId="25548" xr:uid="{D1496C96-DF9B-49E0-A897-53DE33A41B6C}"/>
    <cellStyle name="InputCells12 2 3 3 54" xfId="25050" xr:uid="{2FB366AF-34A6-41E6-A1C9-B23F47173FEA}"/>
    <cellStyle name="InputCells12 2 3 3 55" xfId="26413" xr:uid="{27FF78F6-F154-444A-BAA3-735D37D93B22}"/>
    <cellStyle name="InputCells12 2 3 3 56" xfId="26838" xr:uid="{E1E92924-2D35-4E73-9A4A-E54435F20433}"/>
    <cellStyle name="InputCells12 2 3 3 57" xfId="27257" xr:uid="{29385733-BD8D-4F5E-B944-3A2DB0506485}"/>
    <cellStyle name="InputCells12 2 3 3 58" xfId="27630" xr:uid="{A3894D06-4AC3-489A-A8DF-42C03749CBF9}"/>
    <cellStyle name="InputCells12 2 3 3 59" xfId="28380" xr:uid="{6902EE04-5F82-4296-8933-ABDDD53E2D32}"/>
    <cellStyle name="InputCells12 2 3 3 6" xfId="1838" xr:uid="{D84F965D-40A2-41E2-B4F4-AE14C78E534B}"/>
    <cellStyle name="InputCells12 2 3 3 60" xfId="28848" xr:uid="{282587C3-5FAB-4DF5-8A41-D27183616478}"/>
    <cellStyle name="InputCells12 2 3 3 61" xfId="28155" xr:uid="{5BCE6D4A-04FF-46CF-B8F5-3CBFECB912CA}"/>
    <cellStyle name="InputCells12 2 3 3 62" xfId="29638" xr:uid="{7FB7AE9C-58A7-4905-A24A-4571BB4756FA}"/>
    <cellStyle name="InputCells12 2 3 3 63" xfId="30046" xr:uid="{5396030E-5571-457E-8656-63E5F68EBFFE}"/>
    <cellStyle name="InputCells12 2 3 3 64" xfId="30460" xr:uid="{31FCA3F6-1B86-43EB-809C-8A5BA45CAC1F}"/>
    <cellStyle name="InputCells12 2 3 3 65" xfId="30623" xr:uid="{1408930A-C4E3-4084-AEAB-92955F4592E1}"/>
    <cellStyle name="InputCells12 2 3 3 66" xfId="31084" xr:uid="{FFAFF13C-3A74-4BAC-BF30-B7E8766E604E}"/>
    <cellStyle name="InputCells12 2 3 3 67" xfId="31770" xr:uid="{5E9E1D4C-34E2-4D83-9C3A-E8E8B895D610}"/>
    <cellStyle name="InputCells12 2 3 3 68" xfId="31455" xr:uid="{80DFA412-BA8E-4E94-A727-8038DBA4B65A}"/>
    <cellStyle name="InputCells12 2 3 3 7" xfId="3496" xr:uid="{E7B35A73-D34F-4580-B1DA-58C92C9B8D58}"/>
    <cellStyle name="InputCells12 2 3 3 8" xfId="3858" xr:uid="{C4B98293-005D-4710-9BED-4DD009B991F2}"/>
    <cellStyle name="InputCells12 2 3 3 9" xfId="4296" xr:uid="{4EA1D0B1-A4EE-4D3E-A762-64651B34C2FA}"/>
    <cellStyle name="InputCells12 2 3 30" xfId="13830" xr:uid="{E67942B3-383C-4EFE-9796-34E46AD90226}"/>
    <cellStyle name="InputCells12 2 3 31" xfId="11504" xr:uid="{3A53A9EC-0CC8-482F-823E-AEBC68339754}"/>
    <cellStyle name="InputCells12 2 3 32" xfId="13990" xr:uid="{30A4467D-0A8D-42C5-811D-C811D7F40630}"/>
    <cellStyle name="InputCells12 2 3 33" xfId="15328" xr:uid="{C76804FF-1A16-465F-BAD7-76A47BB78F83}"/>
    <cellStyle name="InputCells12 2 3 34" xfId="15607" xr:uid="{5D3C82DB-D3B4-4297-AB7B-D714FA366508}"/>
    <cellStyle name="InputCells12 2 3 35" xfId="15728" xr:uid="{771E80A6-CBDD-4E09-AD68-48851E5FB735}"/>
    <cellStyle name="InputCells12 2 3 36" xfId="16330" xr:uid="{61427C3B-C410-430D-AC15-70146141D218}"/>
    <cellStyle name="InputCells12 2 3 37" xfId="16965" xr:uid="{F3724ED0-0930-484D-8F2B-2A1C7FC6864B}"/>
    <cellStyle name="InputCells12 2 3 38" xfId="17066" xr:uid="{0E91C4B2-FC4A-4C8E-BA6B-74E9434220EB}"/>
    <cellStyle name="InputCells12 2 3 39" xfId="17903" xr:uid="{B44C48D1-2AD5-4A79-B73D-3A4FCC0D6A91}"/>
    <cellStyle name="InputCells12 2 3 4" xfId="656" xr:uid="{E5A2F4E9-50A4-4E53-84A0-E274BF2AA459}"/>
    <cellStyle name="InputCells12 2 3 4 10" xfId="4903" xr:uid="{C5CA155A-B693-464C-A1A3-9854727C6DC8}"/>
    <cellStyle name="InputCells12 2 3 4 11" xfId="5304" xr:uid="{07B077D7-938B-4ABF-982F-540841AD0BBF}"/>
    <cellStyle name="InputCells12 2 3 4 12" xfId="4670" xr:uid="{B77C22DA-0649-4951-AC04-D4B05F7F93A7}"/>
    <cellStyle name="InputCells12 2 3 4 13" xfId="5747" xr:uid="{1B02DC0F-4636-49FD-BF91-B7ED46687CAC}"/>
    <cellStyle name="InputCells12 2 3 4 14" xfId="4834" xr:uid="{5656CC5D-79A5-491A-9194-50A04895584C}"/>
    <cellStyle name="InputCells12 2 3 4 15" xfId="7376" xr:uid="{1B9D25DB-9288-4077-985D-A502CF89DFA0}"/>
    <cellStyle name="InputCells12 2 3 4 16" xfId="7040" xr:uid="{BD78FD5E-8882-43B0-943F-C133279562E5}"/>
    <cellStyle name="InputCells12 2 3 4 17" xfId="7975" xr:uid="{E38147EC-A4A0-4F56-BFF1-67EF52505174}"/>
    <cellStyle name="InputCells12 2 3 4 18" xfId="8904" xr:uid="{F8DD2BE8-2DEA-421F-A8E2-158EA564CACE}"/>
    <cellStyle name="InputCells12 2 3 4 19" xfId="9590" xr:uid="{0E9876CA-9CC3-4670-8F0A-FF38590CFB70}"/>
    <cellStyle name="InputCells12 2 3 4 2" xfId="871" xr:uid="{D54D62E8-22D1-4160-8DC8-48ADB632D772}"/>
    <cellStyle name="InputCells12 2 3 4 2 10" xfId="5519" xr:uid="{A211002C-6AB8-49DD-8E1B-8E0F128597C7}"/>
    <cellStyle name="InputCells12 2 3 4 2 11" xfId="6013" xr:uid="{96D56737-5235-495E-AFA3-C229C1382AE7}"/>
    <cellStyle name="InputCells12 2 3 4 2 12" xfId="6372" xr:uid="{49DDFF5E-9000-4011-A329-EE0BF53231DC}"/>
    <cellStyle name="InputCells12 2 3 4 2 13" xfId="6710" xr:uid="{F178DC77-70C4-48AB-9023-0AA6E8FC0474}"/>
    <cellStyle name="InputCells12 2 3 4 2 14" xfId="7591" xr:uid="{8CBABF38-1C00-47EE-B099-66183B843505}"/>
    <cellStyle name="InputCells12 2 3 4 2 15" xfId="8055" xr:uid="{60A17DB4-F0AD-4180-ABC6-A7DECF239A3E}"/>
    <cellStyle name="InputCells12 2 3 4 2 16" xfId="8664" xr:uid="{284E0AF0-7D32-4B98-91CE-65E6E4D1966F}"/>
    <cellStyle name="InputCells12 2 3 4 2 17" xfId="8923" xr:uid="{F7C40439-B4AD-4255-8AAC-E1B029B85E85}"/>
    <cellStyle name="InputCells12 2 3 4 2 18" xfId="9805" xr:uid="{2D663DFA-AA30-40DA-B4DE-60CB6326EFE3}"/>
    <cellStyle name="InputCells12 2 3 4 2 19" xfId="10274" xr:uid="{BEB01F5F-2A59-44C0-BDA1-9E32D63843E8}"/>
    <cellStyle name="InputCells12 2 3 4 2 2" xfId="1345" xr:uid="{A4505340-F653-4F52-B6DC-E2E755623DAF}"/>
    <cellStyle name="InputCells12 2 3 4 2 20" xfId="10668" xr:uid="{F71BCE6C-CF3C-4084-8780-AF46FFECEAF5}"/>
    <cellStyle name="InputCells12 2 3 4 2 21" xfId="11017" xr:uid="{0472D808-8118-4406-9A26-D31428F6D98A}"/>
    <cellStyle name="InputCells12 2 3 4 2 22" xfId="11327" xr:uid="{5FA7DBAB-49A9-4FDD-A42A-61C74F303E73}"/>
    <cellStyle name="InputCells12 2 3 4 2 23" xfId="12224" xr:uid="{A4DBE885-7F64-44D6-BB1E-E6B0745ABF48}"/>
    <cellStyle name="InputCells12 2 3 4 2 24" xfId="12697" xr:uid="{76BBA1E3-39F3-495B-839A-614DE6746180}"/>
    <cellStyle name="InputCells12 2 3 4 2 25" xfId="13131" xr:uid="{483F06C9-793E-432B-A9D0-39A090F6F055}"/>
    <cellStyle name="InputCells12 2 3 4 2 26" xfId="13568" xr:uid="{DF3A9151-9253-40C9-BE75-5E9BA118C314}"/>
    <cellStyle name="InputCells12 2 3 4 2 27" xfId="14040" xr:uid="{3F51C312-75A1-435F-917B-1A7A5C05DDE5}"/>
    <cellStyle name="InputCells12 2 3 4 2 28" xfId="14487" xr:uid="{84D9514C-5519-4A9B-B071-A2750912EA56}"/>
    <cellStyle name="InputCells12 2 3 4 2 29" xfId="14921" xr:uid="{40A3B073-5640-43B5-8D5A-4BB86B1F1139}"/>
    <cellStyle name="InputCells12 2 3 4 2 3" xfId="1794" xr:uid="{B649DA07-1776-457F-A327-FD23CF352466}"/>
    <cellStyle name="InputCells12 2 3 4 2 30" xfId="15391" xr:uid="{10D51C16-439F-4D12-A265-46075095A687}"/>
    <cellStyle name="InputCells12 2 3 4 2 31" xfId="15781" xr:uid="{FE28CD2C-17E9-4CB1-9AD1-BCA400962EFF}"/>
    <cellStyle name="InputCells12 2 3 4 2 32" xfId="16003" xr:uid="{9FB1AF65-DF6A-4419-8F51-CBBB341B44B4}"/>
    <cellStyle name="InputCells12 2 3 4 2 33" xfId="16916" xr:uid="{416DD9C8-1B34-4F20-88B0-513E4DA1EEDB}"/>
    <cellStyle name="InputCells12 2 3 4 2 34" xfId="17397" xr:uid="{BCAE5E7D-F052-4F28-9E68-6362390B5356}"/>
    <cellStyle name="InputCells12 2 3 4 2 35" xfId="17838" xr:uid="{D45E4E91-41A2-4EBB-A1B7-0244565035D8}"/>
    <cellStyle name="InputCells12 2 3 4 2 36" xfId="18313" xr:uid="{C522B9BB-FC75-43EE-AAD0-17F104A26FA6}"/>
    <cellStyle name="InputCells12 2 3 4 2 37" xfId="18734" xr:uid="{DBB735D0-16F1-4A2A-A341-427F1B5B79B0}"/>
    <cellStyle name="InputCells12 2 3 4 2 38" xfId="19121" xr:uid="{287152DF-95D7-4C5E-A0F1-A52C377B968F}"/>
    <cellStyle name="InputCells12 2 3 4 2 39" xfId="19351" xr:uid="{1F69CFBB-7DE6-4998-983E-1E6C6B3A86FD}"/>
    <cellStyle name="InputCells12 2 3 4 2 4" xfId="2693" xr:uid="{374E7ECB-C721-4DC7-92C6-5246916D1A92}"/>
    <cellStyle name="InputCells12 2 3 4 2 40" xfId="20253" xr:uid="{C3090E31-F5CA-4EE3-930C-3AC7532BD7B3}"/>
    <cellStyle name="InputCells12 2 3 4 2 41" xfId="20746" xr:uid="{0D2A545E-0A4E-45B1-A8D3-E8DF15765ABD}"/>
    <cellStyle name="InputCells12 2 3 4 2 42" xfId="21205" xr:uid="{14F2EAA3-9561-4501-9F0D-D2CCB34C5B5E}"/>
    <cellStyle name="InputCells12 2 3 4 2 43" xfId="21697" xr:uid="{EC31BD52-6610-4D80-91D2-9E59E7247BF7}"/>
    <cellStyle name="InputCells12 2 3 4 2 44" xfId="22136" xr:uid="{89AF716C-D733-4C5C-906E-981C728AB61A}"/>
    <cellStyle name="InputCells12 2 3 4 2 45" xfId="22563" xr:uid="{E1E51554-1CFB-465E-8525-6CA176E6989A}"/>
    <cellStyle name="InputCells12 2 3 4 2 46" xfId="23008" xr:uid="{435A3F88-0D23-49CD-A659-E91C0D47A21C}"/>
    <cellStyle name="InputCells12 2 3 4 2 47" xfId="23410" xr:uid="{AA5C0979-1ADB-48EE-9D22-B883EA78FE6D}"/>
    <cellStyle name="InputCells12 2 3 4 2 48" xfId="23673" xr:uid="{CBB672EA-2C2E-4D35-916A-928960F93125}"/>
    <cellStyle name="InputCells12 2 3 4 2 49" xfId="24053" xr:uid="{EE8B9C44-CA10-4764-9C69-6E5541987A3C}"/>
    <cellStyle name="InputCells12 2 3 4 2 5" xfId="3213" xr:uid="{B7191F9B-C501-4BE6-8BAE-6525B3C11F02}"/>
    <cellStyle name="InputCells12 2 3 4 2 50" xfId="24961" xr:uid="{63124E47-CC4D-4117-9806-49C97B6887F3}"/>
    <cellStyle name="InputCells12 2 3 4 2 51" xfId="25449" xr:uid="{DD7E4AE2-F191-4837-B6C8-AD4FFCB3B05C}"/>
    <cellStyle name="InputCells12 2 3 4 2 52" xfId="25877" xr:uid="{7F99E560-8BB7-4042-B3A5-B28BDE8385BF}"/>
    <cellStyle name="InputCells12 2 3 4 2 53" xfId="26315" xr:uid="{D58AA927-0DD5-4C1A-AB45-07A8D2496AF0}"/>
    <cellStyle name="InputCells12 2 3 4 2 54" xfId="26744" xr:uid="{ACF1BB8C-492B-490B-8DF2-EC145828A4B3}"/>
    <cellStyle name="InputCells12 2 3 4 2 55" xfId="27165" xr:uid="{8D1A92AA-70A6-4C0D-9A60-D2832486F0AF}"/>
    <cellStyle name="InputCells12 2 3 4 2 56" xfId="27584" xr:uid="{0402B261-30A8-465F-85C1-7EF76951FDAD}"/>
    <cellStyle name="InputCells12 2 3 4 2 57" xfId="26277" xr:uid="{A3D58D16-675C-4686-9153-6A5C20E163AE}"/>
    <cellStyle name="InputCells12 2 3 4 2 58" xfId="28711" xr:uid="{945D391D-3B5B-4C42-B798-219E8F88F965}"/>
    <cellStyle name="InputCells12 2 3 4 2 59" xfId="29178" xr:uid="{530FB08A-1FE3-44A6-82ED-602F60C5DCCA}"/>
    <cellStyle name="InputCells12 2 3 4 2 6" xfId="3768" xr:uid="{1896FB2F-F981-44FE-A8B1-35637241C7F2}"/>
    <cellStyle name="InputCells12 2 3 4 2 60" xfId="29560" xr:uid="{547C1314-BE8E-455A-8C65-24286381C415}"/>
    <cellStyle name="InputCells12 2 3 4 2 61" xfId="29967" xr:uid="{7B4F14A0-C3BA-4D50-AABE-60DC105550F4}"/>
    <cellStyle name="InputCells12 2 3 4 2 62" xfId="30373" xr:uid="{B5EA414A-0915-4D00-96BA-32A75ACB4A77}"/>
    <cellStyle name="InputCells12 2 3 4 2 63" xfId="30790" xr:uid="{982F6113-5D5C-4D15-BB4B-93837394032F}"/>
    <cellStyle name="InputCells12 2 3 4 2 64" xfId="31035" xr:uid="{1E6AE83C-FE81-4C20-AA9A-ECB69D30A7AE}"/>
    <cellStyle name="InputCells12 2 3 4 2 65" xfId="31406" xr:uid="{9E8D9CAB-277C-4ECD-9450-AF5E9778E72D}"/>
    <cellStyle name="InputCells12 2 3 4 2 66" xfId="32097" xr:uid="{C9476A48-4E03-4466-B085-02E9628F1ABB}"/>
    <cellStyle name="InputCells12 2 3 4 2 67" xfId="32384" xr:uid="{E896D434-5DA1-43C2-9455-BC1032242E0A}"/>
    <cellStyle name="InputCells12 2 3 4 2 7" xfId="4189" xr:uid="{AFFE2F03-2CC2-4E1B-8664-E87DA79072A3}"/>
    <cellStyle name="InputCells12 2 3 4 2 8" xfId="4626" xr:uid="{7F362ADD-4BA3-4F1D-A65D-12B83E9A8341}"/>
    <cellStyle name="InputCells12 2 3 4 2 9" xfId="5072" xr:uid="{C0A913D2-742B-45D8-A217-E2C60E31FBBF}"/>
    <cellStyle name="InputCells12 2 3 4 20" xfId="9253" xr:uid="{6DB5EAF2-BE8E-46B4-B25F-6F50D049E746}"/>
    <cellStyle name="InputCells12 2 3 4 21" xfId="9908" xr:uid="{71FBEDA9-E41A-4C05-A032-33E8BC5FEAE1}"/>
    <cellStyle name="InputCells12 2 3 4 22" xfId="10007" xr:uid="{B8B11C6E-3A02-465B-B6BB-AACAE91B7E08}"/>
    <cellStyle name="InputCells12 2 3 4 23" xfId="11043" xr:uid="{047A273E-DBBC-4699-B6B0-49CC1D82E85A}"/>
    <cellStyle name="InputCells12 2 3 4 24" xfId="12009" xr:uid="{E60356B2-9061-45BD-9128-E059ECBC5192}"/>
    <cellStyle name="InputCells12 2 3 4 25" xfId="12482" xr:uid="{61C76C02-1C4E-41E6-A513-E05CC62496C1}"/>
    <cellStyle name="InputCells12 2 3 4 26" xfId="12916" xr:uid="{09C23B17-F1F9-4668-A3FA-B393C837C195}"/>
    <cellStyle name="InputCells12 2 3 4 27" xfId="13353" xr:uid="{26CFA5E1-DEDC-4DEF-94D9-EA655C72FFD3}"/>
    <cellStyle name="InputCells12 2 3 4 28" xfId="13999" xr:uid="{E03EAB28-5D95-4DC3-8C6A-8F142DFDA4FE}"/>
    <cellStyle name="InputCells12 2 3 4 29" xfId="14114" xr:uid="{1378380C-726F-4BB8-935C-FBFE4AB44D8A}"/>
    <cellStyle name="InputCells12 2 3 4 3" xfId="1139" xr:uid="{D6F6984C-86BD-4911-AED5-45574CE15060}"/>
    <cellStyle name="InputCells12 2 3 4 30" xfId="13697" xr:uid="{85DF08E9-B289-4341-900A-71FF41E69948}"/>
    <cellStyle name="InputCells12 2 3 4 31" xfId="14638" xr:uid="{60996011-75A6-4540-8209-6964C10D5F99}"/>
    <cellStyle name="InputCells12 2 3 4 32" xfId="14591" xr:uid="{0E357697-3DA5-42A0-8692-DB51C32B9A63}"/>
    <cellStyle name="InputCells12 2 3 4 33" xfId="14895" xr:uid="{5B1FB40E-F0EF-4E9C-8FA5-3E8C50C809D2}"/>
    <cellStyle name="InputCells12 2 3 4 34" xfId="16701" xr:uid="{B50401CE-FAA7-46DB-BF43-5AA43613B266}"/>
    <cellStyle name="InputCells12 2 3 4 35" xfId="16363" xr:uid="{3C1EF570-8F61-4125-BDBC-72C16828F31D}"/>
    <cellStyle name="InputCells12 2 3 4 36" xfId="17020" xr:uid="{61E35FF9-AF3E-4A68-B04B-C24570684DCC}"/>
    <cellStyle name="InputCells12 2 3 4 37" xfId="18275" xr:uid="{791CF7AB-BB59-4058-8F31-936C86393E60}"/>
    <cellStyle name="InputCells12 2 3 4 38" xfId="18519" xr:uid="{38EDFB19-F693-4068-A389-52B059B90690}"/>
    <cellStyle name="InputCells12 2 3 4 39" xfId="19097" xr:uid="{9F57EF30-7D9E-4BC9-9815-C0C08788F506}"/>
    <cellStyle name="InputCells12 2 3 4 4" xfId="1723" xr:uid="{F8AC1047-B3AD-4E2F-9422-A3092B057364}"/>
    <cellStyle name="InputCells12 2 3 4 40" xfId="19327" xr:uid="{DD4F3625-5F61-4F57-9778-98AC7D391A69}"/>
    <cellStyle name="InputCells12 2 3 4 41" xfId="20038" xr:uid="{C130EF70-991B-49E7-95B9-129FE968DFED}"/>
    <cellStyle name="InputCells12 2 3 4 42" xfId="19696" xr:uid="{33BE59B5-2170-4C1B-A76A-64F453AE268F}"/>
    <cellStyle name="InputCells12 2 3 4 43" xfId="20646" xr:uid="{0EC0A9F3-6FA9-4E3B-AD8F-6D7A381EE605}"/>
    <cellStyle name="InputCells12 2 3 4 44" xfId="21655" xr:uid="{6C7AA0C9-B72D-4498-A353-3CFA9CB9555D}"/>
    <cellStyle name="InputCells12 2 3 4 45" xfId="21623" xr:uid="{359914A8-0B53-4F18-B5FB-1425B64BF7D4}"/>
    <cellStyle name="InputCells12 2 3 4 46" xfId="20868" xr:uid="{67C69BAA-C59A-4825-AF37-5B66C6E5AB59}"/>
    <cellStyle name="InputCells12 2 3 4 47" xfId="22970" xr:uid="{F5A0FFD0-8043-487E-AAF0-BEB3FD9013CE}"/>
    <cellStyle name="InputCells12 2 3 4 48" xfId="23376" xr:uid="{24626F4F-D258-436B-8C62-D798E609D6AD}"/>
    <cellStyle name="InputCells12 2 3 4 49" xfId="23545" xr:uid="{2050E93F-9A2B-466B-8A7C-D3D0418FCDAD}"/>
    <cellStyle name="InputCells12 2 3 4 5" xfId="2478" xr:uid="{1A3EC22E-E5FC-4E9E-A8A1-5D934B2C7219}"/>
    <cellStyle name="InputCells12 2 3 4 50" xfId="23847" xr:uid="{16B4488B-CCD7-4470-8F6F-610358C251DA}"/>
    <cellStyle name="InputCells12 2 3 4 51" xfId="24746" xr:uid="{94C56023-DC33-4F2F-A33A-1BE400687CA6}"/>
    <cellStyle name="InputCells12 2 3 4 52" xfId="24575" xr:uid="{441B4C6E-EB3B-4799-83F2-D30B04D6C5EE}"/>
    <cellStyle name="InputCells12 2 3 4 53" xfId="25664" xr:uid="{B9EEF6BF-D08B-4D14-8B3A-C0B9B1EA7D7D}"/>
    <cellStyle name="InputCells12 2 3 4 54" xfId="26245" xr:uid="{ECDC145C-00F0-4D56-95A8-1B7AD8DCC345}"/>
    <cellStyle name="InputCells12 2 3 4 55" xfId="26130" xr:uid="{8677A6F0-A8EB-4AEA-BB7E-7E9503D02EA7}"/>
    <cellStyle name="InputCells12 2 3 4 56" xfId="26954" xr:uid="{797623DA-8AC9-4C4B-AD54-07AE735D0D5C}"/>
    <cellStyle name="InputCells12 2 3 4 57" xfId="27373" xr:uid="{34FC8DF4-A446-4318-90EC-2ACCB18E40A1}"/>
    <cellStyle name="InputCells12 2 3 4 58" xfId="26156" xr:uid="{E11DA388-9E08-451E-A6BC-5A4FF9AA77FE}"/>
    <cellStyle name="InputCells12 2 3 4 59" xfId="28496" xr:uid="{F3504916-D800-4DC6-9FC4-C120C7FF78FA}"/>
    <cellStyle name="InputCells12 2 3 4 6" xfId="3170" xr:uid="{77CE32B8-BBFD-4E83-9417-194D2F633227}"/>
    <cellStyle name="InputCells12 2 3 4 60" xfId="28964" xr:uid="{2944F142-E061-4444-96F3-BAC74B1EE4B9}"/>
    <cellStyle name="InputCells12 2 3 4 61" xfId="28806" xr:uid="{749DB374-5D9F-4EE0-BF45-BC4ECFAB0931}"/>
    <cellStyle name="InputCells12 2 3 4 62" xfId="29754" xr:uid="{E63CC1F9-C3B6-4CEE-B5D7-5DF58DE626ED}"/>
    <cellStyle name="InputCells12 2 3 4 63" xfId="30162" xr:uid="{0B38FC2E-3AD4-45B3-8E2C-EAE11229A9CA}"/>
    <cellStyle name="InputCells12 2 3 4 64" xfId="30576" xr:uid="{983498C7-3294-4F8A-A3EB-EFD6964D96B4}"/>
    <cellStyle name="InputCells12 2 3 4 65" xfId="30929" xr:uid="{F6F64ECD-1297-4876-88EA-46BCB2F97C46}"/>
    <cellStyle name="InputCells12 2 3 4 66" xfId="31200" xr:uid="{85D1F245-53BE-41B1-A268-0AC3C83D2C5C}"/>
    <cellStyle name="InputCells12 2 3 4 67" xfId="31886" xr:uid="{218D5B9C-9F47-417A-9C59-46F4F29AE0D1}"/>
    <cellStyle name="InputCells12 2 3 4 68" xfId="31568" xr:uid="{B3989191-24ED-47FB-BCFA-3A50FE20F65A}"/>
    <cellStyle name="InputCells12 2 3 4 7" xfId="2221" xr:uid="{F4806964-A740-498D-8D77-79BDD7F5A337}"/>
    <cellStyle name="InputCells12 2 3 4 8" xfId="3974" xr:uid="{919906CA-B3C1-4D84-B9A4-63EAEFC0430F}"/>
    <cellStyle name="InputCells12 2 3 4 9" xfId="4412" xr:uid="{C537F4E0-AA08-4F58-BBD7-7C59790730D6}"/>
    <cellStyle name="InputCells12 2 3 40" xfId="16042" xr:uid="{1A2422AD-4C46-4594-B1F7-D4DA269238EF}"/>
    <cellStyle name="InputCells12 2 3 41" xfId="18941" xr:uid="{8EF724C7-1C37-4BEC-9A47-328C83AB94C3}"/>
    <cellStyle name="InputCells12 2 3 42" xfId="19304" xr:uid="{100D9901-5145-4A05-83E7-C17F9D12FFB2}"/>
    <cellStyle name="InputCells12 2 3 43" xfId="19663" xr:uid="{17E5D64E-5EA5-4DAC-815D-8F714D5CA2FB}"/>
    <cellStyle name="InputCells12 2 3 44" xfId="20312" xr:uid="{A96E9ED8-DE5F-4BF4-8364-515C809EEA78}"/>
    <cellStyle name="InputCells12 2 3 45" xfId="20768" xr:uid="{BAF6F404-A0C4-460E-B6AC-507008FD0475}"/>
    <cellStyle name="InputCells12 2 3 46" xfId="20808" xr:uid="{E7DA26D4-5EED-4A3A-917B-F26FE98491AB}"/>
    <cellStyle name="InputCells12 2 3 47" xfId="20933" xr:uid="{20C036B3-F9F0-4D96-A451-FAE4E65C5030}"/>
    <cellStyle name="InputCells12 2 3 48" xfId="20520" xr:uid="{32A91B0B-F147-44BB-A5D9-3831B6964742}"/>
    <cellStyle name="InputCells12 2 3 49" xfId="22817" xr:uid="{45F5610A-9E65-47CE-B395-8ED13D322E63}"/>
    <cellStyle name="InputCells12 2 3 5" xfId="955" xr:uid="{1D0185CC-C02C-468B-9EB5-FB0604CF6D53}"/>
    <cellStyle name="InputCells12 2 3 50" xfId="23228" xr:uid="{73AA755D-DC8D-417B-8D89-28F35C46B35B}"/>
    <cellStyle name="InputCells12 2 3 51" xfId="23627" xr:uid="{AA6167E3-C20B-4D3D-9A7D-40566AB22873}"/>
    <cellStyle name="InputCells12 2 3 52" xfId="23573" xr:uid="{55C63F8C-CF1F-424E-A346-0BBB84444056}"/>
    <cellStyle name="InputCells12 2 3 53" xfId="24383" xr:uid="{7708BCEC-01B1-4380-A6E7-708A53B80291}"/>
    <cellStyle name="InputCells12 2 3 54" xfId="24321" xr:uid="{546BBDCB-B377-4EBB-ABF2-34124CBBBAA4}"/>
    <cellStyle name="InputCells12 2 3 55" xfId="25332" xr:uid="{313EFFBC-BF1C-4BE6-9E26-9B8003362D3D}"/>
    <cellStyle name="InputCells12 2 3 56" xfId="25470" xr:uid="{66BB50F5-0356-42FB-A23B-3EF902C8619B}"/>
    <cellStyle name="InputCells12 2 3 57" xfId="26287" xr:uid="{0B828CBF-59EE-435F-8B96-76D336728C74}"/>
    <cellStyle name="InputCells12 2 3 58" xfId="26187" xr:uid="{B3D61D46-3046-47B2-B46C-DD20F9ECB637}"/>
    <cellStyle name="InputCells12 2 3 59" xfId="24361" xr:uid="{F1D42C3F-778B-4838-B8CF-810F7C2859E7}"/>
    <cellStyle name="InputCells12 2 3 6" xfId="1466" xr:uid="{A1F3AEE5-C514-4C73-8625-1F7942114316}"/>
    <cellStyle name="InputCells12 2 3 60" xfId="26341" xr:uid="{3AF5A910-1CDB-48E8-BD58-D5763F3559B4}"/>
    <cellStyle name="InputCells12 2 3 61" xfId="28154" xr:uid="{188207A8-A861-4155-9A1F-641DE36D221D}"/>
    <cellStyle name="InputCells12 2 3 62" xfId="27913" xr:uid="{BDF99AE2-32DC-47E1-B402-9B4DAC6268DD}"/>
    <cellStyle name="InputCells12 2 3 63" xfId="28271" xr:uid="{9DFDC870-A242-4530-8E16-DDCE958BB940}"/>
    <cellStyle name="InputCells12 2 3 64" xfId="28278" xr:uid="{8050DA9B-9F6A-4E6A-93D4-383C324BE391}"/>
    <cellStyle name="InputCells12 2 3 65" xfId="29382" xr:uid="{C3A77481-C1AD-4EBC-A4F7-0F87900E26EA}"/>
    <cellStyle name="InputCells12 2 3 66" xfId="29245" xr:uid="{DE687883-7BE2-447D-9F1C-C1E5409E35BD}"/>
    <cellStyle name="InputCells12 2 3 67" xfId="28112" xr:uid="{2A3AC8A3-8F07-4801-975F-33E85B08D4AE}"/>
    <cellStyle name="InputCells12 2 3 68" xfId="30879" xr:uid="{5EA69381-F228-441A-A708-FD2707612B31}"/>
    <cellStyle name="InputCells12 2 3 69" xfId="31606" xr:uid="{E3B051F4-FCE4-4438-A2B6-585364446F9D}"/>
    <cellStyle name="InputCells12 2 3 7" xfId="2103" xr:uid="{7DC3CE65-B97A-4248-9DF9-5D964FD4CE63}"/>
    <cellStyle name="InputCells12 2 3 70" xfId="31526" xr:uid="{2F2665CE-789C-482E-803E-E0800EF9CF6B}"/>
    <cellStyle name="InputCells12 2 3 8" xfId="2996" xr:uid="{80151FAB-A821-4521-B299-242A1866B176}"/>
    <cellStyle name="InputCells12 2 3 9" xfId="3682" xr:uid="{E7844D40-875A-4E66-9B2D-E8CD62AB2B32}"/>
    <cellStyle name="InputCells12 3" xfId="419" xr:uid="{3D9B1F67-42BA-466F-9FC4-E8E7C1440165}"/>
    <cellStyle name="InputCells12 3 2" xfId="524" xr:uid="{2F6F1984-1CBF-4224-9EB9-DC20F450CC07}"/>
    <cellStyle name="InputCells12 3 2 10" xfId="4994" xr:uid="{F4A81C16-A9A6-45C6-9C2F-A2D2DB73397D}"/>
    <cellStyle name="InputCells12 3 2 11" xfId="5172" xr:uid="{8140F143-CABD-42A9-A69D-08E25E200B68}"/>
    <cellStyle name="InputCells12 3 2 12" xfId="4648" xr:uid="{FD17314A-F795-49E2-88A5-25F62A0ECBA7}"/>
    <cellStyle name="InputCells12 3 2 13" xfId="4940" xr:uid="{FC0BFAFD-C5DA-4B4D-9F2C-CA40B3803858}"/>
    <cellStyle name="InputCells12 3 2 14" xfId="5993" xr:uid="{8B673789-A682-4E99-A5B3-7B320D5ED217}"/>
    <cellStyle name="InputCells12 3 2 15" xfId="7244" xr:uid="{751FEA31-8C58-486F-A66F-DE487277EE88}"/>
    <cellStyle name="InputCells12 3 2 16" xfId="7183" xr:uid="{5C0F30A1-17EE-40BE-BBC5-89187A95699B}"/>
    <cellStyle name="InputCells12 3 2 17" xfId="6747" xr:uid="{1DC815E9-7BAD-418A-959D-4655EF25767A}"/>
    <cellStyle name="InputCells12 3 2 18" xfId="8252" xr:uid="{C5F74D81-46B9-4403-A821-9D5CDAD27731}"/>
    <cellStyle name="InputCells12 3 2 19" xfId="9458" xr:uid="{F95E2385-2CA3-4938-ADA1-4ADB2A8A9CF1}"/>
    <cellStyle name="InputCells12 3 2 2" xfId="739" xr:uid="{2E598F35-BC91-43C8-BE96-574437B2D108}"/>
    <cellStyle name="InputCells12 3 2 2 10" xfId="5387" xr:uid="{EE149950-428F-40C5-874E-AD344F17C61E}"/>
    <cellStyle name="InputCells12 3 2 2 11" xfId="2772" xr:uid="{87954818-7433-4C33-971F-2AE5FE18DD59}"/>
    <cellStyle name="InputCells12 3 2 2 12" xfId="4647" xr:uid="{74991862-0128-4942-8028-F8F86C41DEA8}"/>
    <cellStyle name="InputCells12 3 2 2 13" xfId="5574" xr:uid="{B977BFB0-59C9-4EBC-BC53-CEF85CED71D3}"/>
    <cellStyle name="InputCells12 3 2 2 14" xfId="7459" xr:uid="{C7920BD9-126A-4FB0-B6E3-8DCE03527FE7}"/>
    <cellStyle name="InputCells12 3 2 2 15" xfId="6885" xr:uid="{0B4A627E-8A3C-4969-BD74-E71CD98F6D4D}"/>
    <cellStyle name="InputCells12 3 2 2 16" xfId="8155" xr:uid="{CDBA63C5-E2B5-4B6F-AA46-0473ECBB371E}"/>
    <cellStyle name="InputCells12 3 2 2 17" xfId="8900" xr:uid="{60FEE456-D812-4809-A679-C780FCD5240B}"/>
    <cellStyle name="InputCells12 3 2 2 18" xfId="9673" xr:uid="{406E493A-9CE9-4215-A3C8-267E90935A6C}"/>
    <cellStyle name="InputCells12 3 2 2 19" xfId="9099" xr:uid="{84971054-0723-46DF-B70F-8EB9FE51E7D0}"/>
    <cellStyle name="InputCells12 3 2 2 2" xfId="1213" xr:uid="{694B56DF-FF88-435C-82C0-6FF70867BD4B}"/>
    <cellStyle name="InputCells12 3 2 2 20" xfId="8993" xr:uid="{90E03417-1979-43F0-BCED-ED58AFD00E10}"/>
    <cellStyle name="InputCells12 3 2 2 21" xfId="9261" xr:uid="{A77BBFD7-A547-432A-9A71-1AC6CEFB7EE2}"/>
    <cellStyle name="InputCells12 3 2 2 22" xfId="11143" xr:uid="{38616CE0-537A-475A-B65F-E373B8251009}"/>
    <cellStyle name="InputCells12 3 2 2 23" xfId="12092" xr:uid="{0A4327A5-5115-44BA-8B68-8720B4F63C05}"/>
    <cellStyle name="InputCells12 3 2 2 24" xfId="12565" xr:uid="{7E76187A-3292-4A72-B2CF-C0E0D4B1BE5B}"/>
    <cellStyle name="InputCells12 3 2 2 25" xfId="12999" xr:uid="{16A802E1-64B6-4B8A-8B5C-E065B23B686C}"/>
    <cellStyle name="InputCells12 3 2 2 26" xfId="13436" xr:uid="{BE1277A0-E9AC-4D1C-9B04-8E3960C5C344}"/>
    <cellStyle name="InputCells12 3 2 2 27" xfId="13625" xr:uid="{1447E6A0-6C2B-4A78-A8EC-22ED5855DDEC}"/>
    <cellStyle name="InputCells12 3 2 2 28" xfId="13877" xr:uid="{5274FE69-967B-457F-A671-4FBBD91A4002}"/>
    <cellStyle name="InputCells12 3 2 2 29" xfId="11467" xr:uid="{A03D8BD6-D469-446D-9AE9-0AE98A38508F}"/>
    <cellStyle name="InputCells12 3 2 2 3" xfId="1437" xr:uid="{C3EED381-6FF4-4F1A-B706-CA71654BEDBC}"/>
    <cellStyle name="InputCells12 3 2 2 30" xfId="14588" xr:uid="{C320020E-79EF-4032-BD64-8EE721A393AF}"/>
    <cellStyle name="InputCells12 3 2 2 31" xfId="15647" xr:uid="{2B0D446E-2009-486F-A9EB-B2EE26C04F9F}"/>
    <cellStyle name="InputCells12 3 2 2 32" xfId="15055" xr:uid="{C2589D34-68C6-4AB2-83FA-C135642A22CA}"/>
    <cellStyle name="InputCells12 3 2 2 33" xfId="16784" xr:uid="{20C2BAE8-26E2-4964-B304-CD70CFB5F66E}"/>
    <cellStyle name="InputCells12 3 2 2 34" xfId="16202" xr:uid="{08A09012-3DD3-47CD-8D79-37686B82BA4A}"/>
    <cellStyle name="InputCells12 3 2 2 35" xfId="16090" xr:uid="{1DD8D75B-5770-45C9-BAEF-17A1A7CB9834}"/>
    <cellStyle name="InputCells12 3 2 2 36" xfId="18253" xr:uid="{B100AD33-3412-460E-8316-8F9DE735D505}"/>
    <cellStyle name="InputCells12 3 2 2 37" xfId="18602" xr:uid="{5E8885E4-5FD0-46F5-AE65-D5F41EDEF0C6}"/>
    <cellStyle name="InputCells12 3 2 2 38" xfId="19076" xr:uid="{F6F7B2F4-9BC1-48FE-95B5-C6BA16648238}"/>
    <cellStyle name="InputCells12 3 2 2 39" xfId="19177" xr:uid="{4097AA4F-193E-46F4-A4E2-D4FD9EAE7963}"/>
    <cellStyle name="InputCells12 3 2 2 4" xfId="2561" xr:uid="{6CEE369B-F55B-4FA2-83B7-8254E51DFD11}"/>
    <cellStyle name="InputCells12 3 2 2 40" xfId="20121" xr:uid="{018351E1-A329-43AB-B314-E70E6AA83594}"/>
    <cellStyle name="InputCells12 3 2 2 41" xfId="19534" xr:uid="{DDEA422E-FF94-4FD3-87EC-A98CCC2AA47F}"/>
    <cellStyle name="InputCells12 3 2 2 42" xfId="20722" xr:uid="{C317843A-BF64-4CE2-A87E-6B7D9437A172}"/>
    <cellStyle name="InputCells12 3 2 2 43" xfId="21153" xr:uid="{534FB567-02F0-4406-B14E-AEA43D9E8279}"/>
    <cellStyle name="InputCells12 3 2 2 44" xfId="20417" xr:uid="{1D40BA1A-E67C-49F3-83A9-7115F7846923}"/>
    <cellStyle name="InputCells12 3 2 2 45" xfId="21761" xr:uid="{46431C3C-D220-44E6-B4FA-D764A77437BE}"/>
    <cellStyle name="InputCells12 3 2 2 46" xfId="22633" xr:uid="{8CD2BEB1-FB20-4B63-8EAF-23528593DA9D}"/>
    <cellStyle name="InputCells12 3 2 2 47" xfId="23354" xr:uid="{743628AE-F7BB-40B6-988D-1EC5A23B757D}"/>
    <cellStyle name="InputCells12 3 2 2 48" xfId="22034" xr:uid="{40B13E26-9033-47ED-9095-155CC0DE3C23}"/>
    <cellStyle name="InputCells12 3 2 2 49" xfId="23921" xr:uid="{2AAFE575-A6FE-4F43-8F4F-C2F476CD19CE}"/>
    <cellStyle name="InputCells12 3 2 2 5" xfId="2792" xr:uid="{5ADF5EC8-77DE-4170-95C5-01861483A185}"/>
    <cellStyle name="InputCells12 3 2 2 50" xfId="24829" xr:uid="{9DA389EE-A800-4D8B-9C05-51A606D005F4}"/>
    <cellStyle name="InputCells12 3 2 2 51" xfId="24121" xr:uid="{D76CF8F9-912D-4262-B0AD-D1886F3F7CA3}"/>
    <cellStyle name="InputCells12 3 2 2 52" xfId="25745" xr:uid="{3CC1DC61-7694-4736-B908-B656E77394FA}"/>
    <cellStyle name="InputCells12 3 2 2 53" xfId="25147" xr:uid="{CED8AD85-514F-413E-B6CF-E9EEF0AA7859}"/>
    <cellStyle name="InputCells12 3 2 2 54" xfId="25415" xr:uid="{B5F1B5C5-645D-43CD-AD6E-44214137DA56}"/>
    <cellStyle name="InputCells12 3 2 2 55" xfId="27033" xr:uid="{8292FA65-9B88-4A15-B529-A942F32FA86E}"/>
    <cellStyle name="InputCells12 3 2 2 56" xfId="27452" xr:uid="{31013F1D-0941-4C23-99C0-56A0ABF84EE4}"/>
    <cellStyle name="InputCells12 3 2 2 57" xfId="25076" xr:uid="{721952F1-7165-4BE6-872E-F5E368188774}"/>
    <cellStyle name="InputCells12 3 2 2 58" xfId="28579" xr:uid="{30766368-D9CD-4FF3-A9E8-534851001A6C}"/>
    <cellStyle name="InputCells12 3 2 2 59" xfId="29046" xr:uid="{DDFC6331-3B46-4F0B-AF36-6FCE3A48EC09}"/>
    <cellStyle name="InputCells12 3 2 2 6" xfId="2264" xr:uid="{A586319B-DD00-4247-AB2C-AFCA042B5829}"/>
    <cellStyle name="InputCells12 3 2 2 60" xfId="28053" xr:uid="{2C5FA96F-B24E-43DB-90D1-45F938629B54}"/>
    <cellStyle name="InputCells12 3 2 2 61" xfId="29835" xr:uid="{9D4F3D42-F7BD-4494-A523-0519DB6D3164}"/>
    <cellStyle name="InputCells12 3 2 2 62" xfId="30241" xr:uid="{2F618CFD-99AE-4978-9C40-9A43691DC064}"/>
    <cellStyle name="InputCells12 3 2 2 63" xfId="30658" xr:uid="{5CE91B25-BABB-495D-A1E2-03FA19F1EE84}"/>
    <cellStyle name="InputCells12 3 2 2 64" xfId="30402" xr:uid="{AF5C36A8-03D7-450D-B0BA-DB7CC0D8946B}"/>
    <cellStyle name="InputCells12 3 2 2 65" xfId="31274" xr:uid="{B8E5D922-FB30-43EC-A470-95B3DD59D12F}"/>
    <cellStyle name="InputCells12 3 2 2 66" xfId="31965" xr:uid="{F7BDFDD6-9B8F-4171-89CE-71271407121C}"/>
    <cellStyle name="InputCells12 3 2 2 67" xfId="31640" xr:uid="{90333B22-191B-4E69-B0DA-D71B5AD877FC}"/>
    <cellStyle name="InputCells12 3 2 2 7" xfId="4057" xr:uid="{32BFCEBF-518A-40E4-A531-1E4C78A6FD20}"/>
    <cellStyle name="InputCells12 3 2 2 8" xfId="4494" xr:uid="{1DDE6E89-F317-4DFD-911C-67DA8916FF75}"/>
    <cellStyle name="InputCells12 3 2 2 9" xfId="2934" xr:uid="{25B39DC9-5E79-4808-9907-BA601B5F1E57}"/>
    <cellStyle name="InputCells12 3 2 20" xfId="9396" xr:uid="{AC5C1D63-9D70-4AC3-801B-046BDBE0BA88}"/>
    <cellStyle name="InputCells12 3 2 21" xfId="9069" xr:uid="{94427692-0CE4-43AA-A69B-EFDDA88641FA}"/>
    <cellStyle name="InputCells12 3 2 22" xfId="10970" xr:uid="{1B4298AB-E9C3-4E73-AA40-DA1F3B70DF32}"/>
    <cellStyle name="InputCells12 3 2 23" xfId="10144" xr:uid="{B744369E-F76C-4F5E-AC9F-CD83FF9CA3E1}"/>
    <cellStyle name="InputCells12 3 2 24" xfId="11877" xr:uid="{966A7840-355E-489A-BD65-BD3F08829451}"/>
    <cellStyle name="InputCells12 3 2 25" xfId="12350" xr:uid="{B359B46C-D065-45F2-86E5-F51401D83537}"/>
    <cellStyle name="InputCells12 3 2 26" xfId="12784" xr:uid="{1EF9D6A1-2BBB-471D-8279-079E5B68DC0A}"/>
    <cellStyle name="InputCells12 3 2 27" xfId="13221" xr:uid="{A337E861-39B2-4622-ACF3-709D99B47937}"/>
    <cellStyle name="InputCells12 3 2 28" xfId="13900" xr:uid="{CB265BD7-17B2-45F6-96F4-4A5D657B3363}"/>
    <cellStyle name="InputCells12 3 2 29" xfId="14209" xr:uid="{734A55C9-5A3A-4BC7-A207-81A1B8744C4F}"/>
    <cellStyle name="InputCells12 3 2 3" xfId="1007" xr:uid="{EDEA2055-0DCC-4EF1-AC27-A08244E02252}"/>
    <cellStyle name="InputCells12 3 2 30" xfId="14723" xr:uid="{9B96B2CC-30D7-4197-BC96-E341A970299B}"/>
    <cellStyle name="InputCells12 3 2 31" xfId="14307" xr:uid="{F9831B30-CC39-40AB-A0E5-58F40B49A95C}"/>
    <cellStyle name="InputCells12 3 2 32" xfId="15104" xr:uid="{9B856237-F8A0-498B-924A-9A1B39EB6E25}"/>
    <cellStyle name="InputCells12 3 2 33" xfId="15778" xr:uid="{20D9706A-E726-4FF0-94EE-1A2ADD5FF0C6}"/>
    <cellStyle name="InputCells12 3 2 34" xfId="16569" xr:uid="{E67EED50-03F9-42AB-8760-5C2E4B474252}"/>
    <cellStyle name="InputCells12 3 2 35" xfId="16505" xr:uid="{2502A5AE-D1A7-4E1B-AD7A-3EA32E8DECBB}"/>
    <cellStyle name="InputCells12 3 2 36" xfId="16056" xr:uid="{E979C660-29DC-4245-9385-41712090C18D}"/>
    <cellStyle name="InputCells12 3 2 37" xfId="17294" xr:uid="{19AC67D6-FF13-43BA-ADE4-15A1AF4699D4}"/>
    <cellStyle name="InputCells12 3 2 38" xfId="18387" xr:uid="{34D3B6B9-C6E1-44DC-AAC3-5C2B99EF4F1E}"/>
    <cellStyle name="InputCells12 3 2 39" xfId="18267" xr:uid="{D3937A89-D9F4-42CB-8BEC-F52B5230EF24}"/>
    <cellStyle name="InputCells12 3 2 4" xfId="1570" xr:uid="{C2E4E49B-C02B-4D62-96A3-FA0730B9F8E0}"/>
    <cellStyle name="InputCells12 3 2 40" xfId="19289" xr:uid="{30F79B63-28F3-4AC8-9D17-A83A9FDF5DAA}"/>
    <cellStyle name="InputCells12 3 2 41" xfId="19906" xr:uid="{08C4E10B-CC02-4AE7-AF96-FE48524DEB4B}"/>
    <cellStyle name="InputCells12 3 2 42" xfId="19841" xr:uid="{42CBAA30-9B99-4FEE-B132-541B5CE369AE}"/>
    <cellStyle name="InputCells12 3 2 43" xfId="20709" xr:uid="{CC14CC0E-2752-4368-A28F-356EAECAFA93}"/>
    <cellStyle name="InputCells12 3 2 44" xfId="20953" xr:uid="{7261B1C8-2D38-4602-8F65-746DFDEFA1E8}"/>
    <cellStyle name="InputCells12 3 2 45" xfId="21090" xr:uid="{0F468C40-D964-4AA3-B349-692E5A6BF109}"/>
    <cellStyle name="InputCells12 3 2 46" xfId="22086" xr:uid="{336A8129-3AD1-441E-8CDF-52F2F597A344}"/>
    <cellStyle name="InputCells12 3 2 47" xfId="22880" xr:uid="{3A861F31-9E8D-4578-AEF8-28FA9BD9BE58}"/>
    <cellStyle name="InputCells12 3 2 48" xfId="22709" xr:uid="{CB997242-8A3C-4628-AFCC-EC1E9B715A6A}"/>
    <cellStyle name="InputCells12 3 2 49" xfId="23525" xr:uid="{0C3F25B4-2E04-42F8-BEB2-4DFF38F66F66}"/>
    <cellStyle name="InputCells12 3 2 5" xfId="2346" xr:uid="{1E4A83AC-44D1-4616-8B81-021B53F57546}"/>
    <cellStyle name="InputCells12 3 2 50" xfId="23715" xr:uid="{2C27E573-A882-4C50-94CB-BB9A9BF429EA}"/>
    <cellStyle name="InputCells12 3 2 51" xfId="24614" xr:uid="{E3AD1ADA-0830-41E6-A70B-828F573CF908}"/>
    <cellStyle name="InputCells12 3 2 52" xfId="24415" xr:uid="{DD27A654-4425-49A9-A0FE-45CB38417ABF}"/>
    <cellStyle name="InputCells12 3 2 53" xfId="25532" xr:uid="{B9223DB5-C6E1-40A3-A740-5E8EB7A5A176}"/>
    <cellStyle name="InputCells12 3 2 54" xfId="25992" xr:uid="{DEA1D873-5DA7-4972-A252-5E47D51AA992}"/>
    <cellStyle name="InputCells12 3 2 55" xfId="26047" xr:uid="{696268FD-B63C-4C9B-A49E-8ADCAD815F19}"/>
    <cellStyle name="InputCells12 3 2 56" xfId="26822" xr:uid="{7AAEDA0C-EC84-4ABC-82DD-B2C662DC1BAA}"/>
    <cellStyle name="InputCells12 3 2 57" xfId="27241" xr:uid="{27253D6E-0EE8-47A7-9899-45400C93161F}"/>
    <cellStyle name="InputCells12 3 2 58" xfId="26377" xr:uid="{D371139A-38D9-4C0B-B249-5C070F77A490}"/>
    <cellStyle name="InputCells12 3 2 59" xfId="28364" xr:uid="{93208B70-0980-4D7F-BC18-4CBDFD9FE551}"/>
    <cellStyle name="InputCells12 3 2 6" xfId="3068" xr:uid="{F58AB117-C43B-48FE-B642-FE0E128F5E1B}"/>
    <cellStyle name="InputCells12 3 2 60" xfId="28832" xr:uid="{05BF16DB-D796-41C0-83C2-3331F310C26B}"/>
    <cellStyle name="InputCells12 3 2 61" xfId="28216" xr:uid="{158387D9-DCDD-4750-9457-77EFAD905E5D}"/>
    <cellStyle name="InputCells12 3 2 62" xfId="29622" xr:uid="{B0903C37-54E6-4AF1-B219-6F2BF44EB73F}"/>
    <cellStyle name="InputCells12 3 2 63" xfId="30030" xr:uid="{D0D660FF-FE8F-40E5-A80B-6F2316EC65DA}"/>
    <cellStyle name="InputCells12 3 2 64" xfId="30444" xr:uid="{6E2EE919-EE09-4629-983B-88EE8DF14CE2}"/>
    <cellStyle name="InputCells12 3 2 65" xfId="30839" xr:uid="{3B72DA5B-6063-45AF-B902-A393155B40DB}"/>
    <cellStyle name="InputCells12 3 2 66" xfId="31068" xr:uid="{971AF26F-DD09-40BB-8AEB-98A60BC6723B}"/>
    <cellStyle name="InputCells12 3 2 67" xfId="31754" xr:uid="{0479A6EF-936C-4516-88AA-5B824011FA18}"/>
    <cellStyle name="InputCells12 3 2 68" xfId="31684" xr:uid="{B135B125-00D7-4E8B-BEAD-8C3F57867733}"/>
    <cellStyle name="InputCells12 3 2 7" xfId="2157" xr:uid="{A671382C-8A79-43EA-9F88-B43BC40FC619}"/>
    <cellStyle name="InputCells12 3 2 8" xfId="3842" xr:uid="{E799284A-C621-44CA-A8C4-C16FFAE2419C}"/>
    <cellStyle name="InputCells12 3 2 9" xfId="4280" xr:uid="{CE661517-BF62-4674-9B13-6963422A67B2}"/>
    <cellStyle name="InputCells12 3 3" xfId="718" xr:uid="{97BD65BD-95B6-40D7-953E-E56D4000FABB}"/>
    <cellStyle name="InputCells12 3 3 10" xfId="5366" xr:uid="{DFC9353B-832C-4D4B-B96E-B4AAFF43CFB6}"/>
    <cellStyle name="InputCells12 3 3 11" xfId="3264" xr:uid="{AA26C2B8-F5DC-4CC2-8A20-123F39D333E9}"/>
    <cellStyle name="InputCells12 3 3 12" xfId="6252" xr:uid="{6A26F9CE-79B3-48A8-9E5F-16E33BB81DBC}"/>
    <cellStyle name="InputCells12 3 3 13" xfId="6692" xr:uid="{3CE38BEB-1834-43E8-BDE2-EFDE36531E7F}"/>
    <cellStyle name="InputCells12 3 3 14" xfId="7438" xr:uid="{089F6AE1-B367-4F08-9AE5-DDEBF8A13AB3}"/>
    <cellStyle name="InputCells12 3 3 15" xfId="7712" xr:uid="{62D4B69B-0865-4A3C-8BFF-ED4C82146242}"/>
    <cellStyle name="InputCells12 3 3 16" xfId="8144" xr:uid="{F6F33673-B1D9-4451-BBFB-54FF8B2D5703}"/>
    <cellStyle name="InputCells12 3 3 17" xfId="8905" xr:uid="{27934783-336E-4629-A060-127A6D698C61}"/>
    <cellStyle name="InputCells12 3 3 18" xfId="9652" xr:uid="{E6867D2F-573E-41DB-BCBC-98FAD9E0436D}"/>
    <cellStyle name="InputCells12 3 3 19" xfId="9926" xr:uid="{422ABAE6-D5FD-4279-A595-506775A42B49}"/>
    <cellStyle name="InputCells12 3 3 2" xfId="1192" xr:uid="{DA873FC9-5388-4F06-879A-6B3E98773264}"/>
    <cellStyle name="InputCells12 3 3 20" xfId="10357" xr:uid="{BE37EC7F-E9CF-41E0-B75B-B293DE03C16A}"/>
    <cellStyle name="InputCells12 3 3 21" xfId="10861" xr:uid="{1E35F427-73CB-4EFF-8396-1D1617DC2D7C}"/>
    <cellStyle name="InputCells12 3 3 22" xfId="11309" xr:uid="{4384E08D-9A42-480F-9EA6-2C7E43229044}"/>
    <cellStyle name="InputCells12 3 3 23" xfId="12071" xr:uid="{D5D71556-BEC7-45CD-AD86-3F6158E1C4E7}"/>
    <cellStyle name="InputCells12 3 3 24" xfId="12544" xr:uid="{BFB4E924-79F4-42C2-901D-CAB02680B2C1}"/>
    <cellStyle name="InputCells12 3 3 25" xfId="12978" xr:uid="{72FEE780-DDC0-4F78-8998-4B6C7A6C2729}"/>
    <cellStyle name="InputCells12 3 3 26" xfId="13415" xr:uid="{A51A965E-02A5-4925-B55B-57B8D1CB95A8}"/>
    <cellStyle name="InputCells12 3 3 27" xfId="14001" xr:uid="{C8B8EDAB-9E3D-4BBF-BD33-4C00CF7CE17B}"/>
    <cellStyle name="InputCells12 3 3 28" xfId="13732" xr:uid="{225C1AAE-D6AB-43A3-A46F-A9698E06C84B}"/>
    <cellStyle name="InputCells12 3 3 29" xfId="14578" xr:uid="{9AC14BA0-B178-43C0-A6DB-84B618FD8A6D}"/>
    <cellStyle name="InputCells12 3 3 3" xfId="1445" xr:uid="{D3FC9A97-CC5E-46D5-8F5F-27D123B42DD8}"/>
    <cellStyle name="InputCells12 3 3 30" xfId="14674" xr:uid="{0EA6C10F-C88C-467D-B23A-570C60654EB1}"/>
    <cellStyle name="InputCells12 3 3 31" xfId="14629" xr:uid="{5E74C3A8-C5DF-45F3-883D-837B8B29E1A5}"/>
    <cellStyle name="InputCells12 3 3 32" xfId="15814" xr:uid="{FD57BD7E-90CB-47EB-8AEC-382D832B3F05}"/>
    <cellStyle name="InputCells12 3 3 33" xfId="16763" xr:uid="{48B10CE5-8AA3-481F-8E27-60578F87F072}"/>
    <cellStyle name="InputCells12 3 3 34" xfId="17040" xr:uid="{59B3EB52-1640-4E37-B166-419968EB3FFE}"/>
    <cellStyle name="InputCells12 3 3 35" xfId="17488" xr:uid="{DA9B54FE-E44D-4DE6-BBDE-FBEB34EC9883}"/>
    <cellStyle name="InputCells12 3 3 36" xfId="18277" xr:uid="{F72A3C2B-A2EC-4B0E-9B21-DC941258FA2E}"/>
    <cellStyle name="InputCells12 3 3 37" xfId="18581" xr:uid="{711F3045-781E-4C21-A337-D8E297A538D3}"/>
    <cellStyle name="InputCells12 3 3 38" xfId="19098" xr:uid="{8D39FCE6-66AF-4D59-BF13-3FF79ADC8DE7}"/>
    <cellStyle name="InputCells12 3 3 39" xfId="19193" xr:uid="{D1D96F79-0489-42D7-9E3E-890E537A2858}"/>
    <cellStyle name="InputCells12 3 3 4" xfId="2540" xr:uid="{D6697E4F-7985-4E02-A646-7D724710FFAD}"/>
    <cellStyle name="InputCells12 3 3 40" xfId="20100" xr:uid="{C0B9B25E-E843-48D1-8E4B-5ACE25C2AE9B}"/>
    <cellStyle name="InputCells12 3 3 41" xfId="20392" xr:uid="{F08B00F3-414A-4799-86ED-A7424D1BC1F6}"/>
    <cellStyle name="InputCells12 3 3 42" xfId="20845" xr:uid="{7F3D5A59-DF06-4558-86EF-D5CD9FFE57D1}"/>
    <cellStyle name="InputCells12 3 3 43" xfId="21657" xr:uid="{C645A4F3-8BE2-4CFA-818A-E4F26684A0B4}"/>
    <cellStyle name="InputCells12 3 3 44" xfId="21778" xr:uid="{B8B1FB98-7719-44C3-8E2D-AD67A7D3B540}"/>
    <cellStyle name="InputCells12 3 3 45" xfId="22215" xr:uid="{C445C8B2-33A1-49FB-B93B-9C9C9091900B}"/>
    <cellStyle name="InputCells12 3 3 46" xfId="22972" xr:uid="{09589F56-42ED-4C3B-B834-1480739B478E}"/>
    <cellStyle name="InputCells12 3 3 47" xfId="23378" xr:uid="{7AF79550-501D-4060-81A7-0F9725E99C0D}"/>
    <cellStyle name="InputCells12 3 3 48" xfId="23600" xr:uid="{949E575D-5D7C-46CF-BCFA-27FE8530369E}"/>
    <cellStyle name="InputCells12 3 3 49" xfId="23900" xr:uid="{FB0FFB91-21FD-4EE8-9DD2-53A1BF965432}"/>
    <cellStyle name="InputCells12 3 3 5" xfId="3172" xr:uid="{822A697C-7EE4-40F0-B37B-F30B952BEDF9}"/>
    <cellStyle name="InputCells12 3 3 50" xfId="24808" xr:uid="{82AB6F14-3A59-4C6E-85D0-57F7B5DCB32A}"/>
    <cellStyle name="InputCells12 3 3 51" xfId="25102" xr:uid="{8861841E-5225-40E9-AE0D-D3FE3E3D5151}"/>
    <cellStyle name="InputCells12 3 3 52" xfId="25724" xr:uid="{0054EC14-63EC-4809-AC17-D269CD0CC41C}"/>
    <cellStyle name="InputCells12 3 3 53" xfId="26278" xr:uid="{E010E995-42E9-4762-9934-472EE7B23A5B}"/>
    <cellStyle name="InputCells12 3 3 54" xfId="24260" xr:uid="{02C949B6-96FF-40FD-8746-EA2004DDC426}"/>
    <cellStyle name="InputCells12 3 3 55" xfId="27012" xr:uid="{B44774A0-FC77-41DE-BE5A-135BA89831AE}"/>
    <cellStyle name="InputCells12 3 3 56" xfId="27431" xr:uid="{F1CCA602-AF40-4E47-87E7-8FDD4FA65D82}"/>
    <cellStyle name="InputCells12 3 3 57" xfId="27676" xr:uid="{A0A60879-119E-4A6C-8195-3F6DC9A70534}"/>
    <cellStyle name="InputCells12 3 3 58" xfId="28558" xr:uid="{9AB0B817-9A1A-42E0-8571-E426973BB414}"/>
    <cellStyle name="InputCells12 3 3 59" xfId="29025" xr:uid="{0F78E729-EB8E-4978-9EA7-C72B0B11066A}"/>
    <cellStyle name="InputCells12 3 3 6" xfId="3466" xr:uid="{F1E0162E-20B0-4660-B46C-6B133C902AB5}"/>
    <cellStyle name="InputCells12 3 3 60" xfId="29256" xr:uid="{61F58A83-E085-4908-85E1-26C870AB4176}"/>
    <cellStyle name="InputCells12 3 3 61" xfId="29814" xr:uid="{B1730EF7-6D78-437B-BFDF-FC6B6895353F}"/>
    <cellStyle name="InputCells12 3 3 62" xfId="30220" xr:uid="{E0130ABD-66B8-463E-A73A-B8FA9150BD3B}"/>
    <cellStyle name="InputCells12 3 3 63" xfId="30637" xr:uid="{E91E6737-04C3-4080-AD92-EAEC13D4BD9C}"/>
    <cellStyle name="InputCells12 3 3 64" xfId="30430" xr:uid="{B1CB3A9E-C68C-479D-8CF7-8F6FEDE020DC}"/>
    <cellStyle name="InputCells12 3 3 65" xfId="31253" xr:uid="{4B455A02-9FD8-4727-9567-0F47CBA769D5}"/>
    <cellStyle name="InputCells12 3 3 66" xfId="31944" xr:uid="{91AC4095-6FB5-4521-87DC-68A7B0D9FE94}"/>
    <cellStyle name="InputCells12 3 3 67" xfId="31565" xr:uid="{5ED1C26F-96C1-4F4B-8196-5BEE97937012}"/>
    <cellStyle name="InputCells12 3 3 7" xfId="4036" xr:uid="{E4D934F5-3273-4CE6-8022-B8DB02D9044B}"/>
    <cellStyle name="InputCells12 3 3 8" xfId="4473" xr:uid="{D04ADDA7-A400-45BD-9456-8E5A7FA87236}"/>
    <cellStyle name="InputCells12 3 3 9" xfId="3282" xr:uid="{14BE597F-19AA-4CBD-B02C-3B16A779C601}"/>
    <cellStyle name="InputCells12 4" xfId="278" xr:uid="{30E85860-5B50-43DB-82E4-473421F718F4}"/>
    <cellStyle name="InputCells12 4 10" xfId="1966" xr:uid="{B54202E0-93AF-441A-A316-DB0214AE9851}"/>
    <cellStyle name="InputCells12 4 11" xfId="3444" xr:uid="{9ED763FD-2569-47EE-AAA5-7E52150B88F1}"/>
    <cellStyle name="InputCells12 4 12" xfId="3711" xr:uid="{8A47DD1B-AE86-4FBA-8E66-A70D9F90D66E}"/>
    <cellStyle name="InputCells12 4 13" xfId="4811" xr:uid="{9E1B8583-8913-4775-A256-006B15D0DBD8}"/>
    <cellStyle name="InputCells12 4 14" xfId="5622" xr:uid="{BAD0819E-21F5-4916-8533-4A33D9B13B7C}"/>
    <cellStyle name="InputCells12 4 15" xfId="6217" xr:uid="{E4B4A820-F5CE-4DEA-BE81-FF52BDAC6603}"/>
    <cellStyle name="InputCells12 4 16" xfId="6561" xr:uid="{C2C17D01-93A1-4F39-BC77-60429D499D34}"/>
    <cellStyle name="InputCells12 4 17" xfId="7008" xr:uid="{17E6491F-8DBD-46AE-B285-09C51AA19B85}"/>
    <cellStyle name="InputCells12 4 18" xfId="7638" xr:uid="{22752CAA-0CD7-4CC5-978A-C2278A47492C}"/>
    <cellStyle name="InputCells12 4 19" xfId="8106" xr:uid="{A2DC21C2-63C8-4E70-BCD1-7A10CA38CD0B}"/>
    <cellStyle name="InputCells12 4 2" xfId="616" xr:uid="{5392C8F6-62DB-475B-BE99-00899B02E347}"/>
    <cellStyle name="InputCells12 4 2 10" xfId="4786" xr:uid="{B58C5132-8306-4F04-BB1C-C2D998F8215D}"/>
    <cellStyle name="InputCells12 4 2 11" xfId="5264" xr:uid="{5677BA1C-7F6B-4DC2-8166-693C8AA993C3}"/>
    <cellStyle name="InputCells12 4 2 12" xfId="5541" xr:uid="{67F6CAE5-6711-481D-8A1A-9D8AAE3A12A2}"/>
    <cellStyle name="InputCells12 4 2 13" xfId="6033" xr:uid="{78147113-A0E1-426A-8090-83DCF40EC92B}"/>
    <cellStyle name="InputCells12 4 2 14" xfId="4806" xr:uid="{553480A9-178A-4284-80AA-403941A63EEF}"/>
    <cellStyle name="InputCells12 4 2 15" xfId="7336" xr:uid="{0F91D74E-D177-41EC-89B5-6220AE113ED7}"/>
    <cellStyle name="InputCells12 4 2 16" xfId="7731" xr:uid="{0289FB98-F4C6-412D-94C0-774B838AA442}"/>
    <cellStyle name="InputCells12 4 2 17" xfId="8490" xr:uid="{76A9F6FB-6737-4751-B91C-79A78D381331}"/>
    <cellStyle name="InputCells12 4 2 18" xfId="7878" xr:uid="{BD5F34BF-6AAE-4AF4-BF5A-A6EFCE6C187D}"/>
    <cellStyle name="InputCells12 4 2 19" xfId="9550" xr:uid="{6720976B-7251-4E0D-A401-B3E0DABE0ACE}"/>
    <cellStyle name="InputCells12 4 2 2" xfId="831" xr:uid="{908802FF-695D-487B-A75A-4E8E2D948708}"/>
    <cellStyle name="InputCells12 4 2 2 10" xfId="5479" xr:uid="{D9D8E42D-0842-47FA-906C-4A208A9F69F7}"/>
    <cellStyle name="InputCells12 4 2 2 11" xfId="4259" xr:uid="{1D2F22F6-D7D5-410D-9FD0-8F5948BA87C4}"/>
    <cellStyle name="InputCells12 4 2 2 12" xfId="3792" xr:uid="{6A18953B-C7E8-4779-957E-177320F08D56}"/>
    <cellStyle name="InputCells12 4 2 2 13" xfId="6505" xr:uid="{3F9A40C7-928C-4B99-97F7-85CCAD5C88E2}"/>
    <cellStyle name="InputCells12 4 2 2 14" xfId="7551" xr:uid="{1DDBCF17-E96B-4E2C-82C2-BCA4B9E923F2}"/>
    <cellStyle name="InputCells12 4 2 2 15" xfId="8016" xr:uid="{A41366CF-87B1-42E3-B703-9D63B9286A7B}"/>
    <cellStyle name="InputCells12 4 2 2 16" xfId="7130" xr:uid="{D13F5BED-435E-4C94-BDEB-A80CDB110355}"/>
    <cellStyle name="InputCells12 4 2 2 17" xfId="8703" xr:uid="{9F686821-FC2A-45C5-8E8A-6F346827CFD7}"/>
    <cellStyle name="InputCells12 4 2 2 18" xfId="9765" xr:uid="{D461342A-16A1-4877-8013-06DBC5351794}"/>
    <cellStyle name="InputCells12 4 2 2 19" xfId="10234" xr:uid="{8A3F0BB7-D8A3-44E8-B6A0-796271DAAD70}"/>
    <cellStyle name="InputCells12 4 2 2 2" xfId="1305" xr:uid="{6294B62C-FEE1-452E-9FA4-990EA4A842CC}"/>
    <cellStyle name="InputCells12 4 2 2 20" xfId="10631" xr:uid="{3C49CCDA-8E6F-478E-AB13-51AF7F795BEA}"/>
    <cellStyle name="InputCells12 4 2 2 21" xfId="10351" xr:uid="{A11CCC8E-F957-4AF9-8A05-922E3E0A8DD2}"/>
    <cellStyle name="InputCells12 4 2 2 22" xfId="10888" xr:uid="{A4922715-80D0-446A-B3EE-B57895B10109}"/>
    <cellStyle name="InputCells12 4 2 2 23" xfId="12184" xr:uid="{F2D9822D-114C-4712-8BFF-6BE442E0988E}"/>
    <cellStyle name="InputCells12 4 2 2 24" xfId="12657" xr:uid="{B8B7AF78-B7A2-4007-88B6-08787E653A31}"/>
    <cellStyle name="InputCells12 4 2 2 25" xfId="13091" xr:uid="{487FF939-03FF-46BF-B34D-D0D41D4EEA65}"/>
    <cellStyle name="InputCells12 4 2 2 26" xfId="13528" xr:uid="{2F30B4A8-40EF-4036-8131-29702D3E9A4E}"/>
    <cellStyle name="InputCells12 4 2 2 27" xfId="11669" xr:uid="{6D31EE1F-294C-4AB2-BEE6-02469BBF5144}"/>
    <cellStyle name="InputCells12 4 2 2 28" xfId="13981" xr:uid="{AFF3FE6E-D1B3-4384-8102-E55C07F5AD01}"/>
    <cellStyle name="InputCells12 4 2 2 29" xfId="14882" xr:uid="{D4C13BB5-8B01-471F-81BB-CA497799AC20}"/>
    <cellStyle name="InputCells12 4 2 2 3" xfId="1500" xr:uid="{D53929EB-1FA0-461F-B60B-64F764ED340A}"/>
    <cellStyle name="InputCells12 4 2 2 30" xfId="15018" xr:uid="{7C04C7F0-31A2-4809-B0A4-A9180DA4C414}"/>
    <cellStyle name="InputCells12 4 2 2 31" xfId="15613" xr:uid="{BFF4B37F-1F2D-472E-82B8-F77ABC51BC2C}"/>
    <cellStyle name="InputCells12 4 2 2 32" xfId="15980" xr:uid="{7D8D4A15-30C7-459A-9E38-287DD2A0575F}"/>
    <cellStyle name="InputCells12 4 2 2 33" xfId="16876" xr:uid="{7BE76B40-BD72-4504-B57D-012CB95B078A}"/>
    <cellStyle name="InputCells12 4 2 2 34" xfId="17355" xr:uid="{6133C1CC-B859-4319-9861-4CE8FB1BC278}"/>
    <cellStyle name="InputCells12 4 2 2 35" xfId="17797" xr:uid="{D5393D15-AE88-445F-935C-6755CBCDF155}"/>
    <cellStyle name="InputCells12 4 2 2 36" xfId="17995" xr:uid="{B0B8CCF0-AFA1-4E67-A396-291B8063C192}"/>
    <cellStyle name="InputCells12 4 2 2 37" xfId="18694" xr:uid="{A60D6D03-3224-4521-B5AF-BCB698C3C311}"/>
    <cellStyle name="InputCells12 4 2 2 38" xfId="18781" xr:uid="{F0AA4A9F-BA09-49F5-93B9-86532131BEB9}"/>
    <cellStyle name="InputCells12 4 2 2 39" xfId="17932" xr:uid="{4AFA6D0C-9512-4998-B9F4-1F7C48CF484C}"/>
    <cellStyle name="InputCells12 4 2 2 4" xfId="2653" xr:uid="{2237CC57-0ED5-4F6A-A8D5-D7EFC20BC845}"/>
    <cellStyle name="InputCells12 4 2 2 40" xfId="20213" xr:uid="{EB0DCCB0-3108-44E6-A37B-BCFC9301DE3A}"/>
    <cellStyle name="InputCells12 4 2 2 41" xfId="20706" xr:uid="{F2AA5BD8-0C80-4EC7-96B3-49ED3B46E09F}"/>
    <cellStyle name="InputCells12 4 2 2 42" xfId="21163" xr:uid="{AFE5DAC4-8EF5-4C22-AA34-40FC8EF5855E}"/>
    <cellStyle name="InputCells12 4 2 2 43" xfId="21149" xr:uid="{3C571271-386D-4AB4-976F-2A7B98DB7373}"/>
    <cellStyle name="InputCells12 4 2 2 44" xfId="22094" xr:uid="{DB6B58EF-4EBE-4C86-8E46-4EC1FFF64F31}"/>
    <cellStyle name="InputCells12 4 2 2 45" xfId="22522" xr:uid="{0CAC0EB6-AB37-4FE1-98F1-09E902DF83D7}"/>
    <cellStyle name="InputCells12 4 2 2 46" xfId="22045" xr:uid="{EC090D26-0ED2-47F6-B679-4BFB7FDF4988}"/>
    <cellStyle name="InputCells12 4 2 2 47" xfId="23052" xr:uid="{6914E39C-E89A-4204-93B2-7DBF0D964830}"/>
    <cellStyle name="InputCells12 4 2 2 48" xfId="22713" xr:uid="{656E9A41-0CF8-4920-8E84-E7D943B054B9}"/>
    <cellStyle name="InputCells12 4 2 2 49" xfId="24013" xr:uid="{45DF9069-721F-42FA-B020-78C12CB4EB3F}"/>
    <cellStyle name="InputCells12 4 2 2 5" xfId="2169" xr:uid="{CD1233FB-6E43-4FB5-8008-798A96989DBC}"/>
    <cellStyle name="InputCells12 4 2 2 50" xfId="24921" xr:uid="{8A96CE2E-477B-4224-8411-D6591465CEFA}"/>
    <cellStyle name="InputCells12 4 2 2 51" xfId="25409" xr:uid="{CE7455FB-5B25-4FEF-8C5E-82593EDFD430}"/>
    <cellStyle name="InputCells12 4 2 2 52" xfId="25837" xr:uid="{6ECB5D0D-AAD6-4118-8ADC-997571672633}"/>
    <cellStyle name="InputCells12 4 2 2 53" xfId="25363" xr:uid="{9A8A0A16-547C-4472-9971-8EB7B667DCA5}"/>
    <cellStyle name="InputCells12 4 2 2 54" xfId="26541" xr:uid="{63549283-5CC8-4876-895F-6FCB629032CE}"/>
    <cellStyle name="InputCells12 4 2 2 55" xfId="27125" xr:uid="{ADCDD5F0-7341-4C53-8513-1E7A87E70E5D}"/>
    <cellStyle name="InputCells12 4 2 2 56" xfId="27544" xr:uid="{F10A7CAB-0FDB-4307-947F-86BB19185B24}"/>
    <cellStyle name="InputCells12 4 2 2 57" xfId="26781" xr:uid="{80665D2D-D824-4B17-A0C9-677ECC6DFBF6}"/>
    <cellStyle name="InputCells12 4 2 2 58" xfId="28671" xr:uid="{DFDE5FD5-3503-4886-812C-2775A8C64B2E}"/>
    <cellStyle name="InputCells12 4 2 2 59" xfId="29138" xr:uid="{839D54FC-5D44-4EC6-953C-6146581A4947}"/>
    <cellStyle name="InputCells12 4 2 2 6" xfId="3543" xr:uid="{23FC20E8-8529-44FF-9D88-309DDA94D327}"/>
    <cellStyle name="InputCells12 4 2 2 60" xfId="29524" xr:uid="{C15CE7CE-BF4B-409D-B302-9E4D318E5197}"/>
    <cellStyle name="InputCells12 4 2 2 61" xfId="29927" xr:uid="{089D0B49-6BA2-444B-B407-49C362E4E9F1}"/>
    <cellStyle name="InputCells12 4 2 2 62" xfId="30333" xr:uid="{4BDDEF0A-6A50-4A32-9C50-338EDE5295BC}"/>
    <cellStyle name="InputCells12 4 2 2 63" xfId="30750" xr:uid="{D72D4B2E-2CA6-4C90-8504-5772AA8392ED}"/>
    <cellStyle name="InputCells12 4 2 2 64" xfId="28316" xr:uid="{AF61470F-3377-43BE-87F2-6A5F307509A7}"/>
    <cellStyle name="InputCells12 4 2 2 65" xfId="31366" xr:uid="{59C21A0A-0A65-4242-BDAD-AF96B83FAF1C}"/>
    <cellStyle name="InputCells12 4 2 2 66" xfId="32057" xr:uid="{5AEB0F98-B067-4D3E-85BC-EFAF2683F566}"/>
    <cellStyle name="InputCells12 4 2 2 67" xfId="32225" xr:uid="{2ED9D367-59AF-414C-9847-3274C00FE92E}"/>
    <cellStyle name="InputCells12 4 2 2 7" xfId="4149" xr:uid="{ADE73231-80B4-4B52-9049-BFE3FA619520}"/>
    <cellStyle name="InputCells12 4 2 2 8" xfId="4586" xr:uid="{A17CBED3-3207-4B4C-BBBE-F612E0E5E2E9}"/>
    <cellStyle name="InputCells12 4 2 2 9" xfId="3547" xr:uid="{98C910CE-E77A-4251-B5BA-681DE6D289DB}"/>
    <cellStyle name="InputCells12 4 2 20" xfId="9945" xr:uid="{3EA2A3C8-9A81-42A8-9DF0-8E5CBAEDB159}"/>
    <cellStyle name="InputCells12 4 2 21" xfId="10375" xr:uid="{581CF3DF-CC2B-4886-B9AD-FC9A375B80AD}"/>
    <cellStyle name="InputCells12 4 2 22" xfId="10844" xr:uid="{28CE9264-DCA6-4412-A715-9CFF04B11BAF}"/>
    <cellStyle name="InputCells12 4 2 23" xfId="10106" xr:uid="{2EAAE959-23E6-41A8-B11F-2D96B04A4573}"/>
    <cellStyle name="InputCells12 4 2 24" xfId="11969" xr:uid="{18B95120-692F-4A4D-8AB5-D5249FF4271A}"/>
    <cellStyle name="InputCells12 4 2 25" xfId="12442" xr:uid="{7A6AF2F4-95A0-4D85-B3DA-318D1CC024DF}"/>
    <cellStyle name="InputCells12 4 2 26" xfId="12876" xr:uid="{FC8A0D99-FE96-40EC-AA3D-BF0DB6D11CD4}"/>
    <cellStyle name="InputCells12 4 2 27" xfId="13313" xr:uid="{94BF011B-8767-411C-BE7D-81C92DB65DEC}"/>
    <cellStyle name="InputCells12 4 2 28" xfId="11528" xr:uid="{579CB3A1-60D3-4886-B4F3-F7CBA9C088DE}"/>
    <cellStyle name="InputCells12 4 2 29" xfId="13715" xr:uid="{EB67597F-06CA-43E7-8E26-F6C90DADA714}"/>
    <cellStyle name="InputCells12 4 2 3" xfId="1099" xr:uid="{4E9564BF-5837-4D05-81C7-91E1158AD3D7}"/>
    <cellStyle name="InputCells12 4 2 30" xfId="14655" xr:uid="{E77E1592-7AE1-4386-B894-C0A26B62C5AB}"/>
    <cellStyle name="InputCells12 4 2 31" xfId="15053" xr:uid="{FE785482-42B3-4FEE-8ADF-BB7D48AB510C}"/>
    <cellStyle name="InputCells12 4 2 32" xfId="15659" xr:uid="{D80858E9-2939-4869-9FF2-5CD722DBFEBC}"/>
    <cellStyle name="InputCells12 4 2 33" xfId="15825" xr:uid="{7F6024FE-DB30-430D-B34E-E5224A54FDE8}"/>
    <cellStyle name="InputCells12 4 2 34" xfId="16661" xr:uid="{EE625A43-C029-4808-8CA2-B9CB7689C5D2}"/>
    <cellStyle name="InputCells12 4 2 35" xfId="17059" xr:uid="{3C171BD8-EA20-4705-BEBF-EEF36E83BA0C}"/>
    <cellStyle name="InputCells12 4 2 36" xfId="17505" xr:uid="{818D8D66-D341-4D64-A3EB-19192C3D6683}"/>
    <cellStyle name="InputCells12 4 2 37" xfId="18107" xr:uid="{D51FFC68-C859-429F-81EF-2528B1BC7291}"/>
    <cellStyle name="InputCells12 4 2 38" xfId="18479" xr:uid="{2824634C-49AB-4EEB-BF48-069A305B4D92}"/>
    <cellStyle name="InputCells12 4 2 39" xfId="17518" xr:uid="{2301A8D2-B27F-4210-B8B6-52F396A4888F}"/>
    <cellStyle name="InputCells12 4 2 4" xfId="1728" xr:uid="{7F88AF45-B137-4203-97D9-0533B1A2B686}"/>
    <cellStyle name="InputCells12 4 2 40" xfId="17435" xr:uid="{035911F8-DC54-4E60-8D41-194D1055E574}"/>
    <cellStyle name="InputCells12 4 2 41" xfId="19998" xr:uid="{7EEBBFF8-1433-485C-9FF2-515551856CF7}"/>
    <cellStyle name="InputCells12 4 2 42" xfId="20411" xr:uid="{5B04893D-8B59-4D75-94DB-3143D77C94A5}"/>
    <cellStyle name="InputCells12 4 2 43" xfId="20864" xr:uid="{4B2AADDD-2D59-4A5F-BB83-F79005F38AB3}"/>
    <cellStyle name="InputCells12 4 2 44" xfId="21437" xr:uid="{33643EBE-A6D1-4D5D-8F05-C53347FBE266}"/>
    <cellStyle name="InputCells12 4 2 45" xfId="21796" xr:uid="{D4A700FD-5F09-4FC9-B4AD-48EAAEFBC9E0}"/>
    <cellStyle name="InputCells12 4 2 46" xfId="22233" xr:uid="{152D3010-4414-4F2A-9C1A-E3C23C50BB16}"/>
    <cellStyle name="InputCells12 4 2 47" xfId="21339" xr:uid="{BF833A50-4F77-4F96-B635-C9D4CE14D040}"/>
    <cellStyle name="InputCells12 4 2 48" xfId="21340" xr:uid="{BECFA0C1-BC72-41A4-AD03-A5BF153C9921}"/>
    <cellStyle name="InputCells12 4 2 49" xfId="23650" xr:uid="{998AA417-EDC4-4897-80CD-A0781AD014E6}"/>
    <cellStyle name="InputCells12 4 2 5" xfId="2438" xr:uid="{8FE22EAD-A94A-49D2-9228-F63BD9F6CEA6}"/>
    <cellStyle name="InputCells12 4 2 50" xfId="23807" xr:uid="{9EEBF16B-BF3A-4753-93E7-8D85291DE73A}"/>
    <cellStyle name="InputCells12 4 2 51" xfId="24706" xr:uid="{A5354F04-D0C7-4634-9892-DC419E307CFA}"/>
    <cellStyle name="InputCells12 4 2 52" xfId="25119" xr:uid="{21EEAC8F-222F-41B6-858D-6E7D1885BC56}"/>
    <cellStyle name="InputCells12 4 2 53" xfId="25624" xr:uid="{0706EE65-088B-4024-9EEE-319049D077C7}"/>
    <cellStyle name="InputCells12 4 2 54" xfId="25710" xr:uid="{402ED5C5-E4D9-4A51-AC87-0BA73EB23723}"/>
    <cellStyle name="InputCells12 4 2 55" xfId="26144" xr:uid="{C0AAD08D-631C-494B-8726-96294455C3C4}"/>
    <cellStyle name="InputCells12 4 2 56" xfId="26914" xr:uid="{1E1288FA-FC57-4538-8616-DB7B393C8788}"/>
    <cellStyle name="InputCells12 4 2 57" xfId="27333" xr:uid="{CC3DCAD4-9547-4978-9744-75C5B1821A6F}"/>
    <cellStyle name="InputCells12 4 2 58" xfId="27785" xr:uid="{0C247D3F-3B06-4996-A4A1-8F3918F587B1}"/>
    <cellStyle name="InputCells12 4 2 59" xfId="28456" xr:uid="{4BF0ADC0-F113-454A-8DBB-69CFC817F3D9}"/>
    <cellStyle name="InputCells12 4 2 6" xfId="1909" xr:uid="{1BD1B1B0-F456-4E0E-A641-83DF8B1ADCF3}"/>
    <cellStyle name="InputCells12 4 2 60" xfId="28924" xr:uid="{C7B28426-8CBB-4FAA-B6F5-89BBCC363B85}"/>
    <cellStyle name="InputCells12 4 2 61" xfId="29274" xr:uid="{3564E7B1-F797-4B11-9275-B8A07F0F5033}"/>
    <cellStyle name="InputCells12 4 2 62" xfId="29714" xr:uid="{FC8D7A6C-5987-427E-9339-E890798EDCC6}"/>
    <cellStyle name="InputCells12 4 2 63" xfId="30122" xr:uid="{A6E65038-49C1-4DF0-B35F-6B1A93D9A718}"/>
    <cellStyle name="InputCells12 4 2 64" xfId="30536" xr:uid="{3C468A55-EF86-4AB1-BE92-7A1A376DB93B}"/>
    <cellStyle name="InputCells12 4 2 65" xfId="27922" xr:uid="{8202BE78-0A5D-43A4-A371-CBAB9A68B164}"/>
    <cellStyle name="InputCells12 4 2 66" xfId="31160" xr:uid="{72F01313-52E8-4458-A012-5EE36C768922}"/>
    <cellStyle name="InputCells12 4 2 67" xfId="31846" xr:uid="{5F36996A-26A3-496D-AA73-62BCADA49D8F}"/>
    <cellStyle name="InputCells12 4 2 68" xfId="32353" xr:uid="{00FE7251-E5B5-4524-8C1F-9D3B66B80094}"/>
    <cellStyle name="InputCells12 4 2 7" xfId="1864" xr:uid="{5B110120-DD2E-4ECC-B1F0-C522854D9223}"/>
    <cellStyle name="InputCells12 4 2 8" xfId="3934" xr:uid="{5B87E159-C970-4D5B-A736-9CEC9C11B8B2}"/>
    <cellStyle name="InputCells12 4 2 9" xfId="4372" xr:uid="{87BEFDA4-C40B-45CD-8976-156959389D2B}"/>
    <cellStyle name="InputCells12 4 20" xfId="8433" xr:uid="{D31C19C2-4B2F-4E63-B051-04843C7F6AB3}"/>
    <cellStyle name="InputCells12 4 21" xfId="9221" xr:uid="{C3E030EF-DD37-4AD3-96ED-A123C36CF555}"/>
    <cellStyle name="InputCells12 4 22" xfId="9848" xr:uid="{573E207F-7F77-474B-93E0-5D7E420FA4D2}"/>
    <cellStyle name="InputCells12 4 23" xfId="9392" xr:uid="{6B2B4829-E173-4B65-A663-B4090724D68E}"/>
    <cellStyle name="InputCells12 4 24" xfId="10931" xr:uid="{B081591A-FF99-4B37-B900-9669BE6843B7}"/>
    <cellStyle name="InputCells12 4 25" xfId="10840" xr:uid="{7FD4FCAC-DFDE-4353-87AC-92CB88D933FC}"/>
    <cellStyle name="InputCells12 4 26" xfId="11634" xr:uid="{79BA8C5B-9918-4011-9980-736303A80A36}"/>
    <cellStyle name="InputCells12 4 27" xfId="11763" xr:uid="{C6D6872F-EE8A-4821-B420-39C15D9AAB21}"/>
    <cellStyle name="InputCells12 4 28" xfId="11813" xr:uid="{268DAB5C-DD00-4435-A490-1FC75EBB8F9D}"/>
    <cellStyle name="InputCells12 4 29" xfId="11719" xr:uid="{652F6FFB-91A8-4EC2-BE79-2ED4F00B4367}"/>
    <cellStyle name="InputCells12 4 3" xfId="541" xr:uid="{780EBBCB-37A1-436C-87BF-C89EDB91F0DE}"/>
    <cellStyle name="InputCells12 4 3 10" xfId="4931" xr:uid="{6AC98077-B77C-43D2-ACED-FE42090B14F9}"/>
    <cellStyle name="InputCells12 4 3 11" xfId="5189" xr:uid="{9759B152-CBB0-4E0C-B802-B7A0908BFB97}"/>
    <cellStyle name="InputCells12 4 3 12" xfId="5127" xr:uid="{0848E480-56ED-4599-BE1E-C2989B79DAD7}"/>
    <cellStyle name="InputCells12 4 3 13" xfId="5560" xr:uid="{ADD2B036-D008-47E8-A3AB-8F796B8FC544}"/>
    <cellStyle name="InputCells12 4 3 14" xfId="6547" xr:uid="{4522B7E6-0D56-4029-BDC5-9858368BFD48}"/>
    <cellStyle name="InputCells12 4 3 15" xfId="7261" xr:uid="{8A9E29AC-8439-4387-B5BC-2E32452A8F0F}"/>
    <cellStyle name="InputCells12 4 3 16" xfId="7881" xr:uid="{78B6A875-832D-4989-8F6F-D33729B8E090}"/>
    <cellStyle name="InputCells12 4 3 17" xfId="8161" xr:uid="{82B0266D-42EC-4316-9B9E-03191212137E}"/>
    <cellStyle name="InputCells12 4 3 18" xfId="8566" xr:uid="{D61D44C6-7226-4049-9F19-92987703498E}"/>
    <cellStyle name="InputCells12 4 3 19" xfId="9475" xr:uid="{9E5255CA-8209-47D5-85D8-6E2498BBE617}"/>
    <cellStyle name="InputCells12 4 3 2" xfId="756" xr:uid="{2A108688-A165-45ED-B60D-5D5B8D36BCFE}"/>
    <cellStyle name="InputCells12 4 3 2 10" xfId="5404" xr:uid="{67B54A86-10F9-4238-AB07-4ACF0605116B}"/>
    <cellStyle name="InputCells12 4 3 2 11" xfId="5667" xr:uid="{7D5C90C8-A1FF-4CE5-8A11-FB3BB44EC058}"/>
    <cellStyle name="InputCells12 4 3 2 12" xfId="6036" xr:uid="{47E3BF85-9956-434E-953C-D1AE1F78CFCB}"/>
    <cellStyle name="InputCells12 4 3 2 13" xfId="5612" xr:uid="{BD05B404-458F-4526-8623-64EF3CDDB4C1}"/>
    <cellStyle name="InputCells12 4 3 2 14" xfId="7476" xr:uid="{4EB87CF9-72C1-45CE-844C-0382509F29FF}"/>
    <cellStyle name="InputCells12 4 3 2 15" xfId="6961" xr:uid="{1B1A9579-0EBC-437A-A55E-2808E8B1B4D0}"/>
    <cellStyle name="InputCells12 4 3 2 16" xfId="8572" xr:uid="{DCE2DA31-CA79-4FE4-AB6A-9401D0D98A56}"/>
    <cellStyle name="InputCells12 4 3 2 17" xfId="8820" xr:uid="{713DA3E7-9F70-45C5-B167-FFD8EC69139A}"/>
    <cellStyle name="InputCells12 4 3 2 18" xfId="9690" xr:uid="{CD2DA6B5-14DA-4370-84B5-92CEA605B5AA}"/>
    <cellStyle name="InputCells12 4 3 2 19" xfId="9174" xr:uid="{051083D3-FA6F-472B-A747-E24453FF2898}"/>
    <cellStyle name="InputCells12 4 3 2 2" xfId="1230" xr:uid="{4781AEF2-3EF6-4AA6-AD1E-6E0F26576C60}"/>
    <cellStyle name="InputCells12 4 3 2 20" xfId="9096" xr:uid="{140B90CB-A917-4F26-B0B1-F120CCAB2288}"/>
    <cellStyle name="InputCells12 4 3 2 21" xfId="10511" xr:uid="{139ECAC0-26C4-4A50-B743-17EFB90C4871}"/>
    <cellStyle name="InputCells12 4 3 2 22" xfId="11277" xr:uid="{B08B0613-6045-4265-8B81-43BBE1E901B8}"/>
    <cellStyle name="InputCells12 4 3 2 23" xfId="12109" xr:uid="{F78C5207-DA57-4011-BC21-8893DC432A59}"/>
    <cellStyle name="InputCells12 4 3 2 24" xfId="12582" xr:uid="{EA5E9F99-7E24-468A-AFEE-BDE5029D856A}"/>
    <cellStyle name="InputCells12 4 3 2 25" xfId="13016" xr:uid="{218AB1AE-813B-4C99-B97E-FF70E37759BB}"/>
    <cellStyle name="InputCells12 4 3 2 26" xfId="13453" xr:uid="{14B2F1C8-0CFF-4A3E-8A5A-5FEF63CB3A56}"/>
    <cellStyle name="InputCells12 4 3 2 27" xfId="11819" xr:uid="{27065FDA-35E1-455E-BCA4-53751827D95E}"/>
    <cellStyle name="InputCells12 4 3 2 28" xfId="11589" xr:uid="{344A1E60-2E12-4276-BBDF-2CF06D5D6E27}"/>
    <cellStyle name="InputCells12 4 3 2 29" xfId="13879" xr:uid="{D9D63D9A-FBD5-43C0-9C39-6C8D69D52841}"/>
    <cellStyle name="InputCells12 4 3 2 3" xfId="1511" xr:uid="{2A690E0D-D1F4-4CAF-9D2A-0A0BF07EDC63}"/>
    <cellStyle name="InputCells12 4 3 2 30" xfId="15346" xr:uid="{6AE061C0-1683-4EDF-9DC8-2C98832DAC9B}"/>
    <cellStyle name="InputCells12 4 3 2 31" xfId="12268" xr:uid="{8D2256CB-2CFB-43C5-A3D0-FCBA1398293B}"/>
    <cellStyle name="InputCells12 4 3 2 32" xfId="15415" xr:uid="{6A67C29C-FFD1-42FE-A530-2520214D36FD}"/>
    <cellStyle name="InputCells12 4 3 2 33" xfId="16801" xr:uid="{21764AAD-FA3B-4D0E-9F4F-5E07CE36298F}"/>
    <cellStyle name="InputCells12 4 3 2 34" xfId="16280" xr:uid="{6B6C5400-FA06-4EF0-97CE-166413C1247E}"/>
    <cellStyle name="InputCells12 4 3 2 35" xfId="16199" xr:uid="{A240E9E4-BB22-42BE-9F07-69B145C60401}"/>
    <cellStyle name="InputCells12 4 3 2 36" xfId="16074" xr:uid="{AE051BF4-70D9-4E72-B6DC-88A4B39A979D}"/>
    <cellStyle name="InputCells12 4 3 2 37" xfId="18619" xr:uid="{AE7E82F5-03E8-4862-A062-DBCAC0B639C6}"/>
    <cellStyle name="InputCells12 4 3 2 38" xfId="18123" xr:uid="{0CB1FC05-5BAF-4810-8FFB-B2F89715C4DA}"/>
    <cellStyle name="InputCells12 4 3 2 39" xfId="18352" xr:uid="{F28FCFB0-3140-434B-9852-24175340E5CE}"/>
    <cellStyle name="InputCells12 4 3 2 4" xfId="2578" xr:uid="{8D9E983F-56B9-4773-A8B8-FE8177E67C02}"/>
    <cellStyle name="InputCells12 4 3 2 40" xfId="20138" xr:uid="{95FB30A8-BAC2-49BD-8124-3B2DCB4C8F16}"/>
    <cellStyle name="InputCells12 4 3 2 41" xfId="19613" xr:uid="{673217C1-035E-4CB6-9972-C8787DA33B44}"/>
    <cellStyle name="InputCells12 4 3 2 42" xfId="20403" xr:uid="{65284DCD-B9C4-4337-AAE8-BE31728A3B75}"/>
    <cellStyle name="InputCells12 4 3 2 43" xfId="21298" xr:uid="{F6EBA58C-D7E3-4CE4-AB2D-BBC95CE3D3D7}"/>
    <cellStyle name="InputCells12 4 3 2 44" xfId="21387" xr:uid="{7D8E6EA8-51CA-467D-82DD-9C4C466A8299}"/>
    <cellStyle name="InputCells12 4 3 2 45" xfId="21811" xr:uid="{A67009C0-FB95-4D25-9757-9BD5998B0C27}"/>
    <cellStyle name="InputCells12 4 3 2 46" xfId="22181" xr:uid="{C17E768B-4AD4-46D3-9AC9-48243E029E21}"/>
    <cellStyle name="InputCells12 4 3 2 47" xfId="21819" xr:uid="{FE13A5AF-FCE7-489D-9801-1949B93D6DFF}"/>
    <cellStyle name="InputCells12 4 3 2 48" xfId="23431" xr:uid="{3D8C379B-504B-4D17-AA32-CDBE7759DF1F}"/>
    <cellStyle name="InputCells12 4 3 2 49" xfId="23938" xr:uid="{FC21BF1A-CD8C-483E-8666-65479FA2723F}"/>
    <cellStyle name="InputCells12 4 3 2 5" xfId="2041" xr:uid="{E54C4BD2-37C2-4356-9090-564E4C9EE4B1}"/>
    <cellStyle name="InputCells12 4 3 2 50" xfId="24846" xr:uid="{1C33F31F-5175-4274-BED2-250F1B24C705}"/>
    <cellStyle name="InputCells12 4 3 2 51" xfId="24241" xr:uid="{3F3C630B-485B-4B22-AA00-AE239A31C3A0}"/>
    <cellStyle name="InputCells12 4 3 2 52" xfId="25762" xr:uid="{0ACE2577-AC45-4D4F-8C2B-9AE1653D7B18}"/>
    <cellStyle name="InputCells12 4 3 2 53" xfId="25920" xr:uid="{6AFE7C48-5F39-48C1-8702-7FF996390C35}"/>
    <cellStyle name="InputCells12 4 3 2 54" xfId="26385" xr:uid="{62F4E33C-FB5F-443C-912B-813D76D8BDCB}"/>
    <cellStyle name="InputCells12 4 3 2 55" xfId="27050" xr:uid="{4FF2BF2C-38F7-42AB-B4A3-9A1F657E89DE}"/>
    <cellStyle name="InputCells12 4 3 2 56" xfId="27469" xr:uid="{E850C302-44FD-421A-8CCD-BC3836244119}"/>
    <cellStyle name="InputCells12 4 3 2 57" xfId="27193" xr:uid="{DEDBCFDD-E19D-4F41-939A-5DBABD63B32B}"/>
    <cellStyle name="InputCells12 4 3 2 58" xfId="28596" xr:uid="{7372011D-B2BD-4C4E-9632-8D191E1E3023}"/>
    <cellStyle name="InputCells12 4 3 2 59" xfId="29063" xr:uid="{4046F7BE-DB5D-4B57-950E-03CEDD93AD69}"/>
    <cellStyle name="InputCells12 4 3 2 6" xfId="3439" xr:uid="{4E505A8B-FB9D-41B7-8366-40D930E35257}"/>
    <cellStyle name="InputCells12 4 3 2 60" xfId="28738" xr:uid="{C5C3DAC5-9340-4412-A553-FAEA4F64C695}"/>
    <cellStyle name="InputCells12 4 3 2 61" xfId="29852" xr:uid="{97AFC114-3A6C-474B-AB5B-7EF8A66E5761}"/>
    <cellStyle name="InputCells12 4 3 2 62" xfId="30258" xr:uid="{6E985740-6A8B-4E1E-94F4-0E69BD382FE9}"/>
    <cellStyle name="InputCells12 4 3 2 63" xfId="30675" xr:uid="{45578297-324A-4330-8A9D-E45668571691}"/>
    <cellStyle name="InputCells12 4 3 2 64" xfId="29427" xr:uid="{3C2E088E-105F-47D5-B348-450940E78D43}"/>
    <cellStyle name="InputCells12 4 3 2 65" xfId="31291" xr:uid="{089047A2-AA06-4DA7-902A-FCF08F67F803}"/>
    <cellStyle name="InputCells12 4 3 2 66" xfId="31982" xr:uid="{6D300B30-BE15-466F-9984-D89F0926AA14}"/>
    <cellStyle name="InputCells12 4 3 2 67" xfId="32341" xr:uid="{FD11F047-A57E-40B7-B71D-5F7AC0427511}"/>
    <cellStyle name="InputCells12 4 3 2 7" xfId="4074" xr:uid="{57B403D8-9EC8-4591-8478-07745F671975}"/>
    <cellStyle name="InputCells12 4 3 2 8" xfId="4511" xr:uid="{F251DFF3-B1AB-433B-B82E-187298ED174D}"/>
    <cellStyle name="InputCells12 4 3 2 9" xfId="4236" xr:uid="{07C73246-8AE0-4D07-808E-40A948DB1792}"/>
    <cellStyle name="InputCells12 4 3 20" xfId="10095" xr:uid="{A9CEFE95-F898-4AE0-911B-9F1FF5B1712B}"/>
    <cellStyle name="InputCells12 4 3 21" xfId="10510" xr:uid="{EBF14D05-446F-4631-AA13-C8E42FBDDF3B}"/>
    <cellStyle name="InputCells12 4 3 22" xfId="10811" xr:uid="{C5BFC865-27F2-46A6-B4ED-43A46A68191A}"/>
    <cellStyle name="InputCells12 4 3 23" xfId="11057" xr:uid="{3D6A2BC5-DF8B-4A3B-B539-1C7534087F00}"/>
    <cellStyle name="InputCells12 4 3 24" xfId="11894" xr:uid="{211966D8-4069-4CAF-9DBC-5B7141C8DDAB}"/>
    <cellStyle name="InputCells12 4 3 25" xfId="12367" xr:uid="{63836E60-006D-42D6-8867-04402F305720}"/>
    <cellStyle name="InputCells12 4 3 26" xfId="12801" xr:uid="{A9BB8532-043E-4F9F-82BA-5B0F7CED8B31}"/>
    <cellStyle name="InputCells12 4 3 27" xfId="13238" xr:uid="{79CE65D8-1CA0-4BF0-BDA9-2DB68526FF93}"/>
    <cellStyle name="InputCells12 4 3 28" xfId="12279" xr:uid="{2F815430-7694-4B6A-8AEB-1F018B85E3F5}"/>
    <cellStyle name="InputCells12 4 3 29" xfId="14145" xr:uid="{D4D73CBA-5FE9-41CB-9BA0-EDED12E9001C}"/>
    <cellStyle name="InputCells12 4 3 3" xfId="1024" xr:uid="{23E17E98-9BA7-4C6F-B0A3-A612FAC9CDDE}"/>
    <cellStyle name="InputCells12 4 3 30" xfId="14616" xr:uid="{22164FFD-135A-439F-B6D4-F5574A6ED2ED}"/>
    <cellStyle name="InputCells12 4 3 31" xfId="15013" xr:uid="{BF0794C1-8356-4E81-94BA-E332B8D198D4}"/>
    <cellStyle name="InputCells12 4 3 32" xfId="13662" xr:uid="{BCAB5BC3-2447-4DB6-9A88-FE7A27B2F912}"/>
    <cellStyle name="InputCells12 4 3 33" xfId="15906" xr:uid="{5124C7D1-16F8-40D9-AC2A-DBD8F6B7FB18}"/>
    <cellStyle name="InputCells12 4 3 34" xfId="16586" xr:uid="{90005F1A-64CB-47DF-AEEA-A344FBA29108}"/>
    <cellStyle name="InputCells12 4 3 35" xfId="17213" xr:uid="{13F6F0D1-6542-4E1F-BC9A-9EEBA44055B1}"/>
    <cellStyle name="InputCells12 4 3 36" xfId="17659" xr:uid="{58F307CB-E3FA-44C2-9111-211C19E316ED}"/>
    <cellStyle name="InputCells12 4 3 37" xfId="17728" xr:uid="{F456BC23-620D-402B-A2AD-78DBBC1A6F2B}"/>
    <cellStyle name="InputCells12 4 3 38" xfId="18404" xr:uid="{B99E142E-5658-42D0-B48E-8C6C3959AA94}"/>
    <cellStyle name="InputCells12 4 3 39" xfId="17983" xr:uid="{0889B623-6044-4A5B-965A-8EBFA80C3109}"/>
    <cellStyle name="InputCells12 4 3 4" xfId="1606" xr:uid="{DDC7ADC7-E3FD-4CDD-9DBB-E454FBA9656B}"/>
    <cellStyle name="InputCells12 4 3 40" xfId="19182" xr:uid="{CACABCCC-E844-4416-BCE3-9BD5932F8278}"/>
    <cellStyle name="InputCells12 4 3 41" xfId="19923" xr:uid="{5420EB13-245B-411D-94F2-B553C04AEBC4}"/>
    <cellStyle name="InputCells12 4 3 42" xfId="20566" xr:uid="{EF5BD076-7437-4B91-8422-33129A063D47}"/>
    <cellStyle name="InputCells12 4 3 43" xfId="21019" xr:uid="{DEE721AC-C72A-4CF4-A31F-C079493E26EF}"/>
    <cellStyle name="InputCells12 4 3 44" xfId="20380" xr:uid="{7DD62F93-E554-48EB-9E1D-394A3CB23CBE}"/>
    <cellStyle name="InputCells12 4 3 45" xfId="21950" xr:uid="{BDCD4AF2-4E7C-433A-A6E3-447C5668BE49}"/>
    <cellStyle name="InputCells12 4 3 46" xfId="22381" xr:uid="{7CF77353-53FC-4F3B-8E64-5E154D875802}"/>
    <cellStyle name="InputCells12 4 3 47" xfId="21947" xr:uid="{34DD4C92-89B6-4BE8-A088-F6CE49A25C8A}"/>
    <cellStyle name="InputCells12 4 3 48" xfId="21447" xr:uid="{F07CC408-0CC9-4E7F-A004-20F70380E5BA}"/>
    <cellStyle name="InputCells12 4 3 49" xfId="23569" xr:uid="{FBD00359-ECD6-4020-9A41-2EA67B80BE44}"/>
    <cellStyle name="InputCells12 4 3 5" xfId="2363" xr:uid="{50AF5944-2B88-49FC-B2F6-D5C14B22C5F1}"/>
    <cellStyle name="InputCells12 4 3 50" xfId="23732" xr:uid="{CE6C2103-A137-4F37-8D93-10D220D7DF98}"/>
    <cellStyle name="InputCells12 4 3 51" xfId="24631" xr:uid="{DFA0F734-48DE-449D-96D8-D75A9C3292B5}"/>
    <cellStyle name="InputCells12 4 3 52" xfId="25274" xr:uid="{32D3AE48-DE77-4C84-9736-834452411187}"/>
    <cellStyle name="InputCells12 4 3 53" xfId="25549" xr:uid="{F1DF0B3A-0061-49B9-88A1-6BFB99AD8073}"/>
    <cellStyle name="InputCells12 4 3 54" xfId="24516" xr:uid="{676F171B-F615-4402-B0EF-8168EA3A74C0}"/>
    <cellStyle name="InputCells12 4 3 55" xfId="26227" xr:uid="{E6A7A168-D051-41BB-A96F-6E5293E0A82A}"/>
    <cellStyle name="InputCells12 4 3 56" xfId="26839" xr:uid="{1F74D430-D14A-42BF-9B16-A2FCAF723DE1}"/>
    <cellStyle name="InputCells12 4 3 57" xfId="27258" xr:uid="{3E842B44-0422-4C57-84D4-D0A3D8F3854F}"/>
    <cellStyle name="InputCells12 4 3 58" xfId="27715" xr:uid="{2834DA6E-8555-4B84-BE84-AE8E7EDDDF4F}"/>
    <cellStyle name="InputCells12 4 3 59" xfId="28381" xr:uid="{0AC4A6C7-8DBF-48D9-9629-DFF3287927AC}"/>
    <cellStyle name="InputCells12 4 3 6" xfId="2008" xr:uid="{0D90BBBC-E050-4C41-8445-D0913984368D}"/>
    <cellStyle name="InputCells12 4 3 60" xfId="28849" xr:uid="{66D78098-ED78-421F-9D2E-14C5A01A69FE}"/>
    <cellStyle name="InputCells12 4 3 61" xfId="29403" xr:uid="{1DE3266B-1A06-4C94-9F97-E5122EEA7F54}"/>
    <cellStyle name="InputCells12 4 3 62" xfId="29639" xr:uid="{89C22EF9-2902-4486-936A-4569BBAA0CF0}"/>
    <cellStyle name="InputCells12 4 3 63" xfId="30047" xr:uid="{1B3D5156-5946-45C2-9D33-9278F521D244}"/>
    <cellStyle name="InputCells12 4 3 64" xfId="30461" xr:uid="{72CD6CFD-DA8B-4D05-836E-7A2227DA40A4}"/>
    <cellStyle name="InputCells12 4 3 65" xfId="29227" xr:uid="{BFF7E7E9-7F44-4E76-B2CC-DDB20EA17EEE}"/>
    <cellStyle name="InputCells12 4 3 66" xfId="31085" xr:uid="{332899A5-0E8A-4E00-BD3E-D90984175510}"/>
    <cellStyle name="InputCells12 4 3 67" xfId="31771" xr:uid="{48DD1CE6-AFA3-4093-8761-404775F3A892}"/>
    <cellStyle name="InputCells12 4 3 68" xfId="31453" xr:uid="{D339D2CC-15A3-419B-B214-52E3F96FF960}"/>
    <cellStyle name="InputCells12 4 3 7" xfId="2974" xr:uid="{6C47DC35-C77B-4D1F-8D16-64D7ABD6130A}"/>
    <cellStyle name="InputCells12 4 3 8" xfId="3859" xr:uid="{B75A0F14-4B29-40F6-A352-ED9274F41B9F}"/>
    <cellStyle name="InputCells12 4 3 9" xfId="4297" xr:uid="{CC747A2F-CB26-4D16-823C-C94149D3E565}"/>
    <cellStyle name="InputCells12 4 30" xfId="11817" xr:uid="{13192B36-3ACF-46D8-9ED4-60119E2A1E30}"/>
    <cellStyle name="InputCells12 4 31" xfId="13855" xr:uid="{0DF3D31D-6585-40C1-8EF5-7FAB48E5CEE0}"/>
    <cellStyle name="InputCells12 4 32" xfId="14066" xr:uid="{9A7A2CFF-165B-4040-B04C-A0E4AD333AB1}"/>
    <cellStyle name="InputCells12 4 33" xfId="14187" xr:uid="{37F0F936-79CA-44F2-A7B5-1BEE95AC1560}"/>
    <cellStyle name="InputCells12 4 34" xfId="14561" xr:uid="{F148F194-D734-4753-B25B-9D1232ECE662}"/>
    <cellStyle name="InputCells12 4 35" xfId="15413" xr:uid="{D596040A-ED9E-4FDA-8C17-883C394DDFE1}"/>
    <cellStyle name="InputCells12 4 36" xfId="16329" xr:uid="{3979ED8F-9AEB-454F-9473-AE324706DA1A}"/>
    <cellStyle name="InputCells12 4 37" xfId="16964" xr:uid="{C8A1F242-3484-4E26-994A-6EC0A03CF4E0}"/>
    <cellStyle name="InputCells12 4 38" xfId="16047" xr:uid="{9EF19D18-F162-495F-BC55-C1AB7E11F387}"/>
    <cellStyle name="InputCells12 4 39" xfId="16443" xr:uid="{B96DD9A7-011D-4B3C-B8F9-D77746F566AC}"/>
    <cellStyle name="InputCells12 4 4" xfId="515" xr:uid="{DCCE8F4D-7D87-4BC7-8391-B41BD6E22C9A}"/>
    <cellStyle name="InputCells12 4 4 10" xfId="5040" xr:uid="{81717E00-C273-4FEF-8F47-1119EBEF7DC7}"/>
    <cellStyle name="InputCells12 4 4 11" xfId="5163" xr:uid="{B55F65D4-C98C-491D-AC26-C3D891A1B30F}"/>
    <cellStyle name="InputCells12 4 4 12" xfId="4684" xr:uid="{757FA18A-B9D5-4F3D-883A-EE401C699937}"/>
    <cellStyle name="InputCells12 4 4 13" xfId="4649" xr:uid="{F8BA6EA9-AD76-41C1-8CC6-A5B8533F4C9F}"/>
    <cellStyle name="InputCells12 4 4 14" xfId="6590" xr:uid="{55360F80-C31B-4873-B41E-9DA4A2AEDF46}"/>
    <cellStyle name="InputCells12 4 4 15" xfId="7235" xr:uid="{D326E2BF-B292-4C44-A159-02B942326E12}"/>
    <cellStyle name="InputCells12 4 4 16" xfId="7766" xr:uid="{6D1935F2-7D49-402A-A964-1D75F72174C6}"/>
    <cellStyle name="InputCells12 4 4 17" xfId="8150" xr:uid="{6712D893-2ADE-4F6A-BABB-8D7166EB37AD}"/>
    <cellStyle name="InputCells12 4 4 18" xfId="8527" xr:uid="{B72F39A9-95F0-4F8D-8DFD-7A0820788A2B}"/>
    <cellStyle name="InputCells12 4 4 19" xfId="9449" xr:uid="{FCC03048-D094-4B96-955F-6F23781BA129}"/>
    <cellStyle name="InputCells12 4 4 2" xfId="730" xr:uid="{3081BBD2-02FA-480D-8E7E-E247CC2F2CE1}"/>
    <cellStyle name="InputCells12 4 4 2 10" xfId="5378" xr:uid="{01652166-E7F5-4A04-AC26-EA1296391BC2}"/>
    <cellStyle name="InputCells12 4 4 2 11" xfId="4679" xr:uid="{9B5E1E6E-5F33-4AFE-9626-1AB80CBE064C}"/>
    <cellStyle name="InputCells12 4 4 2 12" xfId="6267" xr:uid="{76251DF8-0C3D-4906-835B-F89626D09983}"/>
    <cellStyle name="InputCells12 4 4 2 13" xfId="6683" xr:uid="{91AB6611-6D76-450A-BB50-C5D10192961C}"/>
    <cellStyle name="InputCells12 4 4 2 14" xfId="7450" xr:uid="{249CD354-0631-44F1-9BA2-942D5FEBBA0E}"/>
    <cellStyle name="InputCells12 4 4 2 15" xfId="6819" xr:uid="{B1135BD9-DE60-42C7-A288-A50BB36CEF12}"/>
    <cellStyle name="InputCells12 4 4 2 16" xfId="6892" xr:uid="{26419025-59AA-4FB5-9071-EA59C9EA4C34}"/>
    <cellStyle name="InputCells12 4 4 2 17" xfId="8835" xr:uid="{3398CBC3-D523-4060-B238-1CCEDF5062BD}"/>
    <cellStyle name="InputCells12 4 4 2 18" xfId="9664" xr:uid="{C4B9D9D5-F338-4E62-8F5A-367FFD575ABB}"/>
    <cellStyle name="InputCells12 4 4 2 19" xfId="9146" xr:uid="{0F5976FE-2E72-4BEF-9DAB-6AA62D448449}"/>
    <cellStyle name="InputCells12 4 4 2 2" xfId="1204" xr:uid="{C7E27C61-4ADC-4439-BF0A-3719D1E67DE1}"/>
    <cellStyle name="InputCells12 4 4 2 20" xfId="10074" xr:uid="{B194F804-7D56-442F-9B4E-026184FE421E}"/>
    <cellStyle name="InputCells12 4 4 2 21" xfId="10895" xr:uid="{24BF3F79-2B11-40E6-AA58-8C4F68C0E5B3}"/>
    <cellStyle name="InputCells12 4 4 2 22" xfId="11300" xr:uid="{8CA80C59-D8F8-4D18-9ACA-BDA574C3031D}"/>
    <cellStyle name="InputCells12 4 4 2 23" xfId="12083" xr:uid="{4465F717-4156-44F0-85A6-3FDD685A0223}"/>
    <cellStyle name="InputCells12 4 4 2 24" xfId="12556" xr:uid="{6C13C40B-5B64-41D8-AEEC-7A8506BBB664}"/>
    <cellStyle name="InputCells12 4 4 2 25" xfId="12990" xr:uid="{B49D29A6-15E2-4E5D-B20D-E353D0179BE8}"/>
    <cellStyle name="InputCells12 4 4 2 26" xfId="13427" xr:uid="{B8261D33-FB98-459C-A4D2-0AEA71D5055D}"/>
    <cellStyle name="InputCells12 4 4 2 27" xfId="13685" xr:uid="{172A63FE-8194-41A8-BE44-0DE7B7FAEF6F}"/>
    <cellStyle name="InputCells12 4 4 2 28" xfId="13717" xr:uid="{6756AC2C-0EDB-488C-AC18-F1E0C2392561}"/>
    <cellStyle name="InputCells12 4 4 2 29" xfId="12250" xr:uid="{FD3148B8-55D7-4800-A5D5-38667DDDC7AF}"/>
    <cellStyle name="InputCells12 4 4 2 3" xfId="1441" xr:uid="{143ACD98-5B71-41DC-B603-A3AEC0A5CC77}"/>
    <cellStyle name="InputCells12 4 4 2 30" xfId="14234" xr:uid="{F001E5E5-26C8-4139-A72F-E205677C33A4}"/>
    <cellStyle name="InputCells12 4 4 2 31" xfId="15741" xr:uid="{F8DD5CDF-C7E6-4E85-818E-4E69CEC44095}"/>
    <cellStyle name="InputCells12 4 4 2 32" xfId="15464" xr:uid="{189DBD3B-8474-4370-920E-0D0158B5F29C}"/>
    <cellStyle name="InputCells12 4 4 2 33" xfId="16775" xr:uid="{C72C378B-9234-4C54-95A6-BE87EEF956EB}"/>
    <cellStyle name="InputCells12 4 4 2 34" xfId="16131" xr:uid="{DF6E0CBA-7D6C-4286-B42D-0460E119B7F3}"/>
    <cellStyle name="InputCells12 4 4 2 35" xfId="16998" xr:uid="{87490EDC-890C-4596-97E0-91AC64F49215}"/>
    <cellStyle name="InputCells12 4 4 2 36" xfId="18257" xr:uid="{801982B4-0CFB-491A-A5B6-EA2B9F0AC31F}"/>
    <cellStyle name="InputCells12 4 4 2 37" xfId="18593" xr:uid="{2676F7C2-0FB4-4D75-A803-51B0836EAB95}"/>
    <cellStyle name="InputCells12 4 4 2 38" xfId="19081" xr:uid="{175669F2-52B8-45BB-BC23-B5FEBC2616E4}"/>
    <cellStyle name="InputCells12 4 4 2 39" xfId="19203" xr:uid="{49407123-A75F-488E-9A00-6F03A219180C}"/>
    <cellStyle name="InputCells12 4 4 2 4" xfId="2552" xr:uid="{E5362BA2-B762-476A-8AB9-47FA0D5E8FEA}"/>
    <cellStyle name="InputCells12 4 4 2 40" xfId="20112" xr:uid="{6CF65510-1C68-482C-9BAA-B800A29C94F5}"/>
    <cellStyle name="InputCells12 4 4 2 41" xfId="19760" xr:uid="{CB86DAFD-C123-470E-86E8-C1DD1C72DA01}"/>
    <cellStyle name="InputCells12 4 4 2 42" xfId="20452" xr:uid="{A3E5BDBC-991A-4C45-BD53-BB60CD77797D}"/>
    <cellStyle name="InputCells12 4 4 2 43" xfId="21508" xr:uid="{16631BDA-B413-41BD-A6F8-503C75754E8F}"/>
    <cellStyle name="InputCells12 4 4 2 44" xfId="21512" xr:uid="{79C7291B-E613-4655-9EB2-25C35AAF2F14}"/>
    <cellStyle name="InputCells12 4 4 2 45" xfId="21471" xr:uid="{9D778F6B-C076-41F2-B41F-FC20F41AAC63}"/>
    <cellStyle name="InputCells12 4 4 2 46" xfId="22684" xr:uid="{F06C6487-976B-4834-B52A-58833F892819}"/>
    <cellStyle name="InputCells12 4 4 2 47" xfId="23359" xr:uid="{A2683304-232C-4C82-B446-E66553AE5DBB}"/>
    <cellStyle name="InputCells12 4 4 2 48" xfId="23467" xr:uid="{D2D51951-D869-4D63-A228-C03B15ADC52B}"/>
    <cellStyle name="InputCells12 4 4 2 49" xfId="23912" xr:uid="{EFC6112A-4B54-41D3-AB76-D4BC8F26D68B}"/>
    <cellStyle name="InputCells12 4 4 2 5" xfId="2850" xr:uid="{EFDFD4C1-F756-4E32-B956-13AD5EF1AC54}"/>
    <cellStyle name="InputCells12 4 4 2 50" xfId="24820" xr:uid="{273FFA16-23AF-4476-9184-96D2A0317DA0}"/>
    <cellStyle name="InputCells12 4 4 2 51" xfId="24982" xr:uid="{0856902C-D60D-477D-96F1-B37A1E7E54E3}"/>
    <cellStyle name="InputCells12 4 4 2 52" xfId="25736" xr:uid="{FBC76443-6FC2-4849-B2FA-3EDB64F8775C}"/>
    <cellStyle name="InputCells12 4 4 2 53" xfId="25988" xr:uid="{D54D1990-AE7A-4841-AAE7-9B5B76C2BF77}"/>
    <cellStyle name="InputCells12 4 4 2 54" xfId="25075" xr:uid="{523762EA-92E8-4821-95FB-5850AA85ADEF}"/>
    <cellStyle name="InputCells12 4 4 2 55" xfId="27024" xr:uid="{780097DA-6999-4EC3-8B28-B601DCF3AB3E}"/>
    <cellStyle name="InputCells12 4 4 2 56" xfId="27443" xr:uid="{CA5A157B-D7C8-4520-B941-E8BBADABE77E}"/>
    <cellStyle name="InputCells12 4 4 2 57" xfId="27823" xr:uid="{77BDAD04-A5E1-405A-8652-9ECE8F4DF948}"/>
    <cellStyle name="InputCells12 4 4 2 58" xfId="28570" xr:uid="{0CC04F2B-130B-4196-BCD9-A734F0024E0C}"/>
    <cellStyle name="InputCells12 4 4 2 59" xfId="29037" xr:uid="{077D9B5E-FEBA-4B4B-9647-965C0337B5CD}"/>
    <cellStyle name="InputCells12 4 4 2 6" xfId="2950" xr:uid="{A19930F4-9DEF-4750-BEDF-E7420DDC8448}"/>
    <cellStyle name="InputCells12 4 4 2 60" xfId="28167" xr:uid="{C66B903F-A486-4455-9E6F-B75C7DC2E3D8}"/>
    <cellStyle name="InputCells12 4 4 2 61" xfId="29826" xr:uid="{1075831F-E22B-47C6-A965-3BF061A6DEC6}"/>
    <cellStyle name="InputCells12 4 4 2 62" xfId="30232" xr:uid="{5A30CD8E-40AA-4E6C-8FA6-B01A46D068CF}"/>
    <cellStyle name="InputCells12 4 4 2 63" xfId="30649" xr:uid="{9B165FD1-002A-4D36-86BC-08E5EBE525B1}"/>
    <cellStyle name="InputCells12 4 4 2 64" xfId="28757" xr:uid="{9A40FB95-BA17-4BFE-B902-CD0537011FC4}"/>
    <cellStyle name="InputCells12 4 4 2 65" xfId="31265" xr:uid="{8F3865CC-E637-48CD-884D-B67AA0CD0E5E}"/>
    <cellStyle name="InputCells12 4 4 2 66" xfId="31956" xr:uid="{6CD984AB-C055-49CB-B703-119B5A9E29D9}"/>
    <cellStyle name="InputCells12 4 4 2 67" xfId="32293" xr:uid="{CDBCF3F2-F47A-40FD-A6D0-5C6F8AA7654C}"/>
    <cellStyle name="InputCells12 4 4 2 7" xfId="4048" xr:uid="{B778E842-4DC9-4058-B176-F2DD27E3629F}"/>
    <cellStyle name="InputCells12 4 4 2 8" xfId="4485" xr:uid="{ED1AE89B-0590-4069-8315-D0DF01E9B6BA}"/>
    <cellStyle name="InputCells12 4 4 2 9" xfId="2796" xr:uid="{EE36BEB8-E523-4D4B-862C-E6F60387FA9D}"/>
    <cellStyle name="InputCells12 4 4 20" xfId="9979" xr:uid="{25EF9A30-BF95-46BE-B1E1-E209ADE42B5F}"/>
    <cellStyle name="InputCells12 4 4 21" xfId="10406" xr:uid="{A5A27CCE-4C1D-4DDE-8AE9-F3FA4A281B78}"/>
    <cellStyle name="InputCells12 4 4 22" xfId="10860" xr:uid="{27517558-BFDE-4EE4-953E-D9B8998A3CB5}"/>
    <cellStyle name="InputCells12 4 4 23" xfId="11199" xr:uid="{626D1607-2666-4635-AF3D-F10383315559}"/>
    <cellStyle name="InputCells12 4 4 24" xfId="11868" xr:uid="{82159BB4-8997-4C70-AA7F-E05B57A4C454}"/>
    <cellStyle name="InputCells12 4 4 25" xfId="12341" xr:uid="{AB5C7557-CA3C-4B99-AE61-A14A5CEC7FA7}"/>
    <cellStyle name="InputCells12 4 4 26" xfId="12775" xr:uid="{11ECC173-C34B-4C81-9389-D94AB554461E}"/>
    <cellStyle name="InputCells12 4 4 27" xfId="13212" xr:uid="{6F6B9D5A-E4CB-44E1-BF19-82F4B9FC40D1}"/>
    <cellStyle name="InputCells12 4 4 28" xfId="13984" xr:uid="{00E0973B-DADD-4E88-9887-3429ABA10B42}"/>
    <cellStyle name="InputCells12 4 4 29" xfId="14253" xr:uid="{16804A21-AC75-4C30-A40D-B905C9CF1102}"/>
    <cellStyle name="InputCells12 4 4 3" xfId="998" xr:uid="{E3A72D73-BE88-42A9-8CF7-642B0CB40613}"/>
    <cellStyle name="InputCells12 4 4 30" xfId="14724" xr:uid="{DA710BE6-A41E-4EDF-A38E-39F4495A4ECD}"/>
    <cellStyle name="InputCells12 4 4 31" xfId="14913" xr:uid="{6FC24DBB-C722-45A0-A83A-EADDD11F519C}"/>
    <cellStyle name="InputCells12 4 4 32" xfId="15179" xr:uid="{6E552B27-6C23-4FDA-B4B7-80B2030E1794}"/>
    <cellStyle name="InputCells12 4 4 33" xfId="15840" xr:uid="{643FF178-1EAD-4B29-83CD-6260F120CB53}"/>
    <cellStyle name="InputCells12 4 4 34" xfId="16560" xr:uid="{862991C0-B9EC-42AD-9D53-2495011BD048}"/>
    <cellStyle name="InputCells12 4 4 35" xfId="17094" xr:uid="{B0A81153-744B-4780-8D3E-109E12D22AFF}"/>
    <cellStyle name="InputCells12 4 4 36" xfId="17542" xr:uid="{16B6D9DE-9E5B-455D-9814-3014BF867BB2}"/>
    <cellStyle name="InputCells12 4 4 37" xfId="16284" xr:uid="{22EFF420-3B45-46A2-8D78-8F4CF5B4818B}"/>
    <cellStyle name="InputCells12 4 4 38" xfId="18378" xr:uid="{5A1EE92D-ED52-4B87-967C-8097BD702BA3}"/>
    <cellStyle name="InputCells12 4 4 39" xfId="17467" xr:uid="{F01DBA8B-1AE9-40D6-84B7-B202CC37DEF6}"/>
    <cellStyle name="InputCells12 4 4 4" xfId="1641" xr:uid="{42C7AEFE-F7C9-4ED1-AA14-673705A4141F}"/>
    <cellStyle name="InputCells12 4 4 40" xfId="19258" xr:uid="{8B98FAB2-DEE9-499D-B460-0B2A5236AC0F}"/>
    <cellStyle name="InputCells12 4 4 41" xfId="19897" xr:uid="{6021D000-912D-46A4-AF35-B159F62DA5DE}"/>
    <cellStyle name="InputCells12 4 4 42" xfId="20448" xr:uid="{4507F055-DB30-4023-A46C-619AA3A13770}"/>
    <cellStyle name="InputCells12 4 4 43" xfId="20900" xr:uid="{AACABB48-85B8-4DB7-B29B-D83E7934EEF1}"/>
    <cellStyle name="InputCells12 4 4 44" xfId="20514" xr:uid="{CADA933D-B898-40FD-9E4A-9095FCEBFF85}"/>
    <cellStyle name="InputCells12 4 4 45" xfId="21830" xr:uid="{A91B371F-8F10-4769-89E1-3C87A902A05C}"/>
    <cellStyle name="InputCells12 4 4 46" xfId="22266" xr:uid="{30E414F0-687C-4781-A93F-7C9F20CC9C98}"/>
    <cellStyle name="InputCells12 4 4 47" xfId="22956" xr:uid="{27DBB416-CAFD-4A7E-A3D9-D8068964391F}"/>
    <cellStyle name="InputCells12 4 4 48" xfId="20935" xr:uid="{9F12E59C-6609-46DE-B6FE-1EEF7E4AFDB3}"/>
    <cellStyle name="InputCells12 4 4 49" xfId="23606" xr:uid="{F0FBF990-8173-4EB3-AB12-3B929C1086B7}"/>
    <cellStyle name="InputCells12 4 4 5" xfId="2337" xr:uid="{6EDD1A1D-59FC-453F-B5E5-279D947C6669}"/>
    <cellStyle name="InputCells12 4 4 50" xfId="23706" xr:uid="{1E96F33D-9E15-4FDB-AC2C-4E138363119B}"/>
    <cellStyle name="InputCells12 4 4 51" xfId="24605" xr:uid="{86A3C265-DC87-4EBB-82AA-46A56FD53840}"/>
    <cellStyle name="InputCells12 4 4 52" xfId="25155" xr:uid="{CC3244A3-D19F-4DDE-AC3E-583F873EC93B}"/>
    <cellStyle name="InputCells12 4 4 53" xfId="25523" xr:uid="{44282435-4F92-4298-8831-07A351461470}"/>
    <cellStyle name="InputCells12 4 4 54" xfId="26263" xr:uid="{9E3A4563-BE8A-462F-8EB8-0396A1F6A077}"/>
    <cellStyle name="InputCells12 4 4 55" xfId="26715" xr:uid="{77A27DEC-7798-422D-AF12-F8FF233FAF46}"/>
    <cellStyle name="InputCells12 4 4 56" xfId="26813" xr:uid="{2DED78BC-11E0-46EE-964C-96819730F385}"/>
    <cellStyle name="InputCells12 4 4 57" xfId="27232" xr:uid="{09C6AF04-F54C-43E8-8A2A-02516311EC10}"/>
    <cellStyle name="InputCells12 4 4 58" xfId="26662" xr:uid="{FE16E961-3B51-4297-B9AB-7C78583F09A1}"/>
    <cellStyle name="InputCells12 4 4 59" xfId="28355" xr:uid="{40F650F2-1FC0-45D4-B5AD-F7F50C55114E}"/>
    <cellStyle name="InputCells12 4 4 6" xfId="3155" xr:uid="{48C29249-04E3-49AD-915E-AD148B31944D}"/>
    <cellStyle name="InputCells12 4 4 60" xfId="28823" xr:uid="{97554CCF-B649-4A8A-962E-9FA9F4DB83DC}"/>
    <cellStyle name="InputCells12 4 4 61" xfId="29305" xr:uid="{CC75B92D-42DA-48CC-AA69-15AE69ABDD05}"/>
    <cellStyle name="InputCells12 4 4 62" xfId="29613" xr:uid="{99805373-A028-4D5C-80D8-A6F3233EF5F1}"/>
    <cellStyle name="InputCells12 4 4 63" xfId="30021" xr:uid="{7DEEF84A-974D-454E-924E-A6079834A93D}"/>
    <cellStyle name="InputCells12 4 4 64" xfId="30435" xr:uid="{F00F3FAE-4F18-440F-B422-0BB29D2F6102}"/>
    <cellStyle name="InputCells12 4 4 65" xfId="30840" xr:uid="{B7C9C1EA-0C91-42B6-9EB2-1E7E7B127366}"/>
    <cellStyle name="InputCells12 4 4 66" xfId="31059" xr:uid="{2FB9056B-2521-4B19-B7C1-1E6597E037ED}"/>
    <cellStyle name="InputCells12 4 4 67" xfId="31745" xr:uid="{58C32DDE-7C56-4901-96A5-1AEBC71F4A30}"/>
    <cellStyle name="InputCells12 4 4 68" xfId="31720" xr:uid="{45B5AB6F-FF31-497B-9C1C-41F2C68025B7}"/>
    <cellStyle name="InputCells12 4 4 7" xfId="2715" xr:uid="{8B4FCA68-73B4-484D-97E1-ECE71B3B0EAC}"/>
    <cellStyle name="InputCells12 4 4 8" xfId="3833" xr:uid="{032F69A2-882B-4F12-B7FF-D01F39559B14}"/>
    <cellStyle name="InputCells12 4 4 9" xfId="4271" xr:uid="{CAB42A9B-EA93-43DD-A9A6-39A3547CE57D}"/>
    <cellStyle name="InputCells12 4 40" xfId="17914" xr:uid="{99CB56B2-8A3D-4148-B0E2-28B54FFD4179}"/>
    <cellStyle name="InputCells12 4 41" xfId="17905" xr:uid="{DFEF4B71-A59E-44EB-AB91-41C78CF7A26A}"/>
    <cellStyle name="InputCells12 4 42" xfId="19184" xr:uid="{E2C0DA23-6DB5-4C07-B837-5E5C385CCCD7}"/>
    <cellStyle name="InputCells12 4 43" xfId="19662" xr:uid="{518D64D5-6D23-4CAA-8E57-E30A7D3C189D}"/>
    <cellStyle name="InputCells12 4 44" xfId="20311" xr:uid="{B6D19FA3-AF2D-4A5F-94DB-0C88E8A2593A}"/>
    <cellStyle name="InputCells12 4 45" xfId="20767" xr:uid="{34DF63CB-536F-4164-9D74-8C8FFEE90F9F}"/>
    <cellStyle name="InputCells12 4 46" xfId="19825" xr:uid="{ABC9977F-DDAE-40BB-B525-758675D3E06C}"/>
    <cellStyle name="InputCells12 4 47" xfId="20794" xr:uid="{A31AC483-F3DB-4B01-AC1F-CA7032B8B94D}"/>
    <cellStyle name="InputCells12 4 48" xfId="21368" xr:uid="{03A628B0-5695-4E74-A1CE-C8376EF7A3D7}"/>
    <cellStyle name="InputCells12 4 49" xfId="19500" xr:uid="{8714413D-D982-46C1-85F4-1486B1FC8AA3}"/>
    <cellStyle name="InputCells12 4 5" xfId="954" xr:uid="{A0620748-B936-4ED7-BD7A-A2912E7DE538}"/>
    <cellStyle name="InputCells12 4 50" xfId="21810" xr:uid="{5CA89E71-9D96-4056-B517-1A47F9A9B775}"/>
    <cellStyle name="InputCells12 4 51" xfId="23496" xr:uid="{5235F41E-2A24-4508-87B3-DDFA7F638146}"/>
    <cellStyle name="InputCells12 4 52" xfId="23590" xr:uid="{32A80D8E-9A0A-4E4F-BF23-A275BA417597}"/>
    <cellStyle name="InputCells12 4 53" xfId="24382" xr:uid="{57B13AB3-57A9-4EED-8FB4-305A9F7FE7E7}"/>
    <cellStyle name="InputCells12 4 54" xfId="25027" xr:uid="{3A9D08DF-7C65-4414-8368-358A72DBB6DC}"/>
    <cellStyle name="InputCells12 4 55" xfId="25356" xr:uid="{71DECA83-263A-4526-BC3E-14EF060EC882}"/>
    <cellStyle name="InputCells12 4 56" xfId="26120" xr:uid="{16BD5488-1AE7-4CA3-8211-D08B215D91F2}"/>
    <cellStyle name="InputCells12 4 57" xfId="26499" xr:uid="{C24525A7-79D9-4843-BD99-29A6263A1F0D}"/>
    <cellStyle name="InputCells12 4 58" xfId="24326" xr:uid="{DFC49395-39F6-494A-8378-5342AD3A4D98}"/>
    <cellStyle name="InputCells12 4 59" xfId="25993" xr:uid="{F9BF92A0-CABA-4ECC-9092-A7C768D12AE4}"/>
    <cellStyle name="InputCells12 4 6" xfId="1467" xr:uid="{A01EB62F-6B3B-4031-BD63-26E2F3CC3A1A}"/>
    <cellStyle name="InputCells12 4 60" xfId="26766" xr:uid="{39F8C118-6F1D-4518-9FBB-E0934547A191}"/>
    <cellStyle name="InputCells12 4 61" xfId="28153" xr:uid="{84B01118-FDE1-4921-A8DE-054B0A5B762F}"/>
    <cellStyle name="InputCells12 4 62" xfId="27915" xr:uid="{049F9DBC-0AB5-4FA8-91C3-CC4E1BFDBC7E}"/>
    <cellStyle name="InputCells12 4 63" xfId="28126" xr:uid="{BB0413E2-0E7E-4932-B914-C94FDADF9BBB}"/>
    <cellStyle name="InputCells12 4 64" xfId="28237" xr:uid="{DA244795-36BC-4F4C-B13B-6396222A41F3}"/>
    <cellStyle name="InputCells12 4 65" xfId="29557" xr:uid="{FF9C596F-4264-48FD-963B-A3E160280C32}"/>
    <cellStyle name="InputCells12 4 66" xfId="29549" xr:uid="{0BD66FE6-ACAB-4AE0-9A98-7E0B722F8AF1}"/>
    <cellStyle name="InputCells12 4 67" xfId="29387" xr:uid="{C8A4DB16-B6A6-4439-946F-FE525F97FE9E}"/>
    <cellStyle name="InputCells12 4 68" xfId="30961" xr:uid="{D8621077-7013-42B9-BB03-5C9F3DD97B92}"/>
    <cellStyle name="InputCells12 4 69" xfId="31605" xr:uid="{E1B7ABDC-46E6-46F0-9822-73293C537042}"/>
    <cellStyle name="InputCells12 4 7" xfId="2102" xr:uid="{45D49C4E-90A9-4937-A59C-6CB6005329EF}"/>
    <cellStyle name="InputCells12 4 70" xfId="32167" xr:uid="{C7EA0CBF-51A8-49BD-BCC0-007D9F08E7BC}"/>
    <cellStyle name="InputCells12 4 8" xfId="1846" xr:uid="{ECE9C893-F2B9-4C21-9B60-DEF4C31C4F0F}"/>
    <cellStyle name="InputCells12 4 9" xfId="2316" xr:uid="{D4529C7F-95DF-4D41-BB48-6A34B0E80645}"/>
    <cellStyle name="InputCells12 5" xfId="73" xr:uid="{8C3FC201-9EAB-4B31-ABDE-C0C76DF6F3A8}"/>
    <cellStyle name="InputCells12 5 10" xfId="16125" xr:uid="{898FC4DA-5619-4462-87A7-5A1CCBC3827E}"/>
    <cellStyle name="InputCells12 5 11" xfId="17482" xr:uid="{20B79D4C-F90F-438C-86B3-56F4E57D92B4}"/>
    <cellStyle name="InputCells12 5 12" xfId="19458" xr:uid="{B3D47032-9E1B-453D-8E2D-10503C781A99}"/>
    <cellStyle name="InputCells12 5 13" xfId="22245" xr:uid="{D8F5D713-B53C-4564-8714-5E35FC3BDA52}"/>
    <cellStyle name="InputCells12 5 14" xfId="24179" xr:uid="{3C045AA2-75A5-4A13-A5F3-BC66831482A9}"/>
    <cellStyle name="InputCells12 5 15" xfId="25245" xr:uid="{F93D296D-DE9A-4EFA-8A93-5ED14CD9780B}"/>
    <cellStyle name="InputCells12 5 16" xfId="27972" xr:uid="{FE6E461D-1480-45AB-AA7E-A87CC25CCC0B}"/>
    <cellStyle name="InputCells12 5 17" xfId="31486" xr:uid="{ECA6251C-4406-49EC-848A-942FA7FC03A1}"/>
    <cellStyle name="InputCells12 5 2" xfId="918" xr:uid="{04249042-DF96-4AFD-AA6C-7C875F8FA97F}"/>
    <cellStyle name="InputCells12 5 3" xfId="1901" xr:uid="{E784F422-9201-4A57-BAE7-1CD01C4FDD62}"/>
    <cellStyle name="InputCells12 5 4" xfId="3343" xr:uid="{CC130645-4BF9-412B-B84B-36B26F5D6183}"/>
    <cellStyle name="InputCells12 5 5" xfId="4884" xr:uid="{D4DC8D6F-7909-4D43-A4D7-502635FE6DF3}"/>
    <cellStyle name="InputCells12 5 6" xfId="6814" xr:uid="{29CC8442-29C2-4220-ACED-682464A2F1F7}"/>
    <cellStyle name="InputCells12 5 7" xfId="8549" xr:uid="{88510C0A-BEED-47E8-B480-634A82DA1471}"/>
    <cellStyle name="InputCells12 5 8" xfId="9028" xr:uid="{D4B4577D-1E86-4D89-9E68-4FEF6ACBD956}"/>
    <cellStyle name="InputCells12 5 9" xfId="11433" xr:uid="{00DD92C6-7089-417A-98CE-59138E38DE76}"/>
    <cellStyle name="InputCells12_BBorder" xfId="26" xr:uid="{A548877D-CD0E-4EE1-AF8A-A48040FD15B0}"/>
    <cellStyle name="IntCells" xfId="146" xr:uid="{60A6EB5D-B81F-43AA-901F-0BD9FC364854}"/>
    <cellStyle name="KP_thin_border_dark_grey" xfId="36" xr:uid="{9A5D44AD-0AB4-4B47-919C-0306CE6B33EA}"/>
    <cellStyle name="Linked Cell 2" xfId="147" xr:uid="{7EE34B36-FC81-4D3C-AD66-5D6BCE5844C3}"/>
    <cellStyle name="Linked Cell 3" xfId="233" xr:uid="{CAC52111-5401-4ABF-A777-E2FBFCF25BD5}"/>
    <cellStyle name="Linked Cell 4" xfId="368" xr:uid="{B057DC18-DF59-4369-9A03-55AA4B8E5987}"/>
    <cellStyle name="Neutral 2" xfId="148" xr:uid="{5590DDE8-FE6C-4E52-B634-3385057E35ED}"/>
    <cellStyle name="Neutral 3" xfId="234" xr:uid="{76C3C4A1-ED08-4D0D-B83B-67799571E6AF}"/>
    <cellStyle name="Normaali 2" xfId="149" xr:uid="{EBC00AB2-6051-48C8-9A98-CA17581EE2BE}"/>
    <cellStyle name="Normaali 2 2" xfId="150" xr:uid="{E820EDC1-CFDC-4F9C-9BBC-A95DBCD7204B}"/>
    <cellStyle name="Normal" xfId="0" builtinId="0"/>
    <cellStyle name="Normal 10" xfId="371" xr:uid="{830A227B-37CB-4483-9101-5740DF03F2C8}"/>
    <cellStyle name="Normal 10 2" xfId="440" xr:uid="{8EA894EF-5AA3-4827-83A6-6BFD37D13D77}"/>
    <cellStyle name="Normal 11" xfId="399" xr:uid="{5ED62D92-C3EF-4341-B6AD-6D616C972F91}"/>
    <cellStyle name="Normal 11 2" xfId="441" xr:uid="{972F9425-232F-4796-9BCC-C33E4DAB7F2C}"/>
    <cellStyle name="Normal 12" xfId="510" xr:uid="{AAA54ADB-CA73-4FF1-BF32-B243FBA5D2AB}"/>
    <cellStyle name="Normal 12 2" xfId="670" xr:uid="{F8037825-F997-457D-A7C2-7840F3455A84}"/>
    <cellStyle name="Normal 13" xfId="31426" xr:uid="{60D849C8-45AB-44A0-9913-F8DB4936B683}"/>
    <cellStyle name="Normal 2" xfId="5" xr:uid="{91032084-917E-4CBC-A5C2-440FE949CDC0}"/>
    <cellStyle name="Normal 2 2" xfId="151" xr:uid="{83ECB069-8B74-4C1A-AAF5-96E825D6952A}"/>
    <cellStyle name="Normal 2 2 2" xfId="152" xr:uid="{5EBA34FB-0F27-410C-900B-C3BDF682C323}"/>
    <cellStyle name="Normal 2 3" xfId="153" xr:uid="{A7E81D7C-B4DD-45BC-84B1-E58556C8D26B}"/>
    <cellStyle name="Normal 2 3 2" xfId="421" xr:uid="{A98B3531-03BC-4817-B5E0-22A948C5B23D}"/>
    <cellStyle name="Normal 2 3 2 2" xfId="2243" xr:uid="{4D5164C6-BFD2-4347-83C8-D44B00A06E6D}"/>
    <cellStyle name="Normal 2 3 3" xfId="1980" xr:uid="{75C535EA-B623-48A3-A6E8-D1B86D98B191}"/>
    <cellStyle name="Normal 2 4" xfId="40" xr:uid="{CAC392B0-A231-44B0-A2FC-1F2A41F185D3}"/>
    <cellStyle name="Normal 3" xfId="1" xr:uid="{00000000-0005-0000-0000-000001000000}"/>
    <cellStyle name="Normal 3 2" xfId="154" xr:uid="{AD8EEC0E-57E3-42D1-BF2A-4BE9DDA55823}"/>
    <cellStyle name="Normal 3 2 2" xfId="41" xr:uid="{3861B005-A154-447E-90D0-2F22582F0768}"/>
    <cellStyle name="Normal 3 3" xfId="195" xr:uid="{DA5E2677-7BF1-4EC8-B4C9-CEC16C381A25}"/>
    <cellStyle name="Normal 3 4" xfId="357" xr:uid="{51E879DC-CABE-4CBB-B36C-A880625FF8B1}"/>
    <cellStyle name="Normal 3 5" xfId="37" xr:uid="{9AB6D151-1871-4D82-A3CF-54BE2DDEE62A}"/>
    <cellStyle name="Normal 4" xfId="155" xr:uid="{BB782A3A-132A-4DB6-BF5B-C3E87957D7F7}"/>
    <cellStyle name="Normal 4 2" xfId="156" xr:uid="{82727431-625B-4D3E-A899-0EAB8D80A418}"/>
    <cellStyle name="Normal 4 2 2" xfId="157" xr:uid="{7271FE33-47E9-4666-86D8-4FD1851D7FF7}"/>
    <cellStyle name="Normal 4 2 3" xfId="422" xr:uid="{F66C92D7-4D6F-4FC3-95F1-1FCF5D5DEB83}"/>
    <cellStyle name="Normal 4 3" xfId="196" xr:uid="{79911653-78A5-4DB1-AD6C-20C1430511AB}"/>
    <cellStyle name="Normal 4 3 2" xfId="423" xr:uid="{13EB3205-32CE-4864-A9D9-9BDC8B6F4BDA}"/>
    <cellStyle name="Normal 5" xfId="158" xr:uid="{8F237282-353E-4084-8431-EA2B02D17964}"/>
    <cellStyle name="Normal 5 2" xfId="289" xr:uid="{93B8A054-D2B6-4ABF-8A72-6A2CFFE77A0C}"/>
    <cellStyle name="Normal 5 2 2" xfId="296" xr:uid="{9919FE0D-7CDA-45CA-A79E-07408CD609C4}"/>
    <cellStyle name="Normal 5 2 2 2" xfId="302" xr:uid="{D93076A8-6485-445B-A42C-7E53349EEFEB}"/>
    <cellStyle name="Normal 5 2 2 2 2" xfId="317" xr:uid="{359AFC38-3583-447B-9490-15D9FE3A64A6}"/>
    <cellStyle name="Normal 5 2 2 2 2 2" xfId="446" xr:uid="{76930CAB-847A-4336-8662-36A7AFF8536B}"/>
    <cellStyle name="Normal 5 2 2 2 3" xfId="445" xr:uid="{B1495AEC-5F2D-4582-8C2A-AECC774C7A6E}"/>
    <cellStyle name="Normal 5 2 2 3" xfId="316" xr:uid="{5AAA4E7B-D0C1-4F5A-BF13-3DE7EB763F2E}"/>
    <cellStyle name="Normal 5 2 2 3 2" xfId="447" xr:uid="{4DC33795-7126-4E2F-94D0-E1FCEC6BCBC9}"/>
    <cellStyle name="Normal 5 2 2 4" xfId="444" xr:uid="{5BB3B97C-7F59-4588-8FE6-B6F9CEA779D4}"/>
    <cellStyle name="Normal 5 2 3" xfId="301" xr:uid="{8EE9746C-4B47-47CC-8D54-41F359011B4D}"/>
    <cellStyle name="Normal 5 2 3 2" xfId="318" xr:uid="{050007AF-A4FE-442D-BA6E-E93829EFD11C}"/>
    <cellStyle name="Normal 5 2 3 2 2" xfId="449" xr:uid="{AE1C602E-7852-4A70-972D-F2E7B5EF2BBE}"/>
    <cellStyle name="Normal 5 2 3 3" xfId="448" xr:uid="{F12E0D49-42FF-4F01-99CE-769A516847D7}"/>
    <cellStyle name="Normal 5 2 4" xfId="315" xr:uid="{3ABFBF82-A53D-4160-BB4D-108B3FC2CCAA}"/>
    <cellStyle name="Normal 5 2 4 2" xfId="450" xr:uid="{6EFA785F-F0ED-4775-897D-8C6066089775}"/>
    <cellStyle name="Normal 5 2 5" xfId="424" xr:uid="{D1DEDE17-3EF5-45A8-8705-39F4C6409860}"/>
    <cellStyle name="Normal 5 2 5 2" xfId="451" xr:uid="{F275E865-CEE1-4DD0-8884-7ACEC4A5FC49}"/>
    <cellStyle name="Normal 5 2 6" xfId="443" xr:uid="{B42F8FFC-5242-4E60-A429-F7291507EC1B}"/>
    <cellStyle name="Normal 5 3" xfId="293" xr:uid="{A602D451-A0D8-4D33-8A46-54527D5D9A28}"/>
    <cellStyle name="Normal 5 3 2" xfId="303" xr:uid="{2A0C2A5E-262D-4F6E-9101-F72D789132FC}"/>
    <cellStyle name="Normal 5 3 2 2" xfId="320" xr:uid="{D5D4E6E5-DE2E-47FD-A26B-AE86E8C1E2E7}"/>
    <cellStyle name="Normal 5 3 2 2 2" xfId="454" xr:uid="{016F9E56-1D29-4FAA-A7F1-7C002B10B205}"/>
    <cellStyle name="Normal 5 3 2 3" xfId="453" xr:uid="{DED3EB29-E5AA-4434-89FB-C900169BD428}"/>
    <cellStyle name="Normal 5 3 3" xfId="319" xr:uid="{0ADF63DB-6980-4662-948B-B74C8FAF61C9}"/>
    <cellStyle name="Normal 5 3 3 2" xfId="455" xr:uid="{91DFB202-D06E-4123-8530-AEF672543B8F}"/>
    <cellStyle name="Normal 5 3 4" xfId="452" xr:uid="{AC0DA96C-79CE-4554-85C3-363E5F129053}"/>
    <cellStyle name="Normal 5 4" xfId="300" xr:uid="{58087C44-ED8E-4D99-8529-94AAAE92F2A2}"/>
    <cellStyle name="Normal 5 4 2" xfId="321" xr:uid="{A2249AFB-6980-4ED0-B83E-2934E8EB26DB}"/>
    <cellStyle name="Normal 5 4 2 2" xfId="457" xr:uid="{B1CC5BCE-DF4F-4F3D-B901-664193F672E1}"/>
    <cellStyle name="Normal 5 4 3" xfId="456" xr:uid="{46C0E625-3DB1-48DE-87AE-57118F0A261C}"/>
    <cellStyle name="Normal 5 5" xfId="314" xr:uid="{39457B5E-1858-4816-8E99-8890FBBAA1A8}"/>
    <cellStyle name="Normal 5 5 2" xfId="458" xr:uid="{DDB08CE7-9DA8-4944-87B1-1F437C430466}"/>
    <cellStyle name="Normal 5 6" xfId="358" xr:uid="{438968F2-EB56-4321-9D16-9E7FC6E6B38B}"/>
    <cellStyle name="Normal 5 7" xfId="442" xr:uid="{986F4432-37BB-43B0-9458-09ADFAECFDD8}"/>
    <cellStyle name="Normal 5 8" xfId="280" xr:uid="{9E00E9F7-A841-4058-9B76-B65426616FA8}"/>
    <cellStyle name="Normal 6" xfId="159" xr:uid="{E61F29B1-D3E4-4FF7-8771-F48F7EE3341B}"/>
    <cellStyle name="Normal 6 10" xfId="425" xr:uid="{D12C1F6E-9132-42FD-BDB9-0E0BB3DE255C}"/>
    <cellStyle name="Normal 6 10 2" xfId="460" xr:uid="{A0DF9630-2B0E-4DF0-8531-21553A1676AE}"/>
    <cellStyle name="Normal 6 11" xfId="459" xr:uid="{A3A86156-42C3-4153-8737-B2BAB7217541}"/>
    <cellStyle name="Normal 6 2" xfId="290" xr:uid="{308FA2C4-8526-48AD-AA17-11CEE7F49A80}"/>
    <cellStyle name="Normal 6 2 2" xfId="297" xr:uid="{E66EBEE0-A848-46C7-9780-155EC4394347}"/>
    <cellStyle name="Normal 6 2 2 2" xfId="306" xr:uid="{8EC0D0B7-EB7D-4BD5-AB5A-19C5007A53D9}"/>
    <cellStyle name="Normal 6 2 2 2 2" xfId="325" xr:uid="{C531E324-B883-4F87-8B09-9694922A5905}"/>
    <cellStyle name="Normal 6 2 2 2 2 2" xfId="464" xr:uid="{3A691EAA-C975-4C37-A882-B33335B04EBD}"/>
    <cellStyle name="Normal 6 2 2 2 3" xfId="463" xr:uid="{C92C781E-1DC7-476D-8093-FE9BDA1D7294}"/>
    <cellStyle name="Normal 6 2 2 3" xfId="324" xr:uid="{651A1212-6A50-41F2-8041-45BCDD7F3BA7}"/>
    <cellStyle name="Normal 6 2 2 3 2" xfId="465" xr:uid="{3ACF6614-4F53-4419-96F8-9ED00F6843CA}"/>
    <cellStyle name="Normal 6 2 2 4" xfId="462" xr:uid="{1BCD7A1B-BA73-4209-B8E3-E983F5C22A71}"/>
    <cellStyle name="Normal 6 2 3" xfId="305" xr:uid="{4FDB9BEA-ABF3-465C-89E7-D6DDDEC45F90}"/>
    <cellStyle name="Normal 6 2 3 2" xfId="326" xr:uid="{98914965-D641-41A1-82EA-041F3BE053E6}"/>
    <cellStyle name="Normal 6 2 3 2 2" xfId="467" xr:uid="{9FD1C3A8-04D9-45CE-BC08-2738E606B8FE}"/>
    <cellStyle name="Normal 6 2 3 3" xfId="466" xr:uid="{CC111367-9A24-458B-AB90-EBB4E456CF68}"/>
    <cellStyle name="Normal 6 2 4" xfId="323" xr:uid="{67781670-E671-4B47-9347-4BBD880C23C4}"/>
    <cellStyle name="Normal 6 2 4 2" xfId="468" xr:uid="{8646FDD6-3118-4C47-BA18-B765C72181CA}"/>
    <cellStyle name="Normal 6 2 5" xfId="426" xr:uid="{30C1CF9F-4B94-46BD-9618-767EA2051239}"/>
    <cellStyle name="Normal 6 2 5 2" xfId="469" xr:uid="{2833F69A-7C03-48D0-A20F-D73C0AD69B4D}"/>
    <cellStyle name="Normal 6 2 6" xfId="461" xr:uid="{3A0D064A-9D02-4483-8883-7E86C58CA4B0}"/>
    <cellStyle name="Normal 6 3" xfId="292" xr:uid="{EBEC68F0-0844-4935-B828-7A77589CE24A}"/>
    <cellStyle name="Normal 6 3 2" xfId="299" xr:uid="{59E78793-D313-41E5-B72B-FE832674D26C}"/>
    <cellStyle name="Normal 6 3 2 2" xfId="308" xr:uid="{771D9D44-7415-4087-93FD-B1D2548FA0BC}"/>
    <cellStyle name="Normal 6 3 2 2 2" xfId="329" xr:uid="{4A905138-D62A-4B21-8203-7F4BE8EE20A6}"/>
    <cellStyle name="Normal 6 3 2 2 2 2" xfId="473" xr:uid="{31042D9C-B245-44A6-BF11-9C16DFF4B160}"/>
    <cellStyle name="Normal 6 3 2 2 3" xfId="472" xr:uid="{04931410-A1B6-4093-B9C5-1442AF13F4DE}"/>
    <cellStyle name="Normal 6 3 2 3" xfId="328" xr:uid="{C22A4A5A-5CF6-46D5-A0A8-14819D4BD554}"/>
    <cellStyle name="Normal 6 3 2 3 2" xfId="474" xr:uid="{19DF7FE4-2312-49F9-AE16-7BAB338E8FF8}"/>
    <cellStyle name="Normal 6 3 2 4" xfId="471" xr:uid="{BA02C17C-A070-4D9B-837A-E815751F00C0}"/>
    <cellStyle name="Normal 6 3 3" xfId="307" xr:uid="{2FDC6F3D-5479-4E55-A4AF-3A3C7E75DE3A}"/>
    <cellStyle name="Normal 6 3 3 2" xfId="330" xr:uid="{9AD4785C-AE0F-4062-A2FA-66B5F7D49B46}"/>
    <cellStyle name="Normal 6 3 3 2 2" xfId="476" xr:uid="{DB7FA24F-9815-44F6-9A3C-828F467DC29A}"/>
    <cellStyle name="Normal 6 3 3 3" xfId="475" xr:uid="{68EC3157-07A8-44C1-8EA9-8F9B6110203F}"/>
    <cellStyle name="Normal 6 3 4" xfId="327" xr:uid="{272AB0AA-63CF-47C6-A874-19E1DFCC11E3}"/>
    <cellStyle name="Normal 6 3 4 2" xfId="477" xr:uid="{EC016FA7-5189-49C3-B740-CE0051ADBDF1}"/>
    <cellStyle name="Normal 6 3 5" xfId="470" xr:uid="{E30C6FD9-1556-4C18-B3F1-CADFBE5309C3}"/>
    <cellStyle name="Normal 6 4" xfId="294" xr:uid="{BFD2E210-B4B1-490D-9965-A959DD8529D6}"/>
    <cellStyle name="Normal 6 4 2" xfId="309" xr:uid="{61C1E179-5844-4533-BDFB-87BECFEEF4E9}"/>
    <cellStyle name="Normal 6 4 2 2" xfId="332" xr:uid="{42EB4C27-8689-4A6F-B97F-60330BA39D1D}"/>
    <cellStyle name="Normal 6 4 2 2 2" xfId="480" xr:uid="{5774BB8A-1EC9-4E43-8608-A9E7416587D5}"/>
    <cellStyle name="Normal 6 4 2 3" xfId="479" xr:uid="{AB223AA7-1F87-4E29-B37C-2C0AEB336CB3}"/>
    <cellStyle name="Normal 6 4 3" xfId="331" xr:uid="{D9E9449F-8D4C-4B5D-BABC-65A4473557C4}"/>
    <cellStyle name="Normal 6 4 3 2" xfId="481" xr:uid="{2B02EDAC-C9CC-4DA6-8C0B-7322E919D254}"/>
    <cellStyle name="Normal 6 4 4" xfId="478" xr:uid="{9B0719DF-37AC-454D-8193-F65AAB9858AA}"/>
    <cellStyle name="Normal 6 5" xfId="304" xr:uid="{274C4AD4-7365-4C7C-B5D6-C7935E163C6D}"/>
    <cellStyle name="Normal 6 5 2" xfId="333" xr:uid="{A318CB62-0DC2-4441-81A1-585270717554}"/>
    <cellStyle name="Normal 6 5 2 2" xfId="483" xr:uid="{8E5F365B-5B7C-4524-B409-1CB4B545F988}"/>
    <cellStyle name="Normal 6 5 3" xfId="482" xr:uid="{D82442DA-8643-44AB-A31A-5678F4D9780F}"/>
    <cellStyle name="Normal 6 6" xfId="322" xr:uid="{45721E1C-DD49-46A4-8597-6106D4B10DAD}"/>
    <cellStyle name="Normal 6 6 2" xfId="484" xr:uid="{75298F91-C3B9-4F95-9E0E-EC4C50D0C666}"/>
    <cellStyle name="Normal 6 7" xfId="359" xr:uid="{FD6BD21E-7430-496A-A7E2-87407F330806}"/>
    <cellStyle name="Normal 6 7 2" xfId="485" xr:uid="{69F4D824-8F82-438B-931B-196E1BEF5D87}"/>
    <cellStyle name="Normal 6 8" xfId="395" xr:uid="{60F05EB2-6453-46F2-827A-BA4643AC9477}"/>
    <cellStyle name="Normal 6 8 2" xfId="486" xr:uid="{3216BD90-E3E6-4764-8108-498DD06E7747}"/>
    <cellStyle name="Normal 6 9" xfId="398" xr:uid="{6C7F9437-3FE7-47DA-9C5E-9FF2B21F4276}"/>
    <cellStyle name="Normal 6 9 2" xfId="487" xr:uid="{BDF39223-EE15-454A-8B3A-0BE26C388571}"/>
    <cellStyle name="Normal 7" xfId="35" xr:uid="{1FB27423-ABE3-479A-86C0-39983D5EB1E3}"/>
    <cellStyle name="Normal 7 2" xfId="291" xr:uid="{FF538993-F6FD-48D9-86B9-9C8CBBA2CCA2}"/>
    <cellStyle name="Normal 7 2 2" xfId="298" xr:uid="{425A6701-8679-4E4E-8906-7B2381E15285}"/>
    <cellStyle name="Normal 7 2 2 2" xfId="312" xr:uid="{00510D07-3F9A-4244-BB8C-344038323E36}"/>
    <cellStyle name="Normal 7 2 2 2 2" xfId="337" xr:uid="{BF3316FE-AF1F-43E2-940D-521674212493}"/>
    <cellStyle name="Normal 7 2 2 2 2 2" xfId="492" xr:uid="{8ECD9C63-85DE-41A2-8975-C76F97D1ECB6}"/>
    <cellStyle name="Normal 7 2 2 2 3" xfId="491" xr:uid="{A818C8AB-F0A3-4EDE-A59B-9B0190E71478}"/>
    <cellStyle name="Normal 7 2 2 3" xfId="336" xr:uid="{DF63BE66-CD45-4CDA-B8C3-18F813CEB798}"/>
    <cellStyle name="Normal 7 2 2 3 2" xfId="493" xr:uid="{4D403E1F-1E45-41D3-91CA-635FD5CA95FA}"/>
    <cellStyle name="Normal 7 2 2 4" xfId="490" xr:uid="{A7C980E1-113B-4058-BF69-2810AD15590F}"/>
    <cellStyle name="Normal 7 2 3" xfId="311" xr:uid="{D995DF0D-761A-4401-B671-F168A7F43FA5}"/>
    <cellStyle name="Normal 7 2 3 2" xfId="338" xr:uid="{8C45E9A8-B91A-4C0F-863D-CE95EB93EC62}"/>
    <cellStyle name="Normal 7 2 3 2 2" xfId="495" xr:uid="{F07B24D2-FF5A-40CC-898E-BB483E6352DD}"/>
    <cellStyle name="Normal 7 2 3 3" xfId="494" xr:uid="{80446933-BF64-4E88-A4FA-879C7B51A1EF}"/>
    <cellStyle name="Normal 7 2 4" xfId="335" xr:uid="{AA47B84B-5103-4483-8A66-05473C16D23E}"/>
    <cellStyle name="Normal 7 2 4 2" xfId="496" xr:uid="{88DDB9E5-7503-42E5-8D81-9D5AF70E8534}"/>
    <cellStyle name="Normal 7 2 5" xfId="427" xr:uid="{1CF2CA7B-D5CD-48B3-93DE-7B5C4F4BE793}"/>
    <cellStyle name="Normal 7 2 5 2" xfId="497" xr:uid="{47A3E3E9-A570-4C25-AF02-8E2BCF3AD7C7}"/>
    <cellStyle name="Normal 7 2 6" xfId="489" xr:uid="{D9E2A0AB-4AEC-4B0F-A5BD-CB072DA4DA34}"/>
    <cellStyle name="Normal 7 3" xfId="295" xr:uid="{C5A0E816-2950-4EC4-825B-E33D9808AD29}"/>
    <cellStyle name="Normal 7 3 2" xfId="313" xr:uid="{72C7ED50-B098-44D8-84CC-6372E27A1C1D}"/>
    <cellStyle name="Normal 7 3 2 2" xfId="340" xr:uid="{AB8ABB99-65F5-452B-8FB2-7CD294CA63C3}"/>
    <cellStyle name="Normal 7 3 2 2 2" xfId="500" xr:uid="{9F1D5C13-2C46-4C5A-BE93-940A9822E9B0}"/>
    <cellStyle name="Normal 7 3 2 3" xfId="499" xr:uid="{26D56F72-FCE0-46D2-AE19-D6A5E866AF6C}"/>
    <cellStyle name="Normal 7 3 3" xfId="339" xr:uid="{02124AFF-BD5D-4091-AE5C-741017953BFB}"/>
    <cellStyle name="Normal 7 3 3 2" xfId="501" xr:uid="{7F59BC1F-00C9-4685-BCCE-23AFAFA655A4}"/>
    <cellStyle name="Normal 7 3 4" xfId="498" xr:uid="{2FB00E75-9971-4C2A-B3F3-78FE90EB0D45}"/>
    <cellStyle name="Normal 7 4" xfId="310" xr:uid="{722B6A4B-3692-420A-B4C0-6881CDA4BD32}"/>
    <cellStyle name="Normal 7 4 2" xfId="341" xr:uid="{64567387-5B5C-4115-8647-AAA46EDA287B}"/>
    <cellStyle name="Normal 7 4 2 2" xfId="503" xr:uid="{FF9987E7-F7C8-411D-9FDA-C3CA33119C2A}"/>
    <cellStyle name="Normal 7 4 3" xfId="502" xr:uid="{4F9302ED-F5CE-4030-99A5-F520AF0AE6E9}"/>
    <cellStyle name="Normal 7 5" xfId="334" xr:uid="{856480C4-F222-4F21-B24B-4F38AA9E8E94}"/>
    <cellStyle name="Normal 7 5 2" xfId="504" xr:uid="{C67562C5-EE5F-4DC9-A861-6092845A7D97}"/>
    <cellStyle name="Normal 7 6" xfId="347" xr:uid="{0F2BB43D-A8EF-4BE6-8183-424DCA931577}"/>
    <cellStyle name="Normal 7 7" xfId="488" xr:uid="{64E21DC8-5CD8-4716-B6AA-A0CFE94A366A}"/>
    <cellStyle name="Normal 7 8" xfId="288" xr:uid="{ACED72C8-0778-4EB7-ACB3-23FEB856FA41}"/>
    <cellStyle name="Normal 8" xfId="235" xr:uid="{0EDC839C-2D56-45FB-8175-7B0CAA5FD459}"/>
    <cellStyle name="Normal 8 2" xfId="429" xr:uid="{3927BB9F-0B00-460A-B727-1D557657E0D3}"/>
    <cellStyle name="Normal 8 3" xfId="428" xr:uid="{1A2C11F6-D2DF-4142-BBF0-1CE0C406DDF5}"/>
    <cellStyle name="Normal 9" xfId="342" xr:uid="{DCAA7AA7-DED5-43E5-93BD-729BF5C6342D}"/>
    <cellStyle name="Normal 9 2" xfId="505" xr:uid="{D9EBC724-65D7-4F4D-B8F5-ED1CCCE356D3}"/>
    <cellStyle name="Normal GHG Numbers (0.00)" xfId="160" xr:uid="{F951F8D5-251D-4848-98BF-9233A0DA7C3C}"/>
    <cellStyle name="Normal GHG Numbers (0.00) 2" xfId="161" xr:uid="{4832CD5B-AAF2-4B1B-9EAE-3DD274AB962E}"/>
    <cellStyle name="Normal GHG Numbers (0.00) 3" xfId="38" xr:uid="{0DA708F6-3F69-4DAB-9AFC-E8EAC849D768}"/>
    <cellStyle name="Normal GHG Numbers (0.00) 3 2" xfId="430" xr:uid="{D2E78790-3A2B-4D55-A052-DC2E3E04EFF2}"/>
    <cellStyle name="Normal GHG Numbers (0.00) 3 2 2" xfId="579" xr:uid="{EE54812B-4DBC-49AE-806C-26BF145C52BB}"/>
    <cellStyle name="Normal GHG Numbers (0.00) 3 2 2 10" xfId="4767" xr:uid="{120341FA-1BBA-4EFE-B983-427036190683}"/>
    <cellStyle name="Normal GHG Numbers (0.00) 3 2 2 11" xfId="5227" xr:uid="{DDAFC8B8-E6C9-4D07-A7F0-278C10BA16C5}"/>
    <cellStyle name="Normal GHG Numbers (0.00) 3 2 2 12" xfId="3585" xr:uid="{321149B1-C269-4D7E-A735-E8F30E66B115}"/>
    <cellStyle name="Normal GHG Numbers (0.00) 3 2 2 13" xfId="6330" xr:uid="{7045FA6A-9F64-4E46-B092-268D24FE6424}"/>
    <cellStyle name="Normal GHG Numbers (0.00) 3 2 2 14" xfId="5724" xr:uid="{D0AEDAA4-0608-4AC7-9F2B-916C657E43AF}"/>
    <cellStyle name="Normal GHG Numbers (0.00) 3 2 2 15" xfId="7299" xr:uid="{9D288505-2A93-4B17-81D3-1A66CCEB66CD}"/>
    <cellStyle name="Normal GHG Numbers (0.00) 3 2 2 16" xfId="7841" xr:uid="{0CF327AD-CFE5-49DF-B1B9-E9924E22660E}"/>
    <cellStyle name="Normal GHG Numbers (0.00) 3 2 2 17" xfId="8375" xr:uid="{BA14C83D-2B16-4713-9B3A-4AABBF1BE6D7}"/>
    <cellStyle name="Normal GHG Numbers (0.00) 3 2 2 18" xfId="8337" xr:uid="{FC8A266C-3565-4273-9A30-51D3CC607990}"/>
    <cellStyle name="Normal GHG Numbers (0.00) 3 2 2 19" xfId="9513" xr:uid="{84F382F4-9985-4204-865F-A5127A68629A}"/>
    <cellStyle name="Normal GHG Numbers (0.00) 3 2 2 2" xfId="794" xr:uid="{5D703A99-7032-4FBF-9DE2-CABA8D771818}"/>
    <cellStyle name="Normal GHG Numbers (0.00) 3 2 2 2 10" xfId="5442" xr:uid="{8FE6221A-C397-4926-91DB-179C292C85EB}"/>
    <cellStyle name="Normal GHG Numbers (0.00) 3 2 2 2 11" xfId="5702" xr:uid="{3ABFBC38-A9BC-473E-B665-1086C55E891C}"/>
    <cellStyle name="Normal GHG Numbers (0.00) 3 2 2 2 12" xfId="5550" xr:uid="{472CC988-B0B9-43C7-B225-48AE0878004A}"/>
    <cellStyle name="Normal GHG Numbers (0.00) 3 2 2 2 13" xfId="6253" xr:uid="{EB98420F-9A2F-4BBD-972A-05E97D529E4F}"/>
    <cellStyle name="Normal GHG Numbers (0.00) 3 2 2 2 14" xfId="7514" xr:uid="{68BA86B2-AE90-4D90-B87A-816A75EB555F}"/>
    <cellStyle name="Normal GHG Numbers (0.00) 3 2 2 2 15" xfId="7845" xr:uid="{6F6BE4BA-F83D-4B69-AE20-ED48D3259869}"/>
    <cellStyle name="Normal GHG Numbers (0.00) 3 2 2 2 16" xfId="8615" xr:uid="{BB0104E2-1F90-4544-A10B-90E7F5267717}"/>
    <cellStyle name="Normal GHG Numbers (0.00) 3 2 2 2 17" xfId="8730" xr:uid="{D896D0E8-9B32-44CF-B859-AFF531A5A611}"/>
    <cellStyle name="Normal GHG Numbers (0.00) 3 2 2 2 18" xfId="9728" xr:uid="{FD25AFA3-0908-4E44-810C-562338571CA7}"/>
    <cellStyle name="Normal GHG Numbers (0.00) 3 2 2 2 19" xfId="10057" xr:uid="{31BB35D9-6960-4D97-BB4A-AC612D099D3E}"/>
    <cellStyle name="Normal GHG Numbers (0.00) 3 2 2 2 2" xfId="1268" xr:uid="{5D84533C-3F8B-469C-B76B-36278666384B}"/>
    <cellStyle name="Normal GHG Numbers (0.00) 3 2 2 2 20" xfId="10477" xr:uid="{717EA920-DB1E-4ACB-AFEF-0F3233A495FB}"/>
    <cellStyle name="Normal GHG Numbers (0.00) 3 2 2 2 21" xfId="10721" xr:uid="{D35B653F-C426-4785-9224-679F30AD2AF7}"/>
    <cellStyle name="Normal GHG Numbers (0.00) 3 2 2 2 22" xfId="11213" xr:uid="{A6356E46-5499-4100-8150-3DCCD38C97E0}"/>
    <cellStyle name="Normal GHG Numbers (0.00) 3 2 2 2 23" xfId="12147" xr:uid="{C5A43C8B-09BE-4E3B-AF5F-A4DEEB9C9785}"/>
    <cellStyle name="Normal GHG Numbers (0.00) 3 2 2 2 24" xfId="12620" xr:uid="{1F9282BC-74B8-45B4-8932-02B1A7D5C18A}"/>
    <cellStyle name="Normal GHG Numbers (0.00) 3 2 2 2 25" xfId="13054" xr:uid="{59EDFF80-3426-4AE8-B3E0-0D7D168B86A1}"/>
    <cellStyle name="Normal GHG Numbers (0.00) 3 2 2 2 26" xfId="13491" xr:uid="{CC3FC1FA-4417-493A-AC71-C5E48C6DF872}"/>
    <cellStyle name="Normal GHG Numbers (0.00) 3 2 2 2 27" xfId="11611" xr:uid="{5AB14F8E-77B5-4C98-A2A2-8360A91BE6CE}"/>
    <cellStyle name="Normal GHG Numbers (0.00) 3 2 2 2 28" xfId="14031" xr:uid="{16CC8C1A-07CF-4DE1-B516-75055933F715}"/>
    <cellStyle name="Normal GHG Numbers (0.00) 3 2 2 2 29" xfId="14711" xr:uid="{AE10565F-21D3-4CE8-9669-ED9407D5C2D3}"/>
    <cellStyle name="Normal GHG Numbers (0.00) 3 2 2 2 3" xfId="1505" xr:uid="{FBBB8F22-6B53-47B1-9F1F-1B8EF2F324BB}"/>
    <cellStyle name="Normal GHG Numbers (0.00) 3 2 2 2 30" xfId="15006" xr:uid="{DC0C41FB-4D12-43CC-9EB6-B176B7C0885B}"/>
    <cellStyle name="Normal GHG Numbers (0.00) 3 2 2 2 31" xfId="13677" xr:uid="{DCFBB973-4BEB-430A-9EF0-D21B4E9A67AC}"/>
    <cellStyle name="Normal GHG Numbers (0.00) 3 2 2 2 32" xfId="15887" xr:uid="{CDC85D6B-EE61-4729-B56B-7331C8EB3C9B}"/>
    <cellStyle name="Normal GHG Numbers (0.00) 3 2 2 2 33" xfId="16839" xr:uid="{2FD62F81-EBD5-4A3E-9FA8-8B8F41982E0A}"/>
    <cellStyle name="Normal GHG Numbers (0.00) 3 2 2 2 34" xfId="17175" xr:uid="{3FD552C9-F33E-4989-A71B-44A447525EBC}"/>
    <cellStyle name="Normal GHG Numbers (0.00) 3 2 2 2 35" xfId="17620" xr:uid="{6C1470A5-79DB-4843-AA66-1CFC80A94428}"/>
    <cellStyle name="Normal GHG Numbers (0.00) 3 2 2 2 36" xfId="18115" xr:uid="{1680E49F-CE48-4446-B7EB-3751D19132BB}"/>
    <cellStyle name="Normal GHG Numbers (0.00) 3 2 2 2 37" xfId="18657" xr:uid="{34706FD9-B402-4AFC-B4BF-719906B958E6}"/>
    <cellStyle name="Normal GHG Numbers (0.00) 3 2 2 2 38" xfId="18839" xr:uid="{B034B343-52C5-406C-9E89-E313AF983318}"/>
    <cellStyle name="Normal GHG Numbers (0.00) 3 2 2 2 39" xfId="19311" xr:uid="{F1F9BC85-004B-4DBA-BEBA-417A47542B2F}"/>
    <cellStyle name="Normal GHG Numbers (0.00) 3 2 2 2 4" xfId="2616" xr:uid="{2335E46A-FEDC-4238-B93C-F91BC3A166A0}"/>
    <cellStyle name="Normal GHG Numbers (0.00) 3 2 2 2 40" xfId="20176" xr:uid="{C0A7EE23-1266-4671-9B44-098CA0B74D4D}"/>
    <cellStyle name="Normal GHG Numbers (0.00) 3 2 2 2 41" xfId="20527" xr:uid="{FAE22938-B3A2-4823-BD52-5038BDF8064F}"/>
    <cellStyle name="Normal GHG Numbers (0.00) 3 2 2 2 42" xfId="20980" xr:uid="{45CED5DF-38A7-4216-8A1B-442DF235062D}"/>
    <cellStyle name="Normal GHG Numbers (0.00) 3 2 2 2 43" xfId="20872" xr:uid="{F191ABFB-C765-4DE4-A175-446666843F18}"/>
    <cellStyle name="Normal GHG Numbers (0.00) 3 2 2 2 44" xfId="21911" xr:uid="{AB4FA269-682B-4F0B-97CE-A52C9745716A}"/>
    <cellStyle name="Normal GHG Numbers (0.00) 3 2 2 2 45" xfId="22345" xr:uid="{74C18159-42BF-4DBB-99BF-EA9F7C35DB32}"/>
    <cellStyle name="Normal GHG Numbers (0.00) 3 2 2 2 46" xfId="21726" xr:uid="{DDFB7504-FFA6-433E-9FF3-A6D0EE28C879}"/>
    <cellStyle name="Normal GHG Numbers (0.00) 3 2 2 2 47" xfId="23114" xr:uid="{09A58007-AE61-4FD5-9058-38466E1A8A2F}"/>
    <cellStyle name="Normal GHG Numbers (0.00) 3 2 2 2 48" xfId="23623" xr:uid="{1013A6F5-C8EF-4E0B-906F-AC39EBD4A621}"/>
    <cellStyle name="Normal GHG Numbers (0.00) 3 2 2 2 49" xfId="23976" xr:uid="{57B4F3BD-92C6-45A6-9F90-42212AA7534B}"/>
    <cellStyle name="Normal GHG Numbers (0.00) 3 2 2 2 5" xfId="2197" xr:uid="{2D1992D2-BC94-419C-82A7-4090C20F1C3D}"/>
    <cellStyle name="Normal GHG Numbers (0.00) 3 2 2 2 50" xfId="24884" xr:uid="{AD2AF282-ECD3-49F6-B916-0B4419A35DBB}"/>
    <cellStyle name="Normal GHG Numbers (0.00) 3 2 2 2 51" xfId="25236" xr:uid="{D3656951-A60E-492B-9B62-C7EB655E81C4}"/>
    <cellStyle name="Normal GHG Numbers (0.00) 3 2 2 2 52" xfId="25800" xr:uid="{C190EBCE-B549-4DEB-ADE5-BF6E3FFA0682}"/>
    <cellStyle name="Normal GHG Numbers (0.00) 3 2 2 2 53" xfId="25288" xr:uid="{E2EFE2EF-C4E2-4F17-ACB4-5EE1ED169C85}"/>
    <cellStyle name="Normal GHG Numbers (0.00) 3 2 2 2 54" xfId="26128" xr:uid="{6E0BCD28-1E0A-4A56-ABCD-7F634174EE03}"/>
    <cellStyle name="Normal GHG Numbers (0.00) 3 2 2 2 55" xfId="27088" xr:uid="{2FF3C929-A53E-442E-A436-FBB087D00219}"/>
    <cellStyle name="Normal GHG Numbers (0.00) 3 2 2 2 56" xfId="27507" xr:uid="{7FFCC206-3D44-49FE-B4CE-AB36A11BEF54}"/>
    <cellStyle name="Normal GHG Numbers (0.00) 3 2 2 2 57" xfId="26586" xr:uid="{D7CDCBAE-5209-4776-A2FA-C92D0DA34712}"/>
    <cellStyle name="Normal GHG Numbers (0.00) 3 2 2 2 58" xfId="28634" xr:uid="{4846BA68-5411-4933-86C0-5EA2B38F10AA}"/>
    <cellStyle name="Normal GHG Numbers (0.00) 3 2 2 2 59" xfId="29101" xr:uid="{69B262C8-346D-4095-A1D3-50D43209C144}"/>
    <cellStyle name="Normal GHG Numbers (0.00) 3 2 2 2 6" xfId="3709" xr:uid="{779AF32F-02FC-449C-88E7-FAB2CB62841C}"/>
    <cellStyle name="Normal GHG Numbers (0.00) 3 2 2 2 60" xfId="29375" xr:uid="{50F62031-2B02-4BB4-A966-6F5A3F3DDF39}"/>
    <cellStyle name="Normal GHG Numbers (0.00) 3 2 2 2 61" xfId="29890" xr:uid="{C5E51149-C268-49A6-A000-9F37EEBDA86C}"/>
    <cellStyle name="Normal GHG Numbers (0.00) 3 2 2 2 62" xfId="30296" xr:uid="{2AFE76D0-4A25-4BC2-863C-A163909B640D}"/>
    <cellStyle name="Normal GHG Numbers (0.00) 3 2 2 2 63" xfId="30713" xr:uid="{4586A2CB-9EAE-4058-B571-9711EEEC10A0}"/>
    <cellStyle name="Normal GHG Numbers (0.00) 3 2 2 2 64" xfId="30409" xr:uid="{144F01A6-C5D3-45CC-B396-D1AF5B1E6D15}"/>
    <cellStyle name="Normal GHG Numbers (0.00) 3 2 2 2 65" xfId="31329" xr:uid="{11E5DDA1-94CC-42B3-A502-8615FF9431BF}"/>
    <cellStyle name="Normal GHG Numbers (0.00) 3 2 2 2 66" xfId="32020" xr:uid="{80C0EA90-37BC-4AB5-9417-E6A2A94DA3F2}"/>
    <cellStyle name="Normal GHG Numbers (0.00) 3 2 2 2 67" xfId="32217" xr:uid="{D8C7E000-82BF-45A2-8AC8-E843F3BD19A6}"/>
    <cellStyle name="Normal GHG Numbers (0.00) 3 2 2 2 7" xfId="4112" xr:uid="{8508F016-4D87-46CA-B1D1-83EF962A78FB}"/>
    <cellStyle name="Normal GHG Numbers (0.00) 3 2 2 2 8" xfId="4549" xr:uid="{459CE134-0802-4337-A9CB-2C8482061A52}"/>
    <cellStyle name="Normal GHG Numbers (0.00) 3 2 2 2 9" xfId="4241" xr:uid="{B20D3C17-8D62-4C29-94CE-CB5EE19A93CF}"/>
    <cellStyle name="Normal GHG Numbers (0.00) 3 2 2 20" xfId="10053" xr:uid="{525192D1-A387-4BD4-97F3-DCBD7B1448C6}"/>
    <cellStyle name="Normal GHG Numbers (0.00) 3 2 2 21" xfId="10473" xr:uid="{7646CD82-2FC5-409D-8613-ABDA0132F212}"/>
    <cellStyle name="Normal GHG Numbers (0.00) 3 2 2 22" xfId="9346" xr:uid="{75C058E2-20AA-4B7C-8FC7-803B41E65F51}"/>
    <cellStyle name="Normal GHG Numbers (0.00) 3 2 2 23" xfId="11038" xr:uid="{1EA9A278-4EDB-451F-8CF1-72F693923EE1}"/>
    <cellStyle name="Normal GHG Numbers (0.00) 3 2 2 24" xfId="11932" xr:uid="{DE70A118-A57C-452A-8914-114BA7A9C78F}"/>
    <cellStyle name="Normal GHG Numbers (0.00) 3 2 2 25" xfId="12405" xr:uid="{5F8DCEE3-706C-4B98-8183-4E6B0231AF13}"/>
    <cellStyle name="Normal GHG Numbers (0.00) 3 2 2 26" xfId="12839" xr:uid="{1B0677F1-A2D7-4F62-A004-24DB73A88369}"/>
    <cellStyle name="Normal GHG Numbers (0.00) 3 2 2 27" xfId="13276" xr:uid="{FCF7924A-73A4-4563-AF3E-6BD6B0E5C5F1}"/>
    <cellStyle name="Normal GHG Numbers (0.00) 3 2 2 28" xfId="11643" xr:uid="{A88A7CAF-26AF-4267-8DB9-8758D94709AA}"/>
    <cellStyle name="Normal GHG Numbers (0.00) 3 2 2 29" xfId="14406" xr:uid="{089CA17B-54FA-4F9C-95EF-89A70ADEA7C3}"/>
    <cellStyle name="Normal GHG Numbers (0.00) 3 2 2 3" xfId="1062" xr:uid="{9B4452E4-B9B7-467B-BA29-E862A01CA420}"/>
    <cellStyle name="Normal GHG Numbers (0.00) 3 2 2 30" xfId="14687" xr:uid="{D05B3825-6BE4-4200-B10B-04D99ADF2BA6}"/>
    <cellStyle name="Normal GHG Numbers (0.00) 3 2 2 31" xfId="14584" xr:uid="{88224224-A254-4B11-8056-525A13E625C6}"/>
    <cellStyle name="Normal GHG Numbers (0.00) 3 2 2 32" xfId="15170" xr:uid="{BD47F841-7CE2-45A7-B955-1BEC8CD49A56}"/>
    <cellStyle name="Normal GHG Numbers (0.00) 3 2 2 33" xfId="15883" xr:uid="{321CA013-297D-4803-9FFA-17BC71EE70F5}"/>
    <cellStyle name="Normal GHG Numbers (0.00) 3 2 2 34" xfId="16624" xr:uid="{65D799EB-C6D6-44DD-8A5B-5137D565B885}"/>
    <cellStyle name="Normal GHG Numbers (0.00) 3 2 2 35" xfId="17171" xr:uid="{32C82736-CF8C-4757-963E-57F843686D0C}"/>
    <cellStyle name="Normal GHG Numbers (0.00) 3 2 2 36" xfId="17616" xr:uid="{788ADF8F-2145-43E3-89E4-FF21C112B983}"/>
    <cellStyle name="Normal GHG Numbers (0.00) 3 2 2 37" xfId="16338" xr:uid="{F81FD1EC-881B-41B1-8C2E-A0CF1C6A1963}"/>
    <cellStyle name="Normal GHG Numbers (0.00) 3 2 2 38" xfId="18442" xr:uid="{6CE246A5-2C25-49AE-A556-3ED6B23721BD}"/>
    <cellStyle name="Normal GHG Numbers (0.00) 3 2 2 39" xfId="17724" xr:uid="{21A144EE-4C6E-40B6-A1FA-25F40321791F}"/>
    <cellStyle name="Normal GHG Numbers (0.00) 3 2 2 4" xfId="1672" xr:uid="{54F3341F-C7C0-4BEE-B146-4744B422A383}"/>
    <cellStyle name="Normal GHG Numbers (0.00) 3 2 2 40" xfId="19278" xr:uid="{27B3FB4A-E844-4AE5-B6EA-1B6A2686011D}"/>
    <cellStyle name="Normal GHG Numbers (0.00) 3 2 2 41" xfId="19961" xr:uid="{F6C4C5A7-67D5-4364-8FF1-C53617E2BA2C}"/>
    <cellStyle name="Normal GHG Numbers (0.00) 3 2 2 42" xfId="20523" xr:uid="{7107B40F-F3EE-4FF7-AFEB-F42785F6DE08}"/>
    <cellStyle name="Normal GHG Numbers (0.00) 3 2 2 43" xfId="20976" xr:uid="{90C9032C-CD49-4996-A737-2D9B973E74E1}"/>
    <cellStyle name="Normal GHG Numbers (0.00) 3 2 2 44" xfId="20939" xr:uid="{4D037E9E-5143-43CA-9683-3C8C8831EE24}"/>
    <cellStyle name="Normal GHG Numbers (0.00) 3 2 2 45" xfId="21907" xr:uid="{67EFAF39-E971-4F62-909A-49A0689C1306}"/>
    <cellStyle name="Normal GHG Numbers (0.00) 3 2 2 46" xfId="22341" xr:uid="{51CACF51-A134-46E9-9CD7-45D0A82AFEDF}"/>
    <cellStyle name="Normal GHG Numbers (0.00) 3 2 2 47" xfId="22524" xr:uid="{A094C2E1-4971-4B06-B3D9-8CEBAAAE4DB3}"/>
    <cellStyle name="Normal GHG Numbers (0.00) 3 2 2 48" xfId="22714" xr:uid="{06124F59-A74E-490E-BB24-B88EE55D284D}"/>
    <cellStyle name="Normal GHG Numbers (0.00) 3 2 2 49" xfId="23578" xr:uid="{FDE018E4-2057-4741-A013-832344B2D324}"/>
    <cellStyle name="Normal GHG Numbers (0.00) 3 2 2 5" xfId="2401" xr:uid="{5EE882D8-F6BC-4221-849D-3DD7EEBB3ECD}"/>
    <cellStyle name="Normal GHG Numbers (0.00) 3 2 2 50" xfId="23770" xr:uid="{68A9D437-8EA5-4486-BE88-00476B694F1D}"/>
    <cellStyle name="Normal GHG Numbers (0.00) 3 2 2 51" xfId="24669" xr:uid="{9EC50474-D4BF-467A-AFAE-A7874F635B78}"/>
    <cellStyle name="Normal GHG Numbers (0.00) 3 2 2 52" xfId="25232" xr:uid="{97FAED13-5EF1-4EFE-83B8-9B748ABD37E1}"/>
    <cellStyle name="Normal GHG Numbers (0.00) 3 2 2 53" xfId="25587" xr:uid="{F6F26C6B-E55E-48FA-9AB7-A7D76748FAF1}"/>
    <cellStyle name="Normal GHG Numbers (0.00) 3 2 2 54" xfId="25705" xr:uid="{C1209A1D-18C9-4FA5-A94D-26CC318CF5E0}"/>
    <cellStyle name="Normal GHG Numbers (0.00) 3 2 2 55" xfId="25250" xr:uid="{B58153F6-1652-4AFD-B7D8-47F80C4A44DA}"/>
    <cellStyle name="Normal GHG Numbers (0.00) 3 2 2 56" xfId="26877" xr:uid="{4ADF9275-0821-4C9C-B741-048D4792179F}"/>
    <cellStyle name="Normal GHG Numbers (0.00) 3 2 2 57" xfId="27296" xr:uid="{DFE6A669-4914-42D0-AE20-70232B373A32}"/>
    <cellStyle name="Normal GHG Numbers (0.00) 3 2 2 58" xfId="24500" xr:uid="{4B1600B5-9F56-4BDA-B1BD-996DA6EF7606}"/>
    <cellStyle name="Normal GHG Numbers (0.00) 3 2 2 59" xfId="28419" xr:uid="{1C12A281-4F61-47A4-A359-68F71D2DA718}"/>
    <cellStyle name="Normal GHG Numbers (0.00) 3 2 2 6" xfId="2518" xr:uid="{5385044B-6CF5-4BCC-A0F3-98443F957ED9}"/>
    <cellStyle name="Normal GHG Numbers (0.00) 3 2 2 60" xfId="28887" xr:uid="{72F06B2B-9DFD-4B31-8AAC-B3C0B5FCE90C}"/>
    <cellStyle name="Normal GHG Numbers (0.00) 3 2 2 61" xfId="29371" xr:uid="{E12A2B9E-1E94-4562-B51E-0A4129EAC673}"/>
    <cellStyle name="Normal GHG Numbers (0.00) 3 2 2 62" xfId="29677" xr:uid="{E2CE1CB6-1EDC-49C2-823A-E9D27D4B3ACC}"/>
    <cellStyle name="Normal GHG Numbers (0.00) 3 2 2 63" xfId="30085" xr:uid="{AC2E2905-A31B-4123-8130-4333DACB5441}"/>
    <cellStyle name="Normal GHG Numbers (0.00) 3 2 2 64" xfId="30499" xr:uid="{3E800D27-E431-453E-8FEA-81F1894FB561}"/>
    <cellStyle name="Normal GHG Numbers (0.00) 3 2 2 65" xfId="28035" xr:uid="{2E509607-143E-4AD5-A94C-7A80A85FE93C}"/>
    <cellStyle name="Normal GHG Numbers (0.00) 3 2 2 66" xfId="31123" xr:uid="{386E5CC8-A07C-486A-A727-FE2AF4769D2C}"/>
    <cellStyle name="Normal GHG Numbers (0.00) 3 2 2 67" xfId="31809" xr:uid="{60C1C822-6191-45DA-96FC-D3528D889DFB}"/>
    <cellStyle name="Normal GHG Numbers (0.00) 3 2 2 68" xfId="31435" xr:uid="{FDEAA1FF-56DF-4C5D-876C-4383428885AB}"/>
    <cellStyle name="Normal GHG Numbers (0.00) 3 2 2 7" xfId="3456" xr:uid="{B2391F09-CEF7-46DA-8474-5704C488D606}"/>
    <cellStyle name="Normal GHG Numbers (0.00) 3 2 2 8" xfId="3897" xr:uid="{0C97F24F-CE3C-4850-B23B-8FDEF0BB75EE}"/>
    <cellStyle name="Normal GHG Numbers (0.00) 3 2 2 9" xfId="4335" xr:uid="{96B4178A-EFA2-47D1-868C-DF53841AC690}"/>
    <cellStyle name="Normal GHG Numbers (0.00) 3 2 3" xfId="720" xr:uid="{1D018750-0716-4234-9A70-91F8D2AA8A7F}"/>
    <cellStyle name="Normal GHG Numbers (0.00) 3 2 3 10" xfId="5368" xr:uid="{DE89C064-E094-4131-81CB-A7237FC19324}"/>
    <cellStyle name="Normal GHG Numbers (0.00) 3 2 3 11" xfId="6000" xr:uid="{35EB306E-1B18-472E-A7BE-4EDACEC9B44B}"/>
    <cellStyle name="Normal GHG Numbers (0.00) 3 2 3 12" xfId="6362" xr:uid="{5E448DAC-B16A-4847-B7B1-32DA9C2F0C8B}"/>
    <cellStyle name="Normal GHG Numbers (0.00) 3 2 3 13" xfId="6702" xr:uid="{7B8925A0-35C0-4219-B2D8-33A689F2FCDA}"/>
    <cellStyle name="Normal GHG Numbers (0.00) 3 2 3 14" xfId="7440" xr:uid="{0D10E185-B7F7-4B16-993A-A045E4F69780}"/>
    <cellStyle name="Normal GHG Numbers (0.00) 3 2 3 15" xfId="8042" xr:uid="{118B984E-E164-4706-A7DE-5B40494A25A1}"/>
    <cellStyle name="Normal GHG Numbers (0.00) 3 2 3 16" xfId="8405" xr:uid="{E81FAD79-E535-4B45-AE9A-8E6119CE97F5}"/>
    <cellStyle name="Normal GHG Numbers (0.00) 3 2 3 17" xfId="8915" xr:uid="{6F73064E-871B-4910-A807-484128F7D9D5}"/>
    <cellStyle name="Normal GHG Numbers (0.00) 3 2 3 18" xfId="9654" xr:uid="{AA3A21CC-0F03-4381-BEA8-B9683C301119}"/>
    <cellStyle name="Normal GHG Numbers (0.00) 3 2 3 19" xfId="10261" xr:uid="{5E2F03D5-7AA0-49B6-8BAA-21848A212268}"/>
    <cellStyle name="Normal GHG Numbers (0.00) 3 2 3 2" xfId="1194" xr:uid="{68BEA964-561D-4917-9EC8-12E034111260}"/>
    <cellStyle name="Normal GHG Numbers (0.00) 3 2 3 20" xfId="10654" xr:uid="{162E2F56-9CE1-4915-BFD7-809CDE27710B}"/>
    <cellStyle name="Normal GHG Numbers (0.00) 3 2 3 21" xfId="11007" xr:uid="{2A4C7E69-F552-47BC-9255-1BE560A86323}"/>
    <cellStyle name="Normal GHG Numbers (0.00) 3 2 3 22" xfId="11319" xr:uid="{3478BBF1-132C-4B16-AF91-2435B852339A}"/>
    <cellStyle name="Normal GHG Numbers (0.00) 3 2 3 23" xfId="12073" xr:uid="{5431679E-0AE1-41A5-A811-A0825CFFD225}"/>
    <cellStyle name="Normal GHG Numbers (0.00) 3 2 3 24" xfId="12546" xr:uid="{39E93D1D-4F5B-4424-8C2B-621646BD2E18}"/>
    <cellStyle name="Normal GHG Numbers (0.00) 3 2 3 25" xfId="12980" xr:uid="{372DF5CF-4184-4F43-AC51-248624F05A42}"/>
    <cellStyle name="Normal GHG Numbers (0.00) 3 2 3 26" xfId="13417" xr:uid="{C10E8987-02C5-462E-99E4-109B36016584}"/>
    <cellStyle name="Normal GHG Numbers (0.00) 3 2 3 27" xfId="14026" xr:uid="{AB392116-C60A-4880-AB41-30AEB31BEDE3}"/>
    <cellStyle name="Normal GHG Numbers (0.00) 3 2 3 28" xfId="13831" xr:uid="{0F0E9A5F-0984-46F5-8913-3E3C76D602D1}"/>
    <cellStyle name="Normal GHG Numbers (0.00) 3 2 3 29" xfId="14907" xr:uid="{F6530BEB-58F4-4527-AEE1-D65B57F23535}"/>
    <cellStyle name="Normal GHG Numbers (0.00) 3 2 3 3" xfId="1495" xr:uid="{70B0AAD9-3B53-4E67-B7EC-134D054AAA80}"/>
    <cellStyle name="Normal GHG Numbers (0.00) 3 2 3 30" xfId="15378" xr:uid="{EF1D8290-3DBE-444F-9807-E64965F70098}"/>
    <cellStyle name="Normal GHG Numbers (0.00) 3 2 3 31" xfId="15770" xr:uid="{2D1276B7-59F5-4468-A699-F777AD4ABC65}"/>
    <cellStyle name="Normal GHG Numbers (0.00) 3 2 3 32" xfId="15995" xr:uid="{3161CC0A-CD20-4943-AFFA-2B052E21A96D}"/>
    <cellStyle name="Normal GHG Numbers (0.00) 3 2 3 33" xfId="16765" xr:uid="{96186806-9FF4-4BA5-998E-CD46B81D89FC}"/>
    <cellStyle name="Normal GHG Numbers (0.00) 3 2 3 34" xfId="17383" xr:uid="{E824461F-CC11-4895-9E46-70EB78B2CE1C}"/>
    <cellStyle name="Normal GHG Numbers (0.00) 3 2 3 35" xfId="17825" xr:uid="{8E4F29B6-18E2-45AF-831B-C6ECB49B1C37}"/>
    <cellStyle name="Normal GHG Numbers (0.00) 3 2 3 36" xfId="18301" xr:uid="{9C670281-86C4-4741-B9E0-190C18F4EFF0}"/>
    <cellStyle name="Normal GHG Numbers (0.00) 3 2 3 37" xfId="18583" xr:uid="{305D6094-C301-4123-8114-295ECF0A34E7}"/>
    <cellStyle name="Normal GHG Numbers (0.00) 3 2 3 38" xfId="19112" xr:uid="{F5E7B559-F931-4778-BB47-FE91C522076E}"/>
    <cellStyle name="Normal GHG Numbers (0.00) 3 2 3 39" xfId="19344" xr:uid="{8AA8126F-8289-4C00-BB4D-66EA8ABD9260}"/>
    <cellStyle name="Normal GHG Numbers (0.00) 3 2 3 4" xfId="2542" xr:uid="{C06C6B51-74E3-4ABB-830F-F1C1CFC41B2F}"/>
    <cellStyle name="Normal GHG Numbers (0.00) 3 2 3 40" xfId="20102" xr:uid="{7A6D9FD5-1420-4CD7-84D9-76C0C0327835}"/>
    <cellStyle name="Normal GHG Numbers (0.00) 3 2 3 41" xfId="20732" xr:uid="{32483395-FC72-44E3-9F7B-6BE4BFFB8975}"/>
    <cellStyle name="Normal GHG Numbers (0.00) 3 2 3 42" xfId="21191" xr:uid="{2225603A-60B9-45BB-9A8D-25A0E72D8D94}"/>
    <cellStyle name="Normal GHG Numbers (0.00) 3 2 3 43" xfId="21683" xr:uid="{41C5D04F-C1CF-4A3A-923B-811F812899CF}"/>
    <cellStyle name="Normal GHG Numbers (0.00) 3 2 3 44" xfId="22122" xr:uid="{A3ABA5D5-B8B9-4D30-B35A-8864F81D1989}"/>
    <cellStyle name="Normal GHG Numbers (0.00) 3 2 3 45" xfId="22549" xr:uid="{58367181-D740-4FF3-B88E-D120D25A541C}"/>
    <cellStyle name="Normal GHG Numbers (0.00) 3 2 3 46" xfId="22995" xr:uid="{EF9BA248-F31F-4370-9339-E2745E5C4CAC}"/>
    <cellStyle name="Normal GHG Numbers (0.00) 3 2 3 47" xfId="23399" xr:uid="{1EE6E0FD-474E-47C8-9CA6-D3A140A3F8FA}"/>
    <cellStyle name="Normal GHG Numbers (0.00) 3 2 3 48" xfId="23665" xr:uid="{7BEED460-305A-4D78-B699-DBCF75D08B2A}"/>
    <cellStyle name="Normal GHG Numbers (0.00) 3 2 3 49" xfId="23902" xr:uid="{A20297CC-672B-486E-B584-B5A81965CEAB}"/>
    <cellStyle name="Normal GHG Numbers (0.00) 3 2 3 5" xfId="3199" xr:uid="{AE7E3F2D-D966-4749-A7B6-B05E0FC15415}"/>
    <cellStyle name="Normal GHG Numbers (0.00) 3 2 3 50" xfId="24810" xr:uid="{8995FED7-771B-4F33-B3FC-24198C60E2B5}"/>
    <cellStyle name="Normal GHG Numbers (0.00) 3 2 3 51" xfId="25437" xr:uid="{61621189-EC5F-4A5B-ABAB-22429F0CF16E}"/>
    <cellStyle name="Normal GHG Numbers (0.00) 3 2 3 52" xfId="25726" xr:uid="{FC7493BE-2269-401D-A7D4-999F160ED796}"/>
    <cellStyle name="Normal GHG Numbers (0.00) 3 2 3 53" xfId="26303" xr:uid="{C9E43D6C-0E9E-4FAE-B21F-B52EABD769C1}"/>
    <cellStyle name="Normal GHG Numbers (0.00) 3 2 3 54" xfId="26000" xr:uid="{1E642228-48EE-4BBD-B76B-0BEDE52B43CA}"/>
    <cellStyle name="Normal GHG Numbers (0.00) 3 2 3 55" xfId="27014" xr:uid="{0799B0B7-7DA5-4764-B9D5-A2E223C968F7}"/>
    <cellStyle name="Normal GHG Numbers (0.00) 3 2 3 56" xfId="27433" xr:uid="{B7BBBD3A-CC73-44FF-8269-3CD9A72CD5C8}"/>
    <cellStyle name="Normal GHG Numbers (0.00) 3 2 3 57" xfId="27616" xr:uid="{745C73B5-49C8-4AC9-9B9D-15C6305FC0D0}"/>
    <cellStyle name="Normal GHG Numbers (0.00) 3 2 3 58" xfId="28560" xr:uid="{34663441-1474-4B85-818E-D32FC35466EF}"/>
    <cellStyle name="Normal GHG Numbers (0.00) 3 2 3 59" xfId="29027" xr:uid="{4E515B86-2E40-43CD-8E94-40A47C2BE938}"/>
    <cellStyle name="Normal GHG Numbers (0.00) 3 2 3 6" xfId="3367" xr:uid="{18AF27F7-A9B8-49CB-A78A-507FA7C5AED7}"/>
    <cellStyle name="Normal GHG Numbers (0.00) 3 2 3 60" xfId="29546" xr:uid="{F7E5F24F-4675-463C-89C5-69988855EF4A}"/>
    <cellStyle name="Normal GHG Numbers (0.00) 3 2 3 61" xfId="29816" xr:uid="{2451E011-5DCF-43C5-AE5C-A7E02E317977}"/>
    <cellStyle name="Normal GHG Numbers (0.00) 3 2 3 62" xfId="30222" xr:uid="{F6956857-33F8-4DDF-8E16-F13368F79770}"/>
    <cellStyle name="Normal GHG Numbers (0.00) 3 2 3 63" xfId="30639" xr:uid="{E176A625-D95E-41C7-8BD9-FA552DFAAED5}"/>
    <cellStyle name="Normal GHG Numbers (0.00) 3 2 3 64" xfId="30970" xr:uid="{28E3E441-F145-4019-A12B-46843A5C5097}"/>
    <cellStyle name="Normal GHG Numbers (0.00) 3 2 3 65" xfId="31255" xr:uid="{220EDE27-5DA5-4654-9070-B104D79C0C39}"/>
    <cellStyle name="Normal GHG Numbers (0.00) 3 2 3 66" xfId="31946" xr:uid="{4CA3DB6A-51C1-4F3F-8CF3-93B993733ADA}"/>
    <cellStyle name="Normal GHG Numbers (0.00) 3 2 3 67" xfId="32377" xr:uid="{2168CDA2-5B0C-4C24-B785-13C134EA8329}"/>
    <cellStyle name="Normal GHG Numbers (0.00) 3 2 3 7" xfId="4038" xr:uid="{2270E619-99EF-4C27-B24E-027A07D9C30A}"/>
    <cellStyle name="Normal GHG Numbers (0.00) 3 2 3 8" xfId="4475" xr:uid="{BF51F9DE-BBBA-4DBE-ADF1-8B194160E6D4}"/>
    <cellStyle name="Normal GHG Numbers (0.00) 3 2 3 9" xfId="3135" xr:uid="{F9D63679-8B03-4343-B2DD-F12E2A269641}"/>
    <cellStyle name="Normal GHG Numbers (0.00) 3 3" xfId="360" xr:uid="{A51E728C-B266-4F36-938D-D1BE00599B84}"/>
    <cellStyle name="Normal GHG Numbers (0.00) 3 3 10" xfId="3428" xr:uid="{23219DF1-D5F4-47F4-82E4-06740D409938}"/>
    <cellStyle name="Normal GHG Numbers (0.00) 3 3 11" xfId="3116" xr:uid="{B4FBCFB0-C528-4E9D-A79A-52CFEF4F6CB7}"/>
    <cellStyle name="Normal GHG Numbers (0.00) 3 3 12" xfId="3087" xr:uid="{6C30C8B4-DC92-4B21-82F0-C5FC0C35AB4A}"/>
    <cellStyle name="Normal GHG Numbers (0.00) 3 3 13" xfId="3333" xr:uid="{B45D8F20-C119-444C-88BC-30550229DCAE}"/>
    <cellStyle name="Normal GHG Numbers (0.00) 3 3 14" xfId="5735" xr:uid="{B4487F20-C928-4A7F-8AC2-BBEA3A8430C1}"/>
    <cellStyle name="Normal GHG Numbers (0.00) 3 3 15" xfId="3269" xr:uid="{DE5E4865-996F-44A1-B11D-2210E67141D9}"/>
    <cellStyle name="Normal GHG Numbers (0.00) 3 3 16" xfId="6063" xr:uid="{36835A4C-F2CC-4566-B832-4585278FE8AF}"/>
    <cellStyle name="Normal GHG Numbers (0.00) 3 3 17" xfId="7087" xr:uid="{246B4744-91FF-4F26-9770-4430C685F4C0}"/>
    <cellStyle name="Normal GHG Numbers (0.00) 3 3 18" xfId="7920" xr:uid="{41AC85B8-2303-41A8-B9A7-6AFC2D8CD67D}"/>
    <cellStyle name="Normal GHG Numbers (0.00) 3 3 19" xfId="7792" xr:uid="{35729DC3-2A83-4BD5-8448-85D9F54BF9EB}"/>
    <cellStyle name="Normal GHG Numbers (0.00) 3 3 2" xfId="638" xr:uid="{F0AE25BA-8247-4E2A-A6C1-456D2BFEF496}"/>
    <cellStyle name="Normal GHG Numbers (0.00) 3 3 2 10" xfId="2145" xr:uid="{EC488CEF-C5D2-42B0-82C9-D7C67354594C}"/>
    <cellStyle name="Normal GHG Numbers (0.00) 3 3 2 11" xfId="5286" xr:uid="{8FAEA889-4BA4-4EA9-8BAA-629C7429AF7B}"/>
    <cellStyle name="Normal GHG Numbers (0.00) 3 3 2 12" xfId="5566" xr:uid="{69F63035-E1F5-47DA-ACDC-4225961250DE}"/>
    <cellStyle name="Normal GHG Numbers (0.00) 3 3 2 13" xfId="5039" xr:uid="{ACEE838E-D6F5-467D-A92C-82F7686FC0D8}"/>
    <cellStyle name="Normal GHG Numbers (0.00) 3 3 2 14" xfId="6422" xr:uid="{F0D5795F-9B29-4F49-9739-D54AFB64927A}"/>
    <cellStyle name="Normal GHG Numbers (0.00) 3 3 2 15" xfId="7358" xr:uid="{4D540AC4-3B33-4B8C-A146-D23088602707}"/>
    <cellStyle name="Normal GHG Numbers (0.00) 3 3 2 16" xfId="8029" xr:uid="{EF6C7AA4-66F3-431D-AB51-3EA704B2A618}"/>
    <cellStyle name="Normal GHG Numbers (0.00) 3 3 2 17" xfId="8308" xr:uid="{8B262714-C27D-4A20-8674-38DEF5F3BE9D}"/>
    <cellStyle name="Normal GHG Numbers (0.00) 3 3 2 18" xfId="8591" xr:uid="{1740C00A-3344-4FE4-9ED6-E3D3B61393AE}"/>
    <cellStyle name="Normal GHG Numbers (0.00) 3 3 2 19" xfId="9572" xr:uid="{3708046B-1BC4-4381-BED5-DF8AFB882C0D}"/>
    <cellStyle name="Normal GHG Numbers (0.00) 3 3 2 2" xfId="853" xr:uid="{8D3E30CE-E73E-4C4B-842E-3D74592C323D}"/>
    <cellStyle name="Normal GHG Numbers (0.00) 3 3 2 2 10" xfId="5501" xr:uid="{34C3AE28-687A-4D54-B842-9E91FF968FC8}"/>
    <cellStyle name="Normal GHG Numbers (0.00) 3 3 2 2 11" xfId="5602" xr:uid="{2B3097E6-2A05-4293-A22D-4F8FE5B8916E}"/>
    <cellStyle name="Normal GHG Numbers (0.00) 3 3 2 2 12" xfId="6241" xr:uid="{F5198D4C-E974-4211-9C9B-F93EEB202B47}"/>
    <cellStyle name="Normal GHG Numbers (0.00) 3 3 2 2 13" xfId="5884" xr:uid="{3AF58D5D-1432-43CD-A5C9-DFC95A0D288A}"/>
    <cellStyle name="Normal GHG Numbers (0.00) 3 3 2 2 14" xfId="7573" xr:uid="{6697710C-0CC1-4412-8DDD-A0D3AE50B341}"/>
    <cellStyle name="Normal GHG Numbers (0.00) 3 3 2 2 15" xfId="7208" xr:uid="{DFEFB3F0-6C8C-4498-8BA4-AF40A5FB3D52}"/>
    <cellStyle name="Normal GHG Numbers (0.00) 3 3 2 2 16" xfId="8379" xr:uid="{CB7C126F-D4D3-47DF-9D82-29809D43E244}"/>
    <cellStyle name="Normal GHG Numbers (0.00) 3 3 2 2 17" xfId="7153" xr:uid="{35FD4F87-A196-46DC-95DD-BC4CC1C8E9FF}"/>
    <cellStyle name="Normal GHG Numbers (0.00) 3 3 2 2 18" xfId="9787" xr:uid="{8ECC6372-1039-49F3-8E7C-7567E224403E}"/>
    <cellStyle name="Normal GHG Numbers (0.00) 3 3 2 2 19" xfId="9421" xr:uid="{1A8786F1-C291-4356-9E9F-26AF88F53FD7}"/>
    <cellStyle name="Normal GHG Numbers (0.00) 3 3 2 2 2" xfId="1327" xr:uid="{B0230C06-35B4-442D-9411-9CF1D2F6D19E}"/>
    <cellStyle name="Normal GHG Numbers (0.00) 3 3 2 2 20" xfId="10253" xr:uid="{B00359C9-3BD4-469D-B263-22985AD6EE40}"/>
    <cellStyle name="Normal GHG Numbers (0.00) 3 3 2 2 21" xfId="10921" xr:uid="{CBFD0022-6D93-4123-B294-54D966D21AFD}"/>
    <cellStyle name="Normal GHG Numbers (0.00) 3 3 2 2 22" xfId="10592" xr:uid="{9A0527AF-78D4-4616-AC97-E629CAE72BE8}"/>
    <cellStyle name="Normal GHG Numbers (0.00) 3 3 2 2 23" xfId="12206" xr:uid="{89CEEAF6-1903-4EE9-8582-057AA90CCF94}"/>
    <cellStyle name="Normal GHG Numbers (0.00) 3 3 2 2 24" xfId="12679" xr:uid="{27ABF1DA-BB77-4EF9-AC23-684718CDCB9B}"/>
    <cellStyle name="Normal GHG Numbers (0.00) 3 3 2 2 25" xfId="13113" xr:uid="{F8E61414-E60B-40EF-98BE-C9D19E18C665}"/>
    <cellStyle name="Normal GHG Numbers (0.00) 3 3 2 2 26" xfId="13550" xr:uid="{A7A6DB88-A389-4ADD-87B1-AAB024635720}"/>
    <cellStyle name="Normal GHG Numbers (0.00) 3 3 2 2 27" xfId="13905" xr:uid="{236FCDEC-0ED4-49AE-9B1B-104CA557540B}"/>
    <cellStyle name="Normal GHG Numbers (0.00) 3 3 2 2 28" xfId="13183" xr:uid="{F5790658-0FAE-4842-A1FC-160927E811F1}"/>
    <cellStyle name="Normal GHG Numbers (0.00) 3 3 2 2 29" xfId="13678" xr:uid="{7D42E091-EF91-41E9-AE6D-F25574262633}"/>
    <cellStyle name="Normal GHG Numbers (0.00) 3 3 2 2 3" xfId="1776" xr:uid="{394AC745-4B30-43AE-ADD0-5250D715D5CA}"/>
    <cellStyle name="Normal GHG Numbers (0.00) 3 3 2 2 30" xfId="15211" xr:uid="{E5430006-9314-41B5-91E0-EE94FBCE31F6}"/>
    <cellStyle name="Normal GHG Numbers (0.00) 3 3 2 2 31" xfId="14659" xr:uid="{2B542561-2846-468D-B346-2B901F167BE7}"/>
    <cellStyle name="Normal GHG Numbers (0.00) 3 3 2 2 32" xfId="15515" xr:uid="{D19429E0-5C30-47EB-A0F0-827B347F37A1}"/>
    <cellStyle name="Normal GHG Numbers (0.00) 3 3 2 2 33" xfId="16898" xr:uid="{954B978C-0B25-460E-B347-86D70539A523}"/>
    <cellStyle name="Normal GHG Numbers (0.00) 3 3 2 2 34" xfId="16530" xr:uid="{4E78E87A-D02A-4147-BEAF-A2A31F13CB66}"/>
    <cellStyle name="Normal GHG Numbers (0.00) 3 3 2 2 35" xfId="17375" xr:uid="{64C60657-A491-4AEE-8CEE-CF87A9188289}"/>
    <cellStyle name="Normal GHG Numbers (0.00) 3 3 2 2 36" xfId="17873" xr:uid="{A48A0E37-7E84-4F60-B214-06B95579AC96}"/>
    <cellStyle name="Normal GHG Numbers (0.00) 3 3 2 2 37" xfId="18716" xr:uid="{26D5278C-DE6E-4C53-B06F-D82BC84D9495}"/>
    <cellStyle name="Normal GHG Numbers (0.00) 3 3 2 2 38" xfId="16474" xr:uid="{E91B0746-0C61-45FD-89B7-6EF1900DB82A}"/>
    <cellStyle name="Normal GHG Numbers (0.00) 3 3 2 2 39" xfId="19292" xr:uid="{F67E068C-2B93-460F-9C8F-F619FF0C7055}"/>
    <cellStyle name="Normal GHG Numbers (0.00) 3 3 2 2 4" xfId="2675" xr:uid="{47A08C93-8869-4826-8A0B-6A054C535E0C}"/>
    <cellStyle name="Normal GHG Numbers (0.00) 3 3 2 2 40" xfId="20235" xr:uid="{461B3BDE-B66C-4F39-A71D-8C6AD2E0E8D9}"/>
    <cellStyle name="Normal GHG Numbers (0.00) 3 3 2 2 41" xfId="19866" xr:uid="{F20B8A03-F81A-46B0-8A44-310F9C09368F}"/>
    <cellStyle name="Normal GHG Numbers (0.00) 3 3 2 2 42" xfId="19794" xr:uid="{8627DEE5-7768-49D6-AE6C-BCE9CD707BA6}"/>
    <cellStyle name="Normal GHG Numbers (0.00) 3 3 2 2 43" xfId="20798" xr:uid="{E619F3D1-8442-4010-A68C-8BFC8EF4A34B}"/>
    <cellStyle name="Normal GHG Numbers (0.00) 3 3 2 2 44" xfId="19833" xr:uid="{FDD0BE6F-F86E-46F7-991B-D1DEC6E18CE9}"/>
    <cellStyle name="Normal GHG Numbers (0.00) 3 3 2 2 45" xfId="22033" xr:uid="{6766422C-A78E-4F30-BB0B-E6E9AC9CA736}"/>
    <cellStyle name="Normal GHG Numbers (0.00) 3 3 2 2 46" xfId="22885" xr:uid="{38DFFC6A-A6A6-4247-AAAE-25AB09586893}"/>
    <cellStyle name="Normal GHG Numbers (0.00) 3 3 2 2 47" xfId="22450" xr:uid="{D6A19FE3-758D-4A84-A30C-FF3FCD00A1ED}"/>
    <cellStyle name="Normal GHG Numbers (0.00) 3 3 2 2 48" xfId="23489" xr:uid="{B9EA6CB2-6FB9-4DD6-ABA0-027F0A62B6E2}"/>
    <cellStyle name="Normal GHG Numbers (0.00) 3 3 2 2 49" xfId="24035" xr:uid="{07DEF7C6-29E7-49E8-8156-6F41AA91F4AF}"/>
    <cellStyle name="Normal GHG Numbers (0.00) 3 3 2 2 5" xfId="3073" xr:uid="{A19D9211-4C43-402C-8FED-3371B89A1245}"/>
    <cellStyle name="Normal GHG Numbers (0.00) 3 3 2 2 50" xfId="24943" xr:uid="{41266D8F-D861-4AFC-9C16-B21F8B3E9984}"/>
    <cellStyle name="Normal GHG Numbers (0.00) 3 3 2 2 51" xfId="24430" xr:uid="{E4BAF5A7-F165-4085-B4AB-6AB0DB846DDC}"/>
    <cellStyle name="Normal GHG Numbers (0.00) 3 3 2 2 52" xfId="25859" xr:uid="{CEE1833D-EAC0-4C9A-B753-CF2D8825C9C7}"/>
    <cellStyle name="Normal GHG Numbers (0.00) 3 3 2 2 53" xfId="26212" xr:uid="{272BE18A-5DCB-42D3-8196-21914B9D986B}"/>
    <cellStyle name="Normal GHG Numbers (0.00) 3 3 2 2 54" xfId="26642" xr:uid="{6AA3BA16-71AC-4EDF-8477-66EEE1E1E67E}"/>
    <cellStyle name="Normal GHG Numbers (0.00) 3 3 2 2 55" xfId="27147" xr:uid="{FEAB5C50-99AE-41DA-88B2-B3732B60670C}"/>
    <cellStyle name="Normal GHG Numbers (0.00) 3 3 2 2 56" xfId="27566" xr:uid="{341D3C8C-F26F-4C56-9F25-A9A11F825B53}"/>
    <cellStyle name="Normal GHG Numbers (0.00) 3 3 2 2 57" xfId="26257" xr:uid="{71A4E193-B1CC-4872-B748-D49FF3384673}"/>
    <cellStyle name="Normal GHG Numbers (0.00) 3 3 2 2 58" xfId="28693" xr:uid="{AE99B8DA-FDAD-4CEF-BEBC-1F801EEAD555}"/>
    <cellStyle name="Normal GHG Numbers (0.00) 3 3 2 2 59" xfId="29160" xr:uid="{8313F157-50AC-4EC0-853C-E965A36E0312}"/>
    <cellStyle name="Normal GHG Numbers (0.00) 3 3 2 2 6" xfId="2953" xr:uid="{D705DE6A-BD68-4511-AF72-27486367E06B}"/>
    <cellStyle name="Normal GHG Numbers (0.00) 3 3 2 2 60" xfId="27995" xr:uid="{79159165-EACE-4DDC-8AE1-9348B6D052CC}"/>
    <cellStyle name="Normal GHG Numbers (0.00) 3 3 2 2 61" xfId="29949" xr:uid="{337DE48C-B5BC-4098-AD40-4E1165D3E52D}"/>
    <cellStyle name="Normal GHG Numbers (0.00) 3 3 2 2 62" xfId="30355" xr:uid="{F3164066-13D6-4F9F-87BA-BDDA0520E6B0}"/>
    <cellStyle name="Normal GHG Numbers (0.00) 3 3 2 2 63" xfId="30772" xr:uid="{F8CB50DC-DB8C-4454-8B4D-CEB716A73CC0}"/>
    <cellStyle name="Normal GHG Numbers (0.00) 3 3 2 2 64" xfId="29998" xr:uid="{84EA6CD4-1280-4082-8CC0-DB84331FA2B5}"/>
    <cellStyle name="Normal GHG Numbers (0.00) 3 3 2 2 65" xfId="31388" xr:uid="{BF390FBC-A4A0-4BF9-B6CC-7D8A89F5D3C8}"/>
    <cellStyle name="Normal GHG Numbers (0.00) 3 3 2 2 66" xfId="32079" xr:uid="{D9D47626-6F39-4317-A059-A33884C1CAC1}"/>
    <cellStyle name="Normal GHG Numbers (0.00) 3 3 2 2 67" xfId="31635" xr:uid="{D1F444C0-9658-43E0-99DB-449C6EB537A0}"/>
    <cellStyle name="Normal GHG Numbers (0.00) 3 3 2 2 7" xfId="4171" xr:uid="{89591EEC-7617-4EAB-8EF9-D32B8A30E3AE}"/>
    <cellStyle name="Normal GHG Numbers (0.00) 3 3 2 2 8" xfId="4608" xr:uid="{D3B6F985-A360-4F87-A16A-8BFEBDB1398B}"/>
    <cellStyle name="Normal GHG Numbers (0.00) 3 3 2 2 9" xfId="2767" xr:uid="{8E87C4CA-5125-44BB-B4A9-0A3D18B8D1C7}"/>
    <cellStyle name="Normal GHG Numbers (0.00) 3 3 2 20" xfId="10249" xr:uid="{07475995-CBDC-465E-8A33-460A00879017}"/>
    <cellStyle name="Normal GHG Numbers (0.00) 3 3 2 21" xfId="10643" xr:uid="{4DD55FC5-26D4-41FD-9FA5-F42210C17B68}"/>
    <cellStyle name="Normal GHG Numbers (0.00) 3 3 2 22" xfId="10998" xr:uid="{85C1C8E5-BF93-4807-B559-4E59A82DD94B}"/>
    <cellStyle name="Normal GHG Numbers (0.00) 3 3 2 23" xfId="11168" xr:uid="{46A8D242-2289-431B-B764-014F680BB221}"/>
    <cellStyle name="Normal GHG Numbers (0.00) 3 3 2 24" xfId="11991" xr:uid="{5D74464A-FC64-457C-865C-42655571113A}"/>
    <cellStyle name="Normal GHG Numbers (0.00) 3 3 2 25" xfId="12464" xr:uid="{CF5F319C-91E8-4542-ACE1-8EEAE63A6727}"/>
    <cellStyle name="Normal GHG Numbers (0.00) 3 3 2 26" xfId="12898" xr:uid="{1B35E921-7792-4496-9DCE-251344F6996F}"/>
    <cellStyle name="Normal GHG Numbers (0.00) 3 3 2 27" xfId="13335" xr:uid="{7E6AB24C-4D88-4AF5-85DF-82609D3FCB2B}"/>
    <cellStyle name="Normal GHG Numbers (0.00) 3 3 2 28" xfId="12740" xr:uid="{12752236-9EF8-4BA0-A4F4-E05DFC7C56BA}"/>
    <cellStyle name="Normal GHG Numbers (0.00) 3 3 2 29" xfId="13891" xr:uid="{D0F39DF5-A2CA-4614-BC67-D58AEA522D4F}"/>
    <cellStyle name="Normal GHG Numbers (0.00) 3 3 2 3" xfId="1121" xr:uid="{F0B9A17D-0CE3-4A4D-8CDD-D2401C874542}"/>
    <cellStyle name="Normal GHG Numbers (0.00) 3 3 2 30" xfId="14854" xr:uid="{6A2FA708-E69F-40C5-9183-9C1E50E5870C}"/>
    <cellStyle name="Normal GHG Numbers (0.00) 3 3 2 31" xfId="15116" xr:uid="{75D4A78B-6B64-4B02-B209-977495498053}"/>
    <cellStyle name="Normal GHG Numbers (0.00) 3 3 2 32" xfId="12315" xr:uid="{55EAA992-2ECF-490F-9BCA-0156DE67162C}"/>
    <cellStyle name="Normal GHG Numbers (0.00) 3 3 2 33" xfId="15987" xr:uid="{2B60C62A-7BB1-42CC-8AD9-F18A8EF96700}"/>
    <cellStyle name="Normal GHG Numbers (0.00) 3 3 2 34" xfId="16683" xr:uid="{8CC3A669-3FD6-4F9F-AD42-B05BFA96AB1D}"/>
    <cellStyle name="Normal GHG Numbers (0.00) 3 3 2 35" xfId="17370" xr:uid="{E04BF7B8-7D81-4C60-98C3-3A30E9C4860F}"/>
    <cellStyle name="Normal GHG Numbers (0.00) 3 3 2 36" xfId="17812" xr:uid="{FEA4A9E2-2699-4D42-9DA0-F1F5BC2CC1F9}"/>
    <cellStyle name="Normal GHG Numbers (0.00) 3 3 2 37" xfId="17931" xr:uid="{B7637556-2FEE-4706-B3CA-54C5391DCC9D}"/>
    <cellStyle name="Normal GHG Numbers (0.00) 3 3 2 38" xfId="18501" xr:uid="{94D355C6-DD1E-4A31-B1B9-BB6D0F2518BF}"/>
    <cellStyle name="Normal GHG Numbers (0.00) 3 3 2 39" xfId="18832" xr:uid="{EA7D557F-23D1-4BDB-8B75-7174B347CBD2}"/>
    <cellStyle name="Normal GHG Numbers (0.00) 3 3 2 4" xfId="1693" xr:uid="{E52D37B6-79C2-435C-AA69-963F8AAE07AD}"/>
    <cellStyle name="Normal GHG Numbers (0.00) 3 3 2 40" xfId="19338" xr:uid="{D5E08874-568E-4F1F-9240-3E1D793D50BF}"/>
    <cellStyle name="Normal GHG Numbers (0.00) 3 3 2 41" xfId="20020" xr:uid="{421A9060-1A54-4C2A-A7A7-907A940231CA}"/>
    <cellStyle name="Normal GHG Numbers (0.00) 3 3 2 42" xfId="20720" xr:uid="{036D87A2-427D-4EF1-B523-D56A0A9D7D03}"/>
    <cellStyle name="Normal GHG Numbers (0.00) 3 3 2 43" xfId="21178" xr:uid="{0AB6D95F-86CB-46B7-B068-DC7C32E5F9C0}"/>
    <cellStyle name="Normal GHG Numbers (0.00) 3 3 2 44" xfId="20457" xr:uid="{EB67118D-5392-4276-B128-1068ACC001EF}"/>
    <cellStyle name="Normal GHG Numbers (0.00) 3 3 2 45" xfId="22109" xr:uid="{35F0BF3D-5766-4DE2-AD6C-9FF4AAF2E6C1}"/>
    <cellStyle name="Normal GHG Numbers (0.00) 3 3 2 46" xfId="22537" xr:uid="{0C32C823-20B0-4A6F-ABED-51550929B3DC}"/>
    <cellStyle name="Normal GHG Numbers (0.00) 3 3 2 47" xfId="22125" xr:uid="{4F82B914-7A6F-42EC-83C6-2658EE8D7EC4}"/>
    <cellStyle name="Normal GHG Numbers (0.00) 3 3 2 48" xfId="23107" xr:uid="{C79281C8-8063-4132-B9FE-56D05F976E70}"/>
    <cellStyle name="Normal GHG Numbers (0.00) 3 3 2 49" xfId="23659" xr:uid="{F9158437-14E8-4092-B897-82F862A9C2E8}"/>
    <cellStyle name="Normal GHG Numbers (0.00) 3 3 2 5" xfId="2460" xr:uid="{ACA9F31A-43B0-4B91-BB26-78C8159D368A}"/>
    <cellStyle name="Normal GHG Numbers (0.00) 3 3 2 50" xfId="23829" xr:uid="{24A2E5CD-9337-4192-BDE8-17E23666AAA0}"/>
    <cellStyle name="Normal GHG Numbers (0.00) 3 3 2 51" xfId="24728" xr:uid="{EF914AAC-B1DF-4EE0-BBCF-AF44459DC16F}"/>
    <cellStyle name="Normal GHG Numbers (0.00) 3 3 2 52" xfId="25424" xr:uid="{A3829783-ACA6-4347-993C-B2436AA92FB5}"/>
    <cellStyle name="Normal GHG Numbers (0.00) 3 3 2 53" xfId="25646" xr:uid="{43278AD6-6A56-4325-9974-9CFCA903FBC1}"/>
    <cellStyle name="Normal GHG Numbers (0.00) 3 3 2 54" xfId="25260" xr:uid="{B0FF627B-A986-4B6D-9D32-CBB1A6AE25D2}"/>
    <cellStyle name="Normal GHG Numbers (0.00) 3 3 2 55" xfId="26649" xr:uid="{F3EC8D52-DD88-44F1-B295-4ECBE0911DBC}"/>
    <cellStyle name="Normal GHG Numbers (0.00) 3 3 2 56" xfId="26936" xr:uid="{D884CE99-E71D-4F69-8136-490AAE7C3F91}"/>
    <cellStyle name="Normal GHG Numbers (0.00) 3 3 2 57" xfId="27355" xr:uid="{7F7C255D-237C-4AEC-92AD-304CB0496E62}"/>
    <cellStyle name="Normal GHG Numbers (0.00) 3 3 2 58" xfId="27662" xr:uid="{AB8BD40A-9BAD-49DC-BCC2-9B9C2266E399}"/>
    <cellStyle name="Normal GHG Numbers (0.00) 3 3 2 59" xfId="28478" xr:uid="{78761C25-5656-4316-849E-A4D034D39737}"/>
    <cellStyle name="Normal GHG Numbers (0.00) 3 3 2 6" xfId="2205" xr:uid="{D9442065-70C6-4FD8-A1FD-7B6E290F4159}"/>
    <cellStyle name="Normal GHG Numbers (0.00) 3 3 2 60" xfId="28946" xr:uid="{291739A6-07A6-4E35-A824-98409E8B5D83}"/>
    <cellStyle name="Normal GHG Numbers (0.00) 3 3 2 61" xfId="29537" xr:uid="{CC43F237-7F86-4F49-82CC-CEBE0CCCF330}"/>
    <cellStyle name="Normal GHG Numbers (0.00) 3 3 2 62" xfId="29736" xr:uid="{F61DD3F1-130A-4645-AB2E-D1890718C5D9}"/>
    <cellStyle name="Normal GHG Numbers (0.00) 3 3 2 63" xfId="30144" xr:uid="{6BE8AAB0-CA3A-4263-8144-BE7D7F5D47ED}"/>
    <cellStyle name="Normal GHG Numbers (0.00) 3 3 2 64" xfId="30558" xr:uid="{D53A71CC-1542-4FA6-B5C9-FEB45694091B}"/>
    <cellStyle name="Normal GHG Numbers (0.00) 3 3 2 65" xfId="28032" xr:uid="{F60503A5-3DE3-4442-92AB-C259AAEAD37E}"/>
    <cellStyle name="Normal GHG Numbers (0.00) 3 3 2 66" xfId="31182" xr:uid="{EA26C5EF-F2EF-4DF7-9435-CB646A0A7520}"/>
    <cellStyle name="Normal GHG Numbers (0.00) 3 3 2 67" xfId="31868" xr:uid="{F04E90A3-EB36-4658-B1AE-62DD3D65E802}"/>
    <cellStyle name="Normal GHG Numbers (0.00) 3 3 2 68" xfId="32371" xr:uid="{1208A469-3F07-417B-815B-06C6300F1E63}"/>
    <cellStyle name="Normal GHG Numbers (0.00) 3 3 2 7" xfId="3649" xr:uid="{1353DC64-470C-4739-AD5A-C639656E3B66}"/>
    <cellStyle name="Normal GHG Numbers (0.00) 3 3 2 8" xfId="3956" xr:uid="{73492F34-F8A2-4B59-A8DD-349A1EE1B577}"/>
    <cellStyle name="Normal GHG Numbers (0.00) 3 3 2 9" xfId="4394" xr:uid="{576BB558-441F-4A51-B9AD-29D4E303CABB}"/>
    <cellStyle name="Normal GHG Numbers (0.00) 3 3 20" xfId="8311" xr:uid="{4189964F-09A2-4A8E-9F27-94929AFCD808}"/>
    <cellStyle name="Normal GHG Numbers (0.00) 3 3 21" xfId="9301" xr:uid="{26510DB6-0B17-460A-81D8-A716AF6D0522}"/>
    <cellStyle name="Normal GHG Numbers (0.00) 3 3 22" xfId="10134" xr:uid="{2DC9FD12-0302-48A1-8700-0D6936FF6F2D}"/>
    <cellStyle name="Normal GHG Numbers (0.00) 3 3 23" xfId="10544" xr:uid="{2D823BCE-2CF7-43E6-B1ED-611191017046}"/>
    <cellStyle name="Normal GHG Numbers (0.00) 3 3 24" xfId="9839" xr:uid="{B09876B7-3D7A-4298-B1D9-AD56BECCAC33}"/>
    <cellStyle name="Normal GHG Numbers (0.00) 3 3 25" xfId="9122" xr:uid="{CCDA371F-5C09-49DA-B709-99475A511C73}"/>
    <cellStyle name="Normal GHG Numbers (0.00) 3 3 26" xfId="11714" xr:uid="{2B2BFF92-570C-4414-8996-46EDEEF221DF}"/>
    <cellStyle name="Normal GHG Numbers (0.00) 3 3 27" xfId="11456" xr:uid="{5674E58B-18BE-45D3-89AB-B212F77D3659}"/>
    <cellStyle name="Normal GHG Numbers (0.00) 3 3 28" xfId="11585" xr:uid="{B3884B35-5782-46FA-9DC6-EC373EF860C8}"/>
    <cellStyle name="Normal GHG Numbers (0.00) 3 3 29" xfId="11463" xr:uid="{FB767CD5-3A42-473C-923B-88C6D06D58BB}"/>
    <cellStyle name="Normal GHG Numbers (0.00) 3 3 3" xfId="535" xr:uid="{B01DA47D-AA4B-4827-AC9D-D1F26582A381}"/>
    <cellStyle name="Normal GHG Numbers (0.00) 3 3 3 10" xfId="2142" xr:uid="{00E22404-6835-4E9A-8313-339554DC1C3E}"/>
    <cellStyle name="Normal GHG Numbers (0.00) 3 3 3 11" xfId="5183" xr:uid="{5CE6A227-9CF5-4AA5-ADE7-75DE4CBAF6A6}"/>
    <cellStyle name="Normal GHG Numbers (0.00) 3 3 3 12" xfId="5852" xr:uid="{1D63B907-B04A-4042-BC08-E9D9FC862915}"/>
    <cellStyle name="Normal GHG Numbers (0.00) 3 3 3 13" xfId="4900" xr:uid="{3C5A665C-B81F-4E07-B37D-0CED1A9DD73B}"/>
    <cellStyle name="Normal GHG Numbers (0.00) 3 3 3 14" xfId="6065" xr:uid="{0AEE0F80-8B85-4F6A-A66D-681ECB754FA1}"/>
    <cellStyle name="Normal GHG Numbers (0.00) 3 3 3 15" xfId="7255" xr:uid="{F8CD16BC-8572-4551-B931-1C2CDE4952E1}"/>
    <cellStyle name="Normal GHG Numbers (0.00) 3 3 3 16" xfId="7742" xr:uid="{B4808F7E-7767-4477-8D51-829F1E2B1630}"/>
    <cellStyle name="Normal GHG Numbers (0.00) 3 3 3 17" xfId="7900" xr:uid="{099F7238-D97C-4098-B8A2-D59B9E170EF3}"/>
    <cellStyle name="Normal GHG Numbers (0.00) 3 3 3 18" xfId="8480" xr:uid="{A43E079D-7C12-4BD3-A4A3-AB232D19DF2D}"/>
    <cellStyle name="Normal GHG Numbers (0.00) 3 3 3 19" xfId="9469" xr:uid="{59DFA02D-3563-483C-B364-2AF17F072BD9}"/>
    <cellStyle name="Normal GHG Numbers (0.00) 3 3 3 2" xfId="750" xr:uid="{AD8597DD-2A20-46F8-AB36-0E11B462EC43}"/>
    <cellStyle name="Normal GHG Numbers (0.00) 3 3 3 2 10" xfId="5398" xr:uid="{68E8711D-5587-4062-A216-8CEF3CACAB3E}"/>
    <cellStyle name="Normal GHG Numbers (0.00) 3 3 3 2 11" xfId="5670" xr:uid="{3C693921-D710-43C4-A8D2-0BF3C94CA594}"/>
    <cellStyle name="Normal GHG Numbers (0.00) 3 3 3 2 12" xfId="5851" xr:uid="{A9B38145-59FF-45A8-8B15-85BA03069CB3}"/>
    <cellStyle name="Normal GHG Numbers (0.00) 3 3 3 2 13" xfId="6513" xr:uid="{8E3AA255-4107-4E22-9F5C-49524E0E02AA}"/>
    <cellStyle name="Normal GHG Numbers (0.00) 3 3 3 2 14" xfId="7470" xr:uid="{48312C4F-A6BC-41FA-BE7D-942705447E87}"/>
    <cellStyle name="Normal GHG Numbers (0.00) 3 3 3 2 15" xfId="7091" xr:uid="{E9722783-546D-4F10-A209-DEA21D8C61D0}"/>
    <cellStyle name="Normal GHG Numbers (0.00) 3 3 3 2 16" xfId="7095" xr:uid="{B073EFDF-722A-4BC5-A9F6-78774190C035}"/>
    <cellStyle name="Normal GHG Numbers (0.00) 3 3 3 2 17" xfId="8495" xr:uid="{01194CA5-3C3C-4DF4-8AD0-651E99BBF4D6}"/>
    <cellStyle name="Normal GHG Numbers (0.00) 3 3 3 2 18" xfId="9684" xr:uid="{BF97EC06-0A4B-4F8C-ACC4-0C8A21AFF568}"/>
    <cellStyle name="Normal GHG Numbers (0.00) 3 3 3 2 19" xfId="9304" xr:uid="{B846CDB6-336B-45DB-97BB-771E76BA041D}"/>
    <cellStyle name="Normal GHG Numbers (0.00) 3 3 3 2 2" xfId="1224" xr:uid="{788898D4-50AE-4ED7-B3B6-6B29CAF0E5BA}"/>
    <cellStyle name="Normal GHG Numbers (0.00) 3 3 3 2 20" xfId="9628" xr:uid="{DE3BCAB2-36EA-4FA7-99D8-39AE44CACCFC}"/>
    <cellStyle name="Normal GHG Numbers (0.00) 3 3 3 2 21" xfId="10693" xr:uid="{7D86246F-1641-427B-895D-28161180A319}"/>
    <cellStyle name="Normal GHG Numbers (0.00) 3 3 3 2 22" xfId="11112" xr:uid="{149F92C1-A720-47EF-B2DF-D9E3A1845343}"/>
    <cellStyle name="Normal GHG Numbers (0.00) 3 3 3 2 23" xfId="12103" xr:uid="{1DAE0C5A-9D92-4556-B80C-ECCDBD229460}"/>
    <cellStyle name="Normal GHG Numbers (0.00) 3 3 3 2 24" xfId="12576" xr:uid="{9C0C87AE-88C9-4037-9635-58B5A9276BAC}"/>
    <cellStyle name="Normal GHG Numbers (0.00) 3 3 3 2 25" xfId="13010" xr:uid="{5B567ECF-AA44-41DE-8DF6-11BA01B375B7}"/>
    <cellStyle name="Normal GHG Numbers (0.00) 3 3 3 2 26" xfId="13447" xr:uid="{7B664724-E493-4C45-96BB-E29C2ABF4822}"/>
    <cellStyle name="Normal GHG Numbers (0.00) 3 3 3 2 27" xfId="13609" xr:uid="{63C7D1B7-A6F3-4E0C-9CCD-CA0A6B9AB8C4}"/>
    <cellStyle name="Normal GHG Numbers (0.00) 3 3 3 2 28" xfId="11458" xr:uid="{3EF0628C-688B-4A56-A1A4-2DA21F903B6B}"/>
    <cellStyle name="Normal GHG Numbers (0.00) 3 3 3 2 29" xfId="14071" xr:uid="{7EC7E299-D3DB-4D4A-B742-3A0130A6407E}"/>
    <cellStyle name="Normal GHG Numbers (0.00) 3 3 3 2 3" xfId="1514" xr:uid="{DBFDFECF-A234-4A73-B5A5-92773C42F056}"/>
    <cellStyle name="Normal GHG Numbers (0.00) 3 3 3 2 30" xfId="15293" xr:uid="{C282F60A-3F0B-40E7-82CD-FB41827B4D86}"/>
    <cellStyle name="Normal GHG Numbers (0.00) 3 3 3 2 31" xfId="15702" xr:uid="{E354789C-42A0-4748-8925-9D476D10BF7D}"/>
    <cellStyle name="Normal GHG Numbers (0.00) 3 3 3 2 32" xfId="14773" xr:uid="{4FAAB17C-DE5F-4F34-8CB7-0489750E1EEE}"/>
    <cellStyle name="Normal GHG Numbers (0.00) 3 3 3 2 33" xfId="16795" xr:uid="{0FE37FB7-C0CE-495A-9479-C1947F43A625}"/>
    <cellStyle name="Normal GHG Numbers (0.00) 3 3 3 2 34" xfId="16413" xr:uid="{1FC90FFF-9639-40F9-A264-61D246B90D9F}"/>
    <cellStyle name="Normal GHG Numbers (0.00) 3 3 3 2 35" xfId="16459" xr:uid="{6813F01C-0C3C-4F4F-8665-2EDF891BD80C}"/>
    <cellStyle name="Normal GHG Numbers (0.00) 3 3 3 2 36" xfId="18063" xr:uid="{4B33528A-51BA-4422-9B6D-A41BF5BBF116}"/>
    <cellStyle name="Normal GHG Numbers (0.00) 3 3 3 2 37" xfId="18613" xr:uid="{C6F3C6DD-E945-456C-8CE0-AA6C2B1ECA0A}"/>
    <cellStyle name="Normal GHG Numbers (0.00) 3 3 3 2 38" xfId="18799" xr:uid="{D9ECC2F0-3AA0-4B5C-8455-3A02CC67C72A}"/>
    <cellStyle name="Normal GHG Numbers (0.00) 3 3 3 2 39" xfId="19165" xr:uid="{3312B338-5D7F-4536-A06C-9F85C02A2DD6}"/>
    <cellStyle name="Normal GHG Numbers (0.00) 3 3 3 2 4" xfId="2572" xr:uid="{D0D182A6-FE65-4D30-AB82-A2EF64B2536A}"/>
    <cellStyle name="Normal GHG Numbers (0.00) 3 3 3 2 40" xfId="20132" xr:uid="{7107B960-CD48-4A3A-A574-DD6E3A870390}"/>
    <cellStyle name="Normal GHG Numbers (0.00) 3 3 3 2 41" xfId="19748" xr:uid="{28665BDC-3112-470F-8F40-C754C411993A}"/>
    <cellStyle name="Normal GHG Numbers (0.00) 3 3 3 2 42" xfId="19885" xr:uid="{B0A11BC2-1C27-410F-A6D9-18C64CED1EFA}"/>
    <cellStyle name="Normal GHG Numbers (0.00) 3 3 3 2 43" xfId="21528" xr:uid="{0CFB1C9E-6608-4206-B250-48D96A02AECD}"/>
    <cellStyle name="Normal GHG Numbers (0.00) 3 3 3 2 44" xfId="20625" xr:uid="{88CEF910-D1F2-4F5D-B5C2-644C40A27607}"/>
    <cellStyle name="Normal GHG Numbers (0.00) 3 3 3 2 45" xfId="20638" xr:uid="{B613A516-594F-4325-876C-881952671777}"/>
    <cellStyle name="Normal GHG Numbers (0.00) 3 3 3 2 46" xfId="22618" xr:uid="{A4CFF557-D90B-4119-82AE-09BC5C972147}"/>
    <cellStyle name="Normal GHG Numbers (0.00) 3 3 3 2 47" xfId="23072" xr:uid="{22BA5A24-3DD7-40A1-823D-189C0F6DFE3C}"/>
    <cellStyle name="Normal GHG Numbers (0.00) 3 3 3 2 48" xfId="21350" xr:uid="{29A41C10-0F45-4D95-A38F-7C0C76821F4E}"/>
    <cellStyle name="Normal GHG Numbers (0.00) 3 3 3 2 49" xfId="23932" xr:uid="{804E5044-D3F2-4ECA-9895-B2ADD118A696}"/>
    <cellStyle name="Normal GHG Numbers (0.00) 3 3 3 2 5" xfId="2776" xr:uid="{11F467DC-0114-41DD-B376-CE567DDE76DB}"/>
    <cellStyle name="Normal GHG Numbers (0.00) 3 3 3 2 50" xfId="24840" xr:uid="{013E9463-436D-4B36-B35A-4402C43DFE97}"/>
    <cellStyle name="Normal GHG Numbers (0.00) 3 3 3 2 51" xfId="24240" xr:uid="{C3A28749-07EF-4AE7-BF51-9DAA7952C0B2}"/>
    <cellStyle name="Normal GHG Numbers (0.00) 3 3 3 2 52" xfId="25756" xr:uid="{DDECA160-BD91-47CB-BF0E-475BC101D594}"/>
    <cellStyle name="Normal GHG Numbers (0.00) 3 3 3 2 53" xfId="24133" xr:uid="{D253A00F-DC29-4519-B514-8E6E942DD504}"/>
    <cellStyle name="Normal GHG Numbers (0.00) 3 3 3 2 54" xfId="26686" xr:uid="{6295A17A-8ADF-49A9-8A41-458081DF63F0}"/>
    <cellStyle name="Normal GHG Numbers (0.00) 3 3 3 2 55" xfId="27044" xr:uid="{121EC7E5-34A7-4A1A-94BC-8AC98C60FB1F}"/>
    <cellStyle name="Normal GHG Numbers (0.00) 3 3 3 2 56" xfId="27463" xr:uid="{7FCDD9F2-F48D-4343-91FA-D35F8EDB76C2}"/>
    <cellStyle name="Normal GHG Numbers (0.00) 3 3 3 2 57" xfId="26773" xr:uid="{76CEF3AA-A1FA-45DB-8A8B-F729433B4E5C}"/>
    <cellStyle name="Normal GHG Numbers (0.00) 3 3 3 2 58" xfId="28590" xr:uid="{EABD4064-1B88-4AB7-9B4E-049D1ACA39A4}"/>
    <cellStyle name="Normal GHG Numbers (0.00) 3 3 3 2 59" xfId="29057" xr:uid="{AABE6C60-0F9A-4A3A-926D-B1986F54298E}"/>
    <cellStyle name="Normal GHG Numbers (0.00) 3 3 3 2 6" xfId="3663" xr:uid="{6F05EC90-4F50-4D03-BF22-37CB9E4F0580}"/>
    <cellStyle name="Normal GHG Numbers (0.00) 3 3 3 2 60" xfId="28118" xr:uid="{BFCB95B5-ED20-4B9A-84C3-088A8D3E784E}"/>
    <cellStyle name="Normal GHG Numbers (0.00) 3 3 3 2 61" xfId="29846" xr:uid="{DC90FF82-982D-4CA3-9F79-BB30A9F04DA3}"/>
    <cellStyle name="Normal GHG Numbers (0.00) 3 3 3 2 62" xfId="30252" xr:uid="{A1790C84-CF39-40FC-9301-F94DEB8D7D3B}"/>
    <cellStyle name="Normal GHG Numbers (0.00) 3 3 3 2 63" xfId="30669" xr:uid="{0D693302-DD23-4C9E-A399-4F1F61AA2268}"/>
    <cellStyle name="Normal GHG Numbers (0.00) 3 3 3 2 64" xfId="28041" xr:uid="{DF17DC19-D7DE-482B-979C-551E55E8BF2C}"/>
    <cellStyle name="Normal GHG Numbers (0.00) 3 3 3 2 65" xfId="31285" xr:uid="{AE39CE41-256A-4AE3-A9D7-D9082B4F6521}"/>
    <cellStyle name="Normal GHG Numbers (0.00) 3 3 3 2 66" xfId="31976" xr:uid="{FD2F0527-8347-486E-A86C-5F3651B44B10}"/>
    <cellStyle name="Normal GHG Numbers (0.00) 3 3 3 2 67" xfId="32221" xr:uid="{75560F8B-405D-43B4-AD68-C896BB5E333A}"/>
    <cellStyle name="Normal GHG Numbers (0.00) 3 3 3 2 7" xfId="4068" xr:uid="{804F99D8-1B70-40CB-9E2C-4E3FAA1252FD}"/>
    <cellStyle name="Normal GHG Numbers (0.00) 3 3 3 2 8" xfId="4505" xr:uid="{E21BD81E-E8C3-4273-8B6A-774F5B46DEA9}"/>
    <cellStyle name="Normal GHG Numbers (0.00) 3 3 3 2 9" xfId="3674" xr:uid="{19551021-4193-4A75-8851-176D8D39AC2B}"/>
    <cellStyle name="Normal GHG Numbers (0.00) 3 3 3 20" xfId="9956" xr:uid="{B3E588C2-190A-4A9C-9D59-B17987F78899}"/>
    <cellStyle name="Normal GHG Numbers (0.00) 3 3 3 21" xfId="10383" xr:uid="{5D391930-41BA-43EC-947D-968DF51F05B6}"/>
    <cellStyle name="Normal GHG Numbers (0.00) 3 3 3 22" xfId="10866" xr:uid="{90EC0988-E7DD-48A5-AABD-4BA77DEFBE61}"/>
    <cellStyle name="Normal GHG Numbers (0.00) 3 3 3 23" xfId="11245" xr:uid="{FEC1306F-33E5-49FE-9D0C-4F5A675FF97A}"/>
    <cellStyle name="Normal GHG Numbers (0.00) 3 3 3 24" xfId="11888" xr:uid="{059FE13A-18E9-40FE-B131-84AB07C04546}"/>
    <cellStyle name="Normal GHG Numbers (0.00) 3 3 3 25" xfId="12361" xr:uid="{06BEC63E-1576-4438-B94C-742FE948A278}"/>
    <cellStyle name="Normal GHG Numbers (0.00) 3 3 3 26" xfId="12795" xr:uid="{13CB2558-6886-4930-9E00-BAC1DE8BB691}"/>
    <cellStyle name="Normal GHG Numbers (0.00) 3 3 3 27" xfId="13232" xr:uid="{AB0F84C8-E181-497B-B673-39A9C49B8C4F}"/>
    <cellStyle name="Normal GHG Numbers (0.00) 3 3 3 28" xfId="13671" xr:uid="{82FFBF27-9667-4C46-9FB8-A58F2482C0B7}"/>
    <cellStyle name="Normal GHG Numbers (0.00) 3 3 3 29" xfId="12743" xr:uid="{5DC82969-7C92-4033-B183-B29EBCB7E4CF}"/>
    <cellStyle name="Normal GHG Numbers (0.00) 3 3 3 3" xfId="1018" xr:uid="{6AD1C006-0F25-4111-B1E4-99210F7FBC32}"/>
    <cellStyle name="Normal GHG Numbers (0.00) 3 3 3 30" xfId="14596" xr:uid="{F722FF49-5CB9-4040-B02D-7516F6ABF1EE}"/>
    <cellStyle name="Normal GHG Numbers (0.00) 3 3 3 31" xfId="14951" xr:uid="{8CDFE2F4-688F-4D51-93C6-1CD8515A707E}"/>
    <cellStyle name="Normal GHG Numbers (0.00) 3 3 3 32" xfId="15273" xr:uid="{2DFD5069-5028-4E95-8829-A65C22A5B5C2}"/>
    <cellStyle name="Normal GHG Numbers (0.00) 3 3 3 33" xfId="15830" xr:uid="{A99E7509-9524-452C-9D15-8975817011ED}"/>
    <cellStyle name="Normal GHG Numbers (0.00) 3 3 3 34" xfId="16580" xr:uid="{C1A09DBA-C72B-42E3-857B-C04830001118}"/>
    <cellStyle name="Normal GHG Numbers (0.00) 3 3 3 35" xfId="17069" xr:uid="{EBFC1233-010A-413D-8A76-B9A27149964D}"/>
    <cellStyle name="Normal GHG Numbers (0.00) 3 3 3 36" xfId="17516" xr:uid="{6A71D104-7B8A-43EE-B67B-FE5D52DAF5DC}"/>
    <cellStyle name="Normal GHG Numbers (0.00) 3 3 3 37" xfId="16225" xr:uid="{5629DD1F-B5AD-49DE-AF22-F41AE2B9D68D}"/>
    <cellStyle name="Normal GHG Numbers (0.00) 3 3 3 38" xfId="18398" xr:uid="{2FFDC98D-5F35-4F26-925E-36293D74DA7D}"/>
    <cellStyle name="Normal GHG Numbers (0.00) 3 3 3 39" xfId="19038" xr:uid="{FB9B28EE-96BC-4CFA-BC64-1BF289BE5D80}"/>
    <cellStyle name="Normal GHG Numbers (0.00) 3 3 3 4" xfId="1608" xr:uid="{6FBE3F09-D969-4BFF-AAB0-B1B533C20219}"/>
    <cellStyle name="Normal GHG Numbers (0.00) 3 3 3 40" xfId="18147" xr:uid="{51970793-9BB9-4DB3-A229-70641612783C}"/>
    <cellStyle name="Normal GHG Numbers (0.00) 3 3 3 41" xfId="19917" xr:uid="{14E107F1-8ABA-422A-ABAA-7FD85BF66FB4}"/>
    <cellStyle name="Normal GHG Numbers (0.00) 3 3 3 42" xfId="20422" xr:uid="{C988E340-01FF-484E-98D6-C3CFA89D18DB}"/>
    <cellStyle name="Normal GHG Numbers (0.00) 3 3 3 43" xfId="20874" xr:uid="{D1CA162A-936A-4F8B-A2EA-6497FA562018}"/>
    <cellStyle name="Normal GHG Numbers (0.00) 3 3 3 44" xfId="21326" xr:uid="{91A8BF47-11CE-4A09-B40D-F39A7E2B6C8F}"/>
    <cellStyle name="Normal GHG Numbers (0.00) 3 3 3 45" xfId="21807" xr:uid="{E1B27FDF-18F0-480B-8ACB-E358D58F1E1D}"/>
    <cellStyle name="Normal GHG Numbers (0.00) 3 3 3 46" xfId="22242" xr:uid="{649F2EF0-658A-4E71-B7BD-542624691B83}"/>
    <cellStyle name="Normal GHG Numbers (0.00) 3 3 3 47" xfId="22671" xr:uid="{DE2E6EAA-4C4B-4B80-8B79-2FA5B0EEC28F}"/>
    <cellStyle name="Normal GHG Numbers (0.00) 3 3 3 48" xfId="23315" xr:uid="{2890CEB4-F35B-4B31-AB04-6926B9A7767B}"/>
    <cellStyle name="Normal GHG Numbers (0.00) 3 3 3 49" xfId="23583" xr:uid="{8AD8F9CC-22F1-4B7F-9EE9-48E3D53A424B}"/>
    <cellStyle name="Normal GHG Numbers (0.00) 3 3 3 5" xfId="2357" xr:uid="{9A4CC090-9B1F-4659-88EF-7A3544D825FA}"/>
    <cellStyle name="Normal GHG Numbers (0.00) 3 3 3 50" xfId="23726" xr:uid="{196B281E-AD9E-42CC-B6F5-A9CBED2CA981}"/>
    <cellStyle name="Normal GHG Numbers (0.00) 3 3 3 51" xfId="24625" xr:uid="{7F48F780-DDCF-4E68-A964-431DB9D2FB5C}"/>
    <cellStyle name="Normal GHG Numbers (0.00) 3 3 3 52" xfId="25130" xr:uid="{B3A0304F-0E85-4DF8-819F-6EED1332D615}"/>
    <cellStyle name="Normal GHG Numbers (0.00) 3 3 3 53" xfId="25543" xr:uid="{2B6A0032-E3D3-42BD-9B09-35963884C2A4}"/>
    <cellStyle name="Normal GHG Numbers (0.00) 3 3 3 54" xfId="25975" xr:uid="{B77F4018-B205-4C4D-999A-D055AD48B73F}"/>
    <cellStyle name="Normal GHG Numbers (0.00) 3 3 3 55" xfId="26428" xr:uid="{51180DEA-1F69-4248-A317-70508AF516AD}"/>
    <cellStyle name="Normal GHG Numbers (0.00) 3 3 3 56" xfId="26833" xr:uid="{0969D236-21CA-484A-AE05-9DFDE8B110A0}"/>
    <cellStyle name="Normal GHG Numbers (0.00) 3 3 3 57" xfId="27252" xr:uid="{9362D63F-056A-4A7D-AC62-E82F9C35D907}"/>
    <cellStyle name="Normal GHG Numbers (0.00) 3 3 3 58" xfId="27826" xr:uid="{249E0E1A-DD03-4B7F-B8E1-D48A33A7222D}"/>
    <cellStyle name="Normal GHG Numbers (0.00) 3 3 3 59" xfId="28375" xr:uid="{D92FA13E-5A59-4563-BF71-AB5B36B0009C}"/>
    <cellStyle name="Normal GHG Numbers (0.00) 3 3 3 6" xfId="2837" xr:uid="{2F36D07A-971C-4C5B-838A-E96DE45BC7A9}"/>
    <cellStyle name="Normal GHG Numbers (0.00) 3 3 3 60" xfId="28843" xr:uid="{7FEF1C2F-DFCC-4CD0-8919-61A4E2C2DE4E}"/>
    <cellStyle name="Normal GHG Numbers (0.00) 3 3 3 61" xfId="29283" xr:uid="{41BCD29D-71F6-4323-B433-DDAC651A0F29}"/>
    <cellStyle name="Normal GHG Numbers (0.00) 3 3 3 62" xfId="29633" xr:uid="{68294E25-BFA9-4397-B1C7-A8910B92505D}"/>
    <cellStyle name="Normal GHG Numbers (0.00) 3 3 3 63" xfId="30041" xr:uid="{CEF4FD83-0213-484F-BD80-4AF500ADE784}"/>
    <cellStyle name="Normal GHG Numbers (0.00) 3 3 3 64" xfId="30455" xr:uid="{0A343380-590B-4C0B-91FA-7C72A8864E83}"/>
    <cellStyle name="Normal GHG Numbers (0.00) 3 3 3 65" xfId="30851" xr:uid="{049132F2-E28D-45CC-AEA7-7835BCE36F6D}"/>
    <cellStyle name="Normal GHG Numbers (0.00) 3 3 3 66" xfId="31079" xr:uid="{AB300F7D-306A-4CFA-A45C-963F37709086}"/>
    <cellStyle name="Normal GHG Numbers (0.00) 3 3 3 67" xfId="31765" xr:uid="{3D345810-EDB5-4D24-94B3-00128A2D7074}"/>
    <cellStyle name="Normal GHG Numbers (0.00) 3 3 3 68" xfId="32279" xr:uid="{B0B2BE52-224D-41BB-B5A8-74CE7A7159CB}"/>
    <cellStyle name="Normal GHG Numbers (0.00) 3 3 3 7" xfId="3525" xr:uid="{CFDB7A55-DF0E-48CF-995F-44290CFF73C0}"/>
    <cellStyle name="Normal GHG Numbers (0.00) 3 3 3 8" xfId="3853" xr:uid="{D66E6D56-6B92-4E46-8243-F063778EEAEF}"/>
    <cellStyle name="Normal GHG Numbers (0.00) 3 3 3 9" xfId="4291" xr:uid="{89C0DFFF-97F3-437C-91EF-6E7ABB9B5E5D}"/>
    <cellStyle name="Normal GHG Numbers (0.00) 3 3 30" xfId="11438" xr:uid="{C9CE1672-DBDB-4B45-A680-57CCC0CC788D}"/>
    <cellStyle name="Normal GHG Numbers (0.00) 3 3 31" xfId="13786" xr:uid="{64E74AAE-98EB-42C4-B464-9D85D83D5F83}"/>
    <cellStyle name="Normal GHG Numbers (0.00) 3 3 32" xfId="14836" xr:uid="{18781C1A-6060-4994-A844-838B3B8AB27D}"/>
    <cellStyle name="Normal GHG Numbers (0.00) 3 3 33" xfId="13679" xr:uid="{91FAA551-131B-4A32-B1EC-D9D13DEC5F13}"/>
    <cellStyle name="Normal GHG Numbers (0.00) 3 3 34" xfId="15477" xr:uid="{3F4C05E1-57A9-4985-975C-17CA457D0185}"/>
    <cellStyle name="Normal GHG Numbers (0.00) 3 3 35" xfId="15928" xr:uid="{C227C2EB-0B7B-4242-A901-A6C1F2E93EF2}"/>
    <cellStyle name="Normal GHG Numbers (0.00) 3 3 36" xfId="16409" xr:uid="{6ED28F7C-3650-4B31-97C0-F8955085E120}"/>
    <cellStyle name="Normal GHG Numbers (0.00) 3 3 37" xfId="17253" xr:uid="{3CE9F2E4-585D-4E68-B234-FA8F22024027}"/>
    <cellStyle name="Normal GHG Numbers (0.00) 3 3 38" xfId="17697" xr:uid="{63EF37DF-5650-43ED-92D7-7F1F975D5DE8}"/>
    <cellStyle name="Normal GHG Numbers (0.00) 3 3 39" xfId="17888" xr:uid="{2ECFB02A-6D8D-43D3-8A0B-1BE0866F1766}"/>
    <cellStyle name="Normal GHG Numbers (0.00) 3 3 4" xfId="668" xr:uid="{055559F1-261F-4C0F-B8C0-1D664D54D6DB}"/>
    <cellStyle name="Normal GHG Numbers (0.00) 3 3 4 10" xfId="5043" xr:uid="{F376EAEA-0C84-4FF7-8A18-95677B4AEC63}"/>
    <cellStyle name="Normal GHG Numbers (0.00) 3 3 4 11" xfId="5316" xr:uid="{D751A61D-D829-4319-9BD0-07649313DF1D}"/>
    <cellStyle name="Normal GHG Numbers (0.00) 3 3 4 12" xfId="5801" xr:uid="{578B8542-D8BB-4EB3-B945-54E358F50A7E}"/>
    <cellStyle name="Normal GHG Numbers (0.00) 3 3 4 13" xfId="5746" xr:uid="{4EB4F5C3-2BFA-443D-BC8E-78B1E8AAFBA0}"/>
    <cellStyle name="Normal GHG Numbers (0.00) 3 3 4 14" xfId="6435" xr:uid="{552C7640-699C-4128-83CB-E4562B27FC69}"/>
    <cellStyle name="Normal GHG Numbers (0.00) 3 3 4 15" xfId="7388" xr:uid="{A8895490-E276-4345-A377-D7531F6B377E}"/>
    <cellStyle name="Normal GHG Numbers (0.00) 3 3 4 16" xfId="7915" xr:uid="{D88BA288-0D8A-4D44-9AB8-AE234CC1575D}"/>
    <cellStyle name="Normal GHG Numbers (0.00) 3 3 4 17" xfId="8390" xr:uid="{34B15CD7-5BC3-4FB9-A083-CD529ADD75E9}"/>
    <cellStyle name="Normal GHG Numbers (0.00) 3 3 4 18" xfId="8329" xr:uid="{CB955E31-491E-452A-974F-D2800AFD215B}"/>
    <cellStyle name="Normal GHG Numbers (0.00) 3 3 4 19" xfId="9602" xr:uid="{3C9D6E23-F68F-4542-B1FA-EF5CD4D4EBE1}"/>
    <cellStyle name="Normal GHG Numbers (0.00) 3 3 4 2" xfId="883" xr:uid="{89B57BBB-8089-47BB-875F-659F313685F9}"/>
    <cellStyle name="Normal GHG Numbers (0.00) 3 3 4 2 10" xfId="5531" xr:uid="{DEC76072-4302-43B7-9E4A-CA5D7DB1C58B}"/>
    <cellStyle name="Normal GHG Numbers (0.00) 3 3 4 2 11" xfId="6025" xr:uid="{490A8BE4-2E7E-4645-ACC4-6E6490F8BEA5}"/>
    <cellStyle name="Normal GHG Numbers (0.00) 3 3 4 2 12" xfId="6384" xr:uid="{3C28A601-6C72-47ED-B0FE-1E12D5A368EE}"/>
    <cellStyle name="Normal GHG Numbers (0.00) 3 3 4 2 13" xfId="6722" xr:uid="{5BB62BE0-A894-40E5-814B-4F9BD3D769D2}"/>
    <cellStyle name="Normal GHG Numbers (0.00) 3 3 4 2 14" xfId="7603" xr:uid="{81D243F4-26E2-473F-8DB9-98B35A87B844}"/>
    <cellStyle name="Normal GHG Numbers (0.00) 3 3 4 2 15" xfId="8067" xr:uid="{D7140230-1B86-42EA-8DD4-10290736740B}"/>
    <cellStyle name="Normal GHG Numbers (0.00) 3 3 4 2 16" xfId="8676" xr:uid="{08B94F5F-7535-465C-B51A-CDDDFCD75344}"/>
    <cellStyle name="Normal GHG Numbers (0.00) 3 3 4 2 17" xfId="8935" xr:uid="{A950B442-10AF-4459-A01C-AB8AF4476B6C}"/>
    <cellStyle name="Normal GHG Numbers (0.00) 3 3 4 2 18" xfId="9817" xr:uid="{4561FA31-5B00-4D4C-B8F4-F6DE060003CA}"/>
    <cellStyle name="Normal GHG Numbers (0.00) 3 3 4 2 19" xfId="10286" xr:uid="{7FDB9E7E-4348-4E32-AFE0-E52F719FD90A}"/>
    <cellStyle name="Normal GHG Numbers (0.00) 3 3 4 2 2" xfId="1357" xr:uid="{CD853A30-08BF-476A-A06B-7CC507ED0304}"/>
    <cellStyle name="Normal GHG Numbers (0.00) 3 3 4 2 20" xfId="10680" xr:uid="{EA2067D0-408B-466D-8915-4DAFAFDA2EDE}"/>
    <cellStyle name="Normal GHG Numbers (0.00) 3 3 4 2 21" xfId="11029" xr:uid="{AD496B2B-6519-4DB8-AC54-3C3CA33C8010}"/>
    <cellStyle name="Normal GHG Numbers (0.00) 3 3 4 2 22" xfId="11339" xr:uid="{7457FABF-7131-4491-8394-C2E30F6782BE}"/>
    <cellStyle name="Normal GHG Numbers (0.00) 3 3 4 2 23" xfId="12236" xr:uid="{2D187912-12BF-4A23-882D-3C12B5D078D6}"/>
    <cellStyle name="Normal GHG Numbers (0.00) 3 3 4 2 24" xfId="12709" xr:uid="{E2040937-C902-4990-B9DB-A7EB19B2F2CF}"/>
    <cellStyle name="Normal GHG Numbers (0.00) 3 3 4 2 25" xfId="13143" xr:uid="{BEFF03DF-15A1-45C8-8FF5-3020CE4A4239}"/>
    <cellStyle name="Normal GHG Numbers (0.00) 3 3 4 2 26" xfId="13580" xr:uid="{476B604E-01BC-479F-A0D5-407C294D2888}"/>
    <cellStyle name="Normal GHG Numbers (0.00) 3 3 4 2 27" xfId="14052" xr:uid="{E38BC23E-EE1C-4414-A657-E9387A23172B}"/>
    <cellStyle name="Normal GHG Numbers (0.00) 3 3 4 2 28" xfId="14499" xr:uid="{8557D5CC-5724-4A39-8E48-78931DEB933E}"/>
    <cellStyle name="Normal GHG Numbers (0.00) 3 3 4 2 29" xfId="14933" xr:uid="{C190B74D-B806-4604-B9FA-C360963C8FCD}"/>
    <cellStyle name="Normal GHG Numbers (0.00) 3 3 4 2 3" xfId="1806" xr:uid="{27AEA2B2-234C-4B73-9725-5A7190BA6595}"/>
    <cellStyle name="Normal GHG Numbers (0.00) 3 3 4 2 30" xfId="15403" xr:uid="{5D540843-73DC-4BCE-9394-EE7FDE38CF5B}"/>
    <cellStyle name="Normal GHG Numbers (0.00) 3 3 4 2 31" xfId="15793" xr:uid="{2C7BB483-6551-4FAD-97CA-4DE07E319EC3}"/>
    <cellStyle name="Normal GHG Numbers (0.00) 3 3 4 2 32" xfId="16015" xr:uid="{735E1E50-9FD2-4BB2-BA6D-C179C4D79D96}"/>
    <cellStyle name="Normal GHG Numbers (0.00) 3 3 4 2 33" xfId="16928" xr:uid="{36F8F148-A72F-4EDC-8154-341B9EB3485C}"/>
    <cellStyle name="Normal GHG Numbers (0.00) 3 3 4 2 34" xfId="17409" xr:uid="{3A6D1877-859E-4E41-A292-A3986A8AF871}"/>
    <cellStyle name="Normal GHG Numbers (0.00) 3 3 4 2 35" xfId="17850" xr:uid="{24B98DD6-A105-41E6-BE24-8FBA60E2F8EA}"/>
    <cellStyle name="Normal GHG Numbers (0.00) 3 3 4 2 36" xfId="18325" xr:uid="{4A37EF6C-3B1A-4555-A382-99A5741123CB}"/>
    <cellStyle name="Normal GHG Numbers (0.00) 3 3 4 2 37" xfId="18746" xr:uid="{F12732F4-9169-4C46-90B4-87AEFFAC657C}"/>
    <cellStyle name="Normal GHG Numbers (0.00) 3 3 4 2 38" xfId="19133" xr:uid="{6DCACAD5-3AC1-45D6-BBEE-26EC2C9FC7B8}"/>
    <cellStyle name="Normal GHG Numbers (0.00) 3 3 4 2 39" xfId="19363" xr:uid="{10618289-7611-4372-81AF-7618D6834391}"/>
    <cellStyle name="Normal GHG Numbers (0.00) 3 3 4 2 4" xfId="2705" xr:uid="{15372994-556A-4246-AE9D-1DA5F4D37499}"/>
    <cellStyle name="Normal GHG Numbers (0.00) 3 3 4 2 40" xfId="20265" xr:uid="{D4B12B07-30A4-4BCA-BADD-21364479B2D5}"/>
    <cellStyle name="Normal GHG Numbers (0.00) 3 3 4 2 41" xfId="20758" xr:uid="{366304CC-D2E6-460C-BA9E-D2CE59D83355}"/>
    <cellStyle name="Normal GHG Numbers (0.00) 3 3 4 2 42" xfId="21217" xr:uid="{00F6EA66-0346-46BB-A4B2-DBCC6A3A3A85}"/>
    <cellStyle name="Normal GHG Numbers (0.00) 3 3 4 2 43" xfId="21709" xr:uid="{1F3BC92B-4C31-4839-9108-B5CEF95710C6}"/>
    <cellStyle name="Normal GHG Numbers (0.00) 3 3 4 2 44" xfId="22148" xr:uid="{622A4DF4-7E9C-4807-85C2-07CDFCB64F6E}"/>
    <cellStyle name="Normal GHG Numbers (0.00) 3 3 4 2 45" xfId="22575" xr:uid="{E28D4E51-F610-4A48-98F0-EA8780E9FA95}"/>
    <cellStyle name="Normal GHG Numbers (0.00) 3 3 4 2 46" xfId="23020" xr:uid="{C92E0449-5E14-49D6-842B-D7F476289E2D}"/>
    <cellStyle name="Normal GHG Numbers (0.00) 3 3 4 2 47" xfId="23422" xr:uid="{B78B7E23-E024-4F87-8525-D9B8D971C520}"/>
    <cellStyle name="Normal GHG Numbers (0.00) 3 3 4 2 48" xfId="23685" xr:uid="{94F4B613-6C40-43A2-9B97-70705A9EDE23}"/>
    <cellStyle name="Normal GHG Numbers (0.00) 3 3 4 2 49" xfId="24065" xr:uid="{4AD5DF17-5D7D-452B-8DF2-77E890A11E58}"/>
    <cellStyle name="Normal GHG Numbers (0.00) 3 3 4 2 5" xfId="3225" xr:uid="{45A08F4B-CE7D-4C0C-A783-8EA6E100522B}"/>
    <cellStyle name="Normal GHG Numbers (0.00) 3 3 4 2 50" xfId="24973" xr:uid="{55145B7E-017A-4A97-9C39-C5C5CE2B46AF}"/>
    <cellStyle name="Normal GHG Numbers (0.00) 3 3 4 2 51" xfId="25461" xr:uid="{65AC3BD4-57CD-4BF4-B959-3920646400F4}"/>
    <cellStyle name="Normal GHG Numbers (0.00) 3 3 4 2 52" xfId="25889" xr:uid="{DD45B45C-3F77-4601-8571-68D7ACB69468}"/>
    <cellStyle name="Normal GHG Numbers (0.00) 3 3 4 2 53" xfId="26327" xr:uid="{715D3EFA-98F3-4132-8A60-739C93A126B0}"/>
    <cellStyle name="Normal GHG Numbers (0.00) 3 3 4 2 54" xfId="26756" xr:uid="{A6C9E2DF-CCB9-4446-9738-2E89D4327941}"/>
    <cellStyle name="Normal GHG Numbers (0.00) 3 3 4 2 55" xfId="27177" xr:uid="{3E19C87D-09FF-439A-9707-B191412E3C0E}"/>
    <cellStyle name="Normal GHG Numbers (0.00) 3 3 4 2 56" xfId="27596" xr:uid="{891FE23D-9F20-409C-8446-8B157D2710CF}"/>
    <cellStyle name="Normal GHG Numbers (0.00) 3 3 4 2 57" xfId="27834" xr:uid="{D589E3A5-7C54-493C-AFDD-37DC66BA3C40}"/>
    <cellStyle name="Normal GHG Numbers (0.00) 3 3 4 2 58" xfId="28723" xr:uid="{30F94EA5-9808-4085-A0DA-64A1E63EB230}"/>
    <cellStyle name="Normal GHG Numbers (0.00) 3 3 4 2 59" xfId="29190" xr:uid="{C0C36A4D-F759-432C-8043-9B21FF1F62C0}"/>
    <cellStyle name="Normal GHG Numbers (0.00) 3 3 4 2 6" xfId="3780" xr:uid="{2D433152-B798-49E6-B482-8B24C6D2CD46}"/>
    <cellStyle name="Normal GHG Numbers (0.00) 3 3 4 2 60" xfId="29572" xr:uid="{B3A45C22-DF70-46BD-85A7-506D7A58CF8F}"/>
    <cellStyle name="Normal GHG Numbers (0.00) 3 3 4 2 61" xfId="29979" xr:uid="{3FBA998E-E4A2-41CF-B150-5E0752413566}"/>
    <cellStyle name="Normal GHG Numbers (0.00) 3 3 4 2 62" xfId="30385" xr:uid="{1651DE2E-CCF4-4158-BCF4-B6E37F545B2F}"/>
    <cellStyle name="Normal GHG Numbers (0.00) 3 3 4 2 63" xfId="30802" xr:uid="{32D765AD-61D3-41CB-96F3-6442458DFD27}"/>
    <cellStyle name="Normal GHG Numbers (0.00) 3 3 4 2 64" xfId="31047" xr:uid="{62E7BB8E-8A76-4C33-971A-61324220070D}"/>
    <cellStyle name="Normal GHG Numbers (0.00) 3 3 4 2 65" xfId="31418" xr:uid="{FFA0792D-E3C6-4EC2-A1F2-0BA7DAE564B5}"/>
    <cellStyle name="Normal GHG Numbers (0.00) 3 3 4 2 66" xfId="32109" xr:uid="{1E4A1C9E-0DCD-43C8-99A1-1E4FF9796C3A}"/>
    <cellStyle name="Normal GHG Numbers (0.00) 3 3 4 2 67" xfId="32396" xr:uid="{FAE0822A-70AD-4DEC-8AA2-B2824C41D90F}"/>
    <cellStyle name="Normal GHG Numbers (0.00) 3 3 4 2 7" xfId="4201" xr:uid="{A9FBF443-95DB-4CC3-B65D-536FE9345DD2}"/>
    <cellStyle name="Normal GHG Numbers (0.00) 3 3 4 2 8" xfId="4638" xr:uid="{1D01D2F7-71F1-43C6-81C0-674EE89F02C5}"/>
    <cellStyle name="Normal GHG Numbers (0.00) 3 3 4 2 9" xfId="5084" xr:uid="{A46FA631-FE0F-426B-80BE-7C8FE4B80643}"/>
    <cellStyle name="Normal GHG Numbers (0.00) 3 3 4 20" xfId="10129" xr:uid="{084E69C6-7E01-47E0-81BF-3627A9BFE63F}"/>
    <cellStyle name="Normal GHG Numbers (0.00) 3 3 4 21" xfId="10539" xr:uid="{7870A25C-CBA1-49CF-8FA0-F640843B0819}"/>
    <cellStyle name="Normal GHG Numbers (0.00) 3 3 4 22" xfId="9864" xr:uid="{82B94C7A-4037-47B6-8674-99B8BB39EC1E}"/>
    <cellStyle name="Normal GHG Numbers (0.00) 3 3 4 23" xfId="11094" xr:uid="{63BED86F-D3EC-49EF-AD3A-714EBF3C04C1}"/>
    <cellStyle name="Normal GHG Numbers (0.00) 3 3 4 24" xfId="12021" xr:uid="{6D7394E5-D5FD-4163-9149-D5D9C747264F}"/>
    <cellStyle name="Normal GHG Numbers (0.00) 3 3 4 25" xfId="12494" xr:uid="{0CC04A03-E423-42E4-8173-509317767EC6}"/>
    <cellStyle name="Normal GHG Numbers (0.00) 3 3 4 26" xfId="12928" xr:uid="{E067458E-78C3-4714-B521-19214AB177F3}"/>
    <cellStyle name="Normal GHG Numbers (0.00) 3 3 4 27" xfId="13365" xr:uid="{095142DB-A7ED-40B7-9E69-4E8B2C52B26D}"/>
    <cellStyle name="Normal GHG Numbers (0.00) 3 3 4 28" xfId="11777" xr:uid="{03B0B3E7-3C6C-4E90-9A5D-40E38E6B7E69}"/>
    <cellStyle name="Normal GHG Numbers (0.00) 3 3 4 29" xfId="14256" xr:uid="{93D43DD8-E0D9-4A2D-A7BD-2BC1C9A3B3FC}"/>
    <cellStyle name="Normal GHG Numbers (0.00) 3 3 4 3" xfId="1151" xr:uid="{29441AFF-70DD-4411-B8F5-8B848FD48D34}"/>
    <cellStyle name="Normal GHG Numbers (0.00) 3 3 4 30" xfId="14778" xr:uid="{4E34059C-F7B1-441B-AB1C-D7FE0F0421CB}"/>
    <cellStyle name="Normal GHG Numbers (0.00) 3 3 4 31" xfId="15084" xr:uid="{0DDD49B4-5020-4AE2-97DF-2AD6FE2ED2A9}"/>
    <cellStyle name="Normal GHG Numbers (0.00) 3 3 4 32" xfId="15573" xr:uid="{5BF2E831-2CA3-4264-8338-BAE9AEE180A0}"/>
    <cellStyle name="Normal GHG Numbers (0.00) 3 3 4 33" xfId="15923" xr:uid="{D7195EED-8313-4D56-AC3E-4758B29A1E5A}"/>
    <cellStyle name="Normal GHG Numbers (0.00) 3 3 4 34" xfId="16713" xr:uid="{AD827DF5-050F-4C99-9A6E-F37A95DD64D4}"/>
    <cellStyle name="Normal GHG Numbers (0.00) 3 3 4 35" xfId="17248" xr:uid="{DA5D081A-51C9-4EDB-9E40-553A57613EBA}"/>
    <cellStyle name="Normal GHG Numbers (0.00) 3 3 4 36" xfId="17692" xr:uid="{F75403C4-C4B3-4582-9477-FA9689C73C30}"/>
    <cellStyle name="Normal GHG Numbers (0.00) 3 3 4 37" xfId="18013" xr:uid="{DAB131DB-62D2-47D6-B353-534FC0B96CEA}"/>
    <cellStyle name="Normal GHG Numbers (0.00) 3 3 4 38" xfId="18531" xr:uid="{E333BC98-847A-4B96-939A-E1BFBC3A7E81}"/>
    <cellStyle name="Normal GHG Numbers (0.00) 3 3 4 39" xfId="18169" xr:uid="{0B377C93-D7D6-4909-BB28-9823E1660C1F}"/>
    <cellStyle name="Normal GHG Numbers (0.00) 3 3 4 4" xfId="1632" xr:uid="{523057F4-98A6-406C-BF38-69AEC5F61F71}"/>
    <cellStyle name="Normal GHG Numbers (0.00) 3 3 4 40" xfId="18913" xr:uid="{40AF4597-8376-4FD4-9EDF-25CB1030C2EE}"/>
    <cellStyle name="Normal GHG Numbers (0.00) 3 3 4 41" xfId="20050" xr:uid="{4701C600-E10A-4536-B558-163FCCD665D3}"/>
    <cellStyle name="Normal GHG Numbers (0.00) 3 3 4 42" xfId="20598" xr:uid="{5A2392F5-8E03-4D29-93C2-97533F126FAD}"/>
    <cellStyle name="Normal GHG Numbers (0.00) 3 3 4 43" xfId="21053" xr:uid="{0E3A9640-B8BC-4F89-9873-7E1400D5824D}"/>
    <cellStyle name="Normal GHG Numbers (0.00) 3 3 4 44" xfId="19806" xr:uid="{9F752C6B-BC96-4797-81AD-790BA51C37BB}"/>
    <cellStyle name="Normal GHG Numbers (0.00) 3 3 4 45" xfId="21984" xr:uid="{FEA2FB50-E836-4584-9951-C192AA55A71D}"/>
    <cellStyle name="Normal GHG Numbers (0.00) 3 3 4 46" xfId="22415" xr:uid="{A4DE4035-A1CE-46CD-AD91-1812B3828C84}"/>
    <cellStyle name="Normal GHG Numbers (0.00) 3 3 4 47" xfId="22313" xr:uid="{6836BB3D-8FDB-414C-8D81-594634A967A7}"/>
    <cellStyle name="Normal GHG Numbers (0.00) 3 3 4 48" xfId="22646" xr:uid="{EF05845E-FE9A-401C-9734-A7A08D6B52E0}"/>
    <cellStyle name="Normal GHG Numbers (0.00) 3 3 4 49" xfId="23373" xr:uid="{570E49F0-DEAC-45CB-99E9-8448DB559C01}"/>
    <cellStyle name="Normal GHG Numbers (0.00) 3 3 4 5" xfId="2490" xr:uid="{E710D856-CF65-4107-8943-06DEEBF2810D}"/>
    <cellStyle name="Normal GHG Numbers (0.00) 3 3 4 50" xfId="23859" xr:uid="{22B0064A-B07A-41AB-9DCF-B35475ADD009}"/>
    <cellStyle name="Normal GHG Numbers (0.00) 3 3 4 51" xfId="24758" xr:uid="{94A0D5B3-5EB0-441A-905E-9ECB910C71F1}"/>
    <cellStyle name="Normal GHG Numbers (0.00) 3 3 4 52" xfId="25307" xr:uid="{EBA45CB3-7025-40A5-B5F6-E5B0900556A1}"/>
    <cellStyle name="Normal GHG Numbers (0.00) 3 3 4 53" xfId="25676" xr:uid="{84F4F2C0-DC87-4E44-9691-B69823D5C782}"/>
    <cellStyle name="Normal GHG Numbers (0.00) 3 3 4 54" xfId="25079" xr:uid="{571F8526-82C0-45F0-9C20-CAE60CAD6007}"/>
    <cellStyle name="Normal GHG Numbers (0.00) 3 3 4 55" xfId="26718" xr:uid="{F28009EB-9D3A-4F1B-8DD3-1E551902D836}"/>
    <cellStyle name="Normal GHG Numbers (0.00) 3 3 4 56" xfId="26966" xr:uid="{D5898F1D-8680-45E4-9510-7972F50B7930}"/>
    <cellStyle name="Normal GHG Numbers (0.00) 3 3 4 57" xfId="27385" xr:uid="{45730DD6-473A-4F93-AD1A-BDF12BC73D4D}"/>
    <cellStyle name="Normal GHG Numbers (0.00) 3 3 4 58" xfId="27654" xr:uid="{0C6FBFC7-EFCC-4418-93A4-092079F39C6A}"/>
    <cellStyle name="Normal GHG Numbers (0.00) 3 3 4 59" xfId="28508" xr:uid="{4AA666DC-3FD6-463C-B711-37760AE5597B}"/>
    <cellStyle name="Normal GHG Numbers (0.00) 3 3 4 6" xfId="1870" xr:uid="{50E1F344-9034-4F00-9F4C-645001AA3356}"/>
    <cellStyle name="Normal GHG Numbers (0.00) 3 3 4 60" xfId="28976" xr:uid="{D3A82B15-483A-4D8C-B672-9F4A9302BF8A}"/>
    <cellStyle name="Normal GHG Numbers (0.00) 3 3 4 61" xfId="29429" xr:uid="{C5767346-7DCA-411B-BC4D-E188ACA00772}"/>
    <cellStyle name="Normal GHG Numbers (0.00) 3 3 4 62" xfId="29766" xr:uid="{E91812BF-65B4-4B04-AFB5-9C2C4CB59EDC}"/>
    <cellStyle name="Normal GHG Numbers (0.00) 3 3 4 63" xfId="30174" xr:uid="{554565AB-3796-4758-A95C-2199D82D209A}"/>
    <cellStyle name="Normal GHG Numbers (0.00) 3 3 4 64" xfId="30588" xr:uid="{94A63166-C4FA-4677-A0F8-F4811F17DF76}"/>
    <cellStyle name="Normal GHG Numbers (0.00) 3 3 4 65" xfId="30945" xr:uid="{AC80F4A0-40D3-495D-BABF-FE4BEF0EBA44}"/>
    <cellStyle name="Normal GHG Numbers (0.00) 3 3 4 66" xfId="31212" xr:uid="{374A8A8D-5E8D-475F-9718-6E6BF653556E}"/>
    <cellStyle name="Normal GHG Numbers (0.00) 3 3 4 67" xfId="31898" xr:uid="{FD6F8412-B4D9-48F9-87E8-F903ED40804B}"/>
    <cellStyle name="Normal GHG Numbers (0.00) 3 3 4 68" xfId="31452" xr:uid="{121BCAB8-3845-4C8C-9159-69FCD10C2AD9}"/>
    <cellStyle name="Normal GHG Numbers (0.00) 3 3 4 7" xfId="3390" xr:uid="{41CB899D-975E-4FB8-A742-3CE163EAFFAF}"/>
    <cellStyle name="Normal GHG Numbers (0.00) 3 3 4 8" xfId="3986" xr:uid="{026FB0DD-0FF0-49D5-9154-18495CC399F7}"/>
    <cellStyle name="Normal GHG Numbers (0.00) 3 3 4 9" xfId="4424" xr:uid="{444629B4-F92C-45C2-8932-445643E975FD}"/>
    <cellStyle name="Normal GHG Numbers (0.00) 3 3 40" xfId="16069" xr:uid="{E6E4112D-C07E-423A-BDE2-5AEDA57AA638}"/>
    <cellStyle name="Normal GHG Numbers (0.00) 3 3 41" xfId="17678" xr:uid="{54DED6D8-B255-460A-BB45-04803C484F2B}"/>
    <cellStyle name="Normal GHG Numbers (0.00) 3 3 42" xfId="18263" xr:uid="{7993E989-CE55-47C8-B261-DCE518947190}"/>
    <cellStyle name="Normal GHG Numbers (0.00) 3 3 43" xfId="19744" xr:uid="{7667109C-9413-49DC-9405-69F03C880F79}"/>
    <cellStyle name="Normal GHG Numbers (0.00) 3 3 44" xfId="20603" xr:uid="{61BF1C08-D597-4DAC-84B9-551042292DA9}"/>
    <cellStyle name="Normal GHG Numbers (0.00) 3 3 45" xfId="21058" xr:uid="{1D2E7A22-FBFA-4280-B289-754BF05259BA}"/>
    <cellStyle name="Normal GHG Numbers (0.00) 3 3 46" xfId="20333" xr:uid="{0893CC60-ED2F-470C-9CB8-E8AD05106959}"/>
    <cellStyle name="Normal GHG Numbers (0.00) 3 3 47" xfId="21989" xr:uid="{E933DD4F-6561-4137-911C-000ECE62E8AA}"/>
    <cellStyle name="Normal GHG Numbers (0.00) 3 3 48" xfId="22420" xr:uid="{4A9A6B65-CB92-4A3C-955E-62F0F5E46EE9}"/>
    <cellStyle name="Normal GHG Numbers (0.00) 3 3 49" xfId="22188" xr:uid="{752B84AF-2150-42FE-9C29-F4F41DF423E2}"/>
    <cellStyle name="Normal GHG Numbers (0.00) 3 3 5" xfId="975" xr:uid="{E1D2854C-D28C-4246-B5AE-65EB7923ED1E}"/>
    <cellStyle name="Normal GHG Numbers (0.00) 3 3 50" xfId="21261" xr:uid="{E3F55C80-CC24-4E1F-91A0-A92F4A570FAE}"/>
    <cellStyle name="Normal GHG Numbers (0.00) 3 3 51" xfId="21444" xr:uid="{47156A77-0E7C-4AA9-909C-54C1FDF79EAB}"/>
    <cellStyle name="Normal GHG Numbers (0.00) 3 3 52" xfId="23104" xr:uid="{C027D084-8B28-49FD-9849-8810A4068538}"/>
    <cellStyle name="Normal GHG Numbers (0.00) 3 3 53" xfId="24458" xr:uid="{DBF539A1-77F9-49E7-9851-7FA8DBABE9DB}"/>
    <cellStyle name="Normal GHG Numbers (0.00) 3 3 54" xfId="25312" xr:uid="{B7A23848-EEFF-42FB-A4B9-90D06D0566A1}"/>
    <cellStyle name="Normal GHG Numbers (0.00) 3 3 55" xfId="25053" xr:uid="{74DC1AE0-8745-4D8C-9ECC-B20425905799}"/>
    <cellStyle name="Normal GHG Numbers (0.00) 3 3 56" xfId="24310" xr:uid="{1A938D36-0934-4682-9D54-06120FF8F8C8}"/>
    <cellStyle name="Normal GHG Numbers (0.00) 3 3 57" xfId="26376" xr:uid="{7504046A-85AF-44D2-9426-926EAF327E5A}"/>
    <cellStyle name="Normal GHG Numbers (0.00) 3 3 58" xfId="26645" xr:uid="{FB13AF6F-E0F7-46B1-B2F6-7F20B77DA563}"/>
    <cellStyle name="Normal GHG Numbers (0.00) 3 3 59" xfId="26220" xr:uid="{26D9C074-1786-4B99-B16A-6692F85FB9F5}"/>
    <cellStyle name="Normal GHG Numbers (0.00) 3 3 6" xfId="1550" xr:uid="{212A9F19-F1C5-45E2-B323-9940EB0B52E3}"/>
    <cellStyle name="Normal GHG Numbers (0.00) 3 3 60" xfId="26968" xr:uid="{DF249B90-F39E-4C00-82C7-6FCF436EA80F}"/>
    <cellStyle name="Normal GHG Numbers (0.00) 3 3 61" xfId="28223" xr:uid="{EEE6D38E-2AA8-4DC5-A828-4054C19ED646}"/>
    <cellStyle name="Normal GHG Numbers (0.00) 3 3 62" xfId="28092" xr:uid="{B1456883-2092-4B22-B790-5E0C7516508B}"/>
    <cellStyle name="Normal GHG Numbers (0.00) 3 3 63" xfId="29434" xr:uid="{F20DF4A8-A99F-4249-AC4F-0FDCDDD4BA58}"/>
    <cellStyle name="Normal GHG Numbers (0.00) 3 3 64" xfId="29289" xr:uid="{024A2DCF-0C76-471F-8CC6-A76E4A0A3EDB}"/>
    <cellStyle name="Normal GHG Numbers (0.00) 3 3 65" xfId="29286" xr:uid="{8E571721-3F5C-4AC5-98DD-834DFC37A8DA}"/>
    <cellStyle name="Normal GHG Numbers (0.00) 3 3 66" xfId="29251" xr:uid="{45D40B24-F2BB-484A-BD21-88A2C1D5B06B}"/>
    <cellStyle name="Normal GHG Numbers (0.00) 3 3 67" xfId="31023" xr:uid="{567D5A29-DCE4-4892-BF07-929EDB549E61}"/>
    <cellStyle name="Normal GHG Numbers (0.00) 3 3 68" xfId="30590" xr:uid="{D42C08A7-D974-456F-8EDB-483AC4F3D5EF}"/>
    <cellStyle name="Normal GHG Numbers (0.00) 3 3 69" xfId="31657" xr:uid="{34D42DDD-CD9E-4E8B-AE97-38AE0DD31535}"/>
    <cellStyle name="Normal GHG Numbers (0.00) 3 3 7" xfId="2183" xr:uid="{D2BD9787-167C-4723-A75E-F2D0FA9FA842}"/>
    <cellStyle name="Normal GHG Numbers (0.00) 3 3 70" xfId="31629" xr:uid="{18B09619-4927-4BE6-A887-FB84B0F139FB}"/>
    <cellStyle name="Normal GHG Numbers (0.00) 3 3 8" xfId="2185" xr:uid="{52E7D358-1FE3-4E07-B35E-962C3AABC186}"/>
    <cellStyle name="Normal GHG Numbers (0.00) 3 3 9" xfId="3295" xr:uid="{E01398B4-1E30-46DC-834E-57A51A28C6C3}"/>
    <cellStyle name="Normal GHG Numbers (0.00) 3 4" xfId="162" xr:uid="{91D64C57-5648-4472-8C1F-7E6361F79229}"/>
    <cellStyle name="Normal GHG Numbers (0.00) 3 4 10" xfId="16213" xr:uid="{BBD8C411-B65D-4E3A-AD49-F747CB70B9B0}"/>
    <cellStyle name="Normal GHG Numbers (0.00) 3 4 11" xfId="17945" xr:uid="{BF1B1E43-B5C8-4C6D-9AFC-DBB260485E69}"/>
    <cellStyle name="Normal GHG Numbers (0.00) 3 4 12" xfId="19546" xr:uid="{11BDAE13-5FC6-478C-903F-BD3C51726C61}"/>
    <cellStyle name="Normal GHG Numbers (0.00) 3 4 13" xfId="22015" xr:uid="{FDCD2E7E-3D53-4A5F-B035-8628964B0B09}"/>
    <cellStyle name="Normal GHG Numbers (0.00) 3 4 14" xfId="24267" xr:uid="{FBBEA9A8-A9F7-4965-A54A-9B04C5835103}"/>
    <cellStyle name="Normal GHG Numbers (0.00) 3 4 15" xfId="26695" xr:uid="{B36E2B72-E8D7-4F29-8DF6-E7859B99610C}"/>
    <cellStyle name="Normal GHG Numbers (0.00) 3 4 16" xfId="28050" xr:uid="{A40A718B-864E-4BA9-8999-E59044424338}"/>
    <cellStyle name="Normal GHG Numbers (0.00) 3 4 17" xfId="31533" xr:uid="{E3F5282F-D159-44F3-9A98-4DA1CDE6BE4F}"/>
    <cellStyle name="Normal GHG Numbers (0.00) 3 4 2" xfId="926" xr:uid="{27423DC1-FEFA-4EC5-ABC9-A98BC80DBABA}"/>
    <cellStyle name="Normal GHG Numbers (0.00) 3 4 3" xfId="1989" xr:uid="{1DD3BE6A-5F9B-4D0F-BFA9-D6D34320B29B}"/>
    <cellStyle name="Normal GHG Numbers (0.00) 3 4 4" xfId="2293" xr:uid="{48307AE3-F3D7-4FBC-999F-532C90C226B2}"/>
    <cellStyle name="Normal GHG Numbers (0.00) 3 4 5" xfId="4215" xr:uid="{560D9D14-152B-4862-9A15-2A44303AD163}"/>
    <cellStyle name="Normal GHG Numbers (0.00) 3 4 6" xfId="6897" xr:uid="{11FA9C9A-86A1-4D5E-A62C-48E19794A0AB}"/>
    <cellStyle name="Normal GHG Numbers (0.00) 3 4 7" xfId="8639" xr:uid="{B38C6029-60B4-4541-871E-8BCD2BCDC664}"/>
    <cellStyle name="Normal GHG Numbers (0.00) 3 4 8" xfId="9110" xr:uid="{BE0FE79F-39AF-467C-AA0A-9F4502EBB886}"/>
    <cellStyle name="Normal GHG Numbers (0.00) 3 4 9" xfId="11520" xr:uid="{72EDD845-5684-41F2-BF90-011B38FF2BA1}"/>
    <cellStyle name="Normal GHG Textfiels Bold" xfId="6" xr:uid="{2DD89B51-F83B-4458-B013-93E0FCEF1FFD}"/>
    <cellStyle name="Normal GHG Textfiels Bold 2" xfId="163" xr:uid="{25AB7107-0E4D-4B9B-9D2E-16F8318EF002}"/>
    <cellStyle name="Normal GHG Textfiels Bold 3" xfId="164" xr:uid="{AA483985-C91E-4B20-BFE4-8708BB917FAE}"/>
    <cellStyle name="Normal GHG Textfiels Bold 3 2" xfId="431" xr:uid="{CCE444D3-14B9-44CD-9B51-40D7B1965B60}"/>
    <cellStyle name="Normal GHG Textfiels Bold 3 2 2" xfId="523" xr:uid="{C457EAD8-7BEE-46F3-973D-5CA588F48D16}"/>
    <cellStyle name="Normal GHG Textfiels Bold 3 2 2 10" xfId="4732" xr:uid="{ABE50B87-974F-4C0C-9A09-2B4B9C17CEC9}"/>
    <cellStyle name="Normal GHG Textfiels Bold 3 2 2 11" xfId="5171" xr:uid="{28ACDC29-96A4-4A86-BBE7-2CEDF7D8BBCF}"/>
    <cellStyle name="Normal GHG Textfiels Bold 3 2 2 12" xfId="5599" xr:uid="{3B5FF10C-4037-4D8D-A2CC-8F2643BF5D1A}"/>
    <cellStyle name="Normal GHG Textfiels Bold 3 2 2 13" xfId="6327" xr:uid="{6D394492-64B7-47A3-9B5C-44AD8B19BA06}"/>
    <cellStyle name="Normal GHG Textfiels Bold 3 2 2 14" xfId="6083" xr:uid="{C0A30343-67BF-4585-9CAD-0F34ED380BBD}"/>
    <cellStyle name="Normal GHG Textfiels Bold 3 2 2 15" xfId="7243" xr:uid="{63BB2693-2CE0-4C78-9DCB-A0DDA6AA6C0F}"/>
    <cellStyle name="Normal GHG Textfiels Bold 3 2 2 16" xfId="7729" xr:uid="{807D18AC-F1C9-4ADF-BCC5-9832339B8D08}"/>
    <cellStyle name="Normal GHG Textfiels Bold 3 2 2 17" xfId="7887" xr:uid="{347B6CCF-A2BB-476D-8D41-2286206843E6}"/>
    <cellStyle name="Normal GHG Textfiels Bold 3 2 2 18" xfId="6886" xr:uid="{D174F1F0-F2ED-40F3-882F-988E47A96D4D}"/>
    <cellStyle name="Normal GHG Textfiels Bold 3 2 2 19" xfId="9457" xr:uid="{E3917D84-8070-436D-A44B-35C17B715FE2}"/>
    <cellStyle name="Normal GHG Textfiels Bold 3 2 2 2" xfId="738" xr:uid="{37308279-2DB3-48FA-9C2B-B0A1F708CFB6}"/>
    <cellStyle name="Normal GHG Textfiels Bold 3 2 2 2 10" xfId="5386" xr:uid="{11554E89-20ED-47F2-BE2C-36EC27B1C562}"/>
    <cellStyle name="Normal GHG Textfiels Bold 3 2 2 2 11" xfId="5595" xr:uid="{72E62CA9-87DE-43CF-88E7-C8C9FA16182D}"/>
    <cellStyle name="Normal GHG Textfiels Bold 3 2 2 2 12" xfId="6290" xr:uid="{D8321959-923D-44CB-8822-02FD6E023629}"/>
    <cellStyle name="Normal GHG Textfiels Bold 3 2 2 2 13" xfId="6431" xr:uid="{9A0DBDC2-847E-40BB-B338-76BD58B72292}"/>
    <cellStyle name="Normal GHG Textfiels Bold 3 2 2 2 14" xfId="7458" xr:uid="{4C96500C-B932-4B5B-A820-4C7BBE87DF20}"/>
    <cellStyle name="Normal GHG Textfiels Bold 3 2 2 2 15" xfId="6989" xr:uid="{4FC149EC-AF09-488E-9B91-36BEF8D4976A}"/>
    <cellStyle name="Normal GHG Textfiels Bold 3 2 2 2 16" xfId="8607" xr:uid="{C5A1D392-F973-41E3-82A4-27A38F502498}"/>
    <cellStyle name="Normal GHG Textfiels Bold 3 2 2 2 17" xfId="8828" xr:uid="{13364952-6E31-443F-B676-4143593F8AA0}"/>
    <cellStyle name="Normal GHG Textfiels Bold 3 2 2 2 18" xfId="9672" xr:uid="{6C037E81-15D5-4CEB-B830-27F69D58D6FC}"/>
    <cellStyle name="Normal GHG Textfiels Bold 3 2 2 2 19" xfId="9051" xr:uid="{55459CB4-E401-485C-A574-72F459DC03AC}"/>
    <cellStyle name="Normal GHG Textfiels Bold 3 2 2 2 2" xfId="1212" xr:uid="{09637219-51E4-4F49-83E9-9AC94A78D8F5}"/>
    <cellStyle name="Normal GHG Textfiels Bold 3 2 2 2 20" xfId="9962" xr:uid="{1683C6E9-F6FE-4A7B-8153-3D1967689348}"/>
    <cellStyle name="Normal GHG Textfiels Bold 3 2 2 2 21" xfId="10941" xr:uid="{408483B8-A005-4FD0-9D2D-996D280107FF}"/>
    <cellStyle name="Normal GHG Textfiels Bold 3 2 2 2 22" xfId="10923" xr:uid="{B7C3CE98-9087-4BB9-A143-E9625FAB9689}"/>
    <cellStyle name="Normal GHG Textfiels Bold 3 2 2 2 23" xfId="12091" xr:uid="{9599E267-661D-4C82-9F9E-E35CF6C3A209}"/>
    <cellStyle name="Normal GHG Textfiels Bold 3 2 2 2 24" xfId="12564" xr:uid="{0BCDA279-5CAE-45BE-A0A9-8A328F9EF66F}"/>
    <cellStyle name="Normal GHG Textfiels Bold 3 2 2 2 25" xfId="12998" xr:uid="{5D9361EC-A22E-4DEE-9677-E7080F9175F8}"/>
    <cellStyle name="Normal GHG Textfiels Bold 3 2 2 2 26" xfId="13435" xr:uid="{FC9DF909-14B4-48F2-8B73-D4714EC0594C}"/>
    <cellStyle name="Normal GHG Textfiels Bold 3 2 2 2 27" xfId="13959" xr:uid="{52F77203-3B8A-44AC-A626-170C113B8486}"/>
    <cellStyle name="Normal GHG Textfiels Bold 3 2 2 2 28" xfId="13870" xr:uid="{4EE13042-BDA8-4680-9982-B7D92643F937}"/>
    <cellStyle name="Normal GHG Textfiels Bold 3 2 2 2 29" xfId="13983" xr:uid="{B5D4D679-DD7F-44E0-AA8C-777548AF1BB1}"/>
    <cellStyle name="Normal GHG Textfiels Bold 3 2 2 2 3" xfId="1488" xr:uid="{18E393D6-2662-4D65-927D-2DC3A1CF65DF}"/>
    <cellStyle name="Normal GHG Textfiels Bold 3 2 2 2 30" xfId="14516" xr:uid="{DF86A706-62DE-49D5-9D37-7CFB348399AF}"/>
    <cellStyle name="Normal GHG Textfiels Bold 3 2 2 2 31" xfId="14418" xr:uid="{6396F668-8B01-4415-8701-34E8E0E63E84}"/>
    <cellStyle name="Normal GHG Textfiels Bold 3 2 2 2 32" xfId="15054" xr:uid="{84CFDFA6-58B5-4648-B61E-1E14A1EC615F}"/>
    <cellStyle name="Normal GHG Textfiels Bold 3 2 2 2 33" xfId="16783" xr:uid="{6E54D36D-A8B6-4ED4-ACE5-09577EA29630}"/>
    <cellStyle name="Normal GHG Textfiels Bold 3 2 2 2 34" xfId="16310" xr:uid="{95B950AA-D7A7-4B07-AEB2-71E957929D80}"/>
    <cellStyle name="Normal GHG Textfiels Bold 3 2 2 2 35" xfId="16209" xr:uid="{836A6E95-9B5C-412A-9CA8-6CC70492E5BF}"/>
    <cellStyle name="Normal GHG Textfiels Bold 3 2 2 2 36" xfId="18042" xr:uid="{19323BC2-CFA0-4F07-983D-8156D9427847}"/>
    <cellStyle name="Normal GHG Textfiels Bold 3 2 2 2 37" xfId="18601" xr:uid="{94802822-4DAD-4D15-970B-BFBBD827A344}"/>
    <cellStyle name="Normal GHG Textfiels Bold 3 2 2 2 38" xfId="18892" xr:uid="{74AF256B-A03F-4FD1-B6FE-A299BEE9E236}"/>
    <cellStyle name="Normal GHG Textfiels Bold 3 2 2 2 39" xfId="19268" xr:uid="{214D5914-2CF5-47C4-A93D-41EE5A88CCC8}"/>
    <cellStyle name="Normal GHG Textfiels Bold 3 2 2 2 4" xfId="2560" xr:uid="{7FE84F4C-416C-4913-B0AC-2D5FBC23FD59}"/>
    <cellStyle name="Normal GHG Textfiels Bold 3 2 2 2 40" xfId="20120" xr:uid="{2E4CB904-3D31-4642-A3E0-AD059647FC66}"/>
    <cellStyle name="Normal GHG Textfiels Bold 3 2 2 2 41" xfId="19640" xr:uid="{90E97FD5-A021-40AB-B375-79954C568CC6}"/>
    <cellStyle name="Normal GHG Textfiels Bold 3 2 2 2 42" xfId="19476" xr:uid="{8C066024-D59C-42D2-9EB7-DE84E6012D2C}"/>
    <cellStyle name="Normal GHG Textfiels Bold 3 2 2 2 43" xfId="21500" xr:uid="{957D6C46-51D0-4057-9458-7D68AE3D948C}"/>
    <cellStyle name="Normal GHG Textfiels Bold 3 2 2 2 44" xfId="21318" xr:uid="{9EBBB4AA-8785-44E5-ABF7-FE1DC67860D6}"/>
    <cellStyle name="Normal GHG Textfiels Bold 3 2 2 2 45" xfId="22051" xr:uid="{D009CC3C-5AEA-48D9-BF1D-1F8697BC4A55}"/>
    <cellStyle name="Normal GHG Textfiels Bold 3 2 2 2 46" xfId="22932" xr:uid="{0BEF93A3-57D5-4128-AAB5-20A49557A4B0}"/>
    <cellStyle name="Normal GHG Textfiels Bold 3 2 2 2 47" xfId="23168" xr:uid="{EC79097A-C3EF-4266-9A7A-A2C5D59A308F}"/>
    <cellStyle name="Normal GHG Textfiels Bold 3 2 2 2 48" xfId="23502" xr:uid="{265C0E8E-2D9D-4218-AF12-3A0E359A8709}"/>
    <cellStyle name="Normal GHG Textfiels Bold 3 2 2 2 49" xfId="23920" xr:uid="{29E1FB4B-45FE-49FA-9479-D14BE5F500A0}"/>
    <cellStyle name="Normal GHG Textfiels Bold 3 2 2 2 5" xfId="3128" xr:uid="{25C7E3F9-811C-4CAC-91E6-2F179682001F}"/>
    <cellStyle name="Normal GHG Textfiels Bold 3 2 2 2 50" xfId="24828" xr:uid="{9DE426D3-0E4B-49C4-8E74-0000AB9AE72B}"/>
    <cellStyle name="Normal GHG Textfiels Bold 3 2 2 2 51" xfId="24495" xr:uid="{D6D0291F-EFD2-4798-8BDC-B25616EFC061}"/>
    <cellStyle name="Normal GHG Textfiels Bold 3 2 2 2 52" xfId="25744" xr:uid="{3AE48EA0-C5D0-4DFA-BB25-EBD50BF06A68}"/>
    <cellStyle name="Normal GHG Textfiels Bold 3 2 2 2 53" xfId="26238" xr:uid="{16572C9D-2844-443A-91F2-CC9F5451968C}"/>
    <cellStyle name="Normal GHG Textfiels Bold 3 2 2 2 54" xfId="25200" xr:uid="{96B8B8AD-895E-4F43-A08C-6B37E9A4B281}"/>
    <cellStyle name="Normal GHG Textfiels Bold 3 2 2 2 55" xfId="27032" xr:uid="{16FEEF36-4864-4376-ABBB-90844DC79BEB}"/>
    <cellStyle name="Normal GHG Textfiels Bold 3 2 2 2 56" xfId="27451" xr:uid="{4807EDAE-DC39-42A6-ABB1-8C45A9877867}"/>
    <cellStyle name="Normal GHG Textfiels Bold 3 2 2 2 57" xfId="26658" xr:uid="{E2FBEE6F-BC1D-4D55-B26F-0878CFF82166}"/>
    <cellStyle name="Normal GHG Textfiels Bold 3 2 2 2 58" xfId="28578" xr:uid="{6993BE13-80C9-499F-B246-B547450AFFEC}"/>
    <cellStyle name="Normal GHG Textfiels Bold 3 2 2 2 59" xfId="29045" xr:uid="{82D8E78D-C880-447E-8144-7AE93ED095AD}"/>
    <cellStyle name="Normal GHG Textfiels Bold 3 2 2 2 6" xfId="3700" xr:uid="{B1C7ACAB-5D42-4F24-A117-C23B9877AB55}"/>
    <cellStyle name="Normal GHG Textfiels Bold 3 2 2 2 60" xfId="28281" xr:uid="{5256464E-38AE-403E-99A2-54228D98B07D}"/>
    <cellStyle name="Normal GHG Textfiels Bold 3 2 2 2 61" xfId="29834" xr:uid="{50D67928-5D0C-4F53-89DE-F664059E2A9E}"/>
    <cellStyle name="Normal GHG Textfiels Bold 3 2 2 2 62" xfId="30240" xr:uid="{F857524F-D75C-4B5B-96EA-3F540030E172}"/>
    <cellStyle name="Normal GHG Textfiels Bold 3 2 2 2 63" xfId="30657" xr:uid="{AF660534-9EE1-4426-B022-CD3D9C4C5ADD}"/>
    <cellStyle name="Normal GHG Textfiels Bold 3 2 2 2 64" xfId="29282" xr:uid="{FEEA45FE-220E-4234-90BF-0E756718A5AD}"/>
    <cellStyle name="Normal GHG Textfiels Bold 3 2 2 2 65" xfId="31273" xr:uid="{6E65C2CA-DCE1-4F16-AF41-202A4D4E7FB6}"/>
    <cellStyle name="Normal GHG Textfiels Bold 3 2 2 2 66" xfId="31964" xr:uid="{E9952256-0730-48AA-9080-0EF9F0F6C16C}"/>
    <cellStyle name="Normal GHG Textfiels Bold 3 2 2 2 67" xfId="32141" xr:uid="{045CC946-A25C-4513-8384-04F762BCE3C6}"/>
    <cellStyle name="Normal GHG Textfiels Bold 3 2 2 2 7" xfId="4056" xr:uid="{9310F852-3FAC-4506-9F5C-86E0A24191C0}"/>
    <cellStyle name="Normal GHG Textfiels Bold 3 2 2 2 8" xfId="4493" xr:uid="{55237FF4-543E-4AD9-9D78-69F434E384BC}"/>
    <cellStyle name="Normal GHG Textfiels Bold 3 2 2 2 9" xfId="3797" xr:uid="{9BABD3B4-70A0-46E8-9F7E-1151BB0C9941}"/>
    <cellStyle name="Normal GHG Textfiels Bold 3 2 2 20" xfId="9943" xr:uid="{BE789433-000B-42B3-8794-6CF3E8EB2045}"/>
    <cellStyle name="Normal GHG Textfiels Bold 3 2 2 21" xfId="10373" xr:uid="{7E585529-45C6-4CEF-B4E4-790AFEA4A91C}"/>
    <cellStyle name="Normal GHG Textfiels Bold 3 2 2 22" xfId="10548" xr:uid="{1811FF40-CE71-4E9A-A597-67EFE71A66C5}"/>
    <cellStyle name="Normal GHG Textfiels Bold 3 2 2 23" xfId="10886" xr:uid="{9DEEB656-D66B-4BCD-85B9-D5DD846C78F5}"/>
    <cellStyle name="Normal GHG Textfiels Bold 3 2 2 24" xfId="11876" xr:uid="{8AB3B33F-16BC-4F14-9BC3-545D2503C54F}"/>
    <cellStyle name="Normal GHG Textfiels Bold 3 2 2 25" xfId="12349" xr:uid="{059CD625-FC6F-4884-92C4-688E78C08DD5}"/>
    <cellStyle name="Normal GHG Textfiels Bold 3 2 2 26" xfId="12783" xr:uid="{BB949AF1-038C-42D2-A5D7-F6FE8965B181}"/>
    <cellStyle name="Normal GHG Textfiels Bold 3 2 2 27" xfId="13220" xr:uid="{C5C52320-D364-44CA-9DF2-7236FFFC4C31}"/>
    <cellStyle name="Normal GHG Textfiels Bold 3 2 2 28" xfId="13988" xr:uid="{7410812F-1621-4919-918D-A9CE769CC9FF}"/>
    <cellStyle name="Normal GHG Textfiels Bold 3 2 2 29" xfId="14407" xr:uid="{1825A57E-1811-48F2-B5F9-24F118CA5617}"/>
    <cellStyle name="Normal GHG Textfiels Bold 3 2 2 3" xfId="1006" xr:uid="{7157666A-5E53-494E-9906-D10D902FA5A8}"/>
    <cellStyle name="Normal GHG Textfiels Bold 3 2 2 30" xfId="13860" xr:uid="{B6CF9C2C-EE8C-4F2C-B585-770087BC2360}"/>
    <cellStyle name="Normal GHG Textfiels Bold 3 2 2 31" xfId="15143" xr:uid="{55600C2B-64C5-47A8-A87F-64C2BA3F4950}"/>
    <cellStyle name="Normal GHG Textfiels Bold 3 2 2 32" xfId="15337" xr:uid="{C680F2F7-29B8-47FF-A4D9-818BC0279C86}"/>
    <cellStyle name="Normal GHG Textfiels Bold 3 2 2 33" xfId="15823" xr:uid="{282099CA-5012-4069-8216-82B598C4CC12}"/>
    <cellStyle name="Normal GHG Textfiels Bold 3 2 2 34" xfId="16568" xr:uid="{E1CE7547-E803-4B65-B839-577A941BB895}"/>
    <cellStyle name="Normal GHG Textfiels Bold 3 2 2 35" xfId="17057" xr:uid="{EBAEEF61-101C-4128-99F4-3E82BDD892E6}"/>
    <cellStyle name="Normal GHG Textfiels Bold 3 2 2 36" xfId="17503" xr:uid="{1729F9E7-D7D3-46A4-AF2F-540CF0154096}"/>
    <cellStyle name="Normal GHG Textfiels Bold 3 2 2 37" xfId="17753" xr:uid="{7F0C1F8F-C797-4628-9057-3AF8C3D553D3}"/>
    <cellStyle name="Normal GHG Textfiels Bold 3 2 2 38" xfId="18386" xr:uid="{B32D7609-00E8-41EF-96F1-A71FE4AA5D60}"/>
    <cellStyle name="Normal GHG Textfiels Bold 3 2 2 39" xfId="17593" xr:uid="{39A78845-00FA-4108-9E2F-C823CADD1336}"/>
    <cellStyle name="Normal GHG Textfiels Bold 3 2 2 4" xfId="1656" xr:uid="{90BC7461-D289-4DE7-AFFB-A0F25AC6338D}"/>
    <cellStyle name="Normal GHG Textfiels Bold 3 2 2 40" xfId="18958" xr:uid="{924887F1-2489-4221-A966-29016C2B78D0}"/>
    <cellStyle name="Normal GHG Textfiels Bold 3 2 2 41" xfId="19905" xr:uid="{881129CC-3DB9-462C-ABC4-59A98E320560}"/>
    <cellStyle name="Normal GHG Textfiels Bold 3 2 2 42" xfId="20409" xr:uid="{CAC2BA04-256E-4C42-9DDE-B0FEF070E1EA}"/>
    <cellStyle name="Normal GHG Textfiels Bold 3 2 2 43" xfId="20862" xr:uid="{F577B968-0FA0-46FE-91BA-2A749AC41FFB}"/>
    <cellStyle name="Normal GHG Textfiels Bold 3 2 2 44" xfId="21121" xr:uid="{137B316F-0393-4D13-A45F-ECB20B87C500}"/>
    <cellStyle name="Normal GHG Textfiels Bold 3 2 2 45" xfId="21794" xr:uid="{FB6661F2-C136-401F-B51B-B9B29B3406FB}"/>
    <cellStyle name="Normal GHG Textfiels Bold 3 2 2 46" xfId="22231" xr:uid="{E2955E30-EA70-4BCD-A51C-ACA188043C4B}"/>
    <cellStyle name="Normal GHG Textfiels Bold 3 2 2 47" xfId="22960" xr:uid="{71D4B163-EC81-4694-A331-13173DE2066C}"/>
    <cellStyle name="Normal GHG Textfiels Bold 3 2 2 48" xfId="22816" xr:uid="{19D9B363-AB9D-4AF4-B93A-690C3250ECF5}"/>
    <cellStyle name="Normal GHG Textfiels Bold 3 2 2 49" xfId="22635" xr:uid="{97DA17E3-3790-468D-A5FC-73AABFA65E19}"/>
    <cellStyle name="Normal GHG Textfiels Bold 3 2 2 5" xfId="2345" xr:uid="{6549A92C-AF37-4907-A9EB-7214C458EB77}"/>
    <cellStyle name="Normal GHG Textfiels Bold 3 2 2 50" xfId="23714" xr:uid="{9DC372A2-A146-4879-9830-6EE5ECF69B8A}"/>
    <cellStyle name="Normal GHG Textfiels Bold 3 2 2 51" xfId="24613" xr:uid="{4A40B13C-D2F7-4FA0-ACC2-8813E3A480B2}"/>
    <cellStyle name="Normal GHG Textfiels Bold 3 2 2 52" xfId="25117" xr:uid="{597E1F08-C840-4A22-BCAA-5571A039AA45}"/>
    <cellStyle name="Normal GHG Textfiels Bold 3 2 2 53" xfId="25531" xr:uid="{AC466C87-82EB-45B2-AB9D-C11DA5603F32}"/>
    <cellStyle name="Normal GHG Textfiels Bold 3 2 2 54" xfId="26267" xr:uid="{6E0FA259-CFF0-4CC6-8F1C-B829F7240374}"/>
    <cellStyle name="Normal GHG Textfiels Bold 3 2 2 55" xfId="24514" xr:uid="{0370C07F-355E-4342-952C-D77CD7295B86}"/>
    <cellStyle name="Normal GHG Textfiels Bold 3 2 2 56" xfId="26821" xr:uid="{50189AC6-074C-4D92-9925-1636FC219A19}"/>
    <cellStyle name="Normal GHG Textfiels Bold 3 2 2 57" xfId="27240" xr:uid="{D7374A7F-2F17-4851-A797-C794057DB435}"/>
    <cellStyle name="Normal GHG Textfiels Bold 3 2 2 58" xfId="27650" xr:uid="{CDEB0797-D5C3-418A-AABE-BCDE3E2A6C9F}"/>
    <cellStyle name="Normal GHG Textfiels Bold 3 2 2 59" xfId="28363" xr:uid="{2583E57D-3F7D-4E46-9F00-4E2DABC4073C}"/>
    <cellStyle name="Normal GHG Textfiels Bold 3 2 2 6" xfId="3159" xr:uid="{94D9E0A7-3A63-451D-B8B3-B51A23E0444F}"/>
    <cellStyle name="Normal GHG Textfiels Bold 3 2 2 60" xfId="28831" xr:uid="{3B4B6D6B-5952-4258-BCED-3EDBB73FA558}"/>
    <cellStyle name="Normal GHG Textfiels Bold 3 2 2 61" xfId="29272" xr:uid="{8EE2A137-62CA-44A6-B87C-09086BC07EB0}"/>
    <cellStyle name="Normal GHG Textfiels Bold 3 2 2 62" xfId="29621" xr:uid="{255CC590-3769-46EA-9722-4687846288F3}"/>
    <cellStyle name="Normal GHG Textfiels Bold 3 2 2 63" xfId="30029" xr:uid="{4D48EF35-6FFC-4AC8-A632-E485D2B707EB}"/>
    <cellStyle name="Normal GHG Textfiels Bold 3 2 2 64" xfId="30443" xr:uid="{E51EEA6B-89BA-422D-8376-9171F7A55059}"/>
    <cellStyle name="Normal GHG Textfiels Bold 3 2 2 65" xfId="30954" xr:uid="{B192BFF5-7AB5-45FE-BF11-07CE035DA3A0}"/>
    <cellStyle name="Normal GHG Textfiels Bold 3 2 2 66" xfId="31067" xr:uid="{2A3A6F99-4DBF-44E8-819B-26D925E9EAD6}"/>
    <cellStyle name="Normal GHG Textfiels Bold 3 2 2 67" xfId="31753" xr:uid="{078FF9F7-EDE7-4E77-ABCF-68F2B43C5E37}"/>
    <cellStyle name="Normal GHG Textfiels Bold 3 2 2 68" xfId="31530" xr:uid="{A001F656-7BDA-478C-A0D2-8C8CBBB8B3B0}"/>
    <cellStyle name="Normal GHG Textfiels Bold 3 2 2 7" xfId="3617" xr:uid="{5CE8F2AB-7E03-4D3F-A838-3A8962EAD3FA}"/>
    <cellStyle name="Normal GHG Textfiels Bold 3 2 2 8" xfId="3841" xr:uid="{C50A8DDF-6629-41BE-B790-4BD9619D4E4C}"/>
    <cellStyle name="Normal GHG Textfiels Bold 3 2 2 9" xfId="4279" xr:uid="{506594E5-3E5A-4AFC-98F5-4010647F3F49}"/>
    <cellStyle name="Normal GHG Textfiels Bold 3 2 3" xfId="721" xr:uid="{0A4C4BA1-056E-4D88-8A5A-0805ED0C8C4E}"/>
    <cellStyle name="Normal GHG Textfiels Bold 3 2 3 10" xfId="5369" xr:uid="{D361B702-3061-4CE2-9308-C5A1F4CCAB0C}"/>
    <cellStyle name="Normal GHG Textfiels Bold 3 2 3 11" xfId="4761" xr:uid="{2603E0BF-410D-4781-9FF0-533734C7C189}"/>
    <cellStyle name="Normal GHG Textfiels Bold 3 2 3 12" xfId="6331" xr:uid="{3FF2CC27-B877-42CE-B66D-BDB96F719E94}"/>
    <cellStyle name="Normal GHG Textfiels Bold 3 2 3 13" xfId="6434" xr:uid="{7804CDEC-2903-420C-A9F6-DC5408588A4B}"/>
    <cellStyle name="Normal GHG Textfiels Bold 3 2 3 14" xfId="7441" xr:uid="{B8C3A2DB-8BE6-4B8C-9AEE-CD19F63BCA7D}"/>
    <cellStyle name="Normal GHG Textfiels Bold 3 2 3 15" xfId="7843" xr:uid="{676364B9-61A7-4A86-93EB-18C6E7BE0B75}"/>
    <cellStyle name="Normal GHG Textfiels Bold 3 2 3 16" xfId="8655" xr:uid="{738153D7-CE10-431D-B7A2-AF46560092AE}"/>
    <cellStyle name="Normal GHG Textfiels Bold 3 2 3 17" xfId="7907" xr:uid="{B67BAF60-76D0-422F-A68C-BF85CDEEEA39}"/>
    <cellStyle name="Normal GHG Textfiels Bold 3 2 3 18" xfId="9655" xr:uid="{03B6E89B-4719-431B-A24C-974C75DD966B}"/>
    <cellStyle name="Normal GHG Textfiels Bold 3 2 3 19" xfId="10055" xr:uid="{26ED5B39-07F0-42BB-92A6-F9B218EE8993}"/>
    <cellStyle name="Normal GHG Textfiels Bold 3 2 3 2" xfId="1195" xr:uid="{E8FB07B4-ED53-4FAF-945D-3A8C36CBC600}"/>
    <cellStyle name="Normal GHG Textfiels Bold 3 2 3 20" xfId="10475" xr:uid="{75D7EC86-55BD-4993-B084-28D661D5E1EB}"/>
    <cellStyle name="Normal GHG Textfiels Bold 3 2 3 21" xfId="10735" xr:uid="{B7204C53-5086-4827-B8D0-13423BBCF80C}"/>
    <cellStyle name="Normal GHG Textfiels Bold 3 2 3 22" xfId="11175" xr:uid="{41CEABA5-CCC4-47FF-A9BB-B32C08841A1D}"/>
    <cellStyle name="Normal GHG Textfiels Bold 3 2 3 23" xfId="12074" xr:uid="{A274F3D8-2338-4410-9F0A-4DEFE543B463}"/>
    <cellStyle name="Normal GHG Textfiels Bold 3 2 3 24" xfId="12547" xr:uid="{B06584C9-F5D6-449F-99BB-65DD475F558E}"/>
    <cellStyle name="Normal GHG Textfiels Bold 3 2 3 25" xfId="12981" xr:uid="{DAD085D2-DACF-45CB-8A9D-A994F7F88C63}"/>
    <cellStyle name="Normal GHG Textfiels Bold 3 2 3 26" xfId="13418" xr:uid="{475B36BA-9DC5-4FD0-8D64-7F24C6C74C5B}"/>
    <cellStyle name="Normal GHG Textfiels Bold 3 2 3 27" xfId="13986" xr:uid="{A99B1E3A-DF0B-4215-BA70-2396F0B7B046}"/>
    <cellStyle name="Normal GHG Textfiels Bold 3 2 3 28" xfId="13760" xr:uid="{F1E5B876-56E3-4AC8-A4C6-6286A4B4583C}"/>
    <cellStyle name="Normal GHG Textfiels Bold 3 2 3 29" xfId="14709" xr:uid="{C499ECA5-C59B-49D6-80E5-54485F2A88F9}"/>
    <cellStyle name="Normal GHG Textfiels Bold 3 2 3 3" xfId="1444" xr:uid="{3ED4C10F-3AA7-48D0-AD6E-2B8133C3AAA1}"/>
    <cellStyle name="Normal GHG Textfiels Bold 3 2 3 30" xfId="14609" xr:uid="{C16387D9-1F97-4BC4-A4B4-E24A93F2D5F7}"/>
    <cellStyle name="Normal GHG Textfiels Bold 3 2 3 31" xfId="15419" xr:uid="{D4045659-C483-4144-A8AC-B78C4E6EC170}"/>
    <cellStyle name="Normal GHG Textfiels Bold 3 2 3 32" xfId="15885" xr:uid="{BF11F9B2-5C1A-4D12-B9D2-36C47E82F818}"/>
    <cellStyle name="Normal GHG Textfiels Bold 3 2 3 33" xfId="16766" xr:uid="{69369BC6-9D3F-4533-B99F-866D0A4EECC2}"/>
    <cellStyle name="Normal GHG Textfiels Bold 3 2 3 34" xfId="17173" xr:uid="{FB2CFB16-172A-48BA-90C8-0D4B86CEAFF6}"/>
    <cellStyle name="Normal GHG Textfiels Bold 3 2 3 35" xfId="17618" xr:uid="{BA0CDE04-2881-4875-9EF3-BBB70C07A9C5}"/>
    <cellStyle name="Normal GHG Textfiels Bold 3 2 3 36" xfId="17740" xr:uid="{23EECDDC-4B7B-4E95-BA41-1276CCF81082}"/>
    <cellStyle name="Normal GHG Textfiels Bold 3 2 3 37" xfId="18584" xr:uid="{41D49EBE-0890-4F9D-8D27-31D6A8DCD18B}"/>
    <cellStyle name="Normal GHG Textfiels Bold 3 2 3 38" xfId="17877" xr:uid="{B4DD9850-7D31-4F45-B9C3-651695885DF0}"/>
    <cellStyle name="Normal GHG Textfiels Bold 3 2 3 39" xfId="19271" xr:uid="{49D52864-8CB2-453B-8419-2EC76E51D7E4}"/>
    <cellStyle name="Normal GHG Textfiels Bold 3 2 3 4" xfId="2543" xr:uid="{40E7988D-81EC-4A59-935C-0DC1E8B70C3E}"/>
    <cellStyle name="Normal GHG Textfiels Bold 3 2 3 40" xfId="20103" xr:uid="{516740DC-5FF6-4B32-8271-F32B207E78C5}"/>
    <cellStyle name="Normal GHG Textfiels Bold 3 2 3 41" xfId="20525" xr:uid="{4CA31B59-01A5-4838-B261-30884E262E6D}"/>
    <cellStyle name="Normal GHG Textfiels Bold 3 2 3 42" xfId="20978" xr:uid="{99488709-5D3C-4E5A-929D-30993F4E8FA7}"/>
    <cellStyle name="Normal GHG Textfiels Bold 3 2 3 43" xfId="20792" xr:uid="{B3F3A66D-3C97-480A-B9FB-133CB0DDC534}"/>
    <cellStyle name="Normal GHG Textfiels Bold 3 2 3 44" xfId="21909" xr:uid="{EF337C8A-9705-4F6B-B37E-2BDB25F5E7C0}"/>
    <cellStyle name="Normal GHG Textfiels Bold 3 2 3 45" xfId="22343" xr:uid="{A5E41528-0338-4EC6-8EDA-580E8F4A380D}"/>
    <cellStyle name="Normal GHG Textfiels Bold 3 2 3 46" xfId="22958" xr:uid="{F93944AB-9513-4370-8539-21409C70625D}"/>
    <cellStyle name="Normal GHG Textfiels Bold 3 2 3 47" xfId="21829" xr:uid="{114B789B-26B6-46C7-B67C-B4A445296A80}"/>
    <cellStyle name="Normal GHG Textfiels Bold 3 2 3 48" xfId="23567" xr:uid="{828A7FC7-44B8-4B69-86BE-A6B86337D212}"/>
    <cellStyle name="Normal GHG Textfiels Bold 3 2 3 49" xfId="23903" xr:uid="{02BE580C-5D92-450D-863F-01737C4D67F0}"/>
    <cellStyle name="Normal GHG Textfiels Bold 3 2 3 5" xfId="3157" xr:uid="{EBF0501C-D94C-4FB3-8833-2CE66EC64FA4}"/>
    <cellStyle name="Normal GHG Textfiels Bold 3 2 3 50" xfId="24811" xr:uid="{91C41B26-1805-42D7-A2A8-3A1E091555E5}"/>
    <cellStyle name="Normal GHG Textfiels Bold 3 2 3 51" xfId="25234" xr:uid="{1282A8FF-CB2B-4D54-B0B4-C5DCE7C92379}"/>
    <cellStyle name="Normal GHG Textfiels Bold 3 2 3 52" xfId="25727" xr:uid="{A189EF05-D3DF-4F53-8349-A98C415B29F6}"/>
    <cellStyle name="Normal GHG Textfiels Bold 3 2 3 53" xfId="26265" xr:uid="{501F8995-4A71-4369-927B-99DDA06537F1}"/>
    <cellStyle name="Normal GHG Textfiels Bold 3 2 3 54" xfId="26502" xr:uid="{09A380D5-675F-4632-88C3-87CFA75359F4}"/>
    <cellStyle name="Normal GHG Textfiels Bold 3 2 3 55" xfId="27015" xr:uid="{6CD067EB-8AC8-4183-8CAC-BC38470BB9B8}"/>
    <cellStyle name="Normal GHG Textfiels Bold 3 2 3 56" xfId="27434" xr:uid="{6811966D-BE30-4CD7-8C1F-29FE5502E5E6}"/>
    <cellStyle name="Normal GHG Textfiels Bold 3 2 3 57" xfId="27778" xr:uid="{4EE40EB7-C64D-4039-A089-0D2853EC521A}"/>
    <cellStyle name="Normal GHG Textfiels Bold 3 2 3 58" xfId="28561" xr:uid="{AFCFBE0D-D5EC-4651-9946-14F503F18263}"/>
    <cellStyle name="Normal GHG Textfiels Bold 3 2 3 59" xfId="29028" xr:uid="{81345343-6B6B-44A4-A272-D84C9C4ED971}"/>
    <cellStyle name="Normal GHG Textfiels Bold 3 2 3 6" xfId="3757" xr:uid="{1800C2D2-3FEB-43EB-92AE-E58CB91D3859}"/>
    <cellStyle name="Normal GHG Textfiels Bold 3 2 3 60" xfId="29373" xr:uid="{A3818610-8355-4119-A976-D0D182317FA2}"/>
    <cellStyle name="Normal GHG Textfiels Bold 3 2 3 61" xfId="29817" xr:uid="{301A2D59-4CCA-4A65-ACE1-F66D67E57FD2}"/>
    <cellStyle name="Normal GHG Textfiels Bold 3 2 3 62" xfId="30223" xr:uid="{CE55E4E7-58FD-4180-BB52-DA65F5BC8CEE}"/>
    <cellStyle name="Normal GHG Textfiels Bold 3 2 3 63" xfId="30640" xr:uid="{A9ADC136-FB4E-420E-B6CC-327EA0038C32}"/>
    <cellStyle name="Normal GHG Textfiels Bold 3 2 3 64" xfId="30855" xr:uid="{F1FFA10F-A6D8-4CB4-8AFF-38AD869A8F7D}"/>
    <cellStyle name="Normal GHG Textfiels Bold 3 2 3 65" xfId="31256" xr:uid="{2087BA54-631C-4D33-B909-BAB0D471B439}"/>
    <cellStyle name="Normal GHG Textfiels Bold 3 2 3 66" xfId="31947" xr:uid="{54D38DED-CA73-415D-8974-5629135D9252}"/>
    <cellStyle name="Normal GHG Textfiels Bold 3 2 3 67" xfId="32224" xr:uid="{A6602CED-AFF3-4922-87D3-82C843CE068E}"/>
    <cellStyle name="Normal GHG Textfiels Bold 3 2 3 7" xfId="4039" xr:uid="{157AE88C-83D7-4F17-A882-670A24438483}"/>
    <cellStyle name="Normal GHG Textfiels Bold 3 2 3 8" xfId="4476" xr:uid="{B3152477-7F3E-4E0F-94AF-AB0B6B6AB3C1}"/>
    <cellStyle name="Normal GHG Textfiels Bold 3 2 3 9" xfId="3459" xr:uid="{4BF3BFC8-77AE-4F49-A010-E359DFA1686E}"/>
    <cellStyle name="Normal GHG Textfiels Bold 3 3" xfId="361" xr:uid="{91C66861-FF90-4713-A7F5-1D1D2FB566C4}"/>
    <cellStyle name="Normal GHG Textfiels Bold 3 3 10" xfId="3374" xr:uid="{844FEA9B-B643-4F8F-AAB9-70AA689933E3}"/>
    <cellStyle name="Normal GHG Textfiels Bold 3 3 11" xfId="2302" xr:uid="{46EE0BD4-E558-4151-B6CC-617CBFFB57F0}"/>
    <cellStyle name="Normal GHG Textfiels Bold 3 3 12" xfId="3530" xr:uid="{38E48203-93F0-4547-8774-0AEB5ED14C6F}"/>
    <cellStyle name="Normal GHG Textfiels Bold 3 3 13" xfId="4667" xr:uid="{9778A9B9-91FB-4EA5-A8D5-4B04A188A132}"/>
    <cellStyle name="Normal GHG Textfiels Bold 3 3 14" xfId="5939" xr:uid="{04F2EBA1-7015-464F-BEC0-0DF66C877A37}"/>
    <cellStyle name="Normal GHG Textfiels Bold 3 3 15" xfId="6214" xr:uid="{EF1EF9E3-6CA7-480F-8096-0A500CE57EB6}"/>
    <cellStyle name="Normal GHG Textfiels Bold 3 3 16" xfId="6631" xr:uid="{2401E254-D518-4E09-A8F8-0C8E4E3079AD}"/>
    <cellStyle name="Normal GHG Textfiels Bold 3 3 17" xfId="7088" xr:uid="{105B5EC9-E498-4934-A25F-E2C90BD2F786}"/>
    <cellStyle name="Normal GHG Textfiels Bold 3 3 18" xfId="7714" xr:uid="{DDF0477D-18E9-4F72-97BC-69D8F7DD3F4E}"/>
    <cellStyle name="Normal GHG Textfiels Bold 3 3 19" xfId="7129" xr:uid="{7D9CB471-3E90-4FD1-A9C8-CAC09C195FC7}"/>
    <cellStyle name="Normal GHG Textfiels Bold 3 3 2" xfId="639" xr:uid="{C307F9BD-590E-4E43-91B4-B33B9854A555}"/>
    <cellStyle name="Normal GHG Textfiels Bold 3 3 2 10" xfId="3673" xr:uid="{482AFEBC-C137-4FA6-8D2B-BA1249B58CF3}"/>
    <cellStyle name="Normal GHG Textfiels Bold 3 3 2 11" xfId="5287" xr:uid="{0035A876-9D2E-461E-AFB0-FCA3623E98DE}"/>
    <cellStyle name="Normal GHG Textfiels Bold 3 3 2 12" xfId="4962" xr:uid="{CBD7AEE8-4334-46E2-AA44-1FE4D8C3119E}"/>
    <cellStyle name="Normal GHG Textfiels Bold 3 3 2 13" xfId="6300" xr:uid="{5E448725-1FCD-40FC-8E1D-9A18996F9434}"/>
    <cellStyle name="Normal GHG Textfiels Bold 3 3 2 14" xfId="6600" xr:uid="{8C4C6888-6508-4A97-B378-45AD4A489822}"/>
    <cellStyle name="Normal GHG Textfiels Bold 3 3 2 15" xfId="7359" xr:uid="{0A2821B7-D82E-4785-8487-DF0AA4BB4851}"/>
    <cellStyle name="Normal GHG Textfiels Bold 3 3 2 16" xfId="7830" xr:uid="{7C35937D-DB7A-4639-A23A-95AAC62B5BAD}"/>
    <cellStyle name="Normal GHG Textfiels Bold 3 3 2 17" xfId="8094" xr:uid="{C2A53A22-5A68-4CAD-AC63-01BF8895991E}"/>
    <cellStyle name="Normal GHG Textfiels Bold 3 3 2 18" xfId="8205" xr:uid="{9051B4FD-F390-4270-8AE9-03B2D21D0136}"/>
    <cellStyle name="Normal GHG Textfiels Bold 3 3 2 19" xfId="9573" xr:uid="{3AC546EA-2212-4816-A920-EF2B6CBF2A53}"/>
    <cellStyle name="Normal GHG Textfiels Bold 3 3 2 2" xfId="854" xr:uid="{A1C2C46A-A612-4EEB-9118-4FEB4C143496}"/>
    <cellStyle name="Normal GHG Textfiels Bold 3 3 2 2 10" xfId="5502" xr:uid="{2E6D4F22-F7A9-4751-88D2-C034A12191E6}"/>
    <cellStyle name="Normal GHG Textfiels Bold 3 3 2 2 11" xfId="5674" xr:uid="{70497A55-DEEC-436B-9ABC-6DAA034A8D7E}"/>
    <cellStyle name="Normal GHG Textfiels Bold 3 3 2 2 12" xfId="6049" xr:uid="{C0080975-B688-48A6-94C4-4F2D143D17F5}"/>
    <cellStyle name="Normal GHG Textfiels Bold 3 3 2 2 13" xfId="6050" xr:uid="{77D3C6DC-C0BA-4996-82B5-DF6E615F6BC8}"/>
    <cellStyle name="Normal GHG Textfiels Bold 3 3 2 2 14" xfId="7574" xr:uid="{7DEECB09-3A5E-4F3F-975B-5DC45625CE39}"/>
    <cellStyle name="Normal GHG Textfiels Bold 3 3 2 2 15" xfId="6882" xr:uid="{DCB1026D-C52F-4546-A143-CCCDACE22A3F}"/>
    <cellStyle name="Normal GHG Textfiels Bold 3 3 2 2 16" xfId="6838" xr:uid="{C6AAB7B7-A123-4217-B808-E7A1DF9F50EB}"/>
    <cellStyle name="Normal GHG Textfiels Bold 3 3 2 2 17" xfId="8879" xr:uid="{D66F65D0-6289-4A45-AF02-E6686F23CACC}"/>
    <cellStyle name="Normal GHG Textfiels Bold 3 3 2 2 18" xfId="9788" xr:uid="{61F13CB1-07D3-4AE0-B74A-75AB25E971F8}"/>
    <cellStyle name="Normal GHG Textfiels Bold 3 3 2 2 19" xfId="9095" xr:uid="{9D315787-A180-41E2-9E82-86CB333A7101}"/>
    <cellStyle name="Normal GHG Textfiels Bold 3 3 2 2 2" xfId="1328" xr:uid="{FA0C29CF-1510-4F13-9583-8510F235F883}"/>
    <cellStyle name="Normal GHG Textfiels Bold 3 3 2 2 20" xfId="10240" xr:uid="{5FA4EDA9-AEE4-4064-BF4D-5B3D1C40E7AB}"/>
    <cellStyle name="Normal GHG Textfiels Bold 3 3 2 2 21" xfId="9052" xr:uid="{30128992-9C2C-47B0-A03B-7634C969439E}"/>
    <cellStyle name="Normal GHG Textfiels Bold 3 3 2 2 22" xfId="11079" xr:uid="{E78AC662-A2B4-4DED-965C-BBFB0DAD1FB8}"/>
    <cellStyle name="Normal GHG Textfiels Bold 3 3 2 2 23" xfId="12207" xr:uid="{17244D15-DF53-4266-B770-6C0F11E62FEF}"/>
    <cellStyle name="Normal GHG Textfiels Bold 3 3 2 2 24" xfId="12680" xr:uid="{4D966220-1903-4EE1-A8B5-4BC5932AFB34}"/>
    <cellStyle name="Normal GHG Textfiels Bold 3 3 2 2 25" xfId="13114" xr:uid="{5EBD4B78-38C5-43CD-AEE5-98055595DF19}"/>
    <cellStyle name="Normal GHG Textfiels Bold 3 3 2 2 26" xfId="13551" xr:uid="{10103CB4-4311-4948-8283-7AD5A78E38CC}"/>
    <cellStyle name="Normal GHG Textfiels Bold 3 3 2 2 27" xfId="12744" xr:uid="{281D9687-7776-4CEA-B1C3-BDCC78529881}"/>
    <cellStyle name="Normal GHG Textfiels Bold 3 3 2 2 28" xfId="14470" xr:uid="{7A8ABAE0-5521-478C-87E9-11F1AB5E01AB}"/>
    <cellStyle name="Normal GHG Textfiels Bold 3 3 2 2 29" xfId="13623" xr:uid="{F37147D1-5C08-4CBF-BE5D-C2829B3BFE62}"/>
    <cellStyle name="Normal GHG Textfiels Bold 3 3 2 2 3" xfId="1777" xr:uid="{2E3B55E3-B438-4C1C-80BE-C1BA3D043A4B}"/>
    <cellStyle name="Normal GHG Textfiels Bold 3 3 2 2 30" xfId="14070" xr:uid="{928C9D9A-A7A3-4E48-AEC4-CFC6FA8651DD}"/>
    <cellStyle name="Normal GHG Textfiels Bold 3 3 2 2 31" xfId="15616" xr:uid="{05731AB6-7DF8-4014-BAF6-CC9F78E2ADA3}"/>
    <cellStyle name="Normal GHG Textfiels Bold 3 3 2 2 32" xfId="15487" xr:uid="{91E26BDA-3A2C-4381-ABCC-577EB877C6EF}"/>
    <cellStyle name="Normal GHG Textfiels Bold 3 3 2 2 33" xfId="16899" xr:uid="{635342E6-7B57-4872-B4D2-E4BC99D04842}"/>
    <cellStyle name="Normal GHG Textfiels Bold 3 3 2 2 34" xfId="16198" xr:uid="{EED390B7-6738-4F19-A38F-1617A7D22F21}"/>
    <cellStyle name="Normal GHG Textfiels Bold 3 3 2 2 35" xfId="17361" xr:uid="{247857EF-95BA-44EC-AD47-70AECE78448E}"/>
    <cellStyle name="Normal GHG Textfiels Bold 3 3 2 2 36" xfId="17670" xr:uid="{9DA6E6DF-077A-40F8-9FEC-C13598C0767A}"/>
    <cellStyle name="Normal GHG Textfiels Bold 3 3 2 2 37" xfId="18717" xr:uid="{16B17128-3E24-4703-8D82-0EA4F03FF36E}"/>
    <cellStyle name="Normal GHG Textfiels Bold 3 3 2 2 38" xfId="19059" xr:uid="{AC28D585-6E78-4BE8-9EFA-6EE9DF71778D}"/>
    <cellStyle name="Normal GHG Textfiels Bold 3 3 2 2 39" xfId="18203" xr:uid="{3113C6F5-6F7B-4F27-AB90-6EF763A296D2}"/>
    <cellStyle name="Normal GHG Textfiels Bold 3 3 2 2 4" xfId="2676" xr:uid="{E2144F38-785E-42D3-A58C-3CD5A0FB22E6}"/>
    <cellStyle name="Normal GHG Textfiels Bold 3 3 2 2 40" xfId="20236" xr:uid="{A8BD4169-7F2B-40AA-9B2A-2F1772705A9D}"/>
    <cellStyle name="Normal GHG Textfiels Bold 3 3 2 2 41" xfId="19530" xr:uid="{CA570EB3-E188-4287-9FF5-2301E51B2229}"/>
    <cellStyle name="Normal GHG Textfiels Bold 3 3 2 2 42" xfId="19477" xr:uid="{1BF2274F-160A-4E69-B79F-982F681ED05B}"/>
    <cellStyle name="Normal GHG Textfiels Bold 3 3 2 2 43" xfId="21310" xr:uid="{951C1681-CA05-48CE-A4F1-883A5E857FBE}"/>
    <cellStyle name="Normal GHG Textfiels Bold 3 3 2 2 44" xfId="21574" xr:uid="{1670DC20-B744-419D-8240-9FCCC6CDBF77}"/>
    <cellStyle name="Normal GHG Textfiels Bold 3 3 2 2 45" xfId="22037" xr:uid="{145090B6-B2C9-41A7-81BA-0760A9DC433F}"/>
    <cellStyle name="Normal GHG Textfiels Bold 3 3 2 2 46" xfId="21200" xr:uid="{DFB8A40E-44EE-427D-8F89-E8D38B3031E0}"/>
    <cellStyle name="Normal GHG Textfiels Bold 3 3 2 2 47" xfId="23336" xr:uid="{25D108F2-7DCB-491A-BB91-6ABF38CBA307}"/>
    <cellStyle name="Normal GHG Textfiels Bold 3 3 2 2 48" xfId="23444" xr:uid="{6012DC24-36CD-4978-B843-C2C9C6396E3A}"/>
    <cellStyle name="Normal GHG Textfiels Bold 3 3 2 2 49" xfId="24036" xr:uid="{113FDA98-EA22-41E5-A60E-C9E4CF4CDA1B}"/>
    <cellStyle name="Normal GHG Textfiels Bold 3 3 2 2 5" xfId="2201" xr:uid="{96CCE1C5-49B1-403D-8FB6-B7415874D7A8}"/>
    <cellStyle name="Normal GHG Textfiels Bold 3 3 2 2 50" xfId="24944" xr:uid="{BCD67ABB-EF7B-4B52-B0F4-7A730F9C912E}"/>
    <cellStyle name="Normal GHG Textfiels Bold 3 3 2 2 51" xfId="24299" xr:uid="{E69E7E7C-C60B-412A-BC56-98EB66191FD4}"/>
    <cellStyle name="Normal GHG Textfiels Bold 3 3 2 2 52" xfId="25860" xr:uid="{AA5FAAD7-82BE-4ED3-A720-BBCFF9F422A2}"/>
    <cellStyle name="Normal GHG Textfiels Bold 3 3 2 2 53" xfId="25931" xr:uid="{5608AC9F-1BCF-47D5-8DF4-EE1A10D8F4D0}"/>
    <cellStyle name="Normal GHG Textfiels Bold 3 3 2 2 54" xfId="26419" xr:uid="{FA3A3479-2FB5-4143-819B-EB3B2739B975}"/>
    <cellStyle name="Normal GHG Textfiels Bold 3 3 2 2 55" xfId="27148" xr:uid="{84B1DA24-FE88-411E-8725-93D09D9F748A}"/>
    <cellStyle name="Normal GHG Textfiels Bold 3 3 2 2 56" xfId="27567" xr:uid="{42ACEAA7-849C-409B-A18A-331B6223A7EC}"/>
    <cellStyle name="Normal GHG Textfiels Bold 3 3 2 2 57" xfId="26119" xr:uid="{F920B12E-362A-4799-9764-7FDCF7F053CC}"/>
    <cellStyle name="Normal GHG Textfiels Bold 3 3 2 2 58" xfId="28694" xr:uid="{4D481D48-318E-437A-8139-F2BA85123D30}"/>
    <cellStyle name="Normal GHG Textfiels Bold 3 3 2 2 59" xfId="29161" xr:uid="{1CDE5E0E-3DD5-4323-8777-8BACF0B446E1}"/>
    <cellStyle name="Normal GHG Textfiels Bold 3 3 2 2 6" xfId="3581" xr:uid="{EC89D295-0199-46BA-8376-40842E2221AD}"/>
    <cellStyle name="Normal GHG Textfiels Bold 3 3 2 2 60" xfId="28978" xr:uid="{4ED73457-A113-448E-82D0-1501861FE297}"/>
    <cellStyle name="Normal GHG Textfiels Bold 3 3 2 2 61" xfId="29950" xr:uid="{EAFC2CBB-AFD5-486F-B46D-9B835FBA8EA5}"/>
    <cellStyle name="Normal GHG Textfiels Bold 3 3 2 2 62" xfId="30356" xr:uid="{F85C9234-5CFA-417B-B3B3-41851030FD0A}"/>
    <cellStyle name="Normal GHG Textfiels Bold 3 3 2 2 63" xfId="30773" xr:uid="{D5619872-B919-4645-A4D4-317EC2A23191}"/>
    <cellStyle name="Normal GHG Textfiels Bold 3 3 2 2 64" xfId="29992" xr:uid="{78DFD8E7-9208-4996-96B9-D8E53CD6B5F4}"/>
    <cellStyle name="Normal GHG Textfiels Bold 3 3 2 2 65" xfId="31389" xr:uid="{1A83DBED-6694-4201-BEF4-7343BB0FBF20}"/>
    <cellStyle name="Normal GHG Textfiels Bold 3 3 2 2 66" xfId="32080" xr:uid="{16DDF25F-3558-4A3F-9C60-5F85DD902E59}"/>
    <cellStyle name="Normal GHG Textfiels Bold 3 3 2 2 67" xfId="32365" xr:uid="{8DD756FE-F77A-45C2-BCFD-B846682C3B2A}"/>
    <cellStyle name="Normal GHG Textfiels Bold 3 3 2 2 7" xfId="4172" xr:uid="{A3D433EC-67C4-4619-8612-CB6FFC1EDEC5}"/>
    <cellStyle name="Normal GHG Textfiels Bold 3 3 2 2 8" xfId="4609" xr:uid="{A9F9E7DC-FE00-41EC-BEC8-53B5825404E7}"/>
    <cellStyle name="Normal GHG Textfiels Bold 3 3 2 2 9" xfId="2235" xr:uid="{B2A48402-9069-4388-8CD7-EB78543F0DAC}"/>
    <cellStyle name="Normal GHG Textfiels Bold 3 3 2 20" xfId="10042" xr:uid="{15A559BA-6727-41F8-9086-F07A5A6929BE}"/>
    <cellStyle name="Normal GHG Textfiels Bold 3 3 2 21" xfId="10462" xr:uid="{41296098-1938-4DB5-A893-E1989704F8EF}"/>
    <cellStyle name="Normal GHG Textfiels Bold 3 3 2 22" xfId="10212" xr:uid="{6486A887-654B-471F-988C-1162F4878D0B}"/>
    <cellStyle name="Normal GHG Textfiels Bold 3 3 2 23" xfId="9391" xr:uid="{437C0B15-F981-4A38-84F9-4F327B264A00}"/>
    <cellStyle name="Normal GHG Textfiels Bold 3 3 2 24" xfId="11992" xr:uid="{52D52D29-3EB1-40CA-A04E-F911CEC20AE5}"/>
    <cellStyle name="Normal GHG Textfiels Bold 3 3 2 25" xfId="12465" xr:uid="{F277D778-4186-4AEA-9EEA-E74365848A88}"/>
    <cellStyle name="Normal GHG Textfiels Bold 3 3 2 26" xfId="12899" xr:uid="{E39A739D-9F65-4DDF-A37F-36FF256BD4D6}"/>
    <cellStyle name="Normal GHG Textfiels Bold 3 3 2 27" xfId="13336" xr:uid="{3059BB3C-2D72-46FE-BC30-11D3AA830D42}"/>
    <cellStyle name="Normal GHG Textfiels Bold 3 3 2 28" xfId="11499" xr:uid="{AE03367D-D48C-430C-AFF1-8A5F5D9FE124}"/>
    <cellStyle name="Normal GHG Textfiels Bold 3 3 2 29" xfId="14021" xr:uid="{2C9AEBC7-FFB3-4424-8FC8-5CDBA3DFAD43}"/>
    <cellStyle name="Normal GHG Textfiels Bold 3 3 2 3" xfId="1122" xr:uid="{8E7B8A2E-BF4F-4DCA-89FB-E50839AAA408}"/>
    <cellStyle name="Normal GHG Textfiels Bold 3 3 2 30" xfId="14653" xr:uid="{D3576D4C-A274-4172-994C-248847081198}"/>
    <cellStyle name="Normal GHG Textfiels Bold 3 3 2 31" xfId="14631" xr:uid="{43373FAF-F164-45A8-8818-CCBDBC573E74}"/>
    <cellStyle name="Normal GHG Textfiels Bold 3 3 2 32" xfId="14276" xr:uid="{DFA304C2-4CE1-4990-BC12-45DCB95A9CEA}"/>
    <cellStyle name="Normal GHG Textfiels Bold 3 3 2 33" xfId="15875" xr:uid="{CEEF6A66-761E-47DA-9519-9CED75EB68DB}"/>
    <cellStyle name="Normal GHG Textfiels Bold 3 3 2 34" xfId="16684" xr:uid="{6C1DF2D0-ECFF-4647-809E-EA1AEDBC8064}"/>
    <cellStyle name="Normal GHG Textfiels Bold 3 3 2 35" xfId="17160" xr:uid="{70381436-CD71-406B-B64B-305897C825A6}"/>
    <cellStyle name="Normal GHG Textfiels Bold 3 3 2 36" xfId="17605" xr:uid="{04D0CB96-5F9E-4CD0-99FF-B9124545F638}"/>
    <cellStyle name="Normal GHG Textfiels Bold 3 3 2 37" xfId="17425" xr:uid="{9DCCDE93-231B-4179-BED8-D096AEFFEB36}"/>
    <cellStyle name="Normal GHG Textfiels Bold 3 3 2 38" xfId="18502" xr:uid="{D8025EB3-ED16-441D-8014-A755CD1D64D6}"/>
    <cellStyle name="Normal GHG Textfiels Bold 3 3 2 39" xfId="17232" xr:uid="{A36BF56F-BEF1-4D91-A492-4B1950EF413B}"/>
    <cellStyle name="Normal GHG Textfiels Bold 3 3 2 4" xfId="1601" xr:uid="{0E6F5A41-3E65-4EC8-9E4C-499CDF7C27A9}"/>
    <cellStyle name="Normal GHG Textfiels Bold 3 3 2 40" xfId="19295" xr:uid="{2D22F826-A619-4A11-A5E8-3A16E1710D6C}"/>
    <cellStyle name="Normal GHG Textfiels Bold 3 3 2 41" xfId="20021" xr:uid="{E141317A-09AB-4960-9FAD-636CDC80CCCB}"/>
    <cellStyle name="Normal GHG Textfiels Bold 3 3 2 42" xfId="20512" xr:uid="{2CDE0D26-0158-4456-8833-AE153C8CEE38}"/>
    <cellStyle name="Normal GHG Textfiels Bold 3 3 2 43" xfId="20965" xr:uid="{82A14657-46EF-4395-84F8-88EF9007DF3C}"/>
    <cellStyle name="Normal GHG Textfiels Bold 3 3 2 44" xfId="19787" xr:uid="{13DF366E-969C-4D60-9B48-B9FFA728D454}"/>
    <cellStyle name="Normal GHG Textfiels Bold 3 3 2 45" xfId="21896" xr:uid="{3C8AC93A-AA86-48E2-8B42-0B879ABCC79D}"/>
    <cellStyle name="Normal GHG Textfiels Bold 3 3 2 46" xfId="22332" xr:uid="{DB8C8A43-0DCB-4F6E-93FF-8914B234DBCA}"/>
    <cellStyle name="Normal GHG Textfiels Bold 3 3 2 47" xfId="21809" xr:uid="{3C6F19BD-F614-46BF-AAE8-236141EAE1E2}"/>
    <cellStyle name="Normal GHG Textfiels Bold 3 3 2 48" xfId="20971" xr:uid="{B7F035C1-3CB8-425B-9AA5-E84B0C25A6A3}"/>
    <cellStyle name="Normal GHG Textfiels Bold 3 3 2 49" xfId="23605" xr:uid="{E843AE57-BDDF-4CAA-BF25-D7B523BC2550}"/>
    <cellStyle name="Normal GHG Textfiels Bold 3 3 2 5" xfId="2461" xr:uid="{38E1CFBA-4645-4606-9A42-79AD71776628}"/>
    <cellStyle name="Normal GHG Textfiels Bold 3 3 2 50" xfId="23830" xr:uid="{316F4B0A-4A9D-4A96-981F-C38F1753F9EE}"/>
    <cellStyle name="Normal GHG Textfiels Bold 3 3 2 51" xfId="24729" xr:uid="{90DB011B-AC70-4DB3-A20E-0BFB90F808BD}"/>
    <cellStyle name="Normal GHG Textfiels Bold 3 3 2 52" xfId="25221" xr:uid="{D753D78C-475E-4549-836A-42154F787500}"/>
    <cellStyle name="Normal GHG Textfiels Bold 3 3 2 53" xfId="25647" xr:uid="{20739037-35DE-4AD5-815C-4B6B7B29B10A}"/>
    <cellStyle name="Normal GHG Textfiels Bold 3 3 2 54" xfId="24554" xr:uid="{1C4B96BD-D634-42A9-BDF5-AC24219BCFA5}"/>
    <cellStyle name="Normal GHG Textfiels Bold 3 3 2 55" xfId="25090" xr:uid="{16AA88CA-3A4A-4376-8110-ADC71C9F0838}"/>
    <cellStyle name="Normal GHG Textfiels Bold 3 3 2 56" xfId="26937" xr:uid="{AAEF7151-C8F0-484E-A8C2-180570818A0D}"/>
    <cellStyle name="Normal GHG Textfiels Bold 3 3 2 57" xfId="27356" xr:uid="{5B73D245-45FE-4BB4-8920-A5E0068A5E4F}"/>
    <cellStyle name="Normal GHG Textfiels Bold 3 3 2 58" xfId="25996" xr:uid="{941A9489-3F7B-49CB-9EEB-A335E18F762C}"/>
    <cellStyle name="Normal GHG Textfiels Bold 3 3 2 59" xfId="28479" xr:uid="{90BDFEA3-F57B-4F4B-8ED3-6AFE54F18A1B}"/>
    <cellStyle name="Normal GHG Textfiels Bold 3 3 2 6" xfId="2009" xr:uid="{9803E067-CC9D-4973-8205-D8EEA0128236}"/>
    <cellStyle name="Normal GHG Textfiels Bold 3 3 2 60" xfId="28947" xr:uid="{4F49E2F0-2C51-45E8-A525-F1D72E09D755}"/>
    <cellStyle name="Normal GHG Textfiels Bold 3 3 2 61" xfId="29362" xr:uid="{6BA22C98-49CF-449A-ADCE-950C0924456C}"/>
    <cellStyle name="Normal GHG Textfiels Bold 3 3 2 62" xfId="29737" xr:uid="{821A1465-B6DA-4628-907E-14BD2843EE01}"/>
    <cellStyle name="Normal GHG Textfiels Bold 3 3 2 63" xfId="30145" xr:uid="{F0F113EC-7510-4C70-8460-39C67468214D}"/>
    <cellStyle name="Normal GHG Textfiels Bold 3 3 2 64" xfId="30559" xr:uid="{2FC8DF91-A4DD-4F32-95EF-12E3BE85AF51}"/>
    <cellStyle name="Normal GHG Textfiels Bold 3 3 2 65" xfId="30399" xr:uid="{9BE4C369-8E20-400B-AD30-E4C34DAD0E84}"/>
    <cellStyle name="Normal GHG Textfiels Bold 3 3 2 66" xfId="31183" xr:uid="{7025DB81-2AFD-490B-886D-FD7F44BBDB9D}"/>
    <cellStyle name="Normal GHG Textfiels Bold 3 3 2 67" xfId="31869" xr:uid="{3650C029-0C23-4508-9AB5-36538DE9C2EC}"/>
    <cellStyle name="Normal GHG Textfiels Bold 3 3 2 68" xfId="31670" xr:uid="{FA37F081-C5F0-442B-8A31-B9583967727A}"/>
    <cellStyle name="Normal GHG Textfiels Bold 3 3 2 7" xfId="2954" xr:uid="{B5090E8D-9380-4863-98F0-826BE2531803}"/>
    <cellStyle name="Normal GHG Textfiels Bold 3 3 2 8" xfId="3957" xr:uid="{EDB2CAFF-06EA-4F1C-B3FC-E556414C8627}"/>
    <cellStyle name="Normal GHG Textfiels Bold 3 3 2 9" xfId="4395" xr:uid="{11A7A1D7-EF14-4BF4-A572-60098EA27350}"/>
    <cellStyle name="Normal GHG Textfiels Bold 3 3 20" xfId="8202" xr:uid="{E2347955-C75A-4A0E-9487-18F1DCF2EA1D}"/>
    <cellStyle name="Normal GHG Textfiels Bold 3 3 21" xfId="9302" xr:uid="{4E4CC688-BE7F-48E3-B1FB-959EF2A43122}"/>
    <cellStyle name="Normal GHG Textfiels Bold 3 3 22" xfId="9928" xr:uid="{83A52038-B085-4C3D-B19C-BFC29157AF0E}"/>
    <cellStyle name="Normal GHG Textfiels Bold 3 3 23" xfId="10359" xr:uid="{006EF6AC-20CA-4A26-9DD0-430081EE8500}"/>
    <cellStyle name="Normal GHG Textfiels Bold 3 3 24" xfId="10756" xr:uid="{31F3D5D6-891B-41AB-A6B6-B121D8A91E4B}"/>
    <cellStyle name="Normal GHG Textfiels Bold 3 3 25" xfId="9019" xr:uid="{9E3BDEBC-0CD0-4D0C-939F-ECCBD8EDABFF}"/>
    <cellStyle name="Normal GHG Textfiels Bold 3 3 26" xfId="11715" xr:uid="{4A3B624E-CFE6-404A-93DB-9F54054D4596}"/>
    <cellStyle name="Normal GHG Textfiels Bold 3 3 27" xfId="11455" xr:uid="{1DBB31B7-9B80-4EEC-9822-FCA20B4C3C50}"/>
    <cellStyle name="Normal GHG Textfiels Bold 3 3 28" xfId="11684" xr:uid="{F3086AA6-348E-43F6-9327-DF813BAA9918}"/>
    <cellStyle name="Normal GHG Textfiels Bold 3 3 29" xfId="11814" xr:uid="{F87FE7E4-1694-499D-809A-69EB052F6D62}"/>
    <cellStyle name="Normal GHG Textfiels Bold 3 3 3" xfId="582" xr:uid="{559FC0EA-FAEF-482D-AB80-D6AD29235857}"/>
    <cellStyle name="Normal GHG Textfiels Bold 3 3 3 10" xfId="3567" xr:uid="{7E7B5C89-916E-45D2-81D3-0B43647F7A27}"/>
    <cellStyle name="Normal GHG Textfiels Bold 3 3 3 11" xfId="5230" xr:uid="{01EB0A50-F247-4852-9147-CCCCD6775C70}"/>
    <cellStyle name="Normal GHG Textfiels Bold 3 3 3 12" xfId="4805" xr:uid="{833A7B34-2A3D-40CA-95BA-841605DBC005}"/>
    <cellStyle name="Normal GHG Textfiels Bold 3 3 3 13" xfId="5854" xr:uid="{10013AA9-BCBC-41C3-BBAA-66D434A2F52D}"/>
    <cellStyle name="Normal GHG Textfiels Bold 3 3 3 14" xfId="6149" xr:uid="{C2A6BA3B-43AF-405F-BF97-A8C27803F01A}"/>
    <cellStyle name="Normal GHG Textfiels Bold 3 3 3 15" xfId="7302" xr:uid="{DD0AD6FA-3246-423B-9F6F-5D764B22367F}"/>
    <cellStyle name="Normal GHG Textfiels Bold 3 3 3 16" xfId="7991" xr:uid="{C99BA596-4585-4DBB-BF91-11CF74A863C1}"/>
    <cellStyle name="Normal GHG Textfiels Bold 3 3 3 17" xfId="6930" xr:uid="{D198B56A-36B0-44E4-95A5-5FD17C03676D}"/>
    <cellStyle name="Normal GHG Textfiels Bold 3 3 3 18" xfId="6821" xr:uid="{4D3F2860-912C-4D38-99F6-75D7D3960B20}"/>
    <cellStyle name="Normal GHG Textfiels Bold 3 3 3 19" xfId="9516" xr:uid="{56609D00-F319-4769-9D1A-BB4D92B4990A}"/>
    <cellStyle name="Normal GHG Textfiels Bold 3 3 3 2" xfId="797" xr:uid="{6BCD951F-2CC8-467B-9F63-BB8F51472C28}"/>
    <cellStyle name="Normal GHG Textfiels Bold 3 3 3 2 10" xfId="5445" xr:uid="{413AA9E8-D5E7-48CB-9D57-309E290B1AF6}"/>
    <cellStyle name="Normal GHG Textfiels Bold 3 3 3 2 11" xfId="5833" xr:uid="{45C43618-F86F-463F-B6C0-D8424C335B33}"/>
    <cellStyle name="Normal GHG Textfiels Bold 3 3 3 2 12" xfId="5786" xr:uid="{8C10CF7F-F9AD-4671-B414-50D5133D7DB0}"/>
    <cellStyle name="Normal GHG Textfiels Bold 3 3 3 2 13" xfId="2809" xr:uid="{44CE3244-45A7-4B6E-BCB5-E4A4F3464509}"/>
    <cellStyle name="Normal GHG Textfiels Bold 3 3 3 2 14" xfId="7517" xr:uid="{BB5DDB42-BB01-4EC6-8075-75C5DAA1CDB8}"/>
    <cellStyle name="Normal GHG Textfiels Bold 3 3 3 2 15" xfId="8015" xr:uid="{16CCFAD6-F283-4698-BEEB-A8183071EFF9}"/>
    <cellStyle name="Normal GHG Textfiels Bold 3 3 3 2 16" xfId="8631" xr:uid="{A20E7A1D-C64A-49F6-BC57-757316E975CA}"/>
    <cellStyle name="Normal GHG Textfiels Bold 3 3 3 2 17" xfId="8744" xr:uid="{3AF18069-5729-47B8-A1D3-BA1E656868AE}"/>
    <cellStyle name="Normal GHG Textfiels Bold 3 3 3 2 18" xfId="9731" xr:uid="{53869048-C92D-4741-8000-A4F8B4BCE248}"/>
    <cellStyle name="Normal GHG Textfiels Bold 3 3 3 2 19" xfId="10233" xr:uid="{96978808-2CC5-4216-BB81-E5C8CE2F0ACA}"/>
    <cellStyle name="Normal GHG Textfiels Bold 3 3 3 2 2" xfId="1271" xr:uid="{782BD29A-55B5-4065-ABA4-CF6C6D215E7A}"/>
    <cellStyle name="Normal GHG Textfiels Bold 3 3 3 2 20" xfId="10630" xr:uid="{F44FE9CC-FE55-4FD2-A96D-C6F1A230AC24}"/>
    <cellStyle name="Normal GHG Textfiels Bold 3 3 3 2 21" xfId="9863" xr:uid="{6FD40A40-9BEC-4DAF-B9FC-B1372BE7052F}"/>
    <cellStyle name="Normal GHG Textfiels Bold 3 3 3 2 22" xfId="11207" xr:uid="{1E3A9A72-B4F9-49C6-891E-26C0FFC75AD1}"/>
    <cellStyle name="Normal GHG Textfiels Bold 3 3 3 2 23" xfId="12150" xr:uid="{3973B6E8-D8BE-460B-888A-9A58378B1417}"/>
    <cellStyle name="Normal GHG Textfiels Bold 3 3 3 2 24" xfId="12623" xr:uid="{8C942567-9CE0-4CBE-8E1A-A175E80964A0}"/>
    <cellStyle name="Normal GHG Textfiels Bold 3 3 3 2 25" xfId="13057" xr:uid="{E07B130A-3565-4A88-BE34-132E0C0106A6}"/>
    <cellStyle name="Normal GHG Textfiels Bold 3 3 3 2 26" xfId="13494" xr:uid="{40BB96D3-D00E-4503-8D37-C881B3BF23F0}"/>
    <cellStyle name="Normal GHG Textfiels Bold 3 3 3 2 27" xfId="13190" xr:uid="{6869AB2D-5A43-4B99-BB6F-A3F16FDDED07}"/>
    <cellStyle name="Normal GHG Textfiels Bold 3 3 3 2 28" xfId="12292" xr:uid="{1C0CC654-287C-403A-AE5E-0EB44EF0CE6A}"/>
    <cellStyle name="Normal GHG Textfiels Bold 3 3 3 2 29" xfId="14881" xr:uid="{54883288-369C-4160-BBA8-A1458C2ABA66}"/>
    <cellStyle name="Normal GHG Textfiels Bold 3 3 3 2 3" xfId="1607" xr:uid="{16D13541-ACB6-45E4-B49D-3B8F4F2E76BF}"/>
    <cellStyle name="Normal GHG Textfiels Bold 3 3 3 2 30" xfId="14074" xr:uid="{FC8820A3-7EAC-4672-8551-0F799A2C8787}"/>
    <cellStyle name="Normal GHG Textfiels Bold 3 3 3 2 31" xfId="14980" xr:uid="{FD897EA1-47DB-4329-A64B-326CBA673DEE}"/>
    <cellStyle name="Normal GHG Textfiels Bold 3 3 3 2 32" xfId="15979" xr:uid="{17BE1F00-7E59-4FEB-B986-244930695ECC}"/>
    <cellStyle name="Normal GHG Textfiels Bold 3 3 3 2 33" xfId="16842" xr:uid="{D239A6D6-37E5-4764-BC99-C0860A6A9AA7}"/>
    <cellStyle name="Normal GHG Textfiels Bold 3 3 3 2 34" xfId="17354" xr:uid="{F1B056DC-433C-4999-A49E-B434EC0459ED}"/>
    <cellStyle name="Normal GHG Textfiels Bold 3 3 3 2 35" xfId="17796" xr:uid="{35AC8E4A-FFDE-4B6A-8185-162000B706EE}"/>
    <cellStyle name="Normal GHG Textfiels Bold 3 3 3 2 36" xfId="17745" xr:uid="{34E510B6-85E8-4D5E-8D1E-53B1C19B0B31}"/>
    <cellStyle name="Normal GHG Textfiels Bold 3 3 3 2 37" xfId="18660" xr:uid="{5782AEA4-A229-4FB1-8A15-08CB7B7707AB}"/>
    <cellStyle name="Normal GHG Textfiels Bold 3 3 3 2 38" xfId="18837" xr:uid="{2B207BB4-77EA-44FC-8BD9-ADA48F00E5F9}"/>
    <cellStyle name="Normal GHG Textfiels Bold 3 3 3 2 39" xfId="18816" xr:uid="{6C637283-C9C6-499F-8267-B48FA94CD1F3}"/>
    <cellStyle name="Normal GHG Textfiels Bold 3 3 3 2 4" xfId="2619" xr:uid="{C2752E41-8FF8-495C-8BB9-E5BB3457C684}"/>
    <cellStyle name="Normal GHG Textfiels Bold 3 3 3 2 40" xfId="20179" xr:uid="{C2062086-F833-438B-9F4B-689A7545B358}"/>
    <cellStyle name="Normal GHG Textfiels Bold 3 3 3 2 41" xfId="20705" xr:uid="{C7BF6852-39D2-4DB0-BA4C-8D508B2C32ED}"/>
    <cellStyle name="Normal GHG Textfiels Bold 3 3 3 2 42" xfId="21162" xr:uid="{2462988D-D993-41F8-B939-53C1CEB410D1}"/>
    <cellStyle name="Normal GHG Textfiels Bold 3 3 3 2 43" xfId="21525" xr:uid="{B159E45B-6BDF-481F-8356-B1C14C4E4CD9}"/>
    <cellStyle name="Normal GHG Textfiels Bold 3 3 3 2 44" xfId="22093" xr:uid="{E8F0E455-1453-4961-88AC-B1734AFF0E62}"/>
    <cellStyle name="Normal GHG Textfiels Bold 3 3 3 2 45" xfId="22521" xr:uid="{0BA35B54-4F42-4B37-81F9-D4F7FAC90DF1}"/>
    <cellStyle name="Normal GHG Textfiels Bold 3 3 3 2 46" xfId="21858" xr:uid="{4E81E4A7-2F04-4729-AA79-C3AEA10C6B17}"/>
    <cellStyle name="Normal GHG Textfiels Bold 3 3 3 2 47" xfId="23112" xr:uid="{FD9386FE-4C99-415B-ACE2-1EE1D15A7F04}"/>
    <cellStyle name="Normal GHG Textfiels Bold 3 3 3 2 48" xfId="23346" xr:uid="{7ADEF047-16AF-4CE5-B190-31159FB1C708}"/>
    <cellStyle name="Normal GHG Textfiels Bold 3 3 3 2 49" xfId="23979" xr:uid="{D3E286B5-8497-4E35-8106-C966B29A9540}"/>
    <cellStyle name="Normal GHG Textfiels Bold 3 3 3 2 5" xfId="2128" xr:uid="{55B92A97-010B-4564-8041-6A1EE7C61007}"/>
    <cellStyle name="Normal GHG Textfiels Bold 3 3 3 2 50" xfId="24887" xr:uid="{A405B00D-E05C-4F6B-B70C-E9A270FA791D}"/>
    <cellStyle name="Normal GHG Textfiels Bold 3 3 3 2 51" xfId="25408" xr:uid="{21667510-ECBA-45EF-8E35-76427FF60984}"/>
    <cellStyle name="Normal GHG Textfiels Bold 3 3 3 2 52" xfId="25803" xr:uid="{4B93958A-9E89-4AFC-B10F-D5D2787391E1}"/>
    <cellStyle name="Normal GHG Textfiels Bold 3 3 3 2 53" xfId="24289" xr:uid="{6194E599-8764-4EA4-9ACE-534A393E074A}"/>
    <cellStyle name="Normal GHG Textfiels Bold 3 3 3 2 54" xfId="25481" xr:uid="{6B6AF3D1-6676-43BE-AA18-96DB98951E6A}"/>
    <cellStyle name="Normal GHG Textfiels Bold 3 3 3 2 55" xfId="27091" xr:uid="{025CF896-52E4-4E87-90D4-31A493255224}"/>
    <cellStyle name="Normal GHG Textfiels Bold 3 3 3 2 56" xfId="27510" xr:uid="{AD79C443-CB46-4C81-A0D5-0AEA067EF632}"/>
    <cellStyle name="Normal GHG Textfiels Bold 3 3 3 2 57" xfId="26560" xr:uid="{D5C69353-6F10-4210-8CA8-200F8EA40956}"/>
    <cellStyle name="Normal GHG Textfiels Bold 3 3 3 2 58" xfId="28637" xr:uid="{F03B103C-E49C-41C9-8204-4472522B6F7A}"/>
    <cellStyle name="Normal GHG Textfiels Bold 3 3 3 2 59" xfId="29104" xr:uid="{CF703EB6-1468-4FC9-BCBF-1F2F1C623E4F}"/>
    <cellStyle name="Normal GHG Textfiels Bold 3 3 3 2 6" xfId="3732" xr:uid="{B24CDB9C-9C73-4A1C-8948-7A1E59E97DE7}"/>
    <cellStyle name="Normal GHG Textfiels Bold 3 3 3 2 60" xfId="29523" xr:uid="{270DF34A-9CA2-49BD-85A4-7E330269A5C2}"/>
    <cellStyle name="Normal GHG Textfiels Bold 3 3 3 2 61" xfId="29893" xr:uid="{09787521-42D1-460B-9453-55FF38AA419A}"/>
    <cellStyle name="Normal GHG Textfiels Bold 3 3 3 2 62" xfId="30299" xr:uid="{C708EAB9-A442-4639-BD48-8AC057F034E5}"/>
    <cellStyle name="Normal GHG Textfiels Bold 3 3 3 2 63" xfId="30716" xr:uid="{EB00EBA1-47D6-4791-8F46-6A483D35DCB3}"/>
    <cellStyle name="Normal GHG Textfiels Bold 3 3 3 2 64" xfId="29338" xr:uid="{4E2CC524-9949-4478-99B2-296E01B7D596}"/>
    <cellStyle name="Normal GHG Textfiels Bold 3 3 3 2 65" xfId="31332" xr:uid="{E72F775F-8746-4229-A22C-149AC9CEFB7F}"/>
    <cellStyle name="Normal GHG Textfiels Bold 3 3 3 2 66" xfId="32023" xr:uid="{49E602CF-6728-47EC-8B28-A6F822665FE8}"/>
    <cellStyle name="Normal GHG Textfiels Bold 3 3 3 2 67" xfId="31551" xr:uid="{D803C18B-B7E5-4818-9478-90ED1CB95772}"/>
    <cellStyle name="Normal GHG Textfiels Bold 3 3 3 2 7" xfId="4115" xr:uid="{CEB2ED83-A5A4-4003-ADDF-7478CA7366FB}"/>
    <cellStyle name="Normal GHG Textfiels Bold 3 3 3 2 8" xfId="4552" xr:uid="{B48234ED-F9C9-4DF6-94A5-1AF66FCBC100}"/>
    <cellStyle name="Normal GHG Textfiels Bold 3 3 3 2 9" xfId="2991" xr:uid="{E4F1BBBB-4D9A-4759-BD14-88C5A3D121A2}"/>
    <cellStyle name="Normal GHG Textfiels Bold 3 3 3 20" xfId="10207" xr:uid="{4552F81C-620E-4CAD-80AC-80E16DA78E62}"/>
    <cellStyle name="Normal GHG Textfiels Bold 3 3 3 21" xfId="10611" xr:uid="{75D48EC5-A801-4DF0-BB12-7963BF29B8CE}"/>
    <cellStyle name="Normal GHG Textfiels Bold 3 3 3 22" xfId="10218" xr:uid="{8810DAE8-B4CC-4178-9EDB-0F206801A001}"/>
    <cellStyle name="Normal GHG Textfiels Bold 3 3 3 23" xfId="10971" xr:uid="{BE545BC4-DDB7-46AB-A227-0D8931C6FB70}"/>
    <cellStyle name="Normal GHG Textfiels Bold 3 3 3 24" xfId="11935" xr:uid="{12EB8C00-0FBE-4A04-9A47-E17C6FA0B081}"/>
    <cellStyle name="Normal GHG Textfiels Bold 3 3 3 25" xfId="12408" xr:uid="{C75978C2-9D78-4AD5-9B89-D5E623B5D3E6}"/>
    <cellStyle name="Normal GHG Textfiels Bold 3 3 3 26" xfId="12842" xr:uid="{45928E31-BB14-44E9-9F79-95A754E61557}"/>
    <cellStyle name="Normal GHG Textfiels Bold 3 3 3 27" xfId="13279" xr:uid="{340ED9D7-DF9F-4C53-8791-47C3958F5FC9}"/>
    <cellStyle name="Normal GHG Textfiels Bold 3 3 3 28" xfId="11600" xr:uid="{060A57B6-AADE-457C-8A8C-B6A5FE601046}"/>
    <cellStyle name="Normal GHG Textfiels Bold 3 3 3 29" xfId="14324" xr:uid="{16EFFED1-758F-440C-A731-D3645A7756E3}"/>
    <cellStyle name="Normal GHG Textfiels Bold 3 3 3 3" xfId="1065" xr:uid="{2C5D020D-322A-4B4A-9790-105CBD96CB7F}"/>
    <cellStyle name="Normal GHG Textfiels Bold 3 3 3 30" xfId="13794" xr:uid="{3C919E9A-01A4-4915-845C-A6FB1C20BED8}"/>
    <cellStyle name="Normal GHG Textfiels Bold 3 3 3 31" xfId="14893" xr:uid="{889A16FA-8583-4CC6-A9F2-1384C45C4920}"/>
    <cellStyle name="Normal GHG Textfiels Bold 3 3 3 32" xfId="15256" xr:uid="{E589C187-D211-408E-8628-7839EB5576BB}"/>
    <cellStyle name="Normal GHG Textfiels Bold 3 3 3 33" xfId="15970" xr:uid="{24E3D3DA-2858-4F4A-92F5-D509B50162DA}"/>
    <cellStyle name="Normal GHG Textfiels Bold 3 3 3 34" xfId="16627" xr:uid="{2897936E-609E-44FB-837A-29BCD4CBDF66}"/>
    <cellStyle name="Normal GHG Textfiels Bold 3 3 3 35" xfId="17328" xr:uid="{FEFE5B6A-CBF4-4201-A081-B316C3B49E27}"/>
    <cellStyle name="Normal GHG Textfiels Bold 3 3 3 36" xfId="17771" xr:uid="{69CD6F44-85B4-4B52-9DCD-0E99679382B5}"/>
    <cellStyle name="Normal GHG Textfiels Bold 3 3 3 37" xfId="16995" xr:uid="{27EC4B7A-50F1-47CF-A80E-EAEB9DEAA663}"/>
    <cellStyle name="Normal GHG Textfiels Bold 3 3 3 38" xfId="18445" xr:uid="{A2B95775-A6F5-4F89-8A83-C5BFC0B2E328}"/>
    <cellStyle name="Normal GHG Textfiels Bold 3 3 3 39" xfId="18180" xr:uid="{5991AE14-49B6-421C-B24F-5DE7C5A7A17A}"/>
    <cellStyle name="Normal GHG Textfiels Bold 3 3 3 4" xfId="1704" xr:uid="{DFE9466B-E858-4C38-9013-3DC7167C17B1}"/>
    <cellStyle name="Normal GHG Textfiels Bold 3 3 3 40" xfId="19323" xr:uid="{1117F12B-F6F2-4095-9CB0-7DB515E4B273}"/>
    <cellStyle name="Normal GHG Textfiels Bold 3 3 3 41" xfId="19964" xr:uid="{9650F8D9-A277-4D53-A1FE-A949434CED07}"/>
    <cellStyle name="Normal GHG Textfiels Bold 3 3 3 42" xfId="20679" xr:uid="{29CE3218-E3B6-4E6E-B3B2-5A1CE7ABE298}"/>
    <cellStyle name="Normal GHG Textfiels Bold 3 3 3 43" xfId="21135" xr:uid="{2251F0C0-B905-498D-8C44-50DDC60EE07F}"/>
    <cellStyle name="Normal GHG Textfiels Bold 3 3 3 44" xfId="19819" xr:uid="{3132F3F4-65AC-41D8-BB62-0B66A95A7860}"/>
    <cellStyle name="Normal GHG Textfiels Bold 3 3 3 45" xfId="22067" xr:uid="{6E28EE4A-4C2D-414E-AF6B-0CB67DC915CD}"/>
    <cellStyle name="Normal GHG Textfiels Bold 3 3 3 46" xfId="22495" xr:uid="{8A11E189-56B9-4B6D-8C04-A366514148E2}"/>
    <cellStyle name="Normal GHG Textfiels Bold 3 3 3 47" xfId="22449" xr:uid="{83E09370-10B0-4DF1-A33C-3C8683A49C41}"/>
    <cellStyle name="Normal GHG Textfiels Bold 3 3 3 48" xfId="22895" xr:uid="{9FCB2D47-AF1F-46DD-A46D-1D8B7392A3AC}"/>
    <cellStyle name="Normal GHG Textfiels Bold 3 3 3 49" xfId="23584" xr:uid="{CB7DB047-F1B9-4EEB-BC97-4E2B1A27C4B2}"/>
    <cellStyle name="Normal GHG Textfiels Bold 3 3 3 5" xfId="2404" xr:uid="{7128F7AC-E240-4F0C-92D5-46C70A14EC5F}"/>
    <cellStyle name="Normal GHG Textfiels Bold 3 3 3 50" xfId="23773" xr:uid="{C210AFD0-DCC8-486C-9B42-C0603BA17CD5}"/>
    <cellStyle name="Normal GHG Textfiels Bold 3 3 3 51" xfId="24672" xr:uid="{73931F27-2022-41AF-AC0B-7C7432431C0A}"/>
    <cellStyle name="Normal GHG Textfiels Bold 3 3 3 52" xfId="25382" xr:uid="{60E4AF9D-B861-48E4-A4B4-FA66F0F8F5BA}"/>
    <cellStyle name="Normal GHG Textfiels Bold 3 3 3 53" xfId="25590" xr:uid="{6932008E-1180-4131-AF25-C229FADE8310}"/>
    <cellStyle name="Normal GHG Textfiels Bold 3 3 3 54" xfId="25421" xr:uid="{8DD63F98-6336-440E-8375-5B9B5195CAC3}"/>
    <cellStyle name="Normal GHG Textfiels Bold 3 3 3 55" xfId="26115" xr:uid="{3BA1BDDA-FDBE-4E00-A24C-5C73662F84A5}"/>
    <cellStyle name="Normal GHG Textfiels Bold 3 3 3 56" xfId="26880" xr:uid="{80B92ED8-9747-427A-B972-783756D25C69}"/>
    <cellStyle name="Normal GHG Textfiels Bold 3 3 3 57" xfId="27299" xr:uid="{91D7A2BF-21D8-407C-9FB0-A97D478BBB41}"/>
    <cellStyle name="Normal GHG Textfiels Bold 3 3 3 58" xfId="27196" xr:uid="{661B4D17-4D93-4296-9A53-155C98009FDF}"/>
    <cellStyle name="Normal GHG Textfiels Bold 3 3 3 59" xfId="28422" xr:uid="{18EE7FC1-C131-4C91-92FC-56AD39B947EA}"/>
    <cellStyle name="Normal GHG Textfiels Bold 3 3 3 6" xfId="1914" xr:uid="{7621EC4C-658A-4897-B11B-D1D4CCF8AF91}"/>
    <cellStyle name="Normal GHG Textfiels Bold 3 3 3 60" xfId="28890" xr:uid="{A84F82C8-EC28-4B47-A365-C0A407087555}"/>
    <cellStyle name="Normal GHG Textfiels Bold 3 3 3 61" xfId="29504" xr:uid="{4714BDEC-FF06-4A25-A542-3BFC69C531A0}"/>
    <cellStyle name="Normal GHG Textfiels Bold 3 3 3 62" xfId="29680" xr:uid="{7FAFBE15-82D5-45C5-BD0A-B637B6DEFC31}"/>
    <cellStyle name="Normal GHG Textfiels Bold 3 3 3 63" xfId="30088" xr:uid="{701CA3B1-36B9-4018-B702-BFE7C84209DF}"/>
    <cellStyle name="Normal GHG Textfiels Bold 3 3 3 64" xfId="30502" xr:uid="{194ACEDA-ECA8-4696-9700-176269515DB4}"/>
    <cellStyle name="Normal GHG Textfiels Bold 3 3 3 65" xfId="30964" xr:uid="{06750962-9590-40DF-94C2-677F0C60389D}"/>
    <cellStyle name="Normal GHG Textfiels Bold 3 3 3 66" xfId="31126" xr:uid="{E3AB9262-EFF2-49BA-A13E-87EF2172DDC9}"/>
    <cellStyle name="Normal GHG Textfiels Bold 3 3 3 67" xfId="31812" xr:uid="{625F1047-163F-4F21-85E9-F9565EAAAA1B}"/>
    <cellStyle name="Normal GHG Textfiels Bold 3 3 3 68" xfId="32291" xr:uid="{8F7F8968-905E-4D30-94BA-38C29784D567}"/>
    <cellStyle name="Normal GHG Textfiels Bold 3 3 3 7" xfId="3348" xr:uid="{3D43659E-BE43-4CA0-9568-7586E1D76623}"/>
    <cellStyle name="Normal GHG Textfiels Bold 3 3 3 8" xfId="3900" xr:uid="{B7DB7D0A-3E30-4053-95CB-0AEF4A6756C0}"/>
    <cellStyle name="Normal GHG Textfiels Bold 3 3 3 9" xfId="4338" xr:uid="{47AE69C9-5BB2-4B01-9BC0-49A493217CBB}"/>
    <cellStyle name="Normal GHG Textfiels Bold 3 3 30" xfId="13887" xr:uid="{05DB1686-FAFB-4BD1-8321-7DCC49523286}"/>
    <cellStyle name="Normal GHG Textfiels Bold 3 3 31" xfId="13943" xr:uid="{CE641704-2959-4F5E-AA91-7418BC5F4039}"/>
    <cellStyle name="Normal GHG Textfiels Bold 3 3 32" xfId="14634" xr:uid="{4C4975DD-5116-4B15-B9D6-B79CEB338C16}"/>
    <cellStyle name="Normal GHG Textfiels Bold 3 3 33" xfId="14382" xr:uid="{070F852B-F1E9-4734-8BA5-60533551FABB}"/>
    <cellStyle name="Normal GHG Textfiels Bold 3 3 34" xfId="15761" xr:uid="{E8A61C17-BE8A-4988-BB21-5D13F6E8E3D8}"/>
    <cellStyle name="Normal GHG Textfiels Bold 3 3 35" xfId="15816" xr:uid="{86C63BCA-B743-4DFD-91C7-812565C05022}"/>
    <cellStyle name="Normal GHG Textfiels Bold 3 3 36" xfId="16410" xr:uid="{504F3389-826C-4AA0-A3FE-C04163359798}"/>
    <cellStyle name="Normal GHG Textfiels Bold 3 3 37" xfId="17042" xr:uid="{97F29C35-8B50-4572-BFD8-1BCB078B5C1D}"/>
    <cellStyle name="Normal GHG Textfiels Bold 3 3 38" xfId="17490" xr:uid="{DF583A33-93E8-441F-9FC3-2B283C667FBE}"/>
    <cellStyle name="Normal GHG Textfiels Bold 3 3 39" xfId="17869" xr:uid="{9A3160DC-237B-4AED-865D-2C6C3A3C4B1B}"/>
    <cellStyle name="Normal GHG Textfiels Bold 3 3 4" xfId="557" xr:uid="{BD53A55F-6ECD-4693-9D6E-18E7F558E0CD}"/>
    <cellStyle name="Normal GHG Textfiels Bold 3 3 4 10" xfId="4226" xr:uid="{A9A56395-00DD-4C8C-AC97-66BAA7EBFE23}"/>
    <cellStyle name="Normal GHG Textfiels Bold 3 3 4 11" xfId="5205" xr:uid="{FF4ED5EB-0405-4F04-85A5-F84582ED3861}"/>
    <cellStyle name="Normal GHG Textfiels Bold 3 3 4 12" xfId="3462" xr:uid="{2BC213DE-73D0-44FF-A437-544AC70EBB87}"/>
    <cellStyle name="Normal GHG Textfiels Bold 3 3 4 13" xfId="5577" xr:uid="{F5CAD5DA-3BE8-4515-AB24-41E3733EA9DD}"/>
    <cellStyle name="Normal GHG Textfiels Bold 3 3 4 14" xfId="6203" xr:uid="{282EC8CB-959B-4F5D-904F-E2904E7F2450}"/>
    <cellStyle name="Normal GHG Textfiels Bold 3 3 4 15" xfId="7277" xr:uid="{5C014052-0A06-4F29-9275-BD1AB41FFAC0}"/>
    <cellStyle name="Normal GHG Textfiels Bold 3 3 4 16" xfId="7877" xr:uid="{F5755951-8587-4D59-BA00-F07CED0957B5}"/>
    <cellStyle name="Normal GHG Textfiels Bold 3 3 4 17" xfId="6846" xr:uid="{CBFA70E9-2B40-4425-829C-7E3E51196809}"/>
    <cellStyle name="Normal GHG Textfiels Bold 3 3 4 18" xfId="8411" xr:uid="{8ACBA018-4BB4-419E-8289-11754E40ADA9}"/>
    <cellStyle name="Normal GHG Textfiels Bold 3 3 4 19" xfId="9491" xr:uid="{529B3E27-E68A-4C05-8B0F-621CD708CFBA}"/>
    <cellStyle name="Normal GHG Textfiels Bold 3 3 4 2" xfId="772" xr:uid="{5C9900FA-D329-40DD-9F1B-83CEA8F9CAE6}"/>
    <cellStyle name="Normal GHG Textfiels Bold 3 3 4 2 10" xfId="5420" xr:uid="{042D9D01-7A43-4D33-89CB-C58D12AAD797}"/>
    <cellStyle name="Normal GHG Textfiels Bold 3 3 4 2 11" xfId="5640" xr:uid="{F8AAF590-78A1-42F6-A8A7-23F4E93B379B}"/>
    <cellStyle name="Normal GHG Textfiels Bold 3 3 4 2 12" xfId="5789" xr:uid="{0AD4AC21-1B48-4838-B992-ED98D81C5F1E}"/>
    <cellStyle name="Normal GHG Textfiels Bold 3 3 4 2 13" xfId="6531" xr:uid="{21F4E7E2-D344-41B7-8C2C-849D3E47B72C}"/>
    <cellStyle name="Normal GHG Textfiels Bold 3 3 4 2 14" xfId="7492" xr:uid="{F5DD235D-D4F8-4212-BFB8-5E302CD3A846}"/>
    <cellStyle name="Normal GHG Textfiels Bold 3 3 4 2 15" xfId="7035" xr:uid="{24031E72-C83E-4228-B434-78B2C5CF27BF}"/>
    <cellStyle name="Normal GHG Textfiels Bold 3 3 4 2 16" xfId="7085" xr:uid="{10678C1F-5A9B-4FB0-B36B-9B3372E062BB}"/>
    <cellStyle name="Normal GHG Textfiels Bold 3 3 4 2 17" xfId="8442" xr:uid="{4900C11F-D4A8-4424-8A96-80B45447FCB8}"/>
    <cellStyle name="Normal GHG Textfiels Bold 3 3 4 2 18" xfId="9706" xr:uid="{8F27401C-36C7-431D-A930-D637AD235EA4}"/>
    <cellStyle name="Normal GHG Textfiels Bold 3 3 4 2 19" xfId="9248" xr:uid="{68E7A297-F46F-4659-AAC0-6B4D60FFCE72}"/>
    <cellStyle name="Normal GHG Textfiels Bold 3 3 4 2 2" xfId="1246" xr:uid="{BD533F69-1BD2-40E9-9C2F-7963BB28E793}"/>
    <cellStyle name="Normal GHG Textfiels Bold 3 3 4 2 20" xfId="10143" xr:uid="{9CCD1AEE-35E9-4CCC-85C9-6CF1516F83DD}"/>
    <cellStyle name="Normal GHG Textfiels Bold 3 3 4 2 21" xfId="9121" xr:uid="{1F2A53BD-8181-42E4-9C30-0AE50630D012}"/>
    <cellStyle name="Normal GHG Textfiels Bold 3 3 4 2 22" xfId="10301" xr:uid="{B4EC2AFC-C707-49DA-8E1B-BE7828E8DEA4}"/>
    <cellStyle name="Normal GHG Textfiels Bold 3 3 4 2 23" xfId="12125" xr:uid="{33F30450-6CE2-41F4-9043-27ECD816AE61}"/>
    <cellStyle name="Normal GHG Textfiels Bold 3 3 4 2 24" xfId="12598" xr:uid="{9CCA005A-3EDA-4BB1-B666-26C164FB777E}"/>
    <cellStyle name="Normal GHG Textfiels Bold 3 3 4 2 25" xfId="13032" xr:uid="{45FEF4D2-6C38-4D95-AB2D-76C061283F6C}"/>
    <cellStyle name="Normal GHG Textfiels Bold 3 3 4 2 26" xfId="13469" xr:uid="{5831B6DC-4362-4457-870A-03C9E4EB83D8}"/>
    <cellStyle name="Normal GHG Textfiels Bold 3 3 4 2 27" xfId="11826" xr:uid="{E6A0E0B6-3B4B-4B53-86DD-D96151F794B0}"/>
    <cellStyle name="Normal GHG Textfiels Bold 3 3 4 2 28" xfId="13647" xr:uid="{B76A9396-0613-45C4-B83A-EFBE2BEC4155}"/>
    <cellStyle name="Normal GHG Textfiels Bold 3 3 4 2 29" xfId="14174" xr:uid="{844C5E3A-7E73-4494-A8C5-958CBB5271FA}"/>
    <cellStyle name="Normal GHG Textfiels Bold 3 3 4 2 3" xfId="1484" xr:uid="{F6D72E4E-6B78-462C-8E92-884DC15EA14E}"/>
    <cellStyle name="Normal GHG Textfiels Bold 3 3 4 2 30" xfId="15267" xr:uid="{292FCE36-5D89-4D66-BE38-F6CE813C0038}"/>
    <cellStyle name="Normal GHG Textfiels Bold 3 3 4 2 31" xfId="14330" xr:uid="{CCC25FD4-99C0-4450-9CE2-2FC38BAEF60E}"/>
    <cellStyle name="Normal GHG Textfiels Bold 3 3 4 2 32" xfId="15703" xr:uid="{5C3E5394-9E8D-4E45-A843-8F0F37160495}"/>
    <cellStyle name="Normal GHG Textfiels Bold 3 3 4 2 33" xfId="16817" xr:uid="{E3F47200-7A69-449B-B5F8-03EFFDF91942}"/>
    <cellStyle name="Normal GHG Textfiels Bold 3 3 4 2 34" xfId="16358" xr:uid="{ADE10F08-AAEC-4016-8268-C54D11C6C6B2}"/>
    <cellStyle name="Normal GHG Textfiels Bold 3 3 4 2 35" xfId="17263" xr:uid="{B9D2DEE8-8633-451B-A4BA-AE31F6776B02}"/>
    <cellStyle name="Normal GHG Textfiels Bold 3 3 4 2 36" xfId="17426" xr:uid="{560CA2CB-36C3-4811-B1C4-956FDE354A97}"/>
    <cellStyle name="Normal GHG Textfiels Bold 3 3 4 2 37" xfId="18635" xr:uid="{35D2B5A8-6FA8-45AA-892A-6879F6AE91F0}"/>
    <cellStyle name="Normal GHG Textfiels Bold 3 3 4 2 38" xfId="17574" xr:uid="{84DA131A-45AF-4C4C-B165-B9879279D0A8}"/>
    <cellStyle name="Normal GHG Textfiels Bold 3 3 4 2 39" xfId="19033" xr:uid="{0C79902B-5E24-4E08-97D3-95E64148CDEA}"/>
    <cellStyle name="Normal GHG Textfiels Bold 3 3 4 2 4" xfId="2594" xr:uid="{2F9FDB51-ACEB-4F46-B7F1-3C96E96E1F03}"/>
    <cellStyle name="Normal GHG Textfiels Bold 3 3 4 2 40" xfId="20154" xr:uid="{BA1FCDAB-3D80-4202-9935-37D8AB82044E}"/>
    <cellStyle name="Normal GHG Textfiels Bold 3 3 4 2 41" xfId="19691" xr:uid="{8138922D-40BF-4293-8266-C71C210F1889}"/>
    <cellStyle name="Normal GHG Textfiels Bold 3 3 4 2 42" xfId="20593" xr:uid="{4948A320-D3E4-467D-8D36-7A2AD3CFA48A}"/>
    <cellStyle name="Normal GHG Textfiels Bold 3 3 4 2 43" xfId="21311" xr:uid="{AD92011E-A57E-42B8-A299-DDD911F0A3A4}"/>
    <cellStyle name="Normal GHG Textfiels Bold 3 3 4 2 44" xfId="20789" xr:uid="{B3E89ADB-19C1-45F1-9100-969313A3D4D4}"/>
    <cellStyle name="Normal GHG Textfiels Bold 3 3 4 2 45" xfId="22074" xr:uid="{46350DF3-E5CF-4FE7-B72E-2060ED85F76B}"/>
    <cellStyle name="Normal GHG Textfiels Bold 3 3 4 2 46" xfId="21051" xr:uid="{B492176C-0984-4EA0-960D-0215510434CC}"/>
    <cellStyle name="Normal GHG Textfiels Bold 3 3 4 2 47" xfId="22865" xr:uid="{687CF197-888D-4B6C-827C-8FF23E8572F4}"/>
    <cellStyle name="Normal GHG Textfiels Bold 3 3 4 2 48" xfId="23243" xr:uid="{D11DF944-9151-4728-B152-77F583A65CBB}"/>
    <cellStyle name="Normal GHG Textfiels Bold 3 3 4 2 49" xfId="23954" xr:uid="{E41B225D-3B33-4F17-9991-C9066316BCB8}"/>
    <cellStyle name="Normal GHG Textfiels Bold 3 3 4 2 5" xfId="2329" xr:uid="{084A679B-610D-4F1E-A015-3861EB092461}"/>
    <cellStyle name="Normal GHG Textfiels Bold 3 3 4 2 50" xfId="24862" xr:uid="{34D432F2-B66A-43AF-AF50-EEEED0E3ADB4}"/>
    <cellStyle name="Normal GHG Textfiels Bold 3 3 4 2 51" xfId="24402" xr:uid="{66882E86-00A7-45D1-B92F-0A5DC7AB4C81}"/>
    <cellStyle name="Normal GHG Textfiels Bold 3 3 4 2 52" xfId="25778" xr:uid="{519729C3-8FE3-43B4-9243-BD51A9677361}"/>
    <cellStyle name="Normal GHG Textfiels Bold 3 3 4 2 53" xfId="24460" xr:uid="{51DFFBFE-2966-47FA-B3DE-C8E39273C898}"/>
    <cellStyle name="Normal GHG Textfiels Bold 3 3 4 2 54" xfId="25044" xr:uid="{B4758372-C601-4FA5-84A7-A3457B4DE82F}"/>
    <cellStyle name="Normal GHG Textfiels Bold 3 3 4 2 55" xfId="27066" xr:uid="{D5F68CC0-873D-4F95-8B0B-36335D4794C1}"/>
    <cellStyle name="Normal GHG Textfiels Bold 3 3 4 2 56" xfId="27485" xr:uid="{7FA92D81-F768-40AB-9587-7B60A6F9AA60}"/>
    <cellStyle name="Normal GHG Textfiels Bold 3 3 4 2 57" xfId="26010" xr:uid="{341910FC-0F69-4745-9C3B-8A2A198696F9}"/>
    <cellStyle name="Normal GHG Textfiels Bold 3 3 4 2 58" xfId="28612" xr:uid="{28F7E32C-0814-47CD-87F6-8B4F569D8206}"/>
    <cellStyle name="Normal GHG Textfiels Bold 3 3 4 2 59" xfId="29079" xr:uid="{1B7534AB-8792-48D5-B200-0C5110536422}"/>
    <cellStyle name="Normal GHG Textfiels Bold 3 3 4 2 6" xfId="3556" xr:uid="{A1271D60-82BA-4BBD-BBC4-FF7CBFFAC478}"/>
    <cellStyle name="Normal GHG Textfiels Bold 3 3 4 2 60" xfId="28787" xr:uid="{A6C5B272-5944-4FB6-99C5-142CD3553347}"/>
    <cellStyle name="Normal GHG Textfiels Bold 3 3 4 2 61" xfId="29868" xr:uid="{B3CA35B4-F8C8-4EFF-9CC5-380F51D8A92E}"/>
    <cellStyle name="Normal GHG Textfiels Bold 3 3 4 2 62" xfId="30274" xr:uid="{D3CDE637-BA75-422E-99EA-CDE76CE2A4AF}"/>
    <cellStyle name="Normal GHG Textfiels Bold 3 3 4 2 63" xfId="30691" xr:uid="{CC8E7FD0-F8A7-4D4E-A1B5-C8CE86A461AB}"/>
    <cellStyle name="Normal GHG Textfiels Bold 3 3 4 2 64" xfId="29379" xr:uid="{5187B897-8776-4F37-A93D-C178ADA6FBBA}"/>
    <cellStyle name="Normal GHG Textfiels Bold 3 3 4 2 65" xfId="31307" xr:uid="{1936D9C6-ECE6-490C-A06F-B4DCADDE0A6E}"/>
    <cellStyle name="Normal GHG Textfiels Bold 3 3 4 2 66" xfId="31998" xr:uid="{57C3BE7A-2795-4204-97D6-A79424B682F5}"/>
    <cellStyle name="Normal GHG Textfiels Bold 3 3 4 2 67" xfId="32218" xr:uid="{7160CA47-557C-431C-91C6-52F7504345D8}"/>
    <cellStyle name="Normal GHG Textfiels Bold 3 3 4 2 7" xfId="4090" xr:uid="{CEA03A88-8F0E-4D19-A5FB-6E3C472EAD42}"/>
    <cellStyle name="Normal GHG Textfiels Bold 3 3 4 2 8" xfId="4527" xr:uid="{ECD103A5-4BFD-4384-8DEB-63A6A88A9821}"/>
    <cellStyle name="Normal GHG Textfiels Bold 3 3 4 2 9" xfId="4018" xr:uid="{699E1AF3-E52C-4907-A531-BA50DE23ECAD}"/>
    <cellStyle name="Normal GHG Textfiels Bold 3 3 4 20" xfId="10091" xr:uid="{86298A28-5564-415E-90CE-630126EAE3EA}"/>
    <cellStyle name="Normal GHG Textfiels Bold 3 3 4 21" xfId="10506" xr:uid="{C3255154-36EB-4BD8-9A23-4413EC51C670}"/>
    <cellStyle name="Normal GHG Textfiels Bold 3 3 4 22" xfId="10215" xr:uid="{D521C68B-A02B-4EAE-A764-0A4257F0CDD8}"/>
    <cellStyle name="Normal GHG Textfiels Bold 3 3 4 23" xfId="10706" xr:uid="{8D414751-018B-4400-B4DE-16C7FDDDA5FA}"/>
    <cellStyle name="Normal GHG Textfiels Bold 3 3 4 24" xfId="11910" xr:uid="{3D1EB38D-85FF-4A58-A29B-467F1D85FFCC}"/>
    <cellStyle name="Normal GHG Textfiels Bold 3 3 4 25" xfId="12383" xr:uid="{66D2F139-B3FA-4103-BF3E-F2C680E403E4}"/>
    <cellStyle name="Normal GHG Textfiels Bold 3 3 4 26" xfId="12817" xr:uid="{834A4A62-25BC-4AFD-8BB8-44F69EB0CA8F}"/>
    <cellStyle name="Normal GHG Textfiels Bold 3 3 4 27" xfId="13254" xr:uid="{67A0ECB8-8266-44C3-850A-1326EBB70ED8}"/>
    <cellStyle name="Normal GHG Textfiels Bold 3 3 4 28" xfId="13730" xr:uid="{F9D25D1F-955F-4A0B-8F67-96D3E76F6192}"/>
    <cellStyle name="Normal GHG Textfiels Bold 3 3 4 29" xfId="11582" xr:uid="{1FE6C01B-2AF7-4E6C-95E9-A5B56E4BEF17}"/>
    <cellStyle name="Normal GHG Textfiels Bold 3 3 4 3" xfId="1040" xr:uid="{3AC89F5E-5129-47ED-A881-519EDA8A387F}"/>
    <cellStyle name="Normal GHG Textfiels Bold 3 3 4 30" xfId="14587" xr:uid="{412C96C6-0413-4452-8975-F599A6ABF841}"/>
    <cellStyle name="Normal GHG Textfiels Bold 3 3 4 31" xfId="15190" xr:uid="{F8CA6B73-15FC-4BBF-900B-C06C4E20981B}"/>
    <cellStyle name="Normal GHG Textfiels Bold 3 3 4 32" xfId="15738" xr:uid="{9E26BA52-956C-4122-A4F3-477C6878F8B5}"/>
    <cellStyle name="Normal GHG Textfiels Bold 3 3 4 33" xfId="15903" xr:uid="{010B2BAA-83CD-4E6C-A9C4-8BB4A5A0209B}"/>
    <cellStyle name="Normal GHG Textfiels Bold 3 3 4 34" xfId="16602" xr:uid="{1003ACA6-B136-4F61-9BB1-B453D08A5C90}"/>
    <cellStyle name="Normal GHG Textfiels Bold 3 3 4 35" xfId="17209" xr:uid="{47C673C3-4FB9-49D8-AC04-F6DB935BDC62}"/>
    <cellStyle name="Normal GHG Textfiels Bold 3 3 4 36" xfId="17655" xr:uid="{767845D2-FDFE-4C53-90A1-609D755A28E6}"/>
    <cellStyle name="Normal GHG Textfiels Bold 3 3 4 37" xfId="17630" xr:uid="{5484BBB6-50D1-4BD6-A1C1-836B5EC46602}"/>
    <cellStyle name="Normal GHG Textfiels Bold 3 3 4 38" xfId="18420" xr:uid="{AE4A4638-6DE2-493C-B0E5-D2CAFBF08B2D}"/>
    <cellStyle name="Normal GHG Textfiels Bold 3 3 4 39" xfId="18810" xr:uid="{4E068FDB-0950-4E70-BBC7-B39423A4CC66}"/>
    <cellStyle name="Normal GHG Textfiels Bold 3 3 4 4" xfId="1651" xr:uid="{A652D4B4-5676-4495-816F-6101B1758F52}"/>
    <cellStyle name="Normal GHG Textfiels Bold 3 3 4 40" xfId="18887" xr:uid="{5D938DA4-946A-4A98-9383-3A33E1E27895}"/>
    <cellStyle name="Normal GHG Textfiels Bold 3 3 4 41" xfId="19939" xr:uid="{91E5EDDB-D8D1-4CF7-BCB2-F1E5D319B972}"/>
    <cellStyle name="Normal GHG Textfiels Bold 3 3 4 42" xfId="20562" xr:uid="{A8B7B8CF-0EE4-40D8-8382-B38DCECF0141}"/>
    <cellStyle name="Normal GHG Textfiels Bold 3 3 4 43" xfId="21015" xr:uid="{32F6930A-7640-4C95-9597-C60D64682328}"/>
    <cellStyle name="Normal GHG Textfiels Bold 3 3 4 44" xfId="21448" xr:uid="{72340A48-1D61-4B6B-92F2-E1EF3B86454D}"/>
    <cellStyle name="Normal GHG Textfiels Bold 3 3 4 45" xfId="21946" xr:uid="{DFD69D3E-DC9E-48B9-A9E7-599068002AD8}"/>
    <cellStyle name="Normal GHG Textfiels Bold 3 3 4 46" xfId="22378" xr:uid="{B62AA232-A5D7-415C-9EA4-BDC4EB2D32E1}"/>
    <cellStyle name="Normal GHG Textfiels Bold 3 3 4 47" xfId="22726" xr:uid="{E9B4292E-8E8E-4AD6-9769-41551C29B20A}"/>
    <cellStyle name="Normal GHG Textfiels Bold 3 3 4 48" xfId="23083" xr:uid="{96AA6761-6A4E-470F-9548-1E9610D8F785}"/>
    <cellStyle name="Normal GHG Textfiels Bold 3 3 4 49" xfId="23387" xr:uid="{5C5CA642-04B8-46A3-992F-CC2D203A6BB3}"/>
    <cellStyle name="Normal GHG Textfiels Bold 3 3 4 5" xfId="2379" xr:uid="{0D9807F2-C02E-47A9-9E64-7BB672920A14}"/>
    <cellStyle name="Normal GHG Textfiels Bold 3 3 4 50" xfId="23748" xr:uid="{75466C5C-B345-4535-A422-4BD41C06FA69}"/>
    <cellStyle name="Normal GHG Textfiels Bold 3 3 4 51" xfId="24647" xr:uid="{DE944321-6A59-46D3-9B38-A75CECE2ACE8}"/>
    <cellStyle name="Normal GHG Textfiels Bold 3 3 4 52" xfId="25270" xr:uid="{5CB03D27-EBEA-42BC-863D-6D8425700667}"/>
    <cellStyle name="Normal GHG Textfiels Bold 3 3 4 53" xfId="25565" xr:uid="{079CDF33-D539-419B-8164-56ADFD650DFD}"/>
    <cellStyle name="Normal GHG Textfiels Bold 3 3 4 54" xfId="26030" xr:uid="{E0A9EC71-7099-40A9-B939-D921D8BEECFA}"/>
    <cellStyle name="Normal GHG Textfiels Bold 3 3 4 55" xfId="25132" xr:uid="{B08FF910-EF79-44BF-8890-5D45DFDACB1E}"/>
    <cellStyle name="Normal GHG Textfiels Bold 3 3 4 56" xfId="26855" xr:uid="{E1EBDE68-8724-4EB8-B7DB-C07FE90593A6}"/>
    <cellStyle name="Normal GHG Textfiels Bold 3 3 4 57" xfId="27274" xr:uid="{9DD8EB72-D52E-445E-9177-C13A037B4005}"/>
    <cellStyle name="Normal GHG Textfiels Bold 3 3 4 58" xfId="26786" xr:uid="{B75C840A-78C1-45B1-88E2-988BA266093C}"/>
    <cellStyle name="Normal GHG Textfiels Bold 3 3 4 59" xfId="28397" xr:uid="{EE13313E-DD0D-422E-97DB-483DA1FA35A3}"/>
    <cellStyle name="Normal GHG Textfiels Bold 3 3 4 6" xfId="2895" xr:uid="{15004994-11C4-4E34-A8E0-1BF26E249C5A}"/>
    <cellStyle name="Normal GHG Textfiels Bold 3 3 4 60" xfId="28865" xr:uid="{ACC554D1-3EC8-4B06-A69A-B202A50C81FE}"/>
    <cellStyle name="Normal GHG Textfiels Bold 3 3 4 61" xfId="29400" xr:uid="{61F7522C-4157-4916-B5EF-9CF2D68C0EE8}"/>
    <cellStyle name="Normal GHG Textfiels Bold 3 3 4 62" xfId="29655" xr:uid="{E02AC034-CD80-4FE0-85B8-13FBC3E4D812}"/>
    <cellStyle name="Normal GHG Textfiels Bold 3 3 4 63" xfId="30063" xr:uid="{5B2B7893-D7B9-415E-ACE3-EE29B6E5DF7F}"/>
    <cellStyle name="Normal GHG Textfiels Bold 3 3 4 64" xfId="30477" xr:uid="{93FD1E58-BD00-4D26-85D2-D54D38CE9AE4}"/>
    <cellStyle name="Normal GHG Textfiels Bold 3 3 4 65" xfId="30832" xr:uid="{60754043-993C-44B7-89D2-CEB61CE9B1D4}"/>
    <cellStyle name="Normal GHG Textfiels Bold 3 3 4 66" xfId="31101" xr:uid="{EB37A0DC-70A6-4355-B19B-C80583014258}"/>
    <cellStyle name="Normal GHG Textfiels Bold 3 3 4 67" xfId="31787" xr:uid="{E9BFFD3D-368B-4DF1-8D9A-B7E935B48121}"/>
    <cellStyle name="Normal GHG Textfiels Bold 3 3 4 68" xfId="32337" xr:uid="{7B58CE07-9148-4EC5-B249-DEC39046378C}"/>
    <cellStyle name="Normal GHG Textfiels Bold 3 3 4 7" xfId="3528" xr:uid="{E70AD496-E792-436B-B03E-28962E0F3B34}"/>
    <cellStyle name="Normal GHG Textfiels Bold 3 3 4 8" xfId="3875" xr:uid="{417DCEE0-E7D6-4A1D-A1D4-983E16FDB7F4}"/>
    <cellStyle name="Normal GHG Textfiels Bold 3 3 4 9" xfId="4313" xr:uid="{1BFC422F-E70C-4A3E-B419-188C47CC2E7B}"/>
    <cellStyle name="Normal GHG Textfiels Bold 3 3 40" xfId="18231" xr:uid="{1E67F405-9CFD-41EF-8EE0-36254A7D6253}"/>
    <cellStyle name="Normal GHG Textfiels Bold 3 3 41" xfId="17497" xr:uid="{104F7FB5-3D04-4466-8AC1-FB7FFC2406C3}"/>
    <cellStyle name="Normal GHG Textfiels Bold 3 3 42" xfId="19290" xr:uid="{0F27EA55-54B0-4AE5-9BA3-290C35471D88}"/>
    <cellStyle name="Normal GHG Textfiels Bold 3 3 43" xfId="19745" xr:uid="{5AFF83A5-4F06-4BF1-BA20-1230495963B8}"/>
    <cellStyle name="Normal GHG Textfiels Bold 3 3 44" xfId="20394" xr:uid="{EF2E805E-8622-46CA-9250-DC69EC7A16F0}"/>
    <cellStyle name="Normal GHG Textfiels Bold 3 3 45" xfId="20847" xr:uid="{E623A27E-46FD-465F-9147-238A215CEE20}"/>
    <cellStyle name="Normal GHG Textfiels Bold 3 3 46" xfId="20932" xr:uid="{D0DAA2A4-2E0B-491A-8111-0497F4951CB2}"/>
    <cellStyle name="Normal GHG Textfiels Bold 3 3 47" xfId="21780" xr:uid="{FF4ABB41-1DF4-490D-BEB1-3E9F17034FCF}"/>
    <cellStyle name="Normal GHG Textfiels Bold 3 3 48" xfId="22217" xr:uid="{6A5A2966-5C73-4BCC-9542-2A0C31002E5F}"/>
    <cellStyle name="Normal GHG Textfiels Bold 3 3 49" xfId="22867" xr:uid="{AA24952C-8F6A-4479-A379-37ED7B20F2CD}"/>
    <cellStyle name="Normal GHG Textfiels Bold 3 3 5" xfId="976" xr:uid="{4423D474-DCD4-4E3B-9E89-E42108F7AAFC}"/>
    <cellStyle name="Normal GHG Textfiels Bold 3 3 50" xfId="21666" xr:uid="{9D0C3E03-81C6-4A9B-B26A-4AC37B35F340}"/>
    <cellStyle name="Normal GHG Textfiels Bold 3 3 51" xfId="23594" xr:uid="{A6837196-8837-42D6-BBD4-C012297A60C0}"/>
    <cellStyle name="Normal GHG Textfiels Bold 3 3 52" xfId="23451" xr:uid="{A1D4933E-59E1-4E04-89CA-F8613B4775E9}"/>
    <cellStyle name="Normal GHG Textfiels Bold 3 3 53" xfId="24459" xr:uid="{8FF9BF5F-17F8-442F-B671-A0A74A51A243}"/>
    <cellStyle name="Normal GHG Textfiels Bold 3 3 54" xfId="25104" xr:uid="{8210324E-5960-4D9F-B433-69E75F1AC206}"/>
    <cellStyle name="Normal GHG Textfiels Bold 3 3 55" xfId="24259" xr:uid="{FD428DDE-3FA5-49B8-962F-E321E6DFFC10}"/>
    <cellStyle name="Normal GHG Textfiels Bold 3 3 56" xfId="26173" xr:uid="{71A3A699-A70D-4D44-9059-F0E142274FE3}"/>
    <cellStyle name="Normal GHG Textfiels Bold 3 3 57" xfId="26298" xr:uid="{B3455977-AD2C-4E7A-ACCD-B0D07AB91E41}"/>
    <cellStyle name="Normal GHG Textfiels Bold 3 3 58" xfId="26275" xr:uid="{E6A0AADB-F2B3-46B6-9DA6-2500E4C36392}"/>
    <cellStyle name="Normal GHG Textfiels Bold 3 3 59" xfId="26432" xr:uid="{5A82F758-2D4D-4A2B-9C51-6DC69B871BBB}"/>
    <cellStyle name="Normal GHG Textfiels Bold 3 3 6" xfId="1498" xr:uid="{C24AA3F4-B88A-422E-B601-1B6806E161C3}"/>
    <cellStyle name="Normal GHG Textfiels Bold 3 3 60" xfId="27187" xr:uid="{E13FD23B-41E4-4129-AD0A-277820D32DD4}"/>
    <cellStyle name="Normal GHG Textfiels Bold 3 3 61" xfId="28224" xr:uid="{923B9DC9-41D0-4425-81A0-24A374E038EC}"/>
    <cellStyle name="Normal GHG Textfiels Bold 3 3 62" xfId="27989" xr:uid="{808100AF-5F27-4DCE-BE4B-610376892CB7}"/>
    <cellStyle name="Normal GHG Textfiels Bold 3 3 63" xfId="29258" xr:uid="{5439C9C3-16BE-4FA0-8763-004ABE6872C1}"/>
    <cellStyle name="Normal GHG Textfiels Bold 3 3 64" xfId="28103" xr:uid="{B6909875-2135-4FF8-9D83-767467C14FEE}"/>
    <cellStyle name="Normal GHG Textfiels Bold 3 3 65" xfId="29397" xr:uid="{F4B9FE4A-012B-40F3-BAFD-8FCD4D16605B}"/>
    <cellStyle name="Normal GHG Textfiels Bold 3 3 66" xfId="29584" xr:uid="{386892CF-BDAC-4D7F-86DB-384321F6BA26}"/>
    <cellStyle name="Normal GHG Textfiels Bold 3 3 67" xfId="30908" xr:uid="{40C33F2D-7EC7-4959-A690-A0A82C67F736}"/>
    <cellStyle name="Normal GHG Textfiels Bold 3 3 68" xfId="29512" xr:uid="{0754DC5C-4B70-4720-8F0E-3E5B63AD7A08}"/>
    <cellStyle name="Normal GHG Textfiels Bold 3 3 69" xfId="31658" xr:uid="{AB7D6367-2925-44F2-90D7-77693661C601}"/>
    <cellStyle name="Normal GHG Textfiels Bold 3 3 7" xfId="2184" xr:uid="{7EF3D6B8-9254-467B-B687-BD65975DCA3F}"/>
    <cellStyle name="Normal GHG Textfiels Bold 3 3 70" xfId="31510" xr:uid="{004B6120-4A57-4CD2-A9FF-62B3A7E88F27}"/>
    <cellStyle name="Normal GHG Textfiels Bold 3 3 8" xfId="3055" xr:uid="{AAEDF209-D71A-4FF6-970D-E65350244605}"/>
    <cellStyle name="Normal GHG Textfiels Bold 3 3 9" xfId="1956" xr:uid="{6B38FFA0-7BE7-4CCD-B580-9E83D39D515D}"/>
    <cellStyle name="Normal GHG whole table" xfId="14" xr:uid="{82141728-672B-4828-B548-4FCDF5C4AB8B}"/>
    <cellStyle name="Normal GHG whole table 2" xfId="432" xr:uid="{8E79ABDF-C63C-4919-A33D-ADE298937789}"/>
    <cellStyle name="Normal GHG whole table 2 2" xfId="578" xr:uid="{75277C09-9F22-4119-A22B-15A12883B7B3}"/>
    <cellStyle name="Normal GHG whole table 2 2 10" xfId="4969" xr:uid="{B9F13F7A-4C6E-498C-978F-9130C3272833}"/>
    <cellStyle name="Normal GHG whole table 2 2 11" xfId="5226" xr:uid="{E19E732F-2001-4C82-A83D-CC6F8EDCFB1E}"/>
    <cellStyle name="Normal GHG whole table 2 2 12" xfId="5946" xr:uid="{9D1FC08F-8841-4F2F-ACB7-A1B204861517}"/>
    <cellStyle name="Normal GHG whole table 2 2 13" xfId="4831" xr:uid="{FF358902-41C3-4158-8B10-C6A3D0957A0E}"/>
    <cellStyle name="Normal GHG whole table 2 2 14" xfId="6700" xr:uid="{5EEC682A-91BD-4D59-AAA7-85285DF90DEC}"/>
    <cellStyle name="Normal GHG whole table 2 2 15" xfId="7298" xr:uid="{A7116B97-B4C3-4831-8B69-09E7B0849865}"/>
    <cellStyle name="Normal GHG whole table 2 2 16" xfId="8040" xr:uid="{4FED5240-05CA-4660-8297-E4591F2F5C5C}"/>
    <cellStyle name="Normal GHG whole table 2 2 17" xfId="8478" xr:uid="{9EF19614-18D4-44E3-94C6-9D24A0C8F84E}"/>
    <cellStyle name="Normal GHG whole table 2 2 18" xfId="8913" xr:uid="{1E1AA1E9-038F-44F6-8EDF-081713505C04}"/>
    <cellStyle name="Normal GHG whole table 2 2 19" xfId="9512" xr:uid="{E78B0AEA-21C9-49F4-989A-01A67D63E7A0}"/>
    <cellStyle name="Normal GHG whole table 2 2 2" xfId="793" xr:uid="{52692CF0-C88E-4FFD-9359-306D78E31704}"/>
    <cellStyle name="Normal GHG whole table 2 2 2 10" xfId="5441" xr:uid="{5DB511CE-A80B-47CA-B6D0-A5FF051570C3}"/>
    <cellStyle name="Normal GHG whole table 2 2 2 11" xfId="6002" xr:uid="{169EE55A-1A2E-4118-A701-D9361E2BD768}"/>
    <cellStyle name="Normal GHG whole table 2 2 2 12" xfId="6364" xr:uid="{9FAC75AF-0F1C-41E9-A618-97E495D2935D}"/>
    <cellStyle name="Normal GHG whole table 2 2 2 13" xfId="6704" xr:uid="{B3CE33F0-C7D7-4E8C-8A45-48E9489D85C4}"/>
    <cellStyle name="Normal GHG whole table 2 2 2 14" xfId="7513" xr:uid="{BC9DD721-C778-4D14-945E-FC12FB5F248F}"/>
    <cellStyle name="Normal GHG whole table 2 2 2 15" xfId="8044" xr:uid="{B5EC7F4C-0255-4C68-B44D-197C937EB20C}"/>
    <cellStyle name="Normal GHG whole table 2 2 2 16" xfId="8079" xr:uid="{9955BDCF-E333-4EB5-BBEE-6783F78746C9}"/>
    <cellStyle name="Normal GHG whole table 2 2 2 17" xfId="8917" xr:uid="{A64B085D-DF63-4262-A379-38A97090F8BD}"/>
    <cellStyle name="Normal GHG whole table 2 2 2 18" xfId="9727" xr:uid="{2BBAE3A0-4F3F-4984-AB6C-3612A689F374}"/>
    <cellStyle name="Normal GHG whole table 2 2 2 19" xfId="10263" xr:uid="{47256086-6773-453F-A8F0-425E0B1B4D87}"/>
    <cellStyle name="Normal GHG whole table 2 2 2 2" xfId="1267" xr:uid="{4EFB4BC3-136B-4CEF-B7BD-DFB0B92C60F4}"/>
    <cellStyle name="Normal GHG whole table 2 2 2 20" xfId="10656" xr:uid="{355DAB77-E0FD-46FA-AB4D-317771DE7206}"/>
    <cellStyle name="Normal GHG whole table 2 2 2 21" xfId="11009" xr:uid="{065F5252-F7D3-47B2-9326-4CAB85D0FC1B}"/>
    <cellStyle name="Normal GHG whole table 2 2 2 22" xfId="11321" xr:uid="{79C3D3E5-8A6C-4F8B-B264-E0F155768265}"/>
    <cellStyle name="Normal GHG whole table 2 2 2 23" xfId="12146" xr:uid="{347EC8CC-9E72-4774-B081-3A8A501A5CA1}"/>
    <cellStyle name="Normal GHG whole table 2 2 2 24" xfId="12619" xr:uid="{92D7C3A4-8E4D-4AE9-976C-DF01F48FBEFE}"/>
    <cellStyle name="Normal GHG whole table 2 2 2 25" xfId="13053" xr:uid="{5FFF5ED6-3140-4327-AB1C-E8776BA25479}"/>
    <cellStyle name="Normal GHG whole table 2 2 2 26" xfId="13490" xr:uid="{CCD0E845-AC84-43BA-8551-7643FD2C8814}"/>
    <cellStyle name="Normal GHG whole table 2 2 2 27" xfId="14028" xr:uid="{3B27A6C7-0087-40FC-9CE2-D964C4330267}"/>
    <cellStyle name="Normal GHG whole table 2 2 2 28" xfId="13646" xr:uid="{B841A2E6-C642-4CAD-9150-9A52C27168B5}"/>
    <cellStyle name="Normal GHG whole table 2 2 2 29" xfId="14909" xr:uid="{F8F24A51-1930-43A5-B211-A2EDFDA9AA97}"/>
    <cellStyle name="Normal GHG whole table 2 2 2 3" xfId="1558" xr:uid="{ABCB5B82-E7D0-4E7B-8159-CE0A1F3EF82F}"/>
    <cellStyle name="Normal GHG whole table 2 2 2 30" xfId="15380" xr:uid="{96AA7EAE-9A98-4719-B31F-0DC45278BE95}"/>
    <cellStyle name="Normal GHG whole table 2 2 2 31" xfId="15772" xr:uid="{A9CABB6F-E705-4D8D-9E24-C8918101493F}"/>
    <cellStyle name="Normal GHG whole table 2 2 2 32" xfId="15997" xr:uid="{BCA12297-B0F3-401A-84CF-F0F0CE4247ED}"/>
    <cellStyle name="Normal GHG whole table 2 2 2 33" xfId="16838" xr:uid="{32679CC8-9531-4267-8519-1D7A2D34556A}"/>
    <cellStyle name="Normal GHG whole table 2 2 2 34" xfId="17385" xr:uid="{9761FCC6-4909-4BC3-89A6-BFBBD08812D7}"/>
    <cellStyle name="Normal GHG whole table 2 2 2 35" xfId="17827" xr:uid="{EBA217AD-C3D5-4522-B62F-FE25BE185342}"/>
    <cellStyle name="Normal GHG whole table 2 2 2 36" xfId="18303" xr:uid="{3F89C4FE-05F0-4208-8485-F460223527CB}"/>
    <cellStyle name="Normal GHG whole table 2 2 2 37" xfId="18656" xr:uid="{EC7AF3B0-5961-4CAA-AF43-59CFB54BBF41}"/>
    <cellStyle name="Normal GHG whole table 2 2 2 38" xfId="19114" xr:uid="{AF2DAFD5-95E1-4022-A1A1-FF92582C741D}"/>
    <cellStyle name="Normal GHG whole table 2 2 2 39" xfId="19346" xr:uid="{69059E81-F25A-4DBD-89EE-01C9342C58CE}"/>
    <cellStyle name="Normal GHG whole table 2 2 2 4" xfId="2615" xr:uid="{739D4ADE-0603-4644-80FE-4B49DC638836}"/>
    <cellStyle name="Normal GHG whole table 2 2 2 40" xfId="20175" xr:uid="{5BAACA10-1AB7-4A13-980F-9E41CAFF8126}"/>
    <cellStyle name="Normal GHG whole table 2 2 2 41" xfId="20734" xr:uid="{6D46B27C-9D46-4963-AB49-5550E1FF80FB}"/>
    <cellStyle name="Normal GHG whole table 2 2 2 42" xfId="21193" xr:uid="{A040AF48-A3F4-40FB-98D0-DCB24E63DEE3}"/>
    <cellStyle name="Normal GHG whole table 2 2 2 43" xfId="21685" xr:uid="{45026C80-E78A-47F1-ABA8-69B4A2349BB6}"/>
    <cellStyle name="Normal GHG whole table 2 2 2 44" xfId="22124" xr:uid="{C650B841-EC92-4486-B980-1244772B9588}"/>
    <cellStyle name="Normal GHG whole table 2 2 2 45" xfId="22551" xr:uid="{F3A86257-C84E-401F-8E42-B4EAB229896A}"/>
    <cellStyle name="Normal GHG whole table 2 2 2 46" xfId="22997" xr:uid="{196BF37C-7E1B-43A9-9C32-BDE03826473B}"/>
    <cellStyle name="Normal GHG whole table 2 2 2 47" xfId="23401" xr:uid="{6E844F59-E304-4765-818B-B5515187950E}"/>
    <cellStyle name="Normal GHG whole table 2 2 2 48" xfId="23667" xr:uid="{E90F3898-8C85-41B8-94F4-4285CE49A5C2}"/>
    <cellStyle name="Normal GHG whole table 2 2 2 49" xfId="23975" xr:uid="{1708243E-7166-4ECA-BF52-D25C8E3A642F}"/>
    <cellStyle name="Normal GHG whole table 2 2 2 5" xfId="3201" xr:uid="{338C5B65-ACD4-40D1-B27A-441A3EB2D6EC}"/>
    <cellStyle name="Normal GHG whole table 2 2 2 50" xfId="24883" xr:uid="{978C0C32-4AF8-43DB-B6DF-96CA742E49B6}"/>
    <cellStyle name="Normal GHG whole table 2 2 2 51" xfId="25439" xr:uid="{58332EAE-752F-4E04-A6D9-411B80C93A88}"/>
    <cellStyle name="Normal GHG whole table 2 2 2 52" xfId="25799" xr:uid="{D5810A95-FB28-40E4-A9D6-D20378360CCB}"/>
    <cellStyle name="Normal GHG whole table 2 2 2 53" xfId="26305" xr:uid="{5D7F5BB5-A835-4F07-A034-958742D2BA1F}"/>
    <cellStyle name="Normal GHG whole table 2 2 2 54" xfId="26512" xr:uid="{47D9EA0C-9497-4D7E-8BAF-42681728FB5E}"/>
    <cellStyle name="Normal GHG whole table 2 2 2 55" xfId="27087" xr:uid="{81E73393-C7D3-4A5C-A990-31262F1FDFAE}"/>
    <cellStyle name="Normal GHG whole table 2 2 2 56" xfId="27506" xr:uid="{F48707EA-555A-4FF0-B10F-6DCD05C67E74}"/>
    <cellStyle name="Normal GHG whole table 2 2 2 57" xfId="26387" xr:uid="{0DFBB466-29AA-4B96-8D22-CB1BF701ADA9}"/>
    <cellStyle name="Normal GHG whole table 2 2 2 58" xfId="28633" xr:uid="{67FBEE7B-3B96-4753-AB50-D2830B00DD24}"/>
    <cellStyle name="Normal GHG whole table 2 2 2 59" xfId="29100" xr:uid="{EA791999-AFC2-4508-A715-ABC9F8B1245C}"/>
    <cellStyle name="Normal GHG whole table 2 2 2 6" xfId="3500" xr:uid="{48A5FDB9-E41F-4555-A9EF-2B5E8FD1B6B8}"/>
    <cellStyle name="Normal GHG whole table 2 2 2 60" xfId="29548" xr:uid="{5EB45E9A-90A8-48E8-BF62-CE79C9508457}"/>
    <cellStyle name="Normal GHG whole table 2 2 2 61" xfId="29889" xr:uid="{540E6DAD-A1D4-41D2-8FC5-AE936253C03D}"/>
    <cellStyle name="Normal GHG whole table 2 2 2 62" xfId="30295" xr:uid="{C0B6B6A0-E9C8-49BC-BD14-3E4F79A3604A}"/>
    <cellStyle name="Normal GHG whole table 2 2 2 63" xfId="30712" xr:uid="{A832E82B-DCA6-4292-8188-D506032FF70D}"/>
    <cellStyle name="Normal GHG whole table 2 2 2 64" xfId="29415" xr:uid="{C31B1801-13DE-487C-8571-203F74DD45E0}"/>
    <cellStyle name="Normal GHG whole table 2 2 2 65" xfId="31328" xr:uid="{8DEBE209-509E-4371-97BA-05E9AE8C1C9F}"/>
    <cellStyle name="Normal GHG whole table 2 2 2 66" xfId="32019" xr:uid="{A2C9FD20-8F98-4933-8455-14FEC6AD6BE3}"/>
    <cellStyle name="Normal GHG whole table 2 2 2 67" xfId="32379" xr:uid="{01342419-826E-4E08-A73A-416DCE40A3BA}"/>
    <cellStyle name="Normal GHG whole table 2 2 2 7" xfId="4111" xr:uid="{43BC0019-97E2-4D09-9AA9-FC0DF304ED72}"/>
    <cellStyle name="Normal GHG whole table 2 2 2 8" xfId="4548" xr:uid="{BD7A511F-AA05-4A8F-933F-86247A660214}"/>
    <cellStyle name="Normal GHG whole table 2 2 2 9" xfId="2278" xr:uid="{7D3D6506-4181-4A42-B72F-1B97231D6D8D}"/>
    <cellStyle name="Normal GHG whole table 2 2 20" xfId="10259" xr:uid="{17967AE2-151F-4A07-B734-F92E97C9FFD3}"/>
    <cellStyle name="Normal GHG whole table 2 2 21" xfId="10652" xr:uid="{85A02C3B-5079-4D1D-90BA-BB8C6338CF7A}"/>
    <cellStyle name="Normal GHG whole table 2 2 22" xfId="11005" xr:uid="{7137099C-BD6F-4596-A744-F3AF7DA467BE}"/>
    <cellStyle name="Normal GHG whole table 2 2 23" xfId="11317" xr:uid="{4C55AB75-8FAC-4B8D-95A7-EE1A85B1800B}"/>
    <cellStyle name="Normal GHG whole table 2 2 24" xfId="11931" xr:uid="{87C511C2-7A0F-4DBD-BF5E-56DD66EF19E1}"/>
    <cellStyle name="Normal GHG whole table 2 2 25" xfId="12404" xr:uid="{91F506CE-392C-42DE-94E1-A82D561CD373}"/>
    <cellStyle name="Normal GHG whole table 2 2 26" xfId="12838" xr:uid="{D50F2138-D308-41C5-A877-135514F5F036}"/>
    <cellStyle name="Normal GHG whole table 2 2 27" xfId="13275" xr:uid="{326D1C43-00C4-47BF-9D55-B62343AB785E}"/>
    <cellStyle name="Normal GHG whole table 2 2 28" xfId="14024" xr:uid="{226A0175-6A44-41C8-9556-450C3C5ABEDD}"/>
    <cellStyle name="Normal GHG whole table 2 2 29" xfId="14184" xr:uid="{84E6B9BD-0CC9-46F8-AB11-428052CD7CA2}"/>
    <cellStyle name="Normal GHG whole table 2 2 3" xfId="1061" xr:uid="{810A587E-FBD2-45A9-BB04-A279132498F5}"/>
    <cellStyle name="Normal GHG whole table 2 2 30" xfId="14886" xr:uid="{D176D9CB-B2E3-4B0D-ABDD-EDE1AA5D3443}"/>
    <cellStyle name="Normal GHG whole table 2 2 31" xfId="14952" xr:uid="{5D678632-9609-42EA-B3E3-5ABB2209CA67}"/>
    <cellStyle name="Normal GHG whole table 2 2 32" xfId="15768" xr:uid="{371AF998-6626-494E-AF19-63C268D666A6}"/>
    <cellStyle name="Normal GHG whole table 2 2 33" xfId="15993" xr:uid="{438B56B6-C4CC-4F2D-B1C2-03D94D00D2F7}"/>
    <cellStyle name="Normal GHG whole table 2 2 34" xfId="16623" xr:uid="{32F20D10-1DF3-4D7E-80BA-DFED47046448}"/>
    <cellStyle name="Normal GHG whole table 2 2 35" xfId="17381" xr:uid="{F1FFB1FB-F9AC-416F-80BC-8C0E6B6DB64B}"/>
    <cellStyle name="Normal GHG whole table 2 2 36" xfId="17823" xr:uid="{F365208F-CE95-49DA-84ED-19A4C56B9871}"/>
    <cellStyle name="Normal GHG whole table 2 2 37" xfId="18299" xr:uid="{31330260-49CC-4F1B-902F-03B960C2AD92}"/>
    <cellStyle name="Normal GHG whole table 2 2 38" xfId="18441" xr:uid="{96C0F94B-F4E4-4780-AB09-D6A2002DF64B}"/>
    <cellStyle name="Normal GHG whole table 2 2 39" xfId="19110" xr:uid="{35E33912-7232-4A37-A62B-9D89628E8649}"/>
    <cellStyle name="Normal GHG whole table 2 2 4" xfId="1414" xr:uid="{F276557A-E7D4-4563-8572-F4C1ED78F40E}"/>
    <cellStyle name="Normal GHG whole table 2 2 40" xfId="19342" xr:uid="{E2B6A884-D803-4E4C-A0DB-75071C9C53A5}"/>
    <cellStyle name="Normal GHG whole table 2 2 41" xfId="19960" xr:uid="{34B92069-50C9-4A66-8D0B-3038136A2F71}"/>
    <cellStyle name="Normal GHG whole table 2 2 42" xfId="20730" xr:uid="{660A4F79-F90B-40A1-B6CA-F89CF9652D84}"/>
    <cellStyle name="Normal GHG whole table 2 2 43" xfId="21189" xr:uid="{18E43C7A-F2A2-4781-9CD0-9AE926F5B868}"/>
    <cellStyle name="Normal GHG whole table 2 2 44" xfId="21681" xr:uid="{A4AF798F-FF0A-4DC8-8A9B-87935225F31E}"/>
    <cellStyle name="Normal GHG whole table 2 2 45" xfId="22120" xr:uid="{B56A803D-E481-4858-AE6B-4DD9DAA7CF11}"/>
    <cellStyle name="Normal GHG whole table 2 2 46" xfId="22547" xr:uid="{46C07D3C-C7C8-41AF-80C2-CBFFE6F188A8}"/>
    <cellStyle name="Normal GHG whole table 2 2 47" xfId="22993" xr:uid="{16EA50BA-86E0-4328-AF81-1FFEEB9BF3CD}"/>
    <cellStyle name="Normal GHG whole table 2 2 48" xfId="23397" xr:uid="{1E391109-8A06-4BBF-8C5E-D1E79AD65CBC}"/>
    <cellStyle name="Normal GHG whole table 2 2 49" xfId="23663" xr:uid="{996EBC43-C2C4-48C2-81B9-E7A1EB684651}"/>
    <cellStyle name="Normal GHG whole table 2 2 5" xfId="2400" xr:uid="{21DF6FFD-DEFB-4E93-8448-40A3B3563AAA}"/>
    <cellStyle name="Normal GHG whole table 2 2 50" xfId="23769" xr:uid="{3160101E-A629-4328-A5EB-472AD8F0D9F8}"/>
    <cellStyle name="Normal GHG whole table 2 2 51" xfId="24668" xr:uid="{B037D750-733C-406B-9E2E-54D5C322C7E4}"/>
    <cellStyle name="Normal GHG whole table 2 2 52" xfId="25435" xr:uid="{59F61419-5F0C-40E5-A0DC-29AFD2C77DE7}"/>
    <cellStyle name="Normal GHG whole table 2 2 53" xfId="25586" xr:uid="{7A9C8F3F-126D-43F5-99A4-27B966CD8CF3}"/>
    <cellStyle name="Normal GHG whole table 2 2 54" xfId="26301" xr:uid="{BDE267A2-BCE9-445A-9130-B9B6F829ECFA}"/>
    <cellStyle name="Normal GHG whole table 2 2 55" xfId="24203" xr:uid="{2EA9A408-1065-4092-9189-0F0FA0AE93FC}"/>
    <cellStyle name="Normal GHG whole table 2 2 56" xfId="26876" xr:uid="{4D9D11D2-5EE3-4347-9BA9-1C38ECBA974D}"/>
    <cellStyle name="Normal GHG whole table 2 2 57" xfId="27295" xr:uid="{76B315E8-1142-48FB-B395-3003451603BB}"/>
    <cellStyle name="Normal GHG whole table 2 2 58" xfId="26255" xr:uid="{8C29136D-0B55-486B-B8B2-830CC9DFDB59}"/>
    <cellStyle name="Normal GHG whole table 2 2 59" xfId="28418" xr:uid="{CBB7D365-ACC8-4251-B56F-6E881A228B5A}"/>
    <cellStyle name="Normal GHG whole table 2 2 6" xfId="3197" xr:uid="{A17186DB-9706-4AB8-8181-EE1AB8486253}"/>
    <cellStyle name="Normal GHG whole table 2 2 60" xfId="28886" xr:uid="{23AFC96A-FF12-46B4-B3B3-CAD578338D39}"/>
    <cellStyle name="Normal GHG whole table 2 2 61" xfId="29544" xr:uid="{A0298FA8-8BE1-4C98-BB2D-623311934C2B}"/>
    <cellStyle name="Normal GHG whole table 2 2 62" xfId="29676" xr:uid="{E4342A56-DCDB-4B58-8EC4-234E09824FB5}"/>
    <cellStyle name="Normal GHG whole table 2 2 63" xfId="30084" xr:uid="{0C48D1F8-4046-4A1C-BF56-7164AD943D8B}"/>
    <cellStyle name="Normal GHG whole table 2 2 64" xfId="30498" xr:uid="{D9BE4D50-573B-4158-B6BD-A8557770B998}"/>
    <cellStyle name="Normal GHG whole table 2 2 65" xfId="30890" xr:uid="{9B73349D-6586-4DBA-A660-2BB40BAF2D27}"/>
    <cellStyle name="Normal GHG whole table 2 2 66" xfId="31122" xr:uid="{9BDE19EF-DB5E-4EF6-8DE2-58ADB27D1413}"/>
    <cellStyle name="Normal GHG whole table 2 2 67" xfId="31808" xr:uid="{D96C74C2-0471-4F76-A673-4DF0AFE71A73}"/>
    <cellStyle name="Normal GHG whole table 2 2 68" xfId="32375" xr:uid="{21352B9C-C022-4ED4-8EF8-DC0B4B61BDB9}"/>
    <cellStyle name="Normal GHG whole table 2 2 7" xfId="2831" xr:uid="{CB450E22-C49E-490D-BE16-85A20D85FC27}"/>
    <cellStyle name="Normal GHG whole table 2 2 8" xfId="3896" xr:uid="{BEA3BEDB-E094-4246-BF95-7B3126713CFB}"/>
    <cellStyle name="Normal GHG whole table 2 2 9" xfId="4334" xr:uid="{E7C10218-5EEC-4A90-A484-01CB79B297A7}"/>
    <cellStyle name="Normal GHG whole table 2 3" xfId="722" xr:uid="{F29FADB3-53AE-4158-BCCE-03B538907EFE}"/>
    <cellStyle name="Normal GHG whole table 2 3 10" xfId="5370" xr:uid="{B77ACDEC-2F4D-4F56-9B7F-3930C55176B4}"/>
    <cellStyle name="Normal GHG whole table 2 3 11" xfId="6004" xr:uid="{94249F0B-AE0C-4D05-A4D9-B7CCF2351EF9}"/>
    <cellStyle name="Normal GHG whole table 2 3 12" xfId="6366" xr:uid="{84211911-4391-42F5-A183-7FBA07385589}"/>
    <cellStyle name="Normal GHG whole table 2 3 13" xfId="6706" xr:uid="{A6E1DA2F-F7EC-4EEF-A90F-61999F23904E}"/>
    <cellStyle name="Normal GHG whole table 2 3 14" xfId="7442" xr:uid="{884C1F42-BDE6-4A91-8FD6-31A38D640563}"/>
    <cellStyle name="Normal GHG whole table 2 3 15" xfId="8046" xr:uid="{A5E8E1CA-997A-4F0B-A34A-F155C5546F8D}"/>
    <cellStyle name="Normal GHG whole table 2 3 16" xfId="6775" xr:uid="{E15F794E-C4D2-41E3-B450-E5970D533F84}"/>
    <cellStyle name="Normal GHG whole table 2 3 17" xfId="8918" xr:uid="{DF95425C-A973-4E71-A555-7D5C7CCBEDC1}"/>
    <cellStyle name="Normal GHG whole table 2 3 18" xfId="9656" xr:uid="{F81FD9A9-9CD3-4200-B988-AD1AB9CF09C2}"/>
    <cellStyle name="Normal GHG whole table 2 3 19" xfId="10265" xr:uid="{8DFC8995-BB14-4550-889E-0142A3C67B08}"/>
    <cellStyle name="Normal GHG whole table 2 3 2" xfId="1196" xr:uid="{43FCB3B1-D00E-49EE-9F24-FFE118150B83}"/>
    <cellStyle name="Normal GHG whole table 2 3 20" xfId="10658" xr:uid="{320F7164-8949-4971-89BF-1A72A88EB44E}"/>
    <cellStyle name="Normal GHG whole table 2 3 21" xfId="11010" xr:uid="{BC9A1350-B3A1-47F1-A318-D5E7F341CC75}"/>
    <cellStyle name="Normal GHG whole table 2 3 22" xfId="11323" xr:uid="{AAF8D79B-4846-4116-A13C-A2608620CF56}"/>
    <cellStyle name="Normal GHG whole table 2 3 23" xfId="12075" xr:uid="{2E46DB1B-7359-47BE-8DCE-A9BC77DFD905}"/>
    <cellStyle name="Normal GHG whole table 2 3 24" xfId="12548" xr:uid="{7CFFCEE5-449B-4545-B3A9-C136C2D7B281}"/>
    <cellStyle name="Normal GHG whole table 2 3 25" xfId="12982" xr:uid="{B3AFBDAF-5CBA-4640-934C-DAD5F06E932D}"/>
    <cellStyle name="Normal GHG whole table 2 3 26" xfId="13419" xr:uid="{A6EDEBA6-253F-477D-8BE4-35FEFF5BF794}"/>
    <cellStyle name="Normal GHG whole table 2 3 27" xfId="14030" xr:uid="{7C8E3506-0F8A-462E-B972-C0B0AA63FB67}"/>
    <cellStyle name="Normal GHG whole table 2 3 28" xfId="12725" xr:uid="{C967897A-D0E7-4562-BA15-68CD54CDA246}"/>
    <cellStyle name="Normal GHG whole table 2 3 29" xfId="14911" xr:uid="{C922E661-05D2-4E31-8360-43435783218D}"/>
    <cellStyle name="Normal GHG whole table 2 3 3" xfId="1545" xr:uid="{831C8539-520B-47E5-9F5F-9EED758D5A3C}"/>
    <cellStyle name="Normal GHG whole table 2 3 30" xfId="15382" xr:uid="{376DD9DB-B59A-4DD5-A204-550BF9E91486}"/>
    <cellStyle name="Normal GHG whole table 2 3 31" xfId="15773" xr:uid="{DD4DB677-7FA8-40F8-9754-95ED0B38CE80}"/>
    <cellStyle name="Normal GHG whole table 2 3 32" xfId="15999" xr:uid="{A6C57D80-A6C3-4B66-8AA7-E61E72BD5276}"/>
    <cellStyle name="Normal GHG whole table 2 3 33" xfId="16767" xr:uid="{25D9FF7F-3B6B-47BD-85A2-CBEF9B96F376}"/>
    <cellStyle name="Normal GHG whole table 2 3 34" xfId="17387" xr:uid="{4202C80B-D0D9-4A00-8189-DB7950577B7A}"/>
    <cellStyle name="Normal GHG whole table 2 3 35" xfId="17828" xr:uid="{A4FA2605-4B18-45CC-B289-8AF960840A5C}"/>
    <cellStyle name="Normal GHG whole table 2 3 36" xfId="18305" xr:uid="{DB03D852-2FA5-48C5-9C9D-6CAC18ACB184}"/>
    <cellStyle name="Normal GHG whole table 2 3 37" xfId="18585" xr:uid="{899E4042-656D-48AF-9E64-21F9251E4BC6}"/>
    <cellStyle name="Normal GHG whole table 2 3 38" xfId="19116" xr:uid="{2D82DABF-0622-4EFE-AC7D-DA0673DC9835}"/>
    <cellStyle name="Normal GHG whole table 2 3 39" xfId="19347" xr:uid="{EA6F65FB-716E-48B0-97B1-3CA4780C7864}"/>
    <cellStyle name="Normal GHG whole table 2 3 4" xfId="2544" xr:uid="{A281DA6F-390B-400E-9105-334947EADF91}"/>
    <cellStyle name="Normal GHG whole table 2 3 40" xfId="20104" xr:uid="{6CB27225-4C43-49F7-9F56-03C541A758C7}"/>
    <cellStyle name="Normal GHG whole table 2 3 41" xfId="20736" xr:uid="{15F94048-6D34-4D70-B5EA-09F620882339}"/>
    <cellStyle name="Normal GHG whole table 2 3 42" xfId="21195" xr:uid="{36CED111-B944-444C-8F6D-12B024DA5DC2}"/>
    <cellStyle name="Normal GHG whole table 2 3 43" xfId="21687" xr:uid="{E2C14115-1F65-4040-99EB-EF5CD0EE8008}"/>
    <cellStyle name="Normal GHG whole table 2 3 44" xfId="22126" xr:uid="{BEFDF162-7684-4119-AB9F-9145CD76B26B}"/>
    <cellStyle name="Normal GHG whole table 2 3 45" xfId="22553" xr:uid="{E26910E4-9EBB-4E7C-A316-75826CA7CD1B}"/>
    <cellStyle name="Normal GHG whole table 2 3 46" xfId="22999" xr:uid="{DA87B479-09D1-4718-B9F2-835CA2B2ED32}"/>
    <cellStyle name="Normal GHG whole table 2 3 47" xfId="23403" xr:uid="{2DC04633-F4D3-46CD-A7F1-84FB4A13E2A4}"/>
    <cellStyle name="Normal GHG whole table 2 3 48" xfId="23668" xr:uid="{0CC29B76-AE4F-46D6-B4E1-42A7CCB13CC0}"/>
    <cellStyle name="Normal GHG whole table 2 3 49" xfId="23904" xr:uid="{EFD26251-2990-4FB8-A8E2-0C45198958E9}"/>
    <cellStyle name="Normal GHG whole table 2 3 5" xfId="3203" xr:uid="{4992175D-AFC6-4DB4-B3F3-2E7329E4107E}"/>
    <cellStyle name="Normal GHG whole table 2 3 50" xfId="24812" xr:uid="{A6AB630B-62E1-4A8E-A9EB-B4C551B872CB}"/>
    <cellStyle name="Normal GHG whole table 2 3 51" xfId="25441" xr:uid="{F2CAA2E1-E424-466F-B35A-9B9FDC64781C}"/>
    <cellStyle name="Normal GHG whole table 2 3 52" xfId="25728" xr:uid="{38007788-4C94-4FE4-BBD9-28E6BBA9EEA9}"/>
    <cellStyle name="Normal GHG whole table 2 3 53" xfId="26307" xr:uid="{33A33A7D-5096-4EEA-9739-B529B4BDAE61}"/>
    <cellStyle name="Normal GHG whole table 2 3 54" xfId="25969" xr:uid="{17ECD264-0404-4FAF-894F-C72482D38D00}"/>
    <cellStyle name="Normal GHG whole table 2 3 55" xfId="27016" xr:uid="{7DA11C9B-B0FC-49C5-8736-4A7702F79513}"/>
    <cellStyle name="Normal GHG whole table 2 3 56" xfId="27435" xr:uid="{74AC260B-A69D-4725-BB2D-97A5931607D5}"/>
    <cellStyle name="Normal GHG whole table 2 3 57" xfId="27658" xr:uid="{DA7215A5-DFFE-4A97-B7D1-9B0D5AB95ADF}"/>
    <cellStyle name="Normal GHG whole table 2 3 58" xfId="28562" xr:uid="{941ED5DD-F6DB-4511-98C1-31981CD9DF59}"/>
    <cellStyle name="Normal GHG whole table 2 3 59" xfId="29029" xr:uid="{DC0794A8-648B-4443-8204-079CA495D7DB}"/>
    <cellStyle name="Normal GHG whole table 2 3 6" xfId="3080" xr:uid="{97841D6C-57F6-4188-BF7D-29ADB8310CC5}"/>
    <cellStyle name="Normal GHG whole table 2 3 60" xfId="29550" xr:uid="{D4DBCE08-2B56-4A37-86A5-67FC176AD9C6}"/>
    <cellStyle name="Normal GHG whole table 2 3 61" xfId="29818" xr:uid="{83E65B6D-46A5-4744-BBCE-D4C264E3A9BF}"/>
    <cellStyle name="Normal GHG whole table 2 3 62" xfId="30224" xr:uid="{2B0D0699-1EB1-4785-A689-0BEF3A6EBE35}"/>
    <cellStyle name="Normal GHG whole table 2 3 63" xfId="30641" xr:uid="{92F710C9-EFE0-4987-9C73-3580D62F4A2C}"/>
    <cellStyle name="Normal GHG whole table 2 3 64" xfId="29271" xr:uid="{6C268185-B106-4DA2-9D61-A408E7702231}"/>
    <cellStyle name="Normal GHG whole table 2 3 65" xfId="31257" xr:uid="{A4C51CC6-D63F-41E9-B0C5-BFE26E9C97C4}"/>
    <cellStyle name="Normal GHG whole table 2 3 66" xfId="31948" xr:uid="{1EAB4D6F-DB8B-4A03-BDA4-9C391AA95E69}"/>
    <cellStyle name="Normal GHG whole table 2 3 67" xfId="32380" xr:uid="{912C5818-D71B-47FB-A854-28C1CB0A6704}"/>
    <cellStyle name="Normal GHG whole table 2 3 7" xfId="4040" xr:uid="{B40F37BE-E268-4115-B3F6-FB1A85F26B3B}"/>
    <cellStyle name="Normal GHG whole table 2 3 8" xfId="4477" xr:uid="{587830F3-2761-43B3-9A38-B0694DBE608E}"/>
    <cellStyle name="Normal GHG whole table 2 3 9" xfId="4228" xr:uid="{7AC47A84-B590-4249-A365-3E3E9BE27847}"/>
    <cellStyle name="Normal GHG whole table 3" xfId="281" xr:uid="{17B6962C-4613-4088-9DDC-6FBD9D96B0E1}"/>
    <cellStyle name="Normal GHG whole table 3 10" xfId="2115" xr:uid="{95F15759-94EB-432C-9A1E-A795FA466AB1}"/>
    <cellStyle name="Normal GHG whole table 3 11" xfId="2959" xr:uid="{E93D4E79-DA29-4222-9192-EE042B60397C}"/>
    <cellStyle name="Normal GHG whole table 3 12" xfId="4212" xr:uid="{5A0641C4-EB9B-4CE0-AB2D-A155CF4986BB}"/>
    <cellStyle name="Normal GHG whole table 3 13" xfId="3799" xr:uid="{EE0D990E-987B-460D-B3FE-674B253404C6}"/>
    <cellStyle name="Normal GHG whole table 3 14" xfId="4740" xr:uid="{0128FDBE-1374-41FB-AFE3-D27D6BD4D045}"/>
    <cellStyle name="Normal GHG whole table 3 15" xfId="5906" xr:uid="{A72F37A5-314D-441D-A299-0CD12576E1EA}"/>
    <cellStyle name="Normal GHG whole table 3 16" xfId="6661" xr:uid="{4B78A2BE-8978-4D17-B8D7-1771FA3FF09C}"/>
    <cellStyle name="Normal GHG whole table 3 17" xfId="7011" xr:uid="{054A91AE-2F63-4591-BCD3-02CB8D9298ED}"/>
    <cellStyle name="Normal GHG whole table 3 18" xfId="6737" xr:uid="{D28672C8-C272-4350-B271-79B6DCFD2F03}"/>
    <cellStyle name="Normal GHG whole table 3 19" xfId="8575" xr:uid="{79D418E1-08C9-4A48-8D66-2EF8063F442B}"/>
    <cellStyle name="Normal GHG whole table 3 2" xfId="618" xr:uid="{B4F45048-F186-450C-AE85-A7E2338A51D0}"/>
    <cellStyle name="Normal GHG whole table 3 2 10" xfId="4892" xr:uid="{80249671-95C5-4F61-B140-218F34CA4DC4}"/>
    <cellStyle name="Normal GHG whole table 3 2 11" xfId="5266" xr:uid="{DF4CA8EC-977D-4760-8001-65336783E970}"/>
    <cellStyle name="Normal GHG whole table 3 2 12" xfId="4719" xr:uid="{20B91F07-C68C-41EA-BF59-27B4D069949B}"/>
    <cellStyle name="Normal GHG whole table 3 2 13" xfId="6272" xr:uid="{40B765BE-FD6A-49E8-8E7D-9873A4456114}"/>
    <cellStyle name="Normal GHG whole table 3 2 14" xfId="6469" xr:uid="{30D15BDA-5415-4BB1-A148-1B1B231012BC}"/>
    <cellStyle name="Normal GHG whole table 3 2 15" xfId="7338" xr:uid="{175D80EB-58EF-4FF4-ADB7-8A999E61B0DB}"/>
    <cellStyle name="Normal GHG whole table 3 2 16" xfId="7788" xr:uid="{36D9C7D7-CCB5-4E2F-869E-5D7DDE51436C}"/>
    <cellStyle name="Normal GHG whole table 3 2 17" xfId="8120" xr:uid="{C4716B2F-1267-41A3-BE2B-D0096EE8E78F}"/>
    <cellStyle name="Normal GHG whole table 3 2 18" xfId="8559" xr:uid="{B23CF06A-F4E7-4AAA-9128-4D7001A59593}"/>
    <cellStyle name="Normal GHG whole table 3 2 19" xfId="9552" xr:uid="{F95E312B-3465-4449-A188-6F8518BC95B4}"/>
    <cellStyle name="Normal GHG whole table 3 2 2" xfId="833" xr:uid="{CC12BFE4-CB35-4375-BEBA-3CE27F3F54DD}"/>
    <cellStyle name="Normal GHG whole table 3 2 2 10" xfId="5481" xr:uid="{59311938-680B-4639-B3B2-83D45270C7A2}"/>
    <cellStyle name="Normal GHG whole table 3 2 2 11" xfId="5650" xr:uid="{33DF09D6-7AF7-4773-87E2-5DBD3BC22F77}"/>
    <cellStyle name="Normal GHG whole table 3 2 2 12" xfId="5592" xr:uid="{C35DEF32-0240-41CA-AE88-47967B406EEF}"/>
    <cellStyle name="Normal GHG whole table 3 2 2 13" xfId="6458" xr:uid="{775A941E-5712-4FE9-B6B0-B18AA40708E2}"/>
    <cellStyle name="Normal GHG whole table 3 2 2 14" xfId="7553" xr:uid="{B50C9909-9D5D-4378-B71E-B7A4F4EFF498}"/>
    <cellStyle name="Normal GHG whole table 3 2 2 15" xfId="8014" xr:uid="{EAB180E2-5F10-47C5-86F1-7E8EE0D4DA79}"/>
    <cellStyle name="Normal GHG whole table 3 2 2 16" xfId="7901" xr:uid="{EBE4CDB1-726E-45D0-95CA-D822C83F0C6B}"/>
    <cellStyle name="Normal GHG whole table 3 2 2 17" xfId="8536" xr:uid="{90192114-784E-4303-B7B1-03C53D772D90}"/>
    <cellStyle name="Normal GHG whole table 3 2 2 18" xfId="9767" xr:uid="{6868D3DA-04D2-4E27-9A82-F0166CF9A585}"/>
    <cellStyle name="Normal GHG whole table 3 2 2 19" xfId="10232" xr:uid="{DB2AEFA3-6FF1-4F65-B3A7-D037CF841368}"/>
    <cellStyle name="Normal GHG whole table 3 2 2 2" xfId="1307" xr:uid="{8E5F7174-47A1-48B6-93EE-41285EEA7448}"/>
    <cellStyle name="Normal GHG whole table 3 2 2 20" xfId="10629" xr:uid="{7F2874F4-B0B0-4296-BDC1-3260C57B00FE}"/>
    <cellStyle name="Normal GHG whole table 3 2 2 21" xfId="10585" xr:uid="{05A0063A-BF49-4AFA-AA28-4F08F9F203FA}"/>
    <cellStyle name="Normal GHG whole table 3 2 2 22" xfId="10312" xr:uid="{A1B7A38F-E405-4785-B370-D2F89F9B0BFA}"/>
    <cellStyle name="Normal GHG whole table 3 2 2 23" xfId="12186" xr:uid="{24DCDADA-E3E0-4179-BE0B-3EE1A61C5578}"/>
    <cellStyle name="Normal GHG whole table 3 2 2 24" xfId="12659" xr:uid="{D5FD03F2-CDEA-4170-8C5E-C5569D074B8D}"/>
    <cellStyle name="Normal GHG whole table 3 2 2 25" xfId="13093" xr:uid="{910A4A3C-9431-48B1-ADC1-B55EFA969F8E}"/>
    <cellStyle name="Normal GHG whole table 3 2 2 26" xfId="13530" xr:uid="{D3A7432C-FF32-4E22-8812-A30EB80723B3}"/>
    <cellStyle name="Normal GHG whole table 3 2 2 27" xfId="11754" xr:uid="{734BFE11-7D86-4A7C-9158-D517B3683367}"/>
    <cellStyle name="Normal GHG whole table 3 2 2 28" xfId="13724" xr:uid="{2DF43A46-54C6-428D-95D0-83F564955E61}"/>
    <cellStyle name="Normal GHG whole table 3 2 2 29" xfId="14880" xr:uid="{3024D1C9-2244-4A45-ADEB-690B51B45EB5}"/>
    <cellStyle name="Normal GHG whole table 3 2 2 3" xfId="1499" xr:uid="{10002B5C-4D68-46B2-B1E7-E58767934CD9}"/>
    <cellStyle name="Normal GHG whole table 3 2 2 30" xfId="15271" xr:uid="{C12883B5-5DFB-48AC-9283-462D6004BED5}"/>
    <cellStyle name="Normal GHG whole table 3 2 2 31" xfId="15569" xr:uid="{E7B2E953-93ED-41EE-B33F-F4BD111C83A3}"/>
    <cellStyle name="Normal GHG whole table 3 2 2 32" xfId="15978" xr:uid="{EBB1A5D3-E051-4331-93E8-A382C0BCA263}"/>
    <cellStyle name="Normal GHG whole table 3 2 2 33" xfId="16878" xr:uid="{D78AA275-7A4D-4343-933D-D79E305858B6}"/>
    <cellStyle name="Normal GHG whole table 3 2 2 34" xfId="17353" xr:uid="{89C31C63-9C1D-4C43-9D40-500B31C3DFB6}"/>
    <cellStyle name="Normal GHG whole table 3 2 2 35" xfId="17795" xr:uid="{3FEAF778-907F-495D-A7CF-B8DD40755A5A}"/>
    <cellStyle name="Normal GHG whole table 3 2 2 36" xfId="17594" xr:uid="{F63927F0-CD2D-4A79-8BD0-5C6C6FC5998E}"/>
    <cellStyle name="Normal GHG whole table 3 2 2 37" xfId="18696" xr:uid="{07F97BD1-043D-4C41-9FDD-AF5E02680C38}"/>
    <cellStyle name="Normal GHG whole table 3 2 2 38" xfId="18143" xr:uid="{03C552D7-DD36-464C-A489-18957B3D3554}"/>
    <cellStyle name="Normal GHG whole table 3 2 2 39" xfId="17722" xr:uid="{A2F8C92C-B6F0-452C-8AC7-DDEE13D47500}"/>
    <cellStyle name="Normal GHG whole table 3 2 2 4" xfId="2655" xr:uid="{1DE245C5-19D8-4C33-A759-669F8890543C}"/>
    <cellStyle name="Normal GHG whole table 3 2 2 40" xfId="20215" xr:uid="{7BC486B7-6FD4-44C8-B88F-011DC621C4DD}"/>
    <cellStyle name="Normal GHG whole table 3 2 2 41" xfId="20704" xr:uid="{48DA11D1-0839-4DC6-AA1D-94EC1267FCB3}"/>
    <cellStyle name="Normal GHG whole table 3 2 2 42" xfId="21161" xr:uid="{3576E69D-0B4F-401B-A3F7-F5A5420AE485}"/>
    <cellStyle name="Normal GHG whole table 3 2 2 43" xfId="21240" xr:uid="{9113E9E2-CABA-4141-804C-A8811A3A6319}"/>
    <cellStyle name="Normal GHG whole table 3 2 2 44" xfId="22092" xr:uid="{4A338D1C-B1BB-42C2-9B82-2F465B3E433B}"/>
    <cellStyle name="Normal GHG whole table 3 2 2 45" xfId="22520" xr:uid="{151D1F70-A5E9-4AC7-B08F-88D51D6ACC39}"/>
    <cellStyle name="Normal GHG whole table 3 2 2 46" xfId="22395" xr:uid="{4EA7A158-4E30-44C8-8CD2-04E8FFE09B29}"/>
    <cellStyle name="Normal GHG whole table 3 2 2 47" xfId="22704" xr:uid="{58C604F6-12D7-49CF-8CCC-5DC167737E84}"/>
    <cellStyle name="Normal GHG whole table 3 2 2 48" xfId="20944" xr:uid="{897408D1-69F7-457F-B360-E22C957F3D68}"/>
    <cellStyle name="Normal GHG whole table 3 2 2 49" xfId="24015" xr:uid="{33F73BFA-71D1-4A68-83E5-AB1360B534A0}"/>
    <cellStyle name="Normal GHG whole table 3 2 2 5" xfId="2020" xr:uid="{809DB58E-8B52-45C2-BF4A-DAAD00A6892E}"/>
    <cellStyle name="Normal GHG whole table 3 2 2 50" xfId="24923" xr:uid="{1D1173C0-69EF-4B7A-9355-D6FE0DF99372}"/>
    <cellStyle name="Normal GHG whole table 3 2 2 51" xfId="25407" xr:uid="{27003616-09E5-4ACD-86CF-4491492C55E9}"/>
    <cellStyle name="Normal GHG whole table 3 2 2 52" xfId="25839" xr:uid="{0629D69A-D607-40C9-8FE7-ED7A2EEA126C}"/>
    <cellStyle name="Normal GHG whole table 3 2 2 53" xfId="24217" xr:uid="{6F2F0435-68DC-4921-A584-10B4ADB633CE}"/>
    <cellStyle name="Normal GHG whole table 3 2 2 54" xfId="26485" xr:uid="{E670CB36-52D5-40A8-B207-B36AEBCCB32A}"/>
    <cellStyle name="Normal GHG whole table 3 2 2 55" xfId="27127" xr:uid="{CB36AD26-E2E9-4BC6-86A0-3584615E24C4}"/>
    <cellStyle name="Normal GHG whole table 3 2 2 56" xfId="27546" xr:uid="{63F7618E-3626-476C-9168-5980C087F4B4}"/>
    <cellStyle name="Normal GHG whole table 3 2 2 57" xfId="26511" xr:uid="{4A928BF5-EAA1-4438-9D69-CC5B0C932369}"/>
    <cellStyle name="Normal GHG whole table 3 2 2 58" xfId="28673" xr:uid="{F2BED3FB-E755-484E-9DD2-720D4C3CDC97}"/>
    <cellStyle name="Normal GHG whole table 3 2 2 59" xfId="29140" xr:uid="{528C417B-D1C5-405B-BAAF-7A08705E9BAE}"/>
    <cellStyle name="Normal GHG whole table 3 2 2 6" xfId="3569" xr:uid="{3C3DBFA8-2C0C-4FE4-BDE0-3EC6CE30BD42}"/>
    <cellStyle name="Normal GHG whole table 3 2 2 60" xfId="29522" xr:uid="{12E0D264-168B-4517-AC44-0429746ACB41}"/>
    <cellStyle name="Normal GHG whole table 3 2 2 61" xfId="29929" xr:uid="{E9C5481C-A99D-433D-AE6C-F335F1C8D855}"/>
    <cellStyle name="Normal GHG whole table 3 2 2 62" xfId="30335" xr:uid="{94030087-09B8-4669-B36E-95C26ED044B1}"/>
    <cellStyle name="Normal GHG whole table 3 2 2 63" xfId="30752" xr:uid="{9A88928B-169C-40C0-8D1D-C427BFAB839D}"/>
    <cellStyle name="Normal GHG whole table 3 2 2 64" xfId="30413" xr:uid="{A94E169B-A302-44A9-ACA3-7A43D9F60BB3}"/>
    <cellStyle name="Normal GHG whole table 3 2 2 65" xfId="31368" xr:uid="{C415F45F-643D-49FF-9F6A-48CE89744E76}"/>
    <cellStyle name="Normal GHG whole table 3 2 2 66" xfId="32059" xr:uid="{519941BE-36F3-4014-8A7A-F59231FE2CE3}"/>
    <cellStyle name="Normal GHG whole table 3 2 2 67" xfId="31614" xr:uid="{8CAC2D15-E798-4A46-9DF1-370BCCC3E2F5}"/>
    <cellStyle name="Normal GHG whole table 3 2 2 7" xfId="4151" xr:uid="{A45E4928-8A0E-4030-A75B-DFAC9604C675}"/>
    <cellStyle name="Normal GHG whole table 3 2 2 8" xfId="4588" xr:uid="{B4F7026E-7A61-4030-9E12-B5021EFC1892}"/>
    <cellStyle name="Normal GHG whole table 3 2 2 9" xfId="3641" xr:uid="{289A8B4E-6258-4B7E-930F-17621B012BA9}"/>
    <cellStyle name="Normal GHG whole table 3 2 20" xfId="10001" xr:uid="{EA6C0F0F-B6D3-4CB9-A0C1-946514EB58D7}"/>
    <cellStyle name="Normal GHG whole table 3 2 21" xfId="10426" xr:uid="{1FDD644D-C25A-4CB0-9827-EF60BFDDBEE0}"/>
    <cellStyle name="Normal GHG whole table 3 2 22" xfId="10858" xr:uid="{67E43DDA-26E6-44F5-80C9-D2F1130F42A5}"/>
    <cellStyle name="Normal GHG whole table 3 2 23" xfId="10484" xr:uid="{5B9D2C75-5CA6-4ED1-9894-8877870BEDC7}"/>
    <cellStyle name="Normal GHG whole table 3 2 24" xfId="11971" xr:uid="{45BE5CDA-D7D7-496A-812E-73EED252C098}"/>
    <cellStyle name="Normal GHG whole table 3 2 25" xfId="12444" xr:uid="{9B82E3D3-B132-4BCD-A212-4831FBFDF195}"/>
    <cellStyle name="Normal GHG whole table 3 2 26" xfId="12878" xr:uid="{C90E0C7C-C56E-428E-AE80-87E7E8F2C278}"/>
    <cellStyle name="Normal GHG whole table 3 2 27" xfId="13315" xr:uid="{E5B05B8D-0620-41F3-95C3-E1DFE7529E1C}"/>
    <cellStyle name="Normal GHG whole table 3 2 28" xfId="13949" xr:uid="{1563585E-8C0D-4B31-958B-8942C53C278C}"/>
    <cellStyle name="Normal GHG whole table 3 2 29" xfId="14393" xr:uid="{0488AE67-43B0-4DD0-8401-1B01529C928E}"/>
    <cellStyle name="Normal GHG whole table 3 2 3" xfId="1101" xr:uid="{52FD5D51-E975-4252-A637-A0F7C5A8374F}"/>
    <cellStyle name="Normal GHG whole table 3 2 30" xfId="11725" xr:uid="{5A9A2B46-BF44-431C-9C3C-1BE324DD1BB4}"/>
    <cellStyle name="Normal GHG whole table 3 2 31" xfId="14607" xr:uid="{AAC83AEB-E5B3-49B4-B7EE-2EDE08DA8F45}"/>
    <cellStyle name="Normal GHG whole table 3 2 32" xfId="15363" xr:uid="{8FC24BED-336D-440C-B881-77F91755DAF0}"/>
    <cellStyle name="Normal GHG whole table 3 2 33" xfId="15856" xr:uid="{2D9B7E2D-4475-413E-AAB0-44752D7A44CC}"/>
    <cellStyle name="Normal GHG whole table 3 2 34" xfId="16663" xr:uid="{8F85BEAF-DCD1-4089-B48B-7F2F60F5F204}"/>
    <cellStyle name="Normal GHG whole table 3 2 35" xfId="17117" xr:uid="{A74450AD-01BF-4A01-992D-7CB3F2F548F1}"/>
    <cellStyle name="Normal GHG whole table 3 2 36" xfId="17564" xr:uid="{96C2FF8E-AC89-4D94-8A19-8934E4CC595C}"/>
    <cellStyle name="Normal GHG whole table 3 2 37" xfId="16149" xr:uid="{29FD68EE-6BCF-4E48-91DA-428729E547A3}"/>
    <cellStyle name="Normal GHG whole table 3 2 38" xfId="18481" xr:uid="{0140253E-0555-4483-AB34-A037DDBCAEFF}"/>
    <cellStyle name="Normal GHG whole table 3 2 39" xfId="16150" xr:uid="{C2507F88-E692-4A2B-918C-A48F469FEEC4}"/>
    <cellStyle name="Normal GHG whole table 3 2 4" xfId="1523" xr:uid="{4736B8E7-53E1-493F-8A5A-E701902433BA}"/>
    <cellStyle name="Normal GHG whole table 3 2 40" xfId="19257" xr:uid="{5E828C07-B1D6-4B6A-9D9C-6C7223E70D7B}"/>
    <cellStyle name="Normal GHG whole table 3 2 41" xfId="20000" xr:uid="{3EEE04A7-A46D-4801-8958-3976B8F0A456}"/>
    <cellStyle name="Normal GHG whole table 3 2 42" xfId="20470" xr:uid="{96670393-A679-434C-827F-49B105C12C20}"/>
    <cellStyle name="Normal GHG whole table 3 2 43" xfId="20923" xr:uid="{CF82B5BB-E50A-4ADC-BFB4-87D3DA0E510A}"/>
    <cellStyle name="Normal GHG whole table 3 2 44" xfId="19400" xr:uid="{4418B687-3C35-4B09-AB7B-06F94A918946}"/>
    <cellStyle name="Normal GHG whole table 3 2 45" xfId="21852" xr:uid="{805551DD-49F6-48A4-8F4F-18D40A377509}"/>
    <cellStyle name="Normal GHG whole table 3 2 46" xfId="22289" xr:uid="{F28EC945-B841-449A-9B04-78E839A6B383}"/>
    <cellStyle name="Normal GHG whole table 3 2 47" xfId="22924" xr:uid="{44DE91D6-F94B-4C89-A1D6-B0175D708F9A}"/>
    <cellStyle name="Normal GHG whole table 3 2 48" xfId="22745" xr:uid="{989E7BFF-D3F2-4358-95B3-57AF0CA80566}"/>
    <cellStyle name="Normal GHG whole table 3 2 49" xfId="23610" xr:uid="{9436B873-9104-4FBF-86A2-D771FE2190DB}"/>
    <cellStyle name="Normal GHG whole table 3 2 5" xfId="2440" xr:uid="{8F64C457-6AE8-473C-914A-DF0773C24604}"/>
    <cellStyle name="Normal GHG whole table 3 2 50" xfId="23809" xr:uid="{BC15E839-522D-4DA1-9997-FAF2BFED3B80}"/>
    <cellStyle name="Normal GHG whole table 3 2 51" xfId="24708" xr:uid="{7CAE5464-3E03-4B22-BFE3-18FA9C60FC74}"/>
    <cellStyle name="Normal GHG whole table 3 2 52" xfId="25178" xr:uid="{C57C4608-1854-48EB-A7F9-1DD9F468EE35}"/>
    <cellStyle name="Normal GHG whole table 3 2 53" xfId="25626" xr:uid="{36E3C78B-3BD2-45AC-8D1C-482C9B03A4AF}"/>
    <cellStyle name="Normal GHG whole table 3 2 54" xfId="26230" xr:uid="{E96FCEC8-6933-496C-B2BB-CE0B2744C6D3}"/>
    <cellStyle name="Normal GHG whole table 3 2 55" xfId="26285" xr:uid="{1C812FF6-8FA9-4E6B-B89C-8B8044AE735C}"/>
    <cellStyle name="Normal GHG whole table 3 2 56" xfId="26916" xr:uid="{38C5CF68-4A58-4DA8-8EFE-FB1772DFBA17}"/>
    <cellStyle name="Normal GHG whole table 3 2 57" xfId="27335" xr:uid="{F9402034-A691-4D13-BCBE-543623092A9C}"/>
    <cellStyle name="Normal GHG whole table 3 2 58" xfId="26798" xr:uid="{D02A72C7-CF3C-428F-A135-1A353156C9A8}"/>
    <cellStyle name="Normal GHG whole table 3 2 59" xfId="28458" xr:uid="{4FA5EC06-CCE7-4CC2-AC55-3A75FAAB17B9}"/>
    <cellStyle name="Normal GHG whole table 3 2 6" xfId="3118" xr:uid="{2C55E9A8-30FE-459A-B4D4-E15DAED68B17}"/>
    <cellStyle name="Normal GHG whole table 3 2 60" xfId="28926" xr:uid="{FF8B03D8-8092-4226-9FA1-272152265527}"/>
    <cellStyle name="Normal GHG whole table 3 2 61" xfId="29325" xr:uid="{903A6B93-4ADA-4A38-BACD-F3AFD0076B4C}"/>
    <cellStyle name="Normal GHG whole table 3 2 62" xfId="29716" xr:uid="{048F6B5B-88D9-4A34-988F-C0D4E94C42E0}"/>
    <cellStyle name="Normal GHG whole table 3 2 63" xfId="30124" xr:uid="{C0E145C7-7B1E-48F5-A93C-9E31E0B92B5A}"/>
    <cellStyle name="Normal GHG whole table 3 2 64" xfId="30538" xr:uid="{98E046EE-116E-4780-8C6F-C01A007F4AAB}"/>
    <cellStyle name="Normal GHG whole table 3 2 65" xfId="30862" xr:uid="{67129757-25A8-4E54-A24B-DD496C9EDDCE}"/>
    <cellStyle name="Normal GHG whole table 3 2 66" xfId="31162" xr:uid="{959FC0C4-49A1-43D1-BEA2-B16774C75941}"/>
    <cellStyle name="Normal GHG whole table 3 2 67" xfId="31848" xr:uid="{23BC15C7-48A1-4DEE-AC31-104412BE97E3}"/>
    <cellStyle name="Normal GHG whole table 3 2 68" xfId="32122" xr:uid="{08F1B670-FA60-4AF0-9DD9-3C32C8BB271D}"/>
    <cellStyle name="Normal GHG whole table 3 2 7" xfId="2807" xr:uid="{3D4C3441-4DA6-4AFF-AD5C-7342691EA0FB}"/>
    <cellStyle name="Normal GHG whole table 3 2 8" xfId="3936" xr:uid="{E02C102C-ADD8-4C84-931D-46DEA2547A95}"/>
    <cellStyle name="Normal GHG whole table 3 2 9" xfId="4374" xr:uid="{7CACBB0D-5126-4850-B753-E65E060DD155}"/>
    <cellStyle name="Normal GHG whole table 3 20" xfId="8107" xr:uid="{794DB4D9-3C36-490C-BF0E-7E79724A5601}"/>
    <cellStyle name="Normal GHG whole table 3 21" xfId="9224" xr:uid="{8D50BB19-4631-472A-A53C-21548DBDD4A5}"/>
    <cellStyle name="Normal GHG whole table 3 22" xfId="8964" xr:uid="{C58FED0E-9F9A-4E99-8FB1-016889A4DD7F}"/>
    <cellStyle name="Normal GHG whole table 3 23" xfId="10141" xr:uid="{1AFDE28D-5FE4-4420-A91A-B8C1E6CF8008}"/>
    <cellStyle name="Normal GHG whole table 3 24" xfId="9871" xr:uid="{D475EA9F-CB3A-4AA1-A513-903B56657C6D}"/>
    <cellStyle name="Normal GHG whole table 3 25" xfId="10805" xr:uid="{49CC4AE6-EB4E-4AE8-9201-BEB6C7666FC7}"/>
    <cellStyle name="Normal GHG whole table 3 26" xfId="11637" xr:uid="{816333B0-BAA1-4399-A9FB-CC44F08E9F6B}"/>
    <cellStyle name="Normal GHG whole table 3 27" xfId="11478" xr:uid="{AE20C972-C7B3-4BB8-8F45-30FEFAED7D46}"/>
    <cellStyle name="Normal GHG whole table 3 28" xfId="11584" xr:uid="{DA7D28D4-D8B9-4C19-8870-2383D87F7E29}"/>
    <cellStyle name="Normal GHG whole table 3 29" xfId="12295" xr:uid="{6C3E51B0-D63B-4AAA-80A8-97B3623027C4}"/>
    <cellStyle name="Normal GHG whole table 3 3" xfId="539" xr:uid="{189B52D5-17B0-460B-B1A3-754CA578CF55}"/>
    <cellStyle name="Normal GHG whole table 3 3 10" xfId="5041" xr:uid="{DD05FC85-ADDF-4225-B17C-192E8D5179D6}"/>
    <cellStyle name="Normal GHG whole table 3 3 11" xfId="5187" xr:uid="{B6CA1BAF-C02F-4571-97E1-B9617CC70C2C}"/>
    <cellStyle name="Normal GHG whole table 3 3 12" xfId="3658" xr:uid="{30CDA7F0-9967-4B27-A547-F07F5D071491}"/>
    <cellStyle name="Normal GHG whole table 3 3 13" xfId="5971" xr:uid="{A0D37607-955C-4847-855C-693408CF48A0}"/>
    <cellStyle name="Normal GHG whole table 3 3 14" xfId="6194" xr:uid="{8EC8BB08-5C31-40C6-ABB0-43F5018CCB1C}"/>
    <cellStyle name="Normal GHG whole table 3 3 15" xfId="7259" xr:uid="{194240F3-68AB-41F6-AA05-9515A08085F2}"/>
    <cellStyle name="Normal GHG whole table 3 3 16" xfId="7791" xr:uid="{30B2DA6D-46ED-4F1E-B762-63E5C7BF5A3F}"/>
    <cellStyle name="Normal GHG whole table 3 3 17" xfId="8200" xr:uid="{CD78B9B3-00E6-4B4C-99E2-85FF057D9241}"/>
    <cellStyle name="Normal GHG whole table 3 3 18" xfId="8807" xr:uid="{01D5D66C-9A7B-4904-BC5F-323B510C038A}"/>
    <cellStyle name="Normal GHG whole table 3 3 19" xfId="9473" xr:uid="{6B52010E-F30A-4313-8E0D-C7E781348566}"/>
    <cellStyle name="Normal GHG whole table 3 3 2" xfId="754" xr:uid="{2B082716-3006-42B1-B959-EEA06B418BC6}"/>
    <cellStyle name="Normal GHG whole table 3 3 2 10" xfId="5402" xr:uid="{21406FFC-D661-4466-AC37-A3E0118436AF}"/>
    <cellStyle name="Normal GHG whole table 3 3 2 11" xfId="4252" xr:uid="{3EBA1CA4-20D3-467F-82A7-9C5F0340C3E6}"/>
    <cellStyle name="Normal GHG whole table 3 3 2 12" xfId="3723" xr:uid="{4E8FCCCA-3467-4DCE-8D28-6900660DCBD8}"/>
    <cellStyle name="Normal GHG whole table 3 3 2 13" xfId="6608" xr:uid="{15E9DEFA-A52A-4E63-A264-5F1591A36801}"/>
    <cellStyle name="Normal GHG whole table 3 3 2 14" xfId="7474" xr:uid="{988F5BDF-6DFF-474D-BF18-689D24B417FE}"/>
    <cellStyle name="Normal GHG whole table 3 3 2 15" xfId="7036" xr:uid="{13CEAA84-3064-40A1-959A-726F9F6FCBF9}"/>
    <cellStyle name="Normal GHG whole table 3 3 2 16" xfId="8228" xr:uid="{8882A6CE-4199-4570-96A8-4199411C959B}"/>
    <cellStyle name="Normal GHG whole table 3 3 2 17" xfId="8632" xr:uid="{60C43959-62E4-4878-9F42-B6674C90D2B7}"/>
    <cellStyle name="Normal GHG whole table 3 3 2 18" xfId="9688" xr:uid="{54A9E1D7-5C1B-4B45-A33E-CA4746FD3119}"/>
    <cellStyle name="Normal GHG whole table 3 3 2 19" xfId="9249" xr:uid="{E24AE953-E2BF-4F54-B28E-F00413979114}"/>
    <cellStyle name="Normal GHG whole table 3 3 2 2" xfId="1228" xr:uid="{1D2DA5E6-EEE4-4C2E-980F-817A7EB60424}"/>
    <cellStyle name="Normal GHG whole table 3 3 2 20" xfId="9840" xr:uid="{6C4ADEF2-5DDB-4F24-8C8A-6302950376C9}"/>
    <cellStyle name="Normal GHG whole table 3 3 2 21" xfId="10660" xr:uid="{AE95A601-4AA7-4762-BF91-5ED362C12502}"/>
    <cellStyle name="Normal GHG whole table 3 3 2 22" xfId="11262" xr:uid="{453D4F1B-670C-4A47-BDFA-DB6F72953214}"/>
    <cellStyle name="Normal GHG whole table 3 3 2 23" xfId="12107" xr:uid="{F57AC4BD-4ECC-444B-9B9D-67DE367FB336}"/>
    <cellStyle name="Normal GHG whole table 3 3 2 24" xfId="12580" xr:uid="{3EFA1CCB-0A24-45B4-8269-6C602E341206}"/>
    <cellStyle name="Normal GHG whole table 3 3 2 25" xfId="13014" xr:uid="{1FC00C9E-8CE7-40F6-AC8F-F44EC464AD5F}"/>
    <cellStyle name="Normal GHG whole table 3 3 2 26" xfId="13451" xr:uid="{15F19DE9-6C78-436E-B7B7-F31F83C8AF66}"/>
    <cellStyle name="Normal GHG whole table 3 3 2 27" xfId="11687" xr:uid="{886CF5B4-B488-4623-B1E8-8D3758AB4132}"/>
    <cellStyle name="Normal GHG whole table 3 3 2 28" xfId="11656" xr:uid="{728FEE5F-80E2-4968-8AD4-467314554C92}"/>
    <cellStyle name="Normal GHG whole table 3 3 2 29" xfId="14468" xr:uid="{00E167E8-A08B-4D1B-9E0C-A8B6D76D882A}"/>
    <cellStyle name="Normal GHG whole table 3 3 2 3" xfId="1512" xr:uid="{090B281C-EDD9-4FC0-9C93-BD5C2DA6067D}"/>
    <cellStyle name="Normal GHG whole table 3 3 2 30" xfId="14077" xr:uid="{91C5A677-582B-4AD0-B46C-CE391703A7B2}"/>
    <cellStyle name="Normal GHG whole table 3 3 2 31" xfId="15238" xr:uid="{42DEA0BD-C44B-4E41-B57E-78A8FAA34972}"/>
    <cellStyle name="Normal GHG whole table 3 3 2 32" xfId="15508" xr:uid="{4B138B54-DA45-43AB-BDE3-827A7EC80B8A}"/>
    <cellStyle name="Normal GHG whole table 3 3 2 33" xfId="16799" xr:uid="{2DD3483A-E1C9-44AD-82B3-23E3BB6C7D0C}"/>
    <cellStyle name="Normal GHG whole table 3 3 2 34" xfId="16359" xr:uid="{9F80459B-4339-44C1-B83B-F818D02FCB9B}"/>
    <cellStyle name="Normal GHG whole table 3 3 2 35" xfId="16955" xr:uid="{EF69702E-182E-4DF9-9293-005A202FB4EE}"/>
    <cellStyle name="Normal GHG whole table 3 3 2 36" xfId="18033" xr:uid="{C8CD75B2-EC0C-400B-924B-CD6585EDFAD9}"/>
    <cellStyle name="Normal GHG whole table 3 3 2 37" xfId="18617" xr:uid="{7DF83847-B1B1-474B-982B-AF5443E34050}"/>
    <cellStyle name="Normal GHG whole table 3 3 2 38" xfId="17927" xr:uid="{D8571978-989E-42B2-B7EA-7B9A6475F690}"/>
    <cellStyle name="Normal GHG whole table 3 3 2 39" xfId="19084" xr:uid="{D84E94CA-A0D5-42BF-84F0-97D69DA96BEA}"/>
    <cellStyle name="Normal GHG whole table 3 3 2 4" xfId="2576" xr:uid="{4CC5396F-C417-4432-A61D-B6B1CF96479F}"/>
    <cellStyle name="Normal GHG whole table 3 3 2 40" xfId="20136" xr:uid="{E48DFF7F-418F-4ED1-95A2-4F8C726302C0}"/>
    <cellStyle name="Normal GHG whole table 3 3 2 41" xfId="19692" xr:uid="{581DDBBE-AAF5-4EE2-913E-37E2758D4810}"/>
    <cellStyle name="Normal GHG whole table 3 3 2 42" xfId="20384" xr:uid="{C7750E02-530F-459C-A649-E6B9AACCBEB6}"/>
    <cellStyle name="Normal GHG whole table 3 3 2 43" xfId="21256" xr:uid="{4BA3AA5B-4B9E-4331-9619-26F3EF092F36}"/>
    <cellStyle name="Normal GHG whole table 3 3 2 44" xfId="21484" xr:uid="{B4F40877-3B05-447C-BCEB-5983AF25E82A}"/>
    <cellStyle name="Normal GHG whole table 3 3 2 45" xfId="21789" xr:uid="{ADA0A223-F20B-49B9-9929-9DCB31A1BED7}"/>
    <cellStyle name="Normal GHG whole table 3 3 2 46" xfId="20358" xr:uid="{647525D7-EDE3-4989-A3CA-2BFEEF173D54}"/>
    <cellStyle name="Normal GHG whole table 3 3 2 47" xfId="22705" xr:uid="{83F094DE-9B5D-4330-9CC1-715CD7018113}"/>
    <cellStyle name="Normal GHG whole table 3 3 2 48" xfId="20419" xr:uid="{D8F70357-AEFF-4092-BC01-E071CBE41F60}"/>
    <cellStyle name="Normal GHG whole table 3 3 2 49" xfId="23936" xr:uid="{F8E05576-F61D-4C1F-BF35-939A904DE944}"/>
    <cellStyle name="Normal GHG whole table 3 3 2 5" xfId="1982" xr:uid="{B945AE67-4573-4FC5-B398-12130F898484}"/>
    <cellStyle name="Normal GHG whole table 3 3 2 50" xfId="24844" xr:uid="{87F0F204-2E92-4CD1-899B-8C75E4CAFB85}"/>
    <cellStyle name="Normal GHG whole table 3 3 2 51" xfId="24556" xr:uid="{14EF67F6-2016-44B7-A5CF-8B21A56DD1BA}"/>
    <cellStyle name="Normal GHG whole table 3 3 2 52" xfId="25760" xr:uid="{FBABF81D-B2A2-46FB-9E32-19F3677040A8}"/>
    <cellStyle name="Normal GHG whole table 3 3 2 53" xfId="25403" xr:uid="{A22A5E8D-5749-492B-943A-60C5D13E6E5B}"/>
    <cellStyle name="Normal GHG whole table 3 3 2 54" xfId="25271" xr:uid="{12D8235B-EEE0-4BEF-8A98-6F55820F3292}"/>
    <cellStyle name="Normal GHG whole table 3 3 2 55" xfId="27048" xr:uid="{03AE40F9-8A07-491F-A065-F6DB6B5517FA}"/>
    <cellStyle name="Normal GHG whole table 3 3 2 56" xfId="27467" xr:uid="{87449E16-A799-42AA-AABA-C046363BB0E4}"/>
    <cellStyle name="Normal GHG whole table 3 3 2 57" xfId="24301" xr:uid="{BBB40110-8C24-478B-9203-6327C5F71C68}"/>
    <cellStyle name="Normal GHG whole table 3 3 2 58" xfId="28594" xr:uid="{949A3F70-909E-41C3-8936-8AAAA511DF95}"/>
    <cellStyle name="Normal GHG whole table 3 3 2 59" xfId="29061" xr:uid="{6E434128-3B23-444C-858D-525E939EC7C9}"/>
    <cellStyle name="Normal GHG whole table 3 3 2 6" xfId="3527" xr:uid="{E6047076-186F-4057-A5BD-5D9617D38105}"/>
    <cellStyle name="Normal GHG whole table 3 3 2 60" xfId="28259" xr:uid="{19367090-7959-449F-9507-D9C0C6931F6D}"/>
    <cellStyle name="Normal GHG whole table 3 3 2 61" xfId="29850" xr:uid="{AB7B34B1-12D6-4AD7-954E-59B167149F59}"/>
    <cellStyle name="Normal GHG whole table 3 3 2 62" xfId="30256" xr:uid="{113F5BB3-FE4F-41B5-8E79-EBA68CD50B4A}"/>
    <cellStyle name="Normal GHG whole table 3 3 2 63" xfId="30673" xr:uid="{A3E7BD52-CD30-4DE4-90DC-4E6117765D0E}"/>
    <cellStyle name="Normal GHG whole table 3 3 2 64" xfId="29353" xr:uid="{F0F012BC-A8C9-4CC4-BC9F-B3014446E372}"/>
    <cellStyle name="Normal GHG whole table 3 3 2 65" xfId="31289" xr:uid="{DF25AB09-323D-47A2-A025-88E960A00093}"/>
    <cellStyle name="Normal GHG whole table 3 3 2 66" xfId="31980" xr:uid="{4780CCB8-7197-4064-AFCB-3728A8694D77}"/>
    <cellStyle name="Normal GHG whole table 3 3 2 67" xfId="32183" xr:uid="{86E732F3-B74D-496E-BDE6-9ED1776F68E2}"/>
    <cellStyle name="Normal GHG whole table 3 3 2 7" xfId="4072" xr:uid="{61E09FD1-EF3F-4268-81AF-4BF4EC7EF700}"/>
    <cellStyle name="Normal GHG whole table 3 3 2 8" xfId="4509" xr:uid="{BAD3FD7E-C582-4F63-B5B7-44902F6B6344}"/>
    <cellStyle name="Normal GHG whole table 3 3 2 9" xfId="4237" xr:uid="{2FB32593-C084-4B15-A5DD-6A9933E1D256}"/>
    <cellStyle name="Normal GHG whole table 3 3 20" xfId="10004" xr:uid="{8ED42B2D-F6D2-422D-A3CF-32748EDA36C2}"/>
    <cellStyle name="Normal GHG whole table 3 3 21" xfId="10429" xr:uid="{5552D858-FA5C-4C56-BF5B-B2F833FABBD9}"/>
    <cellStyle name="Normal GHG whole table 3 3 22" xfId="10903" xr:uid="{7951757F-F459-48BE-817E-74253C109928}"/>
    <cellStyle name="Normal GHG whole table 3 3 23" xfId="11202" xr:uid="{896F0500-E9D0-421F-BE54-F1363B0DACDF}"/>
    <cellStyle name="Normal GHG whole table 3 3 24" xfId="11892" xr:uid="{E48D3889-975A-428B-A367-14D32AE0F7FD}"/>
    <cellStyle name="Normal GHG whole table 3 3 25" xfId="12365" xr:uid="{D0B0FC84-D2C9-40C2-AADE-7495161662D5}"/>
    <cellStyle name="Normal GHG whole table 3 3 26" xfId="12799" xr:uid="{8C491495-8D18-41A2-80E7-CE9CE32F5848}"/>
    <cellStyle name="Normal GHG whole table 3 3 27" xfId="13236" xr:uid="{47A90FFD-1248-4B7A-8C16-14E86BD0AAAF}"/>
    <cellStyle name="Normal GHG whole table 3 3 28" xfId="11347" xr:uid="{B2795E25-CA83-42BE-96E9-C41ADEF83AE1}"/>
    <cellStyle name="Normal GHG whole table 3 3 29" xfId="14254" xr:uid="{D509CD40-4F61-4F65-9078-61BD5C910B07}"/>
    <cellStyle name="Normal GHG whole table 3 3 3" xfId="1022" xr:uid="{8CCAD51D-A7B5-4E66-BA04-374BFFCFCAF0}"/>
    <cellStyle name="Normal GHG whole table 3 3 30" xfId="14745" xr:uid="{E0A607A2-FC3E-47A5-8ED2-2B9859DDDA6D}"/>
    <cellStyle name="Normal GHG whole table 3 3 31" xfId="14974" xr:uid="{37DA4E76-2933-4DE7-AE9D-C3578323F2F5}"/>
    <cellStyle name="Normal GHG whole table 3 3 32" xfId="15502" xr:uid="{B54337DB-5BB3-4478-B8B6-F4C7448F3A2E}"/>
    <cellStyle name="Normal GHG whole table 3 3 33" xfId="15859" xr:uid="{42E102FA-7CB2-4BD3-88E3-6B6F1B35F1E7}"/>
    <cellStyle name="Normal GHG whole table 3 3 34" xfId="16584" xr:uid="{D155BEFF-7671-445D-9DC0-0611A2F328E9}"/>
    <cellStyle name="Normal GHG whole table 3 3 35" xfId="17120" xr:uid="{282A9D45-429A-4F4C-9855-CF1D952831A8}"/>
    <cellStyle name="Normal GHG whole table 3 3 36" xfId="17567" xr:uid="{BD4C63FD-083B-4150-9F38-2DEA9A7E4A38}"/>
    <cellStyle name="Normal GHG whole table 3 3 37" xfId="16537" xr:uid="{4C8FC5CE-16E1-48AB-B160-479AE04893B0}"/>
    <cellStyle name="Normal GHG whole table 3 3 38" xfId="18402" xr:uid="{F72B37B2-A4F4-483D-B2A0-2549B86FA0FE}"/>
    <cellStyle name="Normal GHG whole table 3 3 39" xfId="18883" xr:uid="{0CA2216A-FAED-46A3-B18C-102B5AF3D2CF}"/>
    <cellStyle name="Normal GHG whole table 3 3 4" xfId="1679" xr:uid="{9AE499C6-2053-4D5D-9CAC-D43649DF2EEB}"/>
    <cellStyle name="Normal GHG whole table 3 3 40" xfId="19286" xr:uid="{AAA3131B-95EE-4BB7-BC67-7A2F8D01D7D3}"/>
    <cellStyle name="Normal GHG whole table 3 3 41" xfId="19921" xr:uid="{7DB8DEAC-7A1A-499A-99DD-C612959CDD09}"/>
    <cellStyle name="Normal GHG whole table 3 3 42" xfId="20473" xr:uid="{9E49AD91-7D55-4768-8D79-80425C638ED2}"/>
    <cellStyle name="Normal GHG whole table 3 3 43" xfId="20926" xr:uid="{135EFA94-43C8-456C-B118-655BF18C35E8}"/>
    <cellStyle name="Normal GHG whole table 3 3 44" xfId="21551" xr:uid="{7BE93A31-7656-4CF5-94C8-2BC876174473}"/>
    <cellStyle name="Normal GHG whole table 3 3 45" xfId="21855" xr:uid="{50FE2AC6-CF0B-4363-BCC6-D98E84E57283}"/>
    <cellStyle name="Normal GHG whole table 3 3 46" xfId="22292" xr:uid="{DC021DFC-31D2-43E9-81B1-971F81048EF6}"/>
    <cellStyle name="Normal GHG whole table 3 3 47" xfId="22239" xr:uid="{E973E4E3-E7BB-4B42-93DD-389592CDFB11}"/>
    <cellStyle name="Normal GHG whole table 3 3 48" xfId="23158" xr:uid="{2487A8EA-E7D8-4621-B094-3EB5F4305D3B}"/>
    <cellStyle name="Normal GHG whole table 3 3 49" xfId="23471" xr:uid="{A9EF6821-A31D-4352-AC80-BA9A4AE08D38}"/>
    <cellStyle name="Normal GHG whole table 3 3 5" xfId="2361" xr:uid="{B8041CEF-D0D0-43B8-B443-57A2B54D9329}"/>
    <cellStyle name="Normal GHG whole table 3 3 50" xfId="23730" xr:uid="{3E3821A9-8784-460F-92EC-DA4D8F897754}"/>
    <cellStyle name="Normal GHG whole table 3 3 51" xfId="24629" xr:uid="{7BAECAF8-4A98-43F2-AC8F-9AD67545B5BB}"/>
    <cellStyle name="Normal GHG whole table 3 3 52" xfId="25181" xr:uid="{19724ECE-B24C-4F7F-957B-069E22E5620E}"/>
    <cellStyle name="Normal GHG whole table 3 3 53" xfId="25547" xr:uid="{9B36B62C-D680-43CE-910E-4A72BAEACE2B}"/>
    <cellStyle name="Normal GHG whole table 3 3 54" xfId="24338" xr:uid="{A2F9030C-D7BE-40D0-9978-843744C252D8}"/>
    <cellStyle name="Normal GHG whole table 3 3 55" xfId="26716" xr:uid="{4550AD7E-C311-48D2-BBC6-70F13ADD7472}"/>
    <cellStyle name="Normal GHG whole table 3 3 56" xfId="26837" xr:uid="{E3E5912A-631C-48BE-8F8B-8D3DCB6E2E95}"/>
    <cellStyle name="Normal GHG whole table 3 3 57" xfId="27256" xr:uid="{CD9E8D7C-CAFB-4D0C-9BA2-B45CFD175214}"/>
    <cellStyle name="Normal GHG whole table 3 3 58" xfId="27753" xr:uid="{9B8945FA-046D-4EAD-9A5D-1ED720D9D313}"/>
    <cellStyle name="Normal GHG whole table 3 3 59" xfId="28379" xr:uid="{E0D55589-73F0-49F1-BDAD-6453004FD48A}"/>
    <cellStyle name="Normal GHG whole table 3 3 6" xfId="2714" xr:uid="{059025EC-167D-4C76-BE78-E09088297CE3}"/>
    <cellStyle name="Normal GHG whole table 3 3 60" xfId="28847" xr:uid="{8BE058E1-B027-4B8B-93A0-ABD7456D3150}"/>
    <cellStyle name="Normal GHG whole table 3 3 61" xfId="29328" xr:uid="{0736A528-A8FA-4DEC-A47D-12658C2250F8}"/>
    <cellStyle name="Normal GHG whole table 3 3 62" xfId="29637" xr:uid="{C9F6AB08-4197-49CE-97E9-AD46F5029C9C}"/>
    <cellStyle name="Normal GHG whole table 3 3 63" xfId="30045" xr:uid="{8D5B545C-9028-401B-A7CC-779749FD06CD}"/>
    <cellStyle name="Normal GHG whole table 3 3 64" xfId="30459" xr:uid="{50D718FE-87B2-4F46-A9A0-061F40A16D7C}"/>
    <cellStyle name="Normal GHG whole table 3 3 65" xfId="30894" xr:uid="{14E402DD-3DAD-4F1A-82CC-3DD6E1586819}"/>
    <cellStyle name="Normal GHG whole table 3 3 66" xfId="31083" xr:uid="{ABD7DE3D-3B8A-4F15-8F32-99DEB51239AA}"/>
    <cellStyle name="Normal GHG whole table 3 3 67" xfId="31769" xr:uid="{1BD9F68A-A62C-4BF1-8AC9-5F15DACAE237}"/>
    <cellStyle name="Normal GHG whole table 3 3 68" xfId="32143" xr:uid="{C7EF81D2-7BE6-44FB-8C64-0D129B1EE3E1}"/>
    <cellStyle name="Normal GHG whole table 3 3 7" xfId="3391" xr:uid="{373959E8-7F59-43C5-9E75-17C6EB515E81}"/>
    <cellStyle name="Normal GHG whole table 3 3 8" xfId="3857" xr:uid="{69E2143F-5086-4A81-B5C5-F7C236CF656E}"/>
    <cellStyle name="Normal GHG whole table 3 3 9" xfId="4295" xr:uid="{39CF1B73-6EDA-4BB5-95FD-9F89748A2E13}"/>
    <cellStyle name="Normal GHG whole table 3 30" xfId="13152" xr:uid="{CA2EF486-7FE6-401E-A835-B9FA81211DE5}"/>
    <cellStyle name="Normal GHG whole table 3 31" xfId="11776" xr:uid="{FD8CB7FF-0462-41CD-9657-87095F76D007}"/>
    <cellStyle name="Normal GHG whole table 3 32" xfId="11681" xr:uid="{9BF9C5BF-B46A-4C04-9BDC-7D49A38F8AD9}"/>
    <cellStyle name="Normal GHG whole table 3 33" xfId="13197" xr:uid="{2A56937C-FDF7-4C88-BEA8-35A1732A3900}"/>
    <cellStyle name="Normal GHG whole table 3 34" xfId="14333" xr:uid="{BB243AF5-EAA1-44E2-A72D-A15C175B524B}"/>
    <cellStyle name="Normal GHG whole table 3 35" xfId="14069" xr:uid="{B6ADFAB6-0E5F-4171-97BF-338DDC505EAE}"/>
    <cellStyle name="Normal GHG whole table 3 36" xfId="16332" xr:uid="{4636A11D-A844-4031-B63E-7E6F27B14311}"/>
    <cellStyle name="Normal GHG whole table 3 37" xfId="16045" xr:uid="{5A2EE4F4-208F-4A78-A1A5-3BECD94332FA}"/>
    <cellStyle name="Normal GHG whole table 3 38" xfId="17064" xr:uid="{FC634E73-AC44-46A2-A188-6017915808E5}"/>
    <cellStyle name="Normal GHG whole table 3 39" xfId="16994" xr:uid="{84A884E0-9AC6-4F3C-A118-C83AB19FAC24}"/>
    <cellStyle name="Normal GHG whole table 3 4" xfId="626" xr:uid="{07226F49-C80F-448A-9ABB-240B76E4F429}"/>
    <cellStyle name="Normal GHG whole table 3 4 10" xfId="4989" xr:uid="{D440C116-4552-47D1-B0F2-8EB3CC0EB78C}"/>
    <cellStyle name="Normal GHG whole table 3 4 11" xfId="5274" xr:uid="{16FE9687-DD5B-4D01-B570-9A2F1DF60023}"/>
    <cellStyle name="Normal GHG whole table 3 4 12" xfId="5904" xr:uid="{555696F9-8352-4EA9-B152-70B3656B180C}"/>
    <cellStyle name="Normal GHG whole table 3 4 13" xfId="6200" xr:uid="{2CBA70DA-AC7A-4661-BC3E-24056A398C6A}"/>
    <cellStyle name="Normal GHG whole table 3 4 14" xfId="6534" xr:uid="{8DDF0588-3416-43DC-8FE7-80DC5045E43C}"/>
    <cellStyle name="Normal GHG whole table 3 4 15" xfId="7346" xr:uid="{4C04F09C-AB55-445F-90DF-8B98E3451BEB}"/>
    <cellStyle name="Normal GHG whole table 3 4 16" xfId="7776" xr:uid="{8980B398-1E50-456D-B41C-F9F35B55A316}"/>
    <cellStyle name="Normal GHG whole table 3 4 17" xfId="8214" xr:uid="{E8DA16E6-F26E-44CC-B300-0EE6128CECB5}"/>
    <cellStyle name="Normal GHG whole table 3 4 18" xfId="7953" xr:uid="{1B377AC8-4954-4991-831A-EE70FCAC18FA}"/>
    <cellStyle name="Normal GHG whole table 3 4 19" xfId="9560" xr:uid="{FAB9787A-4C58-49E1-9A13-8A85A94CEC5F}"/>
    <cellStyle name="Normal GHG whole table 3 4 2" xfId="841" xr:uid="{B869D408-CC5F-4F12-9F06-A3A013F7F99A}"/>
    <cellStyle name="Normal GHG whole table 3 4 2 10" xfId="5489" xr:uid="{A0D7D54B-CEC7-4139-B566-C49E4520AE7F}"/>
    <cellStyle name="Normal GHG whole table 3 4 2 11" xfId="5898" xr:uid="{58384B67-0E0A-458E-AA96-A9926389ECAE}"/>
    <cellStyle name="Normal GHG whole table 3 4 2 12" xfId="4673" xr:uid="{9A914833-5A8D-4130-A6AD-3BA8301A898D}"/>
    <cellStyle name="Normal GHG whole table 3 4 2 13" xfId="6599" xr:uid="{A95BC7C6-E7CE-415F-AD91-483349F119D1}"/>
    <cellStyle name="Normal GHG whole table 3 4 2 14" xfId="7561" xr:uid="{7642245C-1D1A-462D-93CB-5D9C1A7ED136}"/>
    <cellStyle name="Normal GHG whole table 3 4 2 15" xfId="7202" xr:uid="{96A8FA75-6926-44F6-9080-91C0838CCAEE}"/>
    <cellStyle name="Normal GHG whole table 3 4 2 16" xfId="8473" xr:uid="{67319840-B76D-4599-8F13-B9468DEB277A}"/>
    <cellStyle name="Normal GHG whole table 3 4 2 17" xfId="6762" xr:uid="{7FC5D9BD-69F0-4474-AAF8-2760F1340A1C}"/>
    <cellStyle name="Normal GHG whole table 3 4 2 18" xfId="9775" xr:uid="{28B4C105-FD89-40C2-916A-53B7BEF380EB}"/>
    <cellStyle name="Normal GHG whole table 3 4 2 19" xfId="9415" xr:uid="{EE5B7075-D221-4D70-80E6-DBD975A27C9F}"/>
    <cellStyle name="Normal GHG whole table 3 4 2 2" xfId="1315" xr:uid="{183F6832-C70F-4581-A11E-73B056E21FF5}"/>
    <cellStyle name="Normal GHG whole table 3 4 2 20" xfId="9353" xr:uid="{BC9E3118-DDE4-4F6F-A576-9F3C3FD79935}"/>
    <cellStyle name="Normal GHG whole table 3 4 2 21" xfId="9131" xr:uid="{E9054D50-EA8B-4E52-90C0-DB62B9A246B4}"/>
    <cellStyle name="Normal GHG whole table 3 4 2 22" xfId="10076" xr:uid="{C01B3895-9D26-4739-8463-406EDFE6486C}"/>
    <cellStyle name="Normal GHG whole table 3 4 2 23" xfId="12194" xr:uid="{CC47B588-1A56-41EE-9AB8-7BDAFC63C212}"/>
    <cellStyle name="Normal GHG whole table 3 4 2 24" xfId="12667" xr:uid="{197EC3DC-BEE7-4B6A-BDE5-DDD76015F1D0}"/>
    <cellStyle name="Normal GHG whole table 3 4 2 25" xfId="13101" xr:uid="{744C4A0A-2270-409E-8D74-694696F558EC}"/>
    <cellStyle name="Normal GHG whole table 3 4 2 26" xfId="13538" xr:uid="{5DE46432-461E-48A6-A688-455E0006AA4D}"/>
    <cellStyle name="Normal GHG whole table 3 4 2 27" xfId="13898" xr:uid="{1D1B0C37-FDA2-490A-BD94-630D39D33C8F}"/>
    <cellStyle name="Normal GHG whole table 3 4 2 28" xfId="13862" xr:uid="{5A1A1015-EA6A-457A-B9B1-2B74620800BA}"/>
    <cellStyle name="Normal GHG whole table 3 4 2 29" xfId="14390" xr:uid="{C09E8068-4495-4EA6-879E-D5A8B5EE0B1A}"/>
    <cellStyle name="Normal GHG whole table 3 4 2 3" xfId="1764" xr:uid="{1C0FF120-CCAC-4F30-9310-1D0A7786F345}"/>
    <cellStyle name="Normal GHG whole table 3 4 2 30" xfId="14786" xr:uid="{0BEBC89B-25BF-4231-972E-B1BF88AD7579}"/>
    <cellStyle name="Normal GHG whole table 3 4 2 31" xfId="15423" xr:uid="{75F36AED-2A67-439E-8CB2-45FCE4C427AA}"/>
    <cellStyle name="Normal GHG whole table 3 4 2 32" xfId="14720" xr:uid="{F9A8770B-7EE4-4E03-BFF6-9D54A7493A5E}"/>
    <cellStyle name="Normal GHG whole table 3 4 2 33" xfId="16886" xr:uid="{EA9F8B7D-3F8F-4EBA-98BB-B7A9CD443939}"/>
    <cellStyle name="Normal GHG whole table 3 4 2 34" xfId="16524" xr:uid="{B1B7E295-B924-4BA5-A105-BA9965078A60}"/>
    <cellStyle name="Normal GHG whole table 3 4 2 35" xfId="16171" xr:uid="{AD53C997-397E-47FE-9ED5-F7C2F3653168}"/>
    <cellStyle name="Normal GHG whole table 3 4 2 36" xfId="17455" xr:uid="{6E2F8FDE-44E2-4AB4-B14C-686A50D263EA}"/>
    <cellStyle name="Normal GHG whole table 3 4 2 37" xfId="18704" xr:uid="{F8D469FD-0BA9-4597-A6EB-3CADBE48C843}"/>
    <cellStyle name="Normal GHG whole table 3 4 2 38" xfId="18349" xr:uid="{FBEF96B3-B664-400D-B5B7-9EACFEDD3E70}"/>
    <cellStyle name="Normal GHG whole table 3 4 2 39" xfId="19288" xr:uid="{92E29539-740B-4586-91CE-B36363FF46D2}"/>
    <cellStyle name="Normal GHG whole table 3 4 2 4" xfId="2663" xr:uid="{6090D974-3F4E-46FD-B27C-824FFA963474}"/>
    <cellStyle name="Normal GHG whole table 3 4 2 40" xfId="20223" xr:uid="{24F1D7A1-2A34-4138-B646-813540771E5D}"/>
    <cellStyle name="Normal GHG whole table 3 4 2 41" xfId="19860" xr:uid="{B7E5F8AA-4D7C-4EED-B350-568315522AE0}"/>
    <cellStyle name="Normal GHG whole table 3 4 2 42" xfId="20408" xr:uid="{ED7EEF6A-2BE0-4105-A58B-EA03FE8D4779}"/>
    <cellStyle name="Normal GHG whole table 3 4 2 43" xfId="21196" xr:uid="{7C42870C-41AF-4A3C-9092-68BA3E407E32}"/>
    <cellStyle name="Normal GHG whole table 3 4 2 44" xfId="21407" xr:uid="{A6D44FD2-8168-4442-9FD1-FD083718747F}"/>
    <cellStyle name="Normal GHG whole table 3 4 2 45" xfId="20567" xr:uid="{B34F7D4D-F3DC-4BC2-BD2E-296E3E692566}"/>
    <cellStyle name="Normal GHG whole table 3 4 2 46" xfId="22878" xr:uid="{0E452006-5EA0-414E-B63B-5BDC275CC441}"/>
    <cellStyle name="Normal GHG whole table 3 4 2 47" xfId="22424" xr:uid="{E4907A4B-F1E9-4B1A-A336-F3DC957007C8}"/>
    <cellStyle name="Normal GHG whole table 3 4 2 48" xfId="23544" xr:uid="{8B9F7FCF-8164-4DE5-853D-C37A70A46AE2}"/>
    <cellStyle name="Normal GHG whole table 3 4 2 49" xfId="24023" xr:uid="{1561655D-1D08-4CA2-B772-BC3BD0F32C06}"/>
    <cellStyle name="Normal GHG whole table 3 4 2 5" xfId="3066" xr:uid="{24C7231D-C748-4208-A7BD-2FB6942FCCF0}"/>
    <cellStyle name="Normal GHG whole table 3 4 2 50" xfId="24931" xr:uid="{7A55850D-E307-4BC8-A62A-2E5D9B4BEE35}"/>
    <cellStyle name="Normal GHG whole table 3 4 2 51" xfId="24560" xr:uid="{8C1678DF-9EE6-415E-A1F7-59DE818B0915}"/>
    <cellStyle name="Normal GHG whole table 3 4 2 52" xfId="25847" xr:uid="{FA164058-87ED-473C-95A4-6393ACCED074}"/>
    <cellStyle name="Normal GHG whole table 3 4 2 53" xfId="26246" xr:uid="{033CA46B-DD28-48D1-A31F-4C2DD33AAEBD}"/>
    <cellStyle name="Normal GHG whole table 3 4 2 54" xfId="26414" xr:uid="{215A0A71-877A-45BF-83E0-1429E00B77C8}"/>
    <cellStyle name="Normal GHG whole table 3 4 2 55" xfId="27135" xr:uid="{10BC9150-89CA-4484-B8DA-644F25E147BE}"/>
    <cellStyle name="Normal GHG whole table 3 4 2 56" xfId="27554" xr:uid="{7B4904C6-576E-4132-BC58-9AD819003868}"/>
    <cellStyle name="Normal GHG whole table 3 4 2 57" xfId="27799" xr:uid="{F478F5EF-4904-4C90-A434-14CE386D0DED}"/>
    <cellStyle name="Normal GHG whole table 3 4 2 58" xfId="28681" xr:uid="{90C76D82-ECC2-45DB-AB64-23E073DDAC0E}"/>
    <cellStyle name="Normal GHG whole table 3 4 2 59" xfId="29148" xr:uid="{48CF28EB-5007-4D27-8E1C-522C313900E4}"/>
    <cellStyle name="Normal GHG whole table 3 4 2 6" xfId="3654" xr:uid="{46E259CC-F9D7-4A07-A68F-E99EEF51A5D4}"/>
    <cellStyle name="Normal GHG whole table 3 4 2 60" xfId="28010" xr:uid="{F2699565-ABBF-4FDD-97F8-BA45E970119B}"/>
    <cellStyle name="Normal GHG whole table 3 4 2 61" xfId="29937" xr:uid="{F67184E1-7545-458F-8EAD-6924C5EAC8DA}"/>
    <cellStyle name="Normal GHG whole table 3 4 2 62" xfId="30343" xr:uid="{D20E92CC-05E1-44D5-90B4-657F7BAC181E}"/>
    <cellStyle name="Normal GHG whole table 3 4 2 63" xfId="30760" xr:uid="{3165C987-F263-400C-81D4-2BF81FD9292B}"/>
    <cellStyle name="Normal GHG whole table 3 4 2 64" xfId="27923" xr:uid="{69494D31-53C2-4237-9D66-A8C4F07306C7}"/>
    <cellStyle name="Normal GHG whole table 3 4 2 65" xfId="31376" xr:uid="{56CD8138-4295-42D3-B196-5E119705B514}"/>
    <cellStyle name="Normal GHG whole table 3 4 2 66" xfId="32067" xr:uid="{B57957C0-FECC-43B8-871C-D121BD20FBBA}"/>
    <cellStyle name="Normal GHG whole table 3 4 2 67" xfId="32214" xr:uid="{379B6D8C-03C8-4377-8B41-E47FFD2CA883}"/>
    <cellStyle name="Normal GHG whole table 3 4 2 7" xfId="4159" xr:uid="{1EA66413-7722-4719-A4E4-4629FE9BAD06}"/>
    <cellStyle name="Normal GHG whole table 3 4 2 8" xfId="4596" xr:uid="{BC89A483-F764-4863-A56F-661FB15581ED}"/>
    <cellStyle name="Normal GHG whole table 3 4 2 9" xfId="4248" xr:uid="{999D9C84-97F3-4DA9-9173-7D2BD87B1648}"/>
    <cellStyle name="Normal GHG whole table 3 4 20" xfId="9989" xr:uid="{F45D0622-7EF5-45F1-A01F-D59A78F3FFF3}"/>
    <cellStyle name="Normal GHG whole table 3 4 21" xfId="10414" xr:uid="{F6B65A95-73BC-44D8-B1C5-81B4F8D7DA81}"/>
    <cellStyle name="Normal GHG whole table 3 4 22" xfId="10064" xr:uid="{8022C988-9C16-4E25-AEFF-2997BE108EF1}"/>
    <cellStyle name="Normal GHG whole table 3 4 23" xfId="11123" xr:uid="{76CC96C4-1639-4137-9E5B-7D1FB519E951}"/>
    <cellStyle name="Normal GHG whole table 3 4 24" xfId="11979" xr:uid="{5E11AA79-4CB7-4CDE-9444-D604DA9B1FBD}"/>
    <cellStyle name="Normal GHG whole table 3 4 25" xfId="12452" xr:uid="{D31FFC9F-8B79-4A3A-9FEC-8F0D6245C953}"/>
    <cellStyle name="Normal GHG whole table 3 4 26" xfId="12886" xr:uid="{B329D47D-9E96-49BC-B58F-0CC00676A173}"/>
    <cellStyle name="Normal GHG whole table 3 4 27" xfId="13323" xr:uid="{947050C7-EF91-4DA6-A7A6-AF3892CAFAC8}"/>
    <cellStyle name="Normal GHG whole table 3 4 28" xfId="12726" xr:uid="{7621B244-9C78-4530-A065-601E5B7B14C1}"/>
    <cellStyle name="Normal GHG whole table 3 4 29" xfId="14204" xr:uid="{F6CF0CE2-13F2-4A76-AC19-6DE8302FD8B4}"/>
    <cellStyle name="Normal GHG whole table 3 4 3" xfId="1109" xr:uid="{2B4328EE-03AA-46F5-B444-90986CAD5BB4}"/>
    <cellStyle name="Normal GHG whole table 3 4 30" xfId="14599" xr:uid="{5526CF1A-AC4D-4B0C-A566-2D229DAAB43D}"/>
    <cellStyle name="Normal GHG whole table 3 4 31" xfId="15082" xr:uid="{E6DE8E40-23AF-4030-89F3-2B5024416D43}"/>
    <cellStyle name="Normal GHG whole table 3 4 32" xfId="14954" xr:uid="{630EED3B-9954-4922-9870-16271F034ADF}"/>
    <cellStyle name="Normal GHG whole table 3 4 33" xfId="15845" xr:uid="{DAD585C1-38B5-4FC8-A44F-DA435294D718}"/>
    <cellStyle name="Normal GHG whole table 3 4 34" xfId="16671" xr:uid="{D45338A2-84C4-4C60-95AB-7254A311CE5B}"/>
    <cellStyle name="Normal GHG whole table 3 4 35" xfId="17105" xr:uid="{E0B3E2D0-73F8-4107-8556-5BD76FF170B7}"/>
    <cellStyle name="Normal GHG whole table 3 4 36" xfId="17552" xr:uid="{907A5BD4-B4B3-4425-8F8E-92CBF747D0B7}"/>
    <cellStyle name="Normal GHG whole table 3 4 37" xfId="16054" xr:uid="{290CBE80-0895-4C59-B52C-4F088FC82FD8}"/>
    <cellStyle name="Normal GHG whole table 3 4 38" xfId="18489" xr:uid="{1EDFB7FC-35DA-4415-A3DC-13E02D58FA86}"/>
    <cellStyle name="Normal GHG whole table 3 4 39" xfId="18032" xr:uid="{A195BDE6-2B11-4A52-A20A-86843DF16375}"/>
    <cellStyle name="Normal GHG whole table 3 4 4" xfId="1410" xr:uid="{8435E13A-F676-48FA-ADF4-33E7848AB0DB}"/>
    <cellStyle name="Normal GHG whole table 3 4 40" xfId="17450" xr:uid="{D77ADE88-6B47-436F-8B55-04202B55AD80}"/>
    <cellStyle name="Normal GHG whole table 3 4 41" xfId="20008" xr:uid="{52B3DBE9-B968-4059-B01E-ACEC2B018D50}"/>
    <cellStyle name="Normal GHG whole table 3 4 42" xfId="20458" xr:uid="{68E5F1DA-A4B9-4D1D-8D2C-240E8525A392}"/>
    <cellStyle name="Normal GHG whole table 3 4 43" xfId="20911" xr:uid="{C2E339CF-9F8B-4731-8CAD-A0790B0F33BC}"/>
    <cellStyle name="Normal GHG whole table 3 4 44" xfId="20877" xr:uid="{B6F1F24F-0351-4C6E-A41F-94BBC14F0DEC}"/>
    <cellStyle name="Normal GHG whole table 3 4 45" xfId="21840" xr:uid="{941303F4-DCD8-435E-BEAF-7BA67C6355DD}"/>
    <cellStyle name="Normal GHG whole table 3 4 46" xfId="22277" xr:uid="{965B7A1C-207E-42B0-9A8E-158A433F8D76}"/>
    <cellStyle name="Normal GHG whole table 3 4 47" xfId="20414" xr:uid="{A7A59435-31A9-4FA2-B1E4-8BE1635E3656}"/>
    <cellStyle name="Normal GHG whole table 3 4 48" xfId="22263" xr:uid="{60974FC4-453A-4D0F-B2D5-CDCD6DECE69B}"/>
    <cellStyle name="Normal GHG whole table 3 4 49" xfId="22923" xr:uid="{FFC13A95-A638-4481-A8BC-5745C159CFF7}"/>
    <cellStyle name="Normal GHG whole table 3 4 5" xfId="2448" xr:uid="{5D7EA836-4761-4558-82FC-BF76D95940C9}"/>
    <cellStyle name="Normal GHG whole table 3 4 50" xfId="23817" xr:uid="{47005E23-CEDB-42CE-BD7C-F31B0588D267}"/>
    <cellStyle name="Normal GHG whole table 3 4 51" xfId="24716" xr:uid="{8363C87C-F9B7-4D4B-9F6F-4A4922F0205A}"/>
    <cellStyle name="Normal GHG whole table 3 4 52" xfId="25166" xr:uid="{5AB5E72D-14D2-4F52-9E5A-9968BF217C46}"/>
    <cellStyle name="Normal GHG whole table 3 4 53" xfId="25634" xr:uid="{7B98F02B-933D-4A1F-B863-1550B5295C25}"/>
    <cellStyle name="Normal GHG whole table 3 4 54" xfId="25003" xr:uid="{10063126-BBFA-4B9E-8D02-4F910D87A912}"/>
    <cellStyle name="Normal GHG whole table 3 4 55" xfId="24584" xr:uid="{28675279-DF9F-4909-A892-2E1E9B7033E9}"/>
    <cellStyle name="Normal GHG whole table 3 4 56" xfId="26924" xr:uid="{3356C097-6FD9-42E4-A1D1-555DC07352DD}"/>
    <cellStyle name="Normal GHG whole table 3 4 57" xfId="27343" xr:uid="{EB93E0CB-501F-4BA8-B697-E82B79A17E64}"/>
    <cellStyle name="Normal GHG whole table 3 4 58" xfId="27665" xr:uid="{69FDB7CE-6B5F-4F3A-8796-2C3092A59CC1}"/>
    <cellStyle name="Normal GHG whole table 3 4 59" xfId="28466" xr:uid="{8747A30B-6A81-4CFD-B4EF-5A25F2213468}"/>
    <cellStyle name="Normal GHG whole table 3 4 6" xfId="2516" xr:uid="{2632E864-412B-4B40-9362-AB8CA334601E}"/>
    <cellStyle name="Normal GHG whole table 3 4 60" xfId="28934" xr:uid="{1DDF1AFE-87AC-457C-A70F-B9620C040EFB}"/>
    <cellStyle name="Normal GHG whole table 3 4 61" xfId="29313" xr:uid="{32B50249-E113-4139-B491-4118938C2A84}"/>
    <cellStyle name="Normal GHG whole table 3 4 62" xfId="29724" xr:uid="{9AE00C0C-5BC5-4724-BF9F-8C7AE2917C9C}"/>
    <cellStyle name="Normal GHG whole table 3 4 63" xfId="30132" xr:uid="{DEC00386-5745-4F42-9245-5A70F99CBB20}"/>
    <cellStyle name="Normal GHG whole table 3 4 64" xfId="30546" xr:uid="{531F7469-7527-4F6B-BB14-1CE0EF3397D9}"/>
    <cellStyle name="Normal GHG whole table 3 4 65" xfId="30863" xr:uid="{1A2E099D-FCAE-40BF-8561-7516A43C23D4}"/>
    <cellStyle name="Normal GHG whole table 3 4 66" xfId="31170" xr:uid="{6B870EAD-7435-4195-ADD5-21ADEF56DD0F}"/>
    <cellStyle name="Normal GHG whole table 3 4 67" xfId="31856" xr:uid="{69940013-3EE8-42F1-8FEC-E52764AD4E2A}"/>
    <cellStyle name="Normal GHG whole table 3 4 68" xfId="32363" xr:uid="{E8E04DAB-250D-4C99-A081-8761E1D24A95}"/>
    <cellStyle name="Normal GHG whole table 3 4 7" xfId="2258" xr:uid="{7C98643C-B432-40CD-BC85-204C4AC9FFED}"/>
    <cellStyle name="Normal GHG whole table 3 4 8" xfId="3944" xr:uid="{8AB422DD-8F93-49C6-9EE1-2C1FAF6DD2E4}"/>
    <cellStyle name="Normal GHG whole table 3 4 9" xfId="4382" xr:uid="{82282249-7C0A-4F08-B33E-F6C36629747F}"/>
    <cellStyle name="Normal GHG whole table 3 40" xfId="18222" xr:uid="{2DC8F104-8BEF-44E7-A0A9-8464C7337DA1}"/>
    <cellStyle name="Normal GHG whole table 3 41" xfId="18140" xr:uid="{100A2462-4198-4A0E-9388-A959E1A0B642}"/>
    <cellStyle name="Normal GHG whole table 3 42" xfId="18346" xr:uid="{268121A4-D06C-4F86-ABE8-E80DD6B9EDBC}"/>
    <cellStyle name="Normal GHG whole table 3 43" xfId="19665" xr:uid="{F4A7CF5F-99B0-4050-8A9D-91D9AC499045}"/>
    <cellStyle name="Normal GHG whole table 3 44" xfId="19576" xr:uid="{3DB98567-C46F-41A5-9CE5-8023612C9BF9}"/>
    <cellStyle name="Normal GHG whole table 3 45" xfId="20400" xr:uid="{4B972C2B-63FD-413F-9F11-58347591772E}"/>
    <cellStyle name="Normal GHG whole table 3 46" xfId="20778" xr:uid="{8CE12828-AD6F-4557-BFCE-435095590967}"/>
    <cellStyle name="Normal GHG whole table 3 47" xfId="21544" xr:uid="{0FF78D8E-5F2D-493F-89E5-0BEB5637B16D}"/>
    <cellStyle name="Normal GHG whole table 3 48" xfId="21862" xr:uid="{51A57AD7-3877-40D1-A54F-FDB31047636D}"/>
    <cellStyle name="Normal GHG whole table 3 49" xfId="22499" xr:uid="{1064F450-3FAA-4E04-84C9-95FB5E3EAF63}"/>
    <cellStyle name="Normal GHG whole table 3 5" xfId="956" xr:uid="{A8E5C2A9-8689-4450-AE60-1B82E84F1747}"/>
    <cellStyle name="Normal GHG whole table 3 50" xfId="21665" xr:uid="{892BE10B-FBC8-4EFE-8172-11A7D6BFF789}"/>
    <cellStyle name="Normal GHG whole table 3 51" xfId="23137" xr:uid="{D159360D-F9CE-4CD8-866D-6BCD000E7562}"/>
    <cellStyle name="Normal GHG whole table 3 52" xfId="23553" xr:uid="{11FEE14C-9EEB-4C93-A690-489EDE421558}"/>
    <cellStyle name="Normal GHG whole table 3 53" xfId="24385" xr:uid="{2130AFA5-B3D6-4BFB-9B40-B7C6A8764B7F}"/>
    <cellStyle name="Normal GHG whole table 3 54" xfId="25022" xr:uid="{BCE92360-4AF3-4020-B37A-AD9FA4C2B8DC}"/>
    <cellStyle name="Normal GHG whole table 3 55" xfId="24325" xr:uid="{946275E8-AA8F-4E12-978C-524B2E524CC2}"/>
    <cellStyle name="Normal GHG whole table 3 56" xfId="26080" xr:uid="{87A34EC2-7068-488B-8FF9-6D9BBEB6960B}"/>
    <cellStyle name="Normal GHG whole table 3 57" xfId="26528" xr:uid="{1D391035-C6C7-45D7-B120-5C9457394E9C}"/>
    <cellStyle name="Normal GHG whole table 3 58" xfId="26228" xr:uid="{BF508258-0674-4770-A124-6B2DD9629143}"/>
    <cellStyle name="Normal GHG whole table 3 59" xfId="26704" xr:uid="{EFF81AC3-BE4B-48E9-83BA-633AE240BAD7}"/>
    <cellStyle name="Normal GHG whole table 3 6" xfId="1548" xr:uid="{28EDBE02-1E15-4255-BE04-217B69B91E14}"/>
    <cellStyle name="Normal GHG whole table 3 60" xfId="26769" xr:uid="{25F484D0-5A55-4FE9-9881-04748B846BB1}"/>
    <cellStyle name="Normal GHG whole table 3 61" xfId="28156" xr:uid="{C24EFA07-ADAF-412B-AD36-CD63052E59D9}"/>
    <cellStyle name="Normal GHG whole table 3 62" xfId="28264" xr:uid="{FA4D78CB-0812-4D27-8226-EFEEA34F0AB9}"/>
    <cellStyle name="Normal GHG whole table 3 63" xfId="29001" xr:uid="{8FAC8C11-9A5F-4B46-AF7D-D441AFA6615F}"/>
    <cellStyle name="Normal GHG whole table 3 64" xfId="29294" xr:uid="{1D5B0166-D43F-4960-BA34-34C98392014A}"/>
    <cellStyle name="Normal GHG whole table 3 65" xfId="29438" xr:uid="{EBE8350A-3E2A-4EE1-AAF3-FA225E6F219B}"/>
    <cellStyle name="Normal GHG whole table 3 66" xfId="28241" xr:uid="{C05897FD-3BC5-4C14-8B76-7F3AA4EF0C62}"/>
    <cellStyle name="Normal GHG whole table 3 67" xfId="30005" xr:uid="{31493651-3582-45A0-B685-11EB2793FDAD}"/>
    <cellStyle name="Normal GHG whole table 3 68" xfId="30001" xr:uid="{4ADB2D98-9636-49C4-8269-C95A9EEA1E01}"/>
    <cellStyle name="Normal GHG whole table 3 69" xfId="31608" xr:uid="{F7CB15FA-F222-43AC-8629-70B6B3A3BFCB}"/>
    <cellStyle name="Normal GHG whole table 3 7" xfId="2105" xr:uid="{5606180F-290A-4132-9338-0C264639DD9A}"/>
    <cellStyle name="Normal GHG whole table 3 70" xfId="31524" xr:uid="{57682098-D385-48A2-861B-A42FD85913B5}"/>
    <cellStyle name="Normal GHG whole table 3 8" xfId="2266" xr:uid="{842D14B2-F622-4D4D-949D-F32C92C73A56}"/>
    <cellStyle name="Normal GHG whole table 3 9" xfId="3268" xr:uid="{E1E2BFD4-0C91-40AF-83B0-0850BA9DAC39}"/>
    <cellStyle name="Normal GHG whole table 4" xfId="68" xr:uid="{BE712C6F-3DA0-4E15-8A6E-D3FFF50D58B9}"/>
    <cellStyle name="Normal GHG whole table 4 10" xfId="16120" xr:uid="{3C64C5C9-2C8A-4F21-805E-2B796835D933}"/>
    <cellStyle name="Normal GHG whole table 4 11" xfId="19094" xr:uid="{D03ADE32-0922-4373-8051-3DB9D73C4FB6}"/>
    <cellStyle name="Normal GHG whole table 4 12" xfId="19453" xr:uid="{41914856-484E-41EA-B91C-A0BA6F70A57B}"/>
    <cellStyle name="Normal GHG whole table 4 13" xfId="21304" xr:uid="{4DC72CD9-A9EE-493B-BA5F-959FF6C9A636}"/>
    <cellStyle name="Normal GHG whole table 4 14" xfId="24174" xr:uid="{7EA3A404-FA03-4941-A2DD-75F5179468A6}"/>
    <cellStyle name="Normal GHG whole table 4 15" xfId="25190" xr:uid="{BADF3692-910E-4137-9888-FE627BBBD495}"/>
    <cellStyle name="Normal GHG whole table 4 16" xfId="27967" xr:uid="{A5919C9C-20AA-4978-9F61-2E3D5DA4ADC8}"/>
    <cellStyle name="Normal GHG whole table 4 17" xfId="31482" xr:uid="{3A2F1DEF-E70E-4C25-B074-61662CCF76B9}"/>
    <cellStyle name="Normal GHG whole table 4 2" xfId="915" xr:uid="{E2618F50-3908-49CF-A3BE-DBD5E7A7BBDF}"/>
    <cellStyle name="Normal GHG whole table 4 3" xfId="1897" xr:uid="{523CE841-B5C2-44D3-A1B5-6A7E756EC262}"/>
    <cellStyle name="Normal GHG whole table 4 4" xfId="2078" xr:uid="{29893556-5559-41AF-A712-A9AE998B3ACD}"/>
    <cellStyle name="Normal GHG whole table 4 5" xfId="3553" xr:uid="{1547F561-35C8-4021-AEB7-6AED793B1329}"/>
    <cellStyle name="Normal GHG whole table 4 6" xfId="6809" xr:uid="{22AD46CB-73ED-4C09-BE34-07E4E48F2B1E}"/>
    <cellStyle name="Normal GHG whole table 4 7" xfId="7414" xr:uid="{717FC8CD-0A4A-4FF4-A3E3-7FD655582876}"/>
    <cellStyle name="Normal GHG whole table 4 8" xfId="9023" xr:uid="{F7D7211E-1058-41E1-BFC0-488BAF7C25DE}"/>
    <cellStyle name="Normal GHG whole table 4 9" xfId="11428" xr:uid="{12D6A80E-5E96-49AC-BF60-DE619E82E750}"/>
    <cellStyle name="Normal GHG-Shade" xfId="12" xr:uid="{9C347DC4-E227-43ED-A8FC-C40C7F49A76A}"/>
    <cellStyle name="Normal GHG-Shade 2" xfId="165" xr:uid="{1BB8E97C-8A71-4A47-BCE5-4E3487476C59}"/>
    <cellStyle name="Normal GHG-Shade 2 2" xfId="166" xr:uid="{802657D4-6DE8-4CEF-BA46-8F3FD43BA75F}"/>
    <cellStyle name="Normal GHG-Shade 2 3" xfId="167" xr:uid="{F83FBB6B-E295-4A10-946E-78E60918AA54}"/>
    <cellStyle name="Normal GHG-Shade 2 4" xfId="197" xr:uid="{309EAA9C-7386-4D06-B6B9-9AEB2C1DEE2B}"/>
    <cellStyle name="Normal GHG-Shade 2 5" xfId="362" xr:uid="{F77A3EEA-D632-47D7-96FC-7FCCDE5C8D53}"/>
    <cellStyle name="Normal GHG-Shade 3" xfId="168" xr:uid="{A06D4B20-72E6-4FD7-8140-721E83CF0C5F}"/>
    <cellStyle name="Normal GHG-Shade 3 2" xfId="169" xr:uid="{9C431CBE-F921-489D-8806-38F986D38394}"/>
    <cellStyle name="Normal GHG-Shade 4" xfId="170" xr:uid="{880685C4-7511-4F95-A96B-01030177BD3B}"/>
    <cellStyle name="Normal GHG-Shade 4 2" xfId="433" xr:uid="{17A41F1D-52A8-4677-A05A-30D819EA2CDE}"/>
    <cellStyle name="Normal GHG-Shade 4 2 2" xfId="2255" xr:uid="{2EB77509-28CD-4BC6-8CFB-DC1361F2C34A}"/>
    <cellStyle name="Normal GHG-Shade 4 3" xfId="1997" xr:uid="{BB20449E-2B5B-4104-8D0F-C39ABFA21521}"/>
    <cellStyle name="Normál_Munka1" xfId="27" xr:uid="{CA219102-694E-4E9D-AA9F-5FC0E0ED51B6}"/>
    <cellStyle name="Note 2" xfId="171" xr:uid="{4F677811-544C-43A9-BA85-0E77EFA3BBC9}"/>
    <cellStyle name="Note 2 10" xfId="3394" xr:uid="{5A183D3D-6FA6-46AF-84E8-DBA6F642DDCE}"/>
    <cellStyle name="Note 2 11" xfId="3436" xr:uid="{A79B9176-0438-4420-A584-7065178F3C41}"/>
    <cellStyle name="Note 2 12" xfId="3042" xr:uid="{0352E0EA-AE54-4880-9911-7A5212ABA244}"/>
    <cellStyle name="Note 2 13" xfId="4685" xr:uid="{12F524E8-7FCB-494A-9367-873810B18AD1}"/>
    <cellStyle name="Note 2 14" xfId="3364" xr:uid="{E84AE43D-1249-4232-852D-C3B038B766A7}"/>
    <cellStyle name="Note 2 15" xfId="5737" xr:uid="{308E8E1E-1AE1-43C6-803C-1DC1A286BC07}"/>
    <cellStyle name="Note 2 16" xfId="6309" xr:uid="{DFFB66CF-C9D4-4611-BD8F-24CA3DD5E9DE}"/>
    <cellStyle name="Note 2 17" xfId="6592" xr:uid="{DB7D4EFF-D924-477B-B46A-D1D881AC5789}"/>
    <cellStyle name="Note 2 18" xfId="6905" xr:uid="{2DD0401E-B960-48B1-97CF-31F689F598BF}"/>
    <cellStyle name="Note 2 19" xfId="7683" xr:uid="{CF1625F0-7CBF-4230-BDE8-14EAF31D6102}"/>
    <cellStyle name="Note 2 2" xfId="561" xr:uid="{2912601A-AF7D-4115-AFF9-837C14631A90}"/>
    <cellStyle name="Note 2 2 10" xfId="3386" xr:uid="{CC4298D5-6C17-45A8-BBDD-43083101C21B}"/>
    <cellStyle name="Note 2 2 11" xfId="5209" xr:uid="{8F254317-5EF8-44DD-ABBD-FADD83CF6FC3}"/>
    <cellStyle name="Note 2 2 12" xfId="2947" xr:uid="{846CCDD1-6E91-49A3-A192-C54F8A397C43}"/>
    <cellStyle name="Note 2 2 13" xfId="4011" xr:uid="{26B32322-3CC8-4F12-8E0C-D10FED41302D}"/>
    <cellStyle name="Note 2 2 14" xfId="6400" xr:uid="{226D5D51-C02D-460C-BA63-3A22E8D879DA}"/>
    <cellStyle name="Note 2 2 15" xfId="7281" xr:uid="{D385CC65-57AA-4492-AAC1-2C3A837B030F}"/>
    <cellStyle name="Note 2 2 16" xfId="7797" xr:uid="{E0D660AF-4A97-4121-8AC1-57DAE5DF3558}"/>
    <cellStyle name="Note 2 2 17" xfId="8557" xr:uid="{C2E17BDD-7543-4447-B64B-A3B35AACD1EB}"/>
    <cellStyle name="Note 2 2 18" xfId="8688" xr:uid="{D84F2109-3CDD-4DB1-A126-F5013279586F}"/>
    <cellStyle name="Note 2 2 19" xfId="9495" xr:uid="{67A66377-1D91-403D-9591-6DCF7DC8404B}"/>
    <cellStyle name="Note 2 2 2" xfId="776" xr:uid="{6C75410A-874D-438A-AAF6-E28397F04B1A}"/>
    <cellStyle name="Note 2 2 2 10" xfId="5424" xr:uid="{1112DA51-6E75-45A2-B2A7-E1AA7BCBCC9D}"/>
    <cellStyle name="Note 2 2 2 11" xfId="5684" xr:uid="{DCAAE6EF-FD5A-4565-9F42-BDC2E3340851}"/>
    <cellStyle name="Note 2 2 2 12" xfId="5980" xr:uid="{5C3A554F-DA55-49C1-AD0C-F5EAE8E3FDF0}"/>
    <cellStyle name="Note 2 2 2 13" xfId="6483" xr:uid="{F80DBCB3-AD23-4667-AEFA-AC36561706BD}"/>
    <cellStyle name="Note 2 2 2 14" xfId="7496" xr:uid="{F4BC5A9F-612A-486A-87EB-C7EF91061B14}"/>
    <cellStyle name="Note 2 2 2 15" xfId="7200" xr:uid="{68CC3833-3B09-463F-9652-5FEE8EE2F6B2}"/>
    <cellStyle name="Note 2 2 2 16" xfId="7928" xr:uid="{8E6E33FA-8FD0-48D7-9F97-A1D811858354}"/>
    <cellStyle name="Note 2 2 2 17" xfId="8709" xr:uid="{BD0854C7-19E5-4799-9333-AFC1C9D9200B}"/>
    <cellStyle name="Note 2 2 2 18" xfId="9710" xr:uid="{5E2F5414-328D-4A9B-9AC8-073840CF4EEE}"/>
    <cellStyle name="Note 2 2 2 19" xfId="9413" xr:uid="{04109834-1052-41C4-87E2-2A84560FA2FF}"/>
    <cellStyle name="Note 2 2 2 2" xfId="1250" xr:uid="{4238F8B7-2658-413C-82EB-3A83663A5641}"/>
    <cellStyle name="Note 2 2 2 20" xfId="9313" xr:uid="{2A60D096-4750-4F14-8990-2F90ED83CE19}"/>
    <cellStyle name="Note 2 2 2 21" xfId="10431" xr:uid="{5B883ADF-3327-4A37-817B-05CD0A9012BB}"/>
    <cellStyle name="Note 2 2 2 22" xfId="11249" xr:uid="{730C4D1A-62E9-4083-AA0B-232737525690}"/>
    <cellStyle name="Note 2 2 2 23" xfId="12129" xr:uid="{78833D59-7DDF-41C6-BDB8-9460A39D87AA}"/>
    <cellStyle name="Note 2 2 2 24" xfId="12602" xr:uid="{8C9985D8-E15D-4AEC-ADF4-EAF9DB106406}"/>
    <cellStyle name="Note 2 2 2 25" xfId="13036" xr:uid="{7D8D3657-DFD8-4E60-AF3B-711F012322C7}"/>
    <cellStyle name="Note 2 2 2 26" xfId="13473" xr:uid="{F9633AD0-A507-4D6C-AEF2-5D8A773ACBD5}"/>
    <cellStyle name="Note 2 2 2 27" xfId="11662" xr:uid="{87B51E27-880E-4018-9663-C27190D60BA0}"/>
    <cellStyle name="Note 2 2 2 28" xfId="13840" xr:uid="{1163ED4E-7B7A-46B4-9238-6AE4528BBCD2}"/>
    <cellStyle name="Note 2 2 2 29" xfId="14339" xr:uid="{734C6179-4186-4242-B856-7928846D4044}"/>
    <cellStyle name="Note 2 2 2 3" xfId="1482" xr:uid="{A5C08BA5-64FB-4955-9D3D-AF5669DF72A0}"/>
    <cellStyle name="Note 2 2 2 30" xfId="14949" xr:uid="{1ED62FA9-82FD-4C51-9829-52A2032AFAFE}"/>
    <cellStyle name="Note 2 2 2 31" xfId="15661" xr:uid="{ECE1B98F-C829-4A1B-BBDE-4CACEDD09ED1}"/>
    <cellStyle name="Note 2 2 2 32" xfId="15433" xr:uid="{4CD89061-17A0-4F8F-8340-93F0DF31A8B3}"/>
    <cellStyle name="Note 2 2 2 33" xfId="16821" xr:uid="{3384F7D9-371F-4884-AF8F-4B81C9080DC6}"/>
    <cellStyle name="Note 2 2 2 34" xfId="16522" xr:uid="{6DF4A540-06A9-4244-9B72-36E5935E1668}"/>
    <cellStyle name="Note 2 2 2 35" xfId="16073" xr:uid="{CCE3F3CC-B4A3-4250-AE62-9B598D7AE357}"/>
    <cellStyle name="Note 2 2 2 36" xfId="17048" xr:uid="{ECE19F53-29E4-48BC-8A67-2FE50D5DF98A}"/>
    <cellStyle name="Note 2 2 2 37" xfId="18639" xr:uid="{52A22331-2E26-43BA-800C-80F8538525E1}"/>
    <cellStyle name="Note 2 2 2 38" xfId="18790" xr:uid="{DBA9E10F-669F-4CF2-ACA2-293F7681BF35}"/>
    <cellStyle name="Note 2 2 2 39" xfId="18236" xr:uid="{23F7E712-F320-4E99-8813-16D2AC3C4FFF}"/>
    <cellStyle name="Note 2 2 2 4" xfId="2598" xr:uid="{C642FB55-6729-4341-BA29-39F813B856A1}"/>
    <cellStyle name="Note 2 2 2 40" xfId="20158" xr:uid="{3EB978FB-F47D-4E8C-9CD9-94FA65011502}"/>
    <cellStyle name="Note 2 2 2 41" xfId="19858" xr:uid="{D874565F-32E2-4BE5-9B91-59DFA5BAB900}"/>
    <cellStyle name="Note 2 2 2 42" xfId="20530" xr:uid="{34C3D3C8-BF56-4D21-ABB8-9477F3620C71}"/>
    <cellStyle name="Note 2 2 2 43" xfId="20387" xr:uid="{8AAE37B5-8BB8-4492-A6E5-3625ADFC6F8C}"/>
    <cellStyle name="Note 2 2 2 44" xfId="19445" xr:uid="{B249AED5-08CE-4FD8-BBE5-AAA2D4C93EB8}"/>
    <cellStyle name="Note 2 2 2 45" xfId="21806" xr:uid="{2A844ED6-19C6-44B5-8CEA-B2E9A6FD59D0}"/>
    <cellStyle name="Note 2 2 2 46" xfId="21278" xr:uid="{DEBAE9B1-551D-4D2A-9F33-10105870D927}"/>
    <cellStyle name="Note 2 2 2 47" xfId="23062" xr:uid="{88411D31-2457-4879-BFC7-4483197DEC98}"/>
    <cellStyle name="Note 2 2 2 48" xfId="23080" xr:uid="{2D48E994-DEF5-4555-AE50-43A3959C597E}"/>
    <cellStyle name="Note 2 2 2 49" xfId="23958" xr:uid="{08464201-7605-4923-A720-09A70482979E}"/>
    <cellStyle name="Note 2 2 2 5" xfId="2021" xr:uid="{C2FC7EEF-E805-4C4F-95B0-24E2C72152BF}"/>
    <cellStyle name="Note 2 2 2 50" xfId="24866" xr:uid="{208683C5-C6E1-467C-98E0-07FA10C52EF2}"/>
    <cellStyle name="Note 2 2 2 51" xfId="24428" xr:uid="{674EF3E7-FAF2-467C-B251-BEBD429DF61E}"/>
    <cellStyle name="Note 2 2 2 52" xfId="25782" xr:uid="{92FA6916-ECB8-4A07-A682-70E7EAA482EF}"/>
    <cellStyle name="Note 2 2 2 53" xfId="24102" xr:uid="{2F70D95A-2F77-46E2-8DED-51E2BB70F69A}"/>
    <cellStyle name="Note 2 2 2 54" xfId="26510" xr:uid="{E2713BB4-51B6-4F4B-8A3D-6052A0422594}"/>
    <cellStyle name="Note 2 2 2 55" xfId="27070" xr:uid="{322E7734-2B42-4057-ABDC-2ADC49B3421D}"/>
    <cellStyle name="Note 2 2 2 56" xfId="27489" xr:uid="{63A8AA27-F456-48BE-90FA-D23B9DA29CBC}"/>
    <cellStyle name="Note 2 2 2 57" xfId="27204" xr:uid="{F9B46150-9062-4EED-995A-B44F739331D2}"/>
    <cellStyle name="Note 2 2 2 58" xfId="28616" xr:uid="{E8BDFCE7-7545-4BBA-B03C-7A1A762974BE}"/>
    <cellStyle name="Note 2 2 2 59" xfId="29083" xr:uid="{EAFABD84-2144-467D-9E3F-E26EED9ABB7A}"/>
    <cellStyle name="Note 2 2 2 6" xfId="3023" xr:uid="{1F584043-FD21-4222-A099-5E5378938CEC}"/>
    <cellStyle name="Note 2 2 2 60" xfId="28096" xr:uid="{A9F3A6A3-C678-495A-906D-440EE6B01A7B}"/>
    <cellStyle name="Note 2 2 2 61" xfId="29872" xr:uid="{885C132F-1BD8-43DA-8AAB-16840E2F3262}"/>
    <cellStyle name="Note 2 2 2 62" xfId="30278" xr:uid="{6C50F64D-BA01-4E61-BC09-AFE684F8C3FC}"/>
    <cellStyle name="Note 2 2 2 63" xfId="30695" xr:uid="{E508394D-7036-45F7-A8FC-ED21E6236C0C}"/>
    <cellStyle name="Note 2 2 2 64" xfId="29587" xr:uid="{6FC18CDB-F9D9-4F6E-9B62-FB4769036FBF}"/>
    <cellStyle name="Note 2 2 2 65" xfId="31311" xr:uid="{C24617D5-673A-4C8E-BA06-14F2927FE2EB}"/>
    <cellStyle name="Note 2 2 2 66" xfId="32002" xr:uid="{94C5BDDE-DEA4-4E99-B58D-24AE2C1F8373}"/>
    <cellStyle name="Note 2 2 2 67" xfId="32160" xr:uid="{0F755F24-2851-4429-A1B9-4969CD3057D5}"/>
    <cellStyle name="Note 2 2 2 7" xfId="4094" xr:uid="{E7E8ADAC-2879-484A-ACBB-EE526DFCA3D7}"/>
    <cellStyle name="Note 2 2 2 8" xfId="4531" xr:uid="{77684C3A-4679-42EA-85B4-1EC93DDB6ECE}"/>
    <cellStyle name="Note 2 2 2 9" xfId="1861" xr:uid="{158F7067-CE17-4761-9D16-DB042DDAA92C}"/>
    <cellStyle name="Note 2 2 20" xfId="10012" xr:uid="{26E78F3C-F48A-4D07-897E-0B6C6BFE297B}"/>
    <cellStyle name="Note 2 2 21" xfId="10435" xr:uid="{DC579B82-729C-47B1-A895-704A46F2158D}"/>
    <cellStyle name="Note 2 2 22" xfId="10166" xr:uid="{55724691-E3F3-4AB4-9ED4-2B3ABBB11163}"/>
    <cellStyle name="Note 2 2 23" xfId="10725" xr:uid="{F8CEBB42-BDE4-4A74-B930-87E0D33B03E3}"/>
    <cellStyle name="Note 2 2 24" xfId="11914" xr:uid="{56511E89-7A0C-4493-8657-F06C5C6D6A76}"/>
    <cellStyle name="Note 2 2 25" xfId="12387" xr:uid="{1B1A40FF-7111-4697-A20D-B31905F4C5B9}"/>
    <cellStyle name="Note 2 2 26" xfId="12821" xr:uid="{D893B39C-CCBE-41B7-9C37-E7DFF9E3C064}"/>
    <cellStyle name="Note 2 2 27" xfId="13258" xr:uid="{639622BA-D744-4B21-9986-362403BB6F90}"/>
    <cellStyle name="Note 2 2 28" xfId="12290" xr:uid="{691F743A-A0ED-4530-9DCC-9577AC050AA9}"/>
    <cellStyle name="Note 2 2 29" xfId="14034" xr:uid="{32A794A4-45B6-4140-83BE-54D859DCEF99}"/>
    <cellStyle name="Note 2 2 3" xfId="1044" xr:uid="{B8592CF2-22F3-482A-9405-B9CF6BE0C0E1}"/>
    <cellStyle name="Note 2 2 30" xfId="14744" xr:uid="{37537505-1048-4E7F-90E1-EEEEC9D87108}"/>
    <cellStyle name="Note 2 2 31" xfId="14973" xr:uid="{564F55FE-1D23-4306-A901-4381D326A68C}"/>
    <cellStyle name="Note 2 2 32" xfId="15187" xr:uid="{410D84E0-B174-4674-A50D-CD894D84B63B}"/>
    <cellStyle name="Note 2 2 33" xfId="15861" xr:uid="{AA0F2FFE-897E-492F-83C7-85C1C915830B}"/>
    <cellStyle name="Note 2 2 34" xfId="16606" xr:uid="{226DB58D-7935-4DC0-AD51-27D7D6A36BD4}"/>
    <cellStyle name="Note 2 2 35" xfId="17128" xr:uid="{704FBE74-CA63-46E6-BD5F-33C5F60BED97}"/>
    <cellStyle name="Note 2 2 36" xfId="17575" xr:uid="{0DFDEB93-EDCB-4154-BCBF-DE52234FBDB9}"/>
    <cellStyle name="Note 2 2 37" xfId="18193" xr:uid="{C4A0E511-8944-4EF6-8282-5B6A7DA9F179}"/>
    <cellStyle name="Note 2 2 38" xfId="18424" xr:uid="{FCA6320E-6F9A-417F-92AD-685E6FDDCFDA}"/>
    <cellStyle name="Note 2 2 39" xfId="18757" xr:uid="{91384EAE-6FF6-4D1D-8049-EA79D5E8E010}"/>
    <cellStyle name="Note 2 2 4" xfId="1743" xr:uid="{CA207089-0EDD-4149-862C-A96EE227CCB5}"/>
    <cellStyle name="Note 2 2 40" xfId="18800" xr:uid="{419FD044-B442-4104-B32F-73F32974F5D4}"/>
    <cellStyle name="Note 2 2 41" xfId="19943" xr:uid="{C131361B-4233-419B-B2B9-D5AFF3EAAE3B}"/>
    <cellStyle name="Note 2 2 42" xfId="20481" xr:uid="{34A92534-4350-4104-975D-47485D5EFB30}"/>
    <cellStyle name="Note 2 2 43" xfId="20934" xr:uid="{5EFEA927-722B-4C4D-ABDB-3042CADEB73E}"/>
    <cellStyle name="Note 2 2 44" xfId="20805" xr:uid="{9BCC8CED-7FB1-403C-9F68-A194BF65B1F1}"/>
    <cellStyle name="Note 2 2 45" xfId="21863" xr:uid="{2B604910-7716-4634-B2A8-D4D305ED0CC3}"/>
    <cellStyle name="Note 2 2 46" xfId="22300" xr:uid="{FFCAEDEB-D7AA-48D8-B0A2-F30EFB7FE349}"/>
    <cellStyle name="Note 2 2 47" xfId="22160" xr:uid="{79D4E7F9-2A1D-4AAD-9308-2AB00295CBB8}"/>
    <cellStyle name="Note 2 2 48" xfId="22676" xr:uid="{600F7DAF-3B7E-4783-AAC5-0A8600FB9948}"/>
    <cellStyle name="Note 2 2 49" xfId="23277" xr:uid="{D0DC126C-B8CE-4F26-AA9B-94F4C1D0C45D}"/>
    <cellStyle name="Note 2 2 5" xfId="2383" xr:uid="{6A9747AD-AF99-4F66-A592-87B3255BC46E}"/>
    <cellStyle name="Note 2 2 50" xfId="23752" xr:uid="{BC977E50-4245-4CB7-9C03-824D2A9855F3}"/>
    <cellStyle name="Note 2 2 51" xfId="24651" xr:uid="{982C7032-75E3-4A9F-B9A9-FED7E82838B0}"/>
    <cellStyle name="Note 2 2 52" xfId="25188" xr:uid="{09704B22-6599-4D76-BA52-8748A88193DA}"/>
    <cellStyle name="Note 2 2 53" xfId="25569" xr:uid="{105F8273-582C-422F-BB71-CE5A1EB42BBD}"/>
    <cellStyle name="Note 2 2 54" xfId="25338" xr:uid="{DAB8BC6B-9C2E-4798-9635-5BC9DEA2EC28}"/>
    <cellStyle name="Note 2 2 55" xfId="26549" xr:uid="{2C773B4E-9901-40BB-A482-7C9EFA20E3C2}"/>
    <cellStyle name="Note 2 2 56" xfId="26859" xr:uid="{2FE4CA21-4868-41A0-9A6A-630DB683D751}"/>
    <cellStyle name="Note 2 2 57" xfId="27278" xr:uid="{0CBB39D4-A645-4581-AB2C-3B85A8D8BA7E}"/>
    <cellStyle name="Note 2 2 58" xfId="27817" xr:uid="{804A02B1-C379-48E5-8F39-E4C9A0CAB7A2}"/>
    <cellStyle name="Note 2 2 59" xfId="28401" xr:uid="{1725024A-84D7-4728-90EB-A8E7FC1F8E27}"/>
    <cellStyle name="Note 2 2 6" xfId="2515" xr:uid="{4A41106D-3287-441A-97B5-FEA07CB7D047}"/>
    <cellStyle name="Note 2 2 60" xfId="28869" xr:uid="{B3A1E0F9-707D-455C-ABC9-5FC3A3B1D34D}"/>
    <cellStyle name="Note 2 2 61" xfId="29334" xr:uid="{FD6DD068-A3EC-44E7-B91D-C7E28FDB662B}"/>
    <cellStyle name="Note 2 2 62" xfId="29659" xr:uid="{0D94B2E5-B2A9-4823-B0EE-8B5F9807D500}"/>
    <cellStyle name="Note 2 2 63" xfId="30067" xr:uid="{5130DD0F-6CA8-401F-A000-099410002608}"/>
    <cellStyle name="Note 2 2 64" xfId="30481" xr:uid="{1EF19125-A779-49A0-8CF9-37A53FD1D5DD}"/>
    <cellStyle name="Note 2 2 65" xfId="30394" xr:uid="{90E5B966-CAE6-4123-B18D-B26602010465}"/>
    <cellStyle name="Note 2 2 66" xfId="31105" xr:uid="{DA9F833A-6339-41E6-88AA-6104A5E22AB0}"/>
    <cellStyle name="Note 2 2 67" xfId="31791" xr:uid="{DBBBEF7C-6E04-4F5B-A665-672B4FBA3404}"/>
    <cellStyle name="Note 2 2 68" xfId="32351" xr:uid="{340B7982-B6EA-49A1-8170-D05709E3756C}"/>
    <cellStyle name="Note 2 2 7" xfId="3588" xr:uid="{EB941926-AD9F-45BF-AF16-3786894D9B25}"/>
    <cellStyle name="Note 2 2 8" xfId="3879" xr:uid="{1CC1C328-E5E2-4C11-B212-D859CC4C7225}"/>
    <cellStyle name="Note 2 2 9" xfId="4317" xr:uid="{962783FD-CC31-4B85-A743-20AF401FC6BA}"/>
    <cellStyle name="Note 2 20" xfId="8419" xr:uid="{27C0F126-55E4-40E3-83DD-8A01FE40A8BF}"/>
    <cellStyle name="Note 2 21" xfId="8889" xr:uid="{D70CF7C1-CD60-4C6F-87DF-6F3F432A7C88}"/>
    <cellStyle name="Note 2 22" xfId="9118" xr:uid="{2C517F33-50E3-4249-8479-36086CCCFA71}"/>
    <cellStyle name="Note 2 23" xfId="9898" xr:uid="{A5250A3D-B031-4BD3-8F06-FDE06AAD94E0}"/>
    <cellStyle name="Note 2 24" xfId="10332" xr:uid="{B007E93E-2B20-4933-A5FB-FD770583732F}"/>
    <cellStyle name="Note 2 25" xfId="10061" xr:uid="{8620DF3B-7052-4A20-876F-867913986EA0}"/>
    <cellStyle name="Note 2 26" xfId="11231" xr:uid="{2949135F-5658-414A-8E24-4A15F224C915}"/>
    <cellStyle name="Note 2 27" xfId="11529" xr:uid="{FD0AC216-3141-428E-84FD-8C45C122C61B}"/>
    <cellStyle name="Note 2 28" xfId="11516" xr:uid="{11B80A35-7875-4450-8D2E-DF7C020087A8}"/>
    <cellStyle name="Note 2 29" xfId="11369" xr:uid="{4660C126-6265-4C5A-A4CE-9E2AB6B6D150}"/>
    <cellStyle name="Note 2 3" xfId="625" xr:uid="{DCE8405E-1FDC-4E2E-85A2-815F14BD7739}"/>
    <cellStyle name="Note 2 3 10" xfId="4829" xr:uid="{33592751-6AAF-46AA-87C4-AAF0E65E876D}"/>
    <cellStyle name="Note 2 3 11" xfId="5273" xr:uid="{8ADB0E58-257D-4AA6-90FC-9E08E6844BDA}"/>
    <cellStyle name="Note 2 3 12" xfId="4686" xr:uid="{19FE082D-BD79-426E-AE25-BAA10692CD4E}"/>
    <cellStyle name="Note 2 3 13" xfId="5128" xr:uid="{8CA14CA9-8D64-4482-A033-993DBBFB3398}"/>
    <cellStyle name="Note 2 3 14" xfId="3821" xr:uid="{FDF031F6-BEFB-4877-BE5A-D2FB87B51F26}"/>
    <cellStyle name="Note 2 3 15" xfId="7345" xr:uid="{627846A0-1FAF-4D91-AD09-FC42550EDAB4}"/>
    <cellStyle name="Note 2 3 16" xfId="7978" xr:uid="{F07925B9-CA22-4017-84CF-E1E0C43875CE}"/>
    <cellStyle name="Note 2 3 17" xfId="6854" xr:uid="{D78707C6-F5D1-4C73-A86F-A41CFBA9A7C1}"/>
    <cellStyle name="Note 2 3 18" xfId="8701" xr:uid="{EFEC2E05-4F7B-4FCB-BFC8-764D084F9CB4}"/>
    <cellStyle name="Note 2 3 19" xfId="9559" xr:uid="{4D765E59-F1A8-491B-9223-8407657B3813}"/>
    <cellStyle name="Note 2 3 2" xfId="840" xr:uid="{E16E2BC6-D7DB-4EF5-86DC-6D494AAD153A}"/>
    <cellStyle name="Note 2 3 2 10" xfId="5488" xr:uid="{F32E95D6-0C8E-4276-AC8A-CF8FB23CB953}"/>
    <cellStyle name="Note 2 3 2 11" xfId="5940" xr:uid="{C7703842-A801-466F-A252-A7364FC5AAC5}"/>
    <cellStyle name="Note 2 3 2 12" xfId="5673" xr:uid="{C0922BDB-D416-4679-A0B4-8300F6A160FD}"/>
    <cellStyle name="Note 2 3 2 13" xfId="6353" xr:uid="{F573FE66-0542-4DD0-B4A2-CA7E7C8E91A7}"/>
    <cellStyle name="Note 2 3 2 14" xfId="7560" xr:uid="{12FF81B9-9352-4E57-9990-4B8AFD7A8E56}"/>
    <cellStyle name="Note 2 3 2 15" xfId="7205" xr:uid="{DF4E43C9-1C73-46BB-A7B8-7E7425F0B345}"/>
    <cellStyle name="Note 2 3 2 16" xfId="8035" xr:uid="{71E0BADF-7CA3-4799-92A4-51C6DE9DEB53}"/>
    <cellStyle name="Note 2 3 2 17" xfId="8802" xr:uid="{0891F538-1E90-4B28-A7C1-F5CA7DE27F87}"/>
    <cellStyle name="Note 2 3 2 18" xfId="9774" xr:uid="{43EE6F4C-896D-490B-8A52-21AB54434EEA}"/>
    <cellStyle name="Note 2 3 2 19" xfId="9418" xr:uid="{4466EBC1-04FA-4766-AC37-960E98B5BBC0}"/>
    <cellStyle name="Note 2 3 2 2" xfId="1314" xr:uid="{C73DB949-BDAB-4A53-B055-9FBE3669FE19}"/>
    <cellStyle name="Note 2 3 2 20" xfId="10231" xr:uid="{A8F70D8C-E3DF-4A68-B065-8CA97D4EB309}"/>
    <cellStyle name="Note 2 3 2 21" xfId="10849" xr:uid="{5480DA17-1A57-4AF7-A72A-2E0D288A487C}"/>
    <cellStyle name="Note 2 3 2 22" xfId="11134" xr:uid="{59E31CC9-1F4E-452A-962D-6FCF4C30C6AC}"/>
    <cellStyle name="Note 2 3 2 23" xfId="12193" xr:uid="{2AD6EC4A-767D-4DE4-ABBE-195FD35CD922}"/>
    <cellStyle name="Note 2 3 2 24" xfId="12666" xr:uid="{2E81D444-5650-4D90-A2BE-9A71B6DF5CDC}"/>
    <cellStyle name="Note 2 3 2 25" xfId="13100" xr:uid="{C1322174-1A1B-4433-9D30-CD6BB62999B6}"/>
    <cellStyle name="Note 2 3 2 26" xfId="13537" xr:uid="{7C371FF0-B09D-4A0B-8630-95462CD9AF9B}"/>
    <cellStyle name="Note 2 3 2 27" xfId="13687" xr:uid="{017E3B76-C183-455B-9198-FD0578426DF6}"/>
    <cellStyle name="Note 2 3 2 28" xfId="11730" xr:uid="{E76F2779-F25B-44D6-B88A-2F8F2DDF01D8}"/>
    <cellStyle name="Note 2 3 2 29" xfId="13790" xr:uid="{283DE4E9-BE23-4AB5-8244-D3123F224DC1}"/>
    <cellStyle name="Note 2 3 2 3" xfId="1763" xr:uid="{E1146C12-5E70-45C8-B1B5-0B48CDACE6B8}"/>
    <cellStyle name="Note 2 3 2 30" xfId="15175" xr:uid="{F73F321E-2D73-4F98-B7BD-82DD93866C6D}"/>
    <cellStyle name="Note 2 3 2 31" xfId="15315" xr:uid="{2C1BBD77-CCFF-4299-B81E-92E43ECB088A}"/>
    <cellStyle name="Note 2 3 2 32" xfId="14315" xr:uid="{32A13191-492D-406D-9541-94E3D01B6DB8}"/>
    <cellStyle name="Note 2 3 2 33" xfId="16885" xr:uid="{A833C3EC-1788-49C8-8F85-C3DD5208859A}"/>
    <cellStyle name="Note 2 3 2 34" xfId="16527" xr:uid="{651D0C5D-BB7E-4E80-9A89-4128595B192B}"/>
    <cellStyle name="Note 2 3 2 35" xfId="17352" xr:uid="{63CD9DFF-6CFB-403B-AE2E-683DB0BDCFB9}"/>
    <cellStyle name="Note 2 3 2 36" xfId="16539" xr:uid="{24175A4D-7F45-4D8B-AF5C-CCD108781873}"/>
    <cellStyle name="Note 2 3 2 37" xfId="18703" xr:uid="{746812DA-C191-4A3A-8170-7224B8181D40}"/>
    <cellStyle name="Note 2 3 2 38" xfId="18979" xr:uid="{DBA79A21-8A9D-4B4E-A43B-53D85652BC7E}"/>
    <cellStyle name="Note 2 3 2 39" xfId="19199" xr:uid="{A69635FC-A025-495E-8BC3-01C39A553F2C}"/>
    <cellStyle name="Note 2 3 2 4" xfId="2662" xr:uid="{1971BFDF-09F6-42DA-B071-60306F426CC6}"/>
    <cellStyle name="Note 2 3 2 40" xfId="20222" xr:uid="{8D350D53-7317-4786-81FC-7FF5E45E7637}"/>
    <cellStyle name="Note 2 3 2 41" xfId="19863" xr:uid="{34C3F9EB-F839-4EC9-9BE7-6742777FBD02}"/>
    <cellStyle name="Note 2 3 2 42" xfId="19687" xr:uid="{45770701-811F-47A6-B63C-2B480BCA92C3}"/>
    <cellStyle name="Note 2 3 2 43" xfId="21589" xr:uid="{CAF1D3E5-64B2-4434-A4FB-B929ECC0C03E}"/>
    <cellStyle name="Note 2 3 2 44" xfId="19376" xr:uid="{5C5F49A7-6AA3-413B-A21C-CE81DECDEC3C}"/>
    <cellStyle name="Note 2 3 2 45" xfId="21445" xr:uid="{2303D986-FE82-4085-B9A7-AB8D24E8262A}"/>
    <cellStyle name="Note 2 3 2 46" xfId="22686" xr:uid="{38DCC5B5-9151-4C70-B809-0FFEEB6EAB1D}"/>
    <cellStyle name="Note 2 3 2 47" xfId="23266" xr:uid="{BE36A908-1E5C-4066-9893-482DDEB97363}"/>
    <cellStyle name="Note 2 3 2 48" xfId="23574" xr:uid="{86B04429-5A8E-4980-B43B-9EB174595731}"/>
    <cellStyle name="Note 2 3 2 49" xfId="24022" xr:uid="{A0CA1D84-D5D3-470F-8203-6AEB614530E8}"/>
    <cellStyle name="Note 2 3 2 5" xfId="2852" xr:uid="{3E72FA17-61E7-4209-91AE-F081C3AEF472}"/>
    <cellStyle name="Note 2 3 2 50" xfId="24930" xr:uid="{D8D8C626-511A-4436-B8D2-A08FA4EBBCC8}"/>
    <cellStyle name="Note 2 3 2 51" xfId="24567" xr:uid="{CD0E9473-7B87-466C-8A83-3A2C899032B2}"/>
    <cellStyle name="Note 2 3 2 52" xfId="25846" xr:uid="{B52B465B-F568-40DE-9C55-5D83DCBE627C}"/>
    <cellStyle name="Note 2 3 2 53" xfId="26054" xr:uid="{B79C84BC-54F2-4C65-97E3-C88236925681}"/>
    <cellStyle name="Note 2 3 2 54" xfId="26590" xr:uid="{A3CC14A9-AC03-4CC5-B219-02ABBE22AACA}"/>
    <cellStyle name="Note 2 3 2 55" xfId="27134" xr:uid="{36169CC4-C3FC-45D1-AFC9-3A6E5B918F54}"/>
    <cellStyle name="Note 2 3 2 56" xfId="27553" xr:uid="{814D6623-3BAE-4368-A6B8-97C9FB4A7EDF}"/>
    <cellStyle name="Note 2 3 2 57" xfId="27679" xr:uid="{9CED1814-25EB-4E67-A52B-92D2B760DD50}"/>
    <cellStyle name="Note 2 3 2 58" xfId="28680" xr:uid="{889AAE39-F36F-40B4-B05A-C9F7FBF582B2}"/>
    <cellStyle name="Note 2 3 2 59" xfId="29147" xr:uid="{F8645936-6797-4914-9F9E-F5FF5F11EFD3}"/>
    <cellStyle name="Note 2 3 2 6" xfId="3580" xr:uid="{0189D9B7-07A3-4995-B8FC-8A65945095B4}"/>
    <cellStyle name="Note 2 3 2 60" xfId="28225" xr:uid="{B3686EBA-026F-4E01-9DAE-C5097C1F0A98}"/>
    <cellStyle name="Note 2 3 2 61" xfId="29936" xr:uid="{F32E8DAD-0CFC-4260-BAEF-3BD7D4E4BE79}"/>
    <cellStyle name="Note 2 3 2 62" xfId="30342" xr:uid="{8167E69E-E629-4D15-A4D8-FCAA5C35F563}"/>
    <cellStyle name="Note 2 3 2 63" xfId="30759" xr:uid="{09FBEE38-C414-4C6F-986B-52E366E170E6}"/>
    <cellStyle name="Note 2 3 2 64" xfId="29225" xr:uid="{315A39C3-EE72-4C8C-96BB-61CDE7F3051A}"/>
    <cellStyle name="Note 2 3 2 65" xfId="31375" xr:uid="{5427468A-23D4-446B-9B51-9878BAC2074E}"/>
    <cellStyle name="Note 2 3 2 66" xfId="32066" xr:uid="{1F2E24FA-9B41-4AC0-9AFC-104FB408C47E}"/>
    <cellStyle name="Note 2 3 2 67" xfId="31627" xr:uid="{91EB9E83-E1F3-4B32-B325-37A909916BD1}"/>
    <cellStyle name="Note 2 3 2 7" xfId="4158" xr:uid="{7AEF73B3-F2D7-4259-8751-375019E00A1C}"/>
    <cellStyle name="Note 2 3 2 8" xfId="4595" xr:uid="{1FB618D3-F47C-4F0A-AA53-82F57FAE5CA9}"/>
    <cellStyle name="Note 2 3 2 9" xfId="2521" xr:uid="{0270AC39-981C-4CAA-8BF6-E217DAE23D0F}"/>
    <cellStyle name="Note 2 3 20" xfId="10194" xr:uid="{7CE22B3A-E570-40BF-83D7-F71CB9C617AE}"/>
    <cellStyle name="Note 2 3 21" xfId="10598" xr:uid="{624D6552-EC56-40B3-B7A0-78A31390DF3B}"/>
    <cellStyle name="Note 2 3 22" xfId="10362" xr:uid="{C9E1C62A-4289-4F52-9958-76BC1558F4F1}"/>
    <cellStyle name="Note 2 3 23" xfId="11236" xr:uid="{15615551-B268-4120-9DF4-3B74AECE2103}"/>
    <cellStyle name="Note 2 3 24" xfId="11978" xr:uid="{EA716E05-FC41-4356-BFF8-C749E808AD7D}"/>
    <cellStyle name="Note 2 3 25" xfId="12451" xr:uid="{435EFDE5-28BD-460E-A324-EAEBFC477394}"/>
    <cellStyle name="Note 2 3 26" xfId="12885" xr:uid="{0C8C0617-4E2B-473D-84A4-DFAADD598193}"/>
    <cellStyle name="Note 2 3 27" xfId="13322" xr:uid="{619CE9E8-85C5-41BC-8F44-2C311F5091F9}"/>
    <cellStyle name="Note 2 3 28" xfId="11370" xr:uid="{207E5DE7-99C7-41D7-8145-94DDB8F7E817}"/>
    <cellStyle name="Note 2 3 29" xfId="14402" xr:uid="{FAE27939-E6F9-49D4-BA5A-B0EA09C196D4}"/>
    <cellStyle name="Note 2 3 3" xfId="1108" xr:uid="{38F0CF0E-096C-494F-A14F-A6E84A86BF75}"/>
    <cellStyle name="Note 2 3 30" xfId="14801" xr:uid="{5D3A4FEF-2AED-4809-B063-9832DC226C96}"/>
    <cellStyle name="Note 2 3 31" xfId="15081" xr:uid="{71C401E1-0ADA-49EB-8DB8-627E708B29D4}"/>
    <cellStyle name="Note 2 3 32" xfId="15601" xr:uid="{2F022D74-0EC7-4AA8-ABA5-58FFC3769F6D}"/>
    <cellStyle name="Note 2 3 33" xfId="15957" xr:uid="{FA8AEDD0-80E3-4C75-9BC9-F9DB73331FE3}"/>
    <cellStyle name="Note 2 3 34" xfId="16670" xr:uid="{E55688D7-3169-49B8-B00B-AFFCDA9121F5}"/>
    <cellStyle name="Note 2 3 35" xfId="17315" xr:uid="{6C776419-E5B6-4AC9-938E-BD5557E08691}"/>
    <cellStyle name="Note 2 3 36" xfId="17758" xr:uid="{6567908A-9B18-4654-9BF3-572849F77F2C}"/>
    <cellStyle name="Note 2 3 37" xfId="18127" xr:uid="{15AED7C1-382C-4C90-BDD4-E5FAE8E49EE4}"/>
    <cellStyle name="Note 2 3 38" xfId="18488" xr:uid="{5EEA411A-BD46-47E4-AB96-17C3ACE8A222}"/>
    <cellStyle name="Note 2 3 39" xfId="18778" xr:uid="{A4CB4074-EAFD-439F-855B-986A526F725D}"/>
    <cellStyle name="Note 2 3 4" xfId="1377" xr:uid="{EE7CE170-1379-4A38-B14A-DE6E982CBF91}"/>
    <cellStyle name="Note 2 3 40" xfId="18830" xr:uid="{57AA1CA6-5CBC-450A-AE3F-9C3F5495C895}"/>
    <cellStyle name="Note 2 3 41" xfId="20007" xr:uid="{82D7F63C-CECD-4CC2-A133-FC2ED1BCCD55}"/>
    <cellStyle name="Note 2 3 42" xfId="20666" xr:uid="{25D564D7-0A2F-40A8-99CD-ABEA52401A74}"/>
    <cellStyle name="Note 2 3 43" xfId="21122" xr:uid="{225ABF5C-7888-4819-9534-FF768B86EA3C}"/>
    <cellStyle name="Note 2 3 44" xfId="21081" xr:uid="{A2B8856F-1ED1-4A51-8FE8-BF1C98651D4C}"/>
    <cellStyle name="Note 2 3 45" xfId="22054" xr:uid="{1FD9F70A-B1C4-44C3-A9B9-8113A870A87A}"/>
    <cellStyle name="Note 2 3 46" xfId="22482" xr:uid="{E579675A-59F5-4EE7-8606-986CC060CDD1}"/>
    <cellStyle name="Note 2 3 47" xfId="22523" xr:uid="{8F270370-3486-455B-9CD1-EAE59E8B4F2D}"/>
    <cellStyle name="Note 2 3 48" xfId="23049" xr:uid="{51B12101-E1BE-4123-9081-5B5390AB09E5}"/>
    <cellStyle name="Note 2 3 49" xfId="23263" xr:uid="{C7A07FA4-428A-4FDB-B20A-D9B8AB63B003}"/>
    <cellStyle name="Note 2 3 5" xfId="2447" xr:uid="{4CC49EF8-5233-4033-A050-FB330E87395C}"/>
    <cellStyle name="Note 2 3 50" xfId="23816" xr:uid="{A8484D64-6CD7-4C4F-A1AA-719999AD47B1}"/>
    <cellStyle name="Note 2 3 51" xfId="24715" xr:uid="{8EEBA874-5FC0-4723-A3C1-A11ABED3CDD0}"/>
    <cellStyle name="Note 2 3 52" xfId="25369" xr:uid="{DA645593-4E84-4F7C-B40A-E8FACD0FC6E3}"/>
    <cellStyle name="Note 2 3 53" xfId="25633" xr:uid="{3526E64C-28A5-41D0-AED1-A3ED76F6D20D}"/>
    <cellStyle name="Note 2 3 54" xfId="24998" xr:uid="{B7796D65-0F4B-4CD4-A9EA-6256060574B1}"/>
    <cellStyle name="Note 2 3 55" xfId="26618" xr:uid="{32B771BE-53A5-41DC-98D6-C2C747C6E590}"/>
    <cellStyle name="Note 2 3 56" xfId="26923" xr:uid="{BA51A0EE-E527-41D9-92F7-0D31793C3E29}"/>
    <cellStyle name="Note 2 3 57" xfId="27342" xr:uid="{D67DEBDF-71D2-4D5A-9483-DBCF4B1D0DAF}"/>
    <cellStyle name="Note 2 3 58" xfId="27786" xr:uid="{CD83F0A0-8F4C-449C-A751-7DD66E5BE88D}"/>
    <cellStyle name="Note 2 3 59" xfId="28465" xr:uid="{47B0D961-9A54-478C-BF9C-1673283DCA8F}"/>
    <cellStyle name="Note 2 3 6" xfId="2190" xr:uid="{07FD7E4A-EF4B-4C3D-B45B-EA3D68A523BE}"/>
    <cellStyle name="Note 2 3 60" xfId="28933" xr:uid="{EE90B3EA-14F7-40BF-817D-983959772B39}"/>
    <cellStyle name="Note 2 3 61" xfId="29491" xr:uid="{4CEF77F5-B949-409F-911E-211F7AC6BA67}"/>
    <cellStyle name="Note 2 3 62" xfId="29723" xr:uid="{8EA56222-3227-4D30-80B1-2EA989EC86D1}"/>
    <cellStyle name="Note 2 3 63" xfId="30131" xr:uid="{8424CE9C-4ADA-41B5-A35A-5FE5D784F413}"/>
    <cellStyle name="Note 2 3 64" xfId="30545" xr:uid="{19BC5C44-37DB-4D20-9ACC-E247649B5808}"/>
    <cellStyle name="Note 2 3 65" xfId="30976" xr:uid="{52E2EE68-FA79-41B5-9283-7DE239B43CB2}"/>
    <cellStyle name="Note 2 3 66" xfId="31169" xr:uid="{1449508C-3406-48E9-864D-CBF409CE3B6F}"/>
    <cellStyle name="Note 2 3 67" xfId="31855" xr:uid="{389783BE-EE80-4BB1-B79F-452B9F50C7EF}"/>
    <cellStyle name="Note 2 3 68" xfId="32296" xr:uid="{1C60D46F-A969-4805-AE0C-9E00D75AF728}"/>
    <cellStyle name="Note 2 3 7" xfId="3568" xr:uid="{789403CC-1C5D-431F-8201-DE5EA7D2FF04}"/>
    <cellStyle name="Note 2 3 8" xfId="3943" xr:uid="{A144E986-169A-4ED0-A004-47E378697D56}"/>
    <cellStyle name="Note 2 3 9" xfId="4381" xr:uid="{6037F610-B47B-4007-99B4-AC7B67B84508}"/>
    <cellStyle name="Note 2 30" xfId="11363" xr:uid="{A6D82B4E-A0E1-4C03-B602-7A1F61BC4EDA}"/>
    <cellStyle name="Note 2 31" xfId="11827" xr:uid="{ECCC9DF5-7F99-4A2F-A964-D4D889A2D7A4}"/>
    <cellStyle name="Note 2 32" xfId="13767" xr:uid="{E9279684-CB15-401A-B689-DE1C33EEE304}"/>
    <cellStyle name="Note 2 33" xfId="14278" xr:uid="{20E27B59-5568-4E8E-B3E8-C2868C37193E}"/>
    <cellStyle name="Note 2 34" xfId="14161" xr:uid="{8D8BE391-52AC-4C13-8E21-30E9B7058D83}"/>
    <cellStyle name="Note 2 35" xfId="15631" xr:uid="{A2EDE33A-E300-4770-A3E2-C26236299174}"/>
    <cellStyle name="Note 2 36" xfId="15805" xr:uid="{34A57933-F748-4243-822A-F1DC7FC24FE5}"/>
    <cellStyle name="Note 2 37" xfId="16222" xr:uid="{479871BD-D33C-4DD6-B3B4-87D54E025C5A}"/>
    <cellStyle name="Note 2 38" xfId="17012" xr:uid="{7923B075-E484-4B52-9F0C-64FB0B0BCD30}"/>
    <cellStyle name="Note 2 39" xfId="17457" xr:uid="{0D7FE70F-BD4F-4BFD-A9DA-0F092B42204F}"/>
    <cellStyle name="Note 2 4" xfId="520" xr:uid="{0B6301F4-E0C7-45D8-AF6D-50927A99ADFF}"/>
    <cellStyle name="Note 2 4 10" xfId="4945" xr:uid="{1DEE1AB4-C270-4F9F-9099-99F5D58C35AA}"/>
    <cellStyle name="Note 2 4 11" xfId="5168" xr:uid="{8FF12913-9831-4036-94E9-971607961E44}"/>
    <cellStyle name="Note 2 4 12" xfId="4853" xr:uid="{F34F95E8-F93E-4BD2-A82D-811700E7B162}"/>
    <cellStyle name="Note 2 4 13" xfId="4654" xr:uid="{57810220-95CB-461B-8175-69A9183AC14F}"/>
    <cellStyle name="Note 2 4 14" xfId="6567" xr:uid="{36DA7D47-5041-455E-A0E3-BFD428C4AE42}"/>
    <cellStyle name="Note 2 4 15" xfId="7240" xr:uid="{4CEAE243-77D7-48BF-8D92-F6235EDD292A}"/>
    <cellStyle name="Note 2 4 16" xfId="8009" xr:uid="{E920D4E9-463C-400A-BC4B-319006E26091}"/>
    <cellStyle name="Note 2 4 17" xfId="8563" xr:uid="{C8EF2AF9-6463-49EF-B99A-1B2B722E9C31}"/>
    <cellStyle name="Note 2 4 18" xfId="8849" xr:uid="{5D71EE90-A757-4643-9CB9-35CFCBE2DD02}"/>
    <cellStyle name="Note 2 4 19" xfId="9454" xr:uid="{2BC5D649-FC8E-42B6-ABFA-08080C99D3DB}"/>
    <cellStyle name="Note 2 4 2" xfId="735" xr:uid="{4D96101E-7A85-41AF-BB04-8733C5F35D42}"/>
    <cellStyle name="Note 2 4 2 10" xfId="5383" xr:uid="{99C59E52-F338-44E3-B1A7-BD92DBF7A347}"/>
    <cellStyle name="Note 2 4 2 11" xfId="5816" xr:uid="{70EE16C6-EBCC-46C0-9574-8E4437839AFE}"/>
    <cellStyle name="Note 2 4 2 12" xfId="6051" xr:uid="{E2B03F3E-2EBB-4945-BEF7-C44843F19BA2}"/>
    <cellStyle name="Note 2 4 2 13" xfId="6420" xr:uid="{40C0B65B-E95C-4B64-8E4D-F84B6E5DA2A6}"/>
    <cellStyle name="Note 2 4 2 14" xfId="7455" xr:uid="{BECFA278-5163-4DED-92CB-4601F5C23692}"/>
    <cellStyle name="Note 2 4 2 15" xfId="6884" xr:uid="{24B72DEC-FB6F-43F7-BC18-161A30C4A521}"/>
    <cellStyle name="Note 2 4 2 16" xfId="8185" xr:uid="{1BF2FC04-CE7B-476D-9D77-5286AD05D959}"/>
    <cellStyle name="Note 2 4 2 17" xfId="7802" xr:uid="{84E4CF42-72A3-4181-A216-AB8D8BA63F8D}"/>
    <cellStyle name="Note 2 4 2 18" xfId="9669" xr:uid="{6A0A6D4A-8F24-4535-AFC3-44E0E8E7D0F0}"/>
    <cellStyle name="Note 2 4 2 19" xfId="9098" xr:uid="{CE679522-46F3-486E-BFF3-0F3F932A8A83}"/>
    <cellStyle name="Note 2 4 2 2" xfId="1209" xr:uid="{B7508D0C-5CEF-4D2F-BD8F-7473A90E5574}"/>
    <cellStyle name="Note 2 4 2 20" xfId="9835" xr:uid="{56681608-71E5-44B5-8EC6-267DD94CF000}"/>
    <cellStyle name="Note 2 4 2 21" xfId="10370" xr:uid="{52A50BA5-68B2-42FB-A4DC-D33427E7E77E}"/>
    <cellStyle name="Note 2 4 2 22" xfId="11260" xr:uid="{3CEAEC23-BC0C-43F4-B63B-45039F4422F3}"/>
    <cellStyle name="Note 2 4 2 23" xfId="12088" xr:uid="{8238518A-7F31-4C98-A419-F715FCD767AB}"/>
    <cellStyle name="Note 2 4 2 24" xfId="12561" xr:uid="{D4CED58E-74B6-47F0-AAB7-88421605B91C}"/>
    <cellStyle name="Note 2 4 2 25" xfId="12995" xr:uid="{EAB76147-E5BD-4FCA-B088-92E3237C4102}"/>
    <cellStyle name="Note 2 4 2 26" xfId="13432" xr:uid="{FBF6952F-2D16-4CAC-A691-CBF871470EAB}"/>
    <cellStyle name="Note 2 4 2 27" xfId="12301" xr:uid="{DC2AEBEF-2EC0-41D5-B4D1-A59D021665BA}"/>
    <cellStyle name="Note 2 4 2 28" xfId="11658" xr:uid="{AEA49FD2-A410-451C-AE95-88F40B446B64}"/>
    <cellStyle name="Note 2 4 2 29" xfId="14014" xr:uid="{E98A1A76-4B43-48FD-8972-B066B9A76718}"/>
    <cellStyle name="Note 2 4 2 3" xfId="1439" xr:uid="{ED3ACF2E-E4EC-4555-AD63-7009BE9FB08D}"/>
    <cellStyle name="Note 2 4 2 30" xfId="14180" xr:uid="{811CC0E0-ABDE-4E43-9442-7FF0ABA257DE}"/>
    <cellStyle name="Note 2 4 2 31" xfId="15746" xr:uid="{FB50FF67-99E3-4911-A4E4-FB7DA982D453}"/>
    <cellStyle name="Note 2 4 2 32" xfId="15638" xr:uid="{5FE4E337-48E2-477B-B033-21216331185E}"/>
    <cellStyle name="Note 2 4 2 33" xfId="16780" xr:uid="{FE3D534F-2AD3-4F61-9888-A0B6028BBF81}"/>
    <cellStyle name="Note 2 4 2 34" xfId="16201" xr:uid="{F2520607-F27E-430F-ADA2-67B99D311A13}"/>
    <cellStyle name="Note 2 4 2 35" xfId="16949" xr:uid="{6798A6A2-A864-4C84-9FAD-74F71020B39B}"/>
    <cellStyle name="Note 2 4 2 36" xfId="17471" xr:uid="{8C913F64-7E76-4901-95D3-23A2BACA3015}"/>
    <cellStyle name="Note 2 4 2 37" xfId="18598" xr:uid="{68483018-F4F5-4DBD-95D1-B34F8421CDBC}"/>
    <cellStyle name="Note 2 4 2 38" xfId="18964" xr:uid="{F8E85EAA-7360-4ED4-AE12-98CAC40C9CDB}"/>
    <cellStyle name="Note 2 4 2 39" xfId="18782" xr:uid="{3D6A66D3-BA51-4B6D-A327-2A55C903D052}"/>
    <cellStyle name="Note 2 4 2 4" xfId="2557" xr:uid="{59CCD8A5-8898-4BD4-94A5-C9554518F32B}"/>
    <cellStyle name="Note 2 4 2 40" xfId="20117" xr:uid="{19C052FA-9999-484F-916C-D158EEFC8023}"/>
    <cellStyle name="Note 2 4 2 41" xfId="19533" xr:uid="{23CDEBAC-36C7-4C30-BA9F-9718A9FF9F56}"/>
    <cellStyle name="Note 2 4 2 42" xfId="20711" xr:uid="{1BB3F177-CCCA-4532-8F1A-6D12E7F1CD69}"/>
    <cellStyle name="Note 2 4 2 43" xfId="21510" xr:uid="{50D0E54C-D40A-4908-8A3C-F6FF6A5A80FF}"/>
    <cellStyle name="Note 2 4 2 44" xfId="21152" xr:uid="{E6F27A92-95DD-4F5E-BE29-C5625AFC1D83}"/>
    <cellStyle name="Note 2 4 2 45" xfId="21639" xr:uid="{A06F74BF-4FC9-4D6E-BBC4-7444E0AE5A37}"/>
    <cellStyle name="Note 2 4 2 46" xfId="22165" xr:uid="{68D72EC5-C0E9-4B74-B509-B364CF22D2A6}"/>
    <cellStyle name="Note 2 4 2 47" xfId="23252" xr:uid="{02D9C039-B3B5-46BF-8A82-145EA2189DE6}"/>
    <cellStyle name="Note 2 4 2 48" xfId="23445" xr:uid="{D1252325-EB0B-42A9-A6AB-9D4C41E5B252}"/>
    <cellStyle name="Note 2 4 2 49" xfId="23917" xr:uid="{89E279EF-034C-43FB-970D-FD76AB96DCE5}"/>
    <cellStyle name="Note 2 4 2 5" xfId="2083" xr:uid="{21E26893-9415-4C40-B42E-0054160643A6}"/>
    <cellStyle name="Note 2 4 2 50" xfId="24825" xr:uid="{7CEF8072-FAD5-407C-A2F6-D4CE07023060}"/>
    <cellStyle name="Note 2 4 2 51" xfId="24512" xr:uid="{5AF1ADAC-59CE-4650-A3D2-C54A304682C3}"/>
    <cellStyle name="Note 2 4 2 52" xfId="25741" xr:uid="{97617127-278B-44A7-BB3F-84D4AA46D480}"/>
    <cellStyle name="Note 2 4 2 53" xfId="24349" xr:uid="{53BD0B03-008B-450A-AFDB-5D92C3EC29CB}"/>
    <cellStyle name="Note 2 4 2 54" xfId="25502" xr:uid="{7910D2A4-454C-496E-823C-6CAB8644AD80}"/>
    <cellStyle name="Note 2 4 2 55" xfId="27029" xr:uid="{835615C1-8CD4-462A-9671-A6676F1D76C6}"/>
    <cellStyle name="Note 2 4 2 56" xfId="27448" xr:uid="{083015F5-A117-4771-8C6C-647BC975E370}"/>
    <cellStyle name="Note 2 4 2 57" xfId="27724" xr:uid="{73C886F6-FF7C-4AED-AC15-476A06EC31AD}"/>
    <cellStyle name="Note 2 4 2 58" xfId="28575" xr:uid="{4C8A6A8F-964E-49A6-925C-1E74A8E6BB8D}"/>
    <cellStyle name="Note 2 4 2 59" xfId="29042" xr:uid="{8D9CB086-5B15-4C67-A525-01B69D86DD8A}"/>
    <cellStyle name="Note 2 4 2 6" xfId="2771" xr:uid="{C2624E47-E5D2-4CB4-8309-FBF19AFE9061}"/>
    <cellStyle name="Note 2 4 2 60" xfId="27899" xr:uid="{2C011B6E-10A3-416B-A462-D785E5BB99B0}"/>
    <cellStyle name="Note 2 4 2 61" xfId="29831" xr:uid="{3C98ECC1-3F00-43DD-9ADC-146961577A9A}"/>
    <cellStyle name="Note 2 4 2 62" xfId="30237" xr:uid="{AE71872E-66F8-4100-A477-86E177A81095}"/>
    <cellStyle name="Note 2 4 2 63" xfId="30654" xr:uid="{2BA92F5C-B91B-402A-9062-AA5316F3BFD6}"/>
    <cellStyle name="Note 2 4 2 64" xfId="29479" xr:uid="{105BE701-CFF4-4E93-8739-87E96D021A95}"/>
    <cellStyle name="Note 2 4 2 65" xfId="31270" xr:uid="{D2A522E5-6A9C-4075-81F4-389C9C9BC454}"/>
    <cellStyle name="Note 2 4 2 66" xfId="31961" xr:uid="{6D607437-41DB-4BBD-9E47-8643212D5F06}"/>
    <cellStyle name="Note 2 4 2 67" xfId="31432" xr:uid="{F376B3EC-C300-4A2E-A4D3-CFA6ADB2B4D9}"/>
    <cellStyle name="Note 2 4 2 7" xfId="4053" xr:uid="{91DAAB62-65DB-4FEB-A042-EBC396492624}"/>
    <cellStyle name="Note 2 4 2 8" xfId="4490" xr:uid="{9C3EF820-9F1D-4311-8150-8264578D72B9}"/>
    <cellStyle name="Note 2 4 2 9" xfId="2768" xr:uid="{9855D685-2FF1-42E5-9CDC-2E1B5B8EFB5F}"/>
    <cellStyle name="Note 2 4 20" xfId="10227" xr:uid="{BBBA6814-D5DE-4571-A401-DF0BE329AFC1}"/>
    <cellStyle name="Note 2 4 21" xfId="10626" xr:uid="{82C4FD41-D90F-48B7-AB6D-CBEC512610A0}"/>
    <cellStyle name="Note 2 4 22" xfId="10522" xr:uid="{956245C0-8B8F-4F10-A83A-DBF3A1DC4E0D}"/>
    <cellStyle name="Note 2 4 23" xfId="11161" xr:uid="{F128600C-D89A-439B-908B-67648FAE2C88}"/>
    <cellStyle name="Note 2 4 24" xfId="11873" xr:uid="{CD480088-43F8-4647-B7D4-6BFCD5BC0D66}"/>
    <cellStyle name="Note 2 4 25" xfId="12346" xr:uid="{487A0558-D913-439B-A8C4-00146FE41F4A}"/>
    <cellStyle name="Note 2 4 26" xfId="12780" xr:uid="{20026C7E-EA24-4710-B321-67F459E07FF0}"/>
    <cellStyle name="Note 2 4 27" xfId="13217" xr:uid="{4ECA13F0-F858-4AA3-B325-226E06EC7A37}"/>
    <cellStyle name="Note 2 4 28" xfId="11701" xr:uid="{E60F4569-2509-4B3B-9CC5-5E4263468412}"/>
    <cellStyle name="Note 2 4 29" xfId="14160" xr:uid="{2B4DCD30-6237-4CFF-B23C-9A328D43C531}"/>
    <cellStyle name="Note 2 4 3" xfId="1003" xr:uid="{422FD09E-0F15-46AB-A9C3-B680A94200EA}"/>
    <cellStyle name="Note 2 4 30" xfId="14797" xr:uid="{3F9555AF-9096-49EE-86A1-204C1DEF312F}"/>
    <cellStyle name="Note 2 4 31" xfId="13989" xr:uid="{D0A28139-2F4E-48AF-BE81-C09D66BEF167}"/>
    <cellStyle name="Note 2 4 32" xfId="15303" xr:uid="{B030C816-3FF5-413A-A771-52741A91E570}"/>
    <cellStyle name="Note 2 4 33" xfId="15975" xr:uid="{C5224977-2686-4E34-BD59-4664B2F14615}"/>
    <cellStyle name="Note 2 4 34" xfId="16565" xr:uid="{9F3C5236-C9AB-4267-8B27-2D0059B4587B}"/>
    <cellStyle name="Note 2 4 35" xfId="17348" xr:uid="{E0DBF3FF-C80B-44BB-A190-BC3A01C3201F}"/>
    <cellStyle name="Note 2 4 36" xfId="17790" xr:uid="{90958969-0374-46D3-B099-522E0C607684}"/>
    <cellStyle name="Note 2 4 37" xfId="17442" xr:uid="{9FB8A533-EFA3-48AC-B6BA-EC2D44DEE35E}"/>
    <cellStyle name="Note 2 4 38" xfId="18383" xr:uid="{A4712575-5A21-4774-8E02-3D3489080AB0}"/>
    <cellStyle name="Note 2 4 39" xfId="19003" xr:uid="{B7A96AA5-DA36-4B7C-816A-EB382FAB4795}"/>
    <cellStyle name="Note 2 4 4" xfId="1690" xr:uid="{4B713430-DDE0-44CC-8A6B-776E0A81CBAA}"/>
    <cellStyle name="Note 2 4 40" xfId="19050" xr:uid="{00A7C51B-F2CF-4A41-898D-B56D1EF6EC5C}"/>
    <cellStyle name="Note 2 4 41" xfId="19902" xr:uid="{A808EE4F-31E5-4E06-997F-AF965F421EE3}"/>
    <cellStyle name="Note 2 4 42" xfId="20699" xr:uid="{5EC8C34C-DAB5-4484-AC31-A6E4C64DAB79}"/>
    <cellStyle name="Note 2 4 43" xfId="21156" xr:uid="{84A6184C-EF78-46B9-B396-68D387E89B7F}"/>
    <cellStyle name="Note 2 4 44" xfId="21346" xr:uid="{FBADB805-5997-4708-BED1-C17C960B16A4}"/>
    <cellStyle name="Note 2 4 45" xfId="22087" xr:uid="{1DFD1C09-8270-43F9-80A1-2538319E0F87}"/>
    <cellStyle name="Note 2 4 46" xfId="22515" xr:uid="{06962DE4-A23C-4B51-B746-B41FB7231B54}"/>
    <cellStyle name="Note 2 4 47" xfId="22519" xr:uid="{27962352-9103-4E09-8068-33F04FC01E46}"/>
    <cellStyle name="Note 2 4 48" xfId="23285" xr:uid="{A8F26496-164A-4BAD-9540-B6B95AAB84FF}"/>
    <cellStyle name="Note 2 4 49" xfId="23028" xr:uid="{ED4961C0-26DE-471D-8B3A-ED985E5ABD32}"/>
    <cellStyle name="Note 2 4 5" xfId="2342" xr:uid="{17A1B6CC-4843-4150-856E-DDC3D4F382C8}"/>
    <cellStyle name="Note 2 4 50" xfId="23711" xr:uid="{ACCAC2D8-B9D3-4557-BD3A-2D712ECAE94E}"/>
    <cellStyle name="Note 2 4 51" xfId="24610" xr:uid="{CCE41D1F-2B45-4D57-A98E-130E2D7922ED}"/>
    <cellStyle name="Note 2 4 52" xfId="25402" xr:uid="{17ADA21D-6FDD-4FA9-ADB1-679F213D83D7}"/>
    <cellStyle name="Note 2 4 53" xfId="25528" xr:uid="{CE2C0BAA-FA1D-4B25-BD5B-D24C690CDF33}"/>
    <cellStyle name="Note 2 4 54" xfId="24205" xr:uid="{DA0463CD-B50D-40C2-8D53-647C5FC4B047}"/>
    <cellStyle name="Note 2 4 55" xfId="25036" xr:uid="{044AE778-D3BC-4BE8-A36F-DDE32F1F8CED}"/>
    <cellStyle name="Note 2 4 56" xfId="26818" xr:uid="{7C33D597-324D-4CC4-9FD8-4F824D19C0AC}"/>
    <cellStyle name="Note 2 4 57" xfId="27237" xr:uid="{152AE432-AE03-4975-8EC8-53F2781C3AC0}"/>
    <cellStyle name="Note 2 4 58" xfId="27765" xr:uid="{445B4B88-AEB9-48A0-B4C3-8EEB9EAD0286}"/>
    <cellStyle name="Note 2 4 59" xfId="28360" xr:uid="{57F40796-BE60-49DB-AE8B-F3203EEEE3D2}"/>
    <cellStyle name="Note 2 4 6" xfId="2155" xr:uid="{E67D99D2-E16C-4908-872A-FA14F5EF071F}"/>
    <cellStyle name="Note 2 4 60" xfId="28828" xr:uid="{B967637F-7BF1-461A-9E55-D3909686242C}"/>
    <cellStyle name="Note 2 4 61" xfId="29517" xr:uid="{2E6834FC-C755-4FD8-AB6E-A5AC081A2D63}"/>
    <cellStyle name="Note 2 4 62" xfId="29618" xr:uid="{044F0DB4-46DA-4358-9949-203E9F905E5A}"/>
    <cellStyle name="Note 2 4 63" xfId="30026" xr:uid="{7A49BBFE-5B02-49DC-8412-D6265C1FE525}"/>
    <cellStyle name="Note 2 4 64" xfId="30440" xr:uid="{17F3F6BD-7E4A-46AD-8538-AEE23F613BC3}"/>
    <cellStyle name="Note 2 4 65" xfId="30909" xr:uid="{076EFC04-C3A7-4682-A5C5-75BA8A8C41AF}"/>
    <cellStyle name="Note 2 4 66" xfId="31064" xr:uid="{859851E5-A1E2-4838-9CFD-2AF84896EC62}"/>
    <cellStyle name="Note 2 4 67" xfId="31750" xr:uid="{5C8A61B9-221F-4C63-8817-AAB50AABF0B1}"/>
    <cellStyle name="Note 2 4 68" xfId="32299" xr:uid="{302C4C12-C096-4F00-A162-F84C8C1AA56C}"/>
    <cellStyle name="Note 2 4 7" xfId="3540" xr:uid="{356DFB51-97E3-4263-806C-0B6F0BBEF256}"/>
    <cellStyle name="Note 2 4 8" xfId="3838" xr:uid="{94F5DE91-6B1E-48E5-86EA-449F2BBDFB50}"/>
    <cellStyle name="Note 2 4 9" xfId="4276" xr:uid="{CBF6F6E0-4725-46B3-9886-19C79FEA41A6}"/>
    <cellStyle name="Note 2 40" xfId="17967" xr:uid="{57D28392-B98A-4110-81D1-2E78D05B9C15}"/>
    <cellStyle name="Note 2 41" xfId="17158" xr:uid="{A76C8CB5-24B5-4C7C-96F3-9C3DBB24B9C4}"/>
    <cellStyle name="Note 2 42" xfId="19010" xr:uid="{CF386F75-7902-4E0C-8D86-6A140FACC676}"/>
    <cellStyle name="Note 2 43" xfId="18939" xr:uid="{10544CE5-2514-40BA-9733-552EE86460FF}"/>
    <cellStyle name="Note 2 44" xfId="19555" xr:uid="{03CDFB83-BC49-483E-B342-53CCB03E56EB}"/>
    <cellStyle name="Note 2 45" xfId="20361" xr:uid="{A930B0F0-146D-40B6-AAE3-DE31B8266480}"/>
    <cellStyle name="Note 2 46" xfId="20816" xr:uid="{9F533879-4E4B-4DA9-91D9-8AFC0DC1286F}"/>
    <cellStyle name="Note 2 47" xfId="20326" xr:uid="{EB4D1894-22A2-4185-9C94-1F533DB143FF}"/>
    <cellStyle name="Note 2 48" xfId="21747" xr:uid="{5EB5C76C-8E0B-4103-8565-4F8B365CFFC6}"/>
    <cellStyle name="Note 2 49" xfId="22186" xr:uid="{04AEB7B4-5533-499F-A141-504F6F59326F}"/>
    <cellStyle name="Note 2 5" xfId="684" xr:uid="{FF1F27D5-8570-4D2B-B55D-1AFE138DBB90}"/>
    <cellStyle name="Note 2 5 10" xfId="5332" xr:uid="{209A17F0-BDB3-49EF-9ABD-6A9F6BB6C799}"/>
    <cellStyle name="Note 2 5 11" xfId="5052" xr:uid="{CC567384-2FFF-43E6-8A8E-3FEA9083331A}"/>
    <cellStyle name="Note 2 5 12" xfId="4821" xr:uid="{1C6DB5D0-B25B-476F-BD79-945A5FE1C506}"/>
    <cellStyle name="Note 2 5 13" xfId="5938" xr:uid="{528A17EF-32A5-4352-B384-E8D34EFA677D}"/>
    <cellStyle name="Note 2 5 14" xfId="7404" xr:uid="{471970FD-AA49-4296-B581-D51CC8066905}"/>
    <cellStyle name="Note 2 5 15" xfId="8030" xr:uid="{9BAB29E0-4AA4-4A29-8E30-B02E248861A1}"/>
    <cellStyle name="Note 2 5 16" xfId="7621" xr:uid="{34CE6FCF-5742-402F-807D-A97925549E84}"/>
    <cellStyle name="Note 2 5 17" xfId="8589" xr:uid="{61664345-7E99-41E8-987F-5FCF332C59F5}"/>
    <cellStyle name="Note 2 5 18" xfId="9618" xr:uid="{A6CF51D9-262E-40BA-BFEC-429D3EDD5B50}"/>
    <cellStyle name="Note 2 5 19" xfId="10250" xr:uid="{AB6495C3-D3CA-4CA3-8E1D-AA70606ED7A2}"/>
    <cellStyle name="Note 2 5 2" xfId="1166" xr:uid="{32FAF65D-2BC3-4E0B-8B8E-158666D6E00B}"/>
    <cellStyle name="Note 2 5 20" xfId="10644" xr:uid="{4466D7E2-E6F1-4867-9DAA-123D273DF9D0}"/>
    <cellStyle name="Note 2 5 21" xfId="10999" xr:uid="{5887A36D-CD99-452A-AB09-E1E99711CCE4}"/>
    <cellStyle name="Note 2 5 22" xfId="11227" xr:uid="{9465DD33-2342-4D9E-ACA7-C2DBA61777F0}"/>
    <cellStyle name="Note 2 5 23" xfId="12037" xr:uid="{76471B3F-0BF4-4D10-857F-E262F908BF49}"/>
    <cellStyle name="Note 2 5 24" xfId="12510" xr:uid="{7CAB3FD5-325E-4DDF-96D7-6DE3CA17E617}"/>
    <cellStyle name="Note 2 5 25" xfId="12944" xr:uid="{DDE7E8CC-60FC-4E3B-8629-B5473146B4F8}"/>
    <cellStyle name="Note 2 5 26" xfId="13381" xr:uid="{FFF94268-8C25-47A3-911A-7B3EDA295AB9}"/>
    <cellStyle name="Note 2 5 27" xfId="11468" xr:uid="{9E48479E-6841-4ACC-A105-E8396ABA8A0F}"/>
    <cellStyle name="Note 2 5 28" xfId="11448" xr:uid="{5C046FAA-6686-42E1-923A-9935A349B736}"/>
    <cellStyle name="Note 2 5 29" xfId="14897" xr:uid="{F044E2B8-542C-4D43-B0BA-E05393E4F99E}"/>
    <cellStyle name="Note 2 5 3" xfId="1517" xr:uid="{4AEE26DD-7BB7-4A39-A084-2530AA0FA1AD}"/>
    <cellStyle name="Note 2 5 30" xfId="11553" xr:uid="{7D22C6F0-1D9A-40C7-BBAF-E86527C8165F}"/>
    <cellStyle name="Note 2 5 31" xfId="14761" xr:uid="{AFF68D1C-ED52-4A77-BD8A-70E34176A5D3}"/>
    <cellStyle name="Note 2 5 32" xfId="15988" xr:uid="{D13A056D-834D-41CE-824E-E61847668795}"/>
    <cellStyle name="Note 2 5 33" xfId="16729" xr:uid="{BCCEAB97-EAF2-4D00-8831-116C3428A20F}"/>
    <cellStyle name="Note 2 5 34" xfId="17371" xr:uid="{ED85812C-95F2-4526-9DE2-4C57D1B93FB9}"/>
    <cellStyle name="Note 2 5 35" xfId="17813" xr:uid="{270F2091-C529-4CC3-9E2A-60312B112431}"/>
    <cellStyle name="Note 2 5 36" xfId="18060" xr:uid="{933B60F6-E1DD-4E31-8F3A-F43B24D63523}"/>
    <cellStyle name="Note 2 5 37" xfId="18547" xr:uid="{2133F3FD-A46A-4742-888C-A29E90B06527}"/>
    <cellStyle name="Note 2 5 38" xfId="17727" xr:uid="{40B705AF-1DFF-409B-A2B9-68B46CA013F5}"/>
    <cellStyle name="Note 2 5 39" xfId="19339" xr:uid="{041C4A34-1B93-424B-AE2B-D64891805E87}"/>
    <cellStyle name="Note 2 5 4" xfId="2506" xr:uid="{ACCF46A0-EFFE-45E2-9E13-59A0F693609E}"/>
    <cellStyle name="Note 2 5 40" xfId="20066" xr:uid="{9D452103-46A9-4143-9237-FEA0FFA50FA8}"/>
    <cellStyle name="Note 2 5 41" xfId="20721" xr:uid="{04F5E217-0F3A-44DB-9B2B-E387852CB0EB}"/>
    <cellStyle name="Note 2 5 42" xfId="21179" xr:uid="{998C8B87-9A2A-4E8F-ABC2-D5CFC5BC6596}"/>
    <cellStyle name="Note 2 5 43" xfId="21591" xr:uid="{4B868F6F-8AA2-44F0-B29C-EBC26F9E790F}"/>
    <cellStyle name="Note 2 5 44" xfId="22110" xr:uid="{76B5043D-9BD9-4770-8355-6F8B64E4F15C}"/>
    <cellStyle name="Note 2 5 45" xfId="22538" xr:uid="{8804D2FC-8EDA-4F31-83CC-02ABCDB7B3D5}"/>
    <cellStyle name="Note 2 5 46" xfId="22364" xr:uid="{B9F0F692-F41E-443C-A6FD-4D163C06975B}"/>
    <cellStyle name="Note 2 5 47" xfId="22253" xr:uid="{30AFDFC8-55E1-4A0F-8FEA-E623FA06B6A8}"/>
    <cellStyle name="Note 2 5 48" xfId="23660" xr:uid="{275F412C-32B4-471B-89D6-D34EA24A0CA8}"/>
    <cellStyle name="Note 2 5 49" xfId="23874" xr:uid="{6D999280-0320-4AD9-B02A-523C6579C56F}"/>
    <cellStyle name="Note 2 5 5" xfId="2253" xr:uid="{257EEAFE-71F9-496F-BDFC-0460B7FFB263}"/>
    <cellStyle name="Note 2 5 50" xfId="24774" xr:uid="{4DAD3F7A-9372-4609-BC76-28409BBBDF29}"/>
    <cellStyle name="Note 2 5 51" xfId="25425" xr:uid="{F0DB1808-8B3D-4566-BF1D-9DCA631C3EF9}"/>
    <cellStyle name="Note 2 5 52" xfId="25692" xr:uid="{FD788385-7702-45F5-963A-386E79D3B505}"/>
    <cellStyle name="Note 2 5 53" xfId="25368" xr:uid="{5E316B1F-1960-48B3-9531-5D95BA584583}"/>
    <cellStyle name="Note 2 5 54" xfId="26444" xr:uid="{42E8693D-94A0-44EF-B5F6-ACDED177FEF3}"/>
    <cellStyle name="Note 2 5 55" xfId="26982" xr:uid="{83E60F42-AD57-420F-B1AA-1C2E0EF99E93}"/>
    <cellStyle name="Note 2 5 56" xfId="27401" xr:uid="{88D95964-C9BA-4ACD-99C9-BCEA2DC73DAA}"/>
    <cellStyle name="Note 2 5 57" xfId="27743" xr:uid="{7EDED7C3-0EB3-4315-8170-FB54FFBC2644}"/>
    <cellStyle name="Note 2 5 58" xfId="28524" xr:uid="{3ECCE59F-22FC-4084-A30D-31A1E194C80B}"/>
    <cellStyle name="Note 2 5 59" xfId="28992" xr:uid="{82474BAB-2C6C-4B38-977E-998119834064}"/>
    <cellStyle name="Note 2 5 6" xfId="3008" xr:uid="{0517CB3F-0810-40E7-A83C-5B3CDE601F2C}"/>
    <cellStyle name="Note 2 5 60" xfId="29538" xr:uid="{ABE164A4-98EE-45B0-A518-1A6089EEA55B}"/>
    <cellStyle name="Note 2 5 61" xfId="29782" xr:uid="{006D6369-6854-485D-89F8-1FE63D825B12}"/>
    <cellStyle name="Note 2 5 62" xfId="30189" xr:uid="{D01D141A-FB91-4CA2-8278-7F0E6E80F52F}"/>
    <cellStyle name="Note 2 5 63" xfId="30604" xr:uid="{AF608979-C064-458D-9FBB-199B26BA1808}"/>
    <cellStyle name="Note 2 5 64" xfId="29484" xr:uid="{9CA32D8F-EF5F-4BA7-8A93-4D54103078E4}"/>
    <cellStyle name="Note 2 5 65" xfId="31227" xr:uid="{1BD5ADD0-117F-47C0-B23E-D2E7D34399CC}"/>
    <cellStyle name="Note 2 5 66" xfId="31913" xr:uid="{B2A9405E-B2D0-480F-89B9-565788B5CB38}"/>
    <cellStyle name="Note 2 5 67" xfId="32372" xr:uid="{74CC0197-9F1E-4190-B2D3-1FBDA845C72D}"/>
    <cellStyle name="Note 2 5 7" xfId="4002" xr:uid="{5A2FD7AB-03EB-4F4C-BCF2-560103F566C4}"/>
    <cellStyle name="Note 2 5 8" xfId="4440" xr:uid="{8C63563E-3C30-4F77-9E2A-8441C8C08B8D}"/>
    <cellStyle name="Note 2 5 9" xfId="4783" xr:uid="{410B20B7-AEB4-4705-ADC7-4CA0A22FF2CC}"/>
    <cellStyle name="Note 2 50" xfId="22461" xr:uid="{1FFE1FD8-CC18-4D2C-9F23-74C4855554EE}"/>
    <cellStyle name="Note 2 51" xfId="23291" xr:uid="{F4509F1B-73DD-40B6-AFDC-29CCA86092DC}"/>
    <cellStyle name="Note 2 52" xfId="23127" xr:uid="{B31E7550-99EF-4660-AA30-BB8D2DB87B2A}"/>
    <cellStyle name="Note 2 53" xfId="20366" xr:uid="{6DCBC012-2C6C-4A07-ACDA-69E729E8C6B9}"/>
    <cellStyle name="Note 2 54" xfId="24276" xr:uid="{CCCE92EA-38C3-4E44-835A-452CF4241325}"/>
    <cellStyle name="Note 2 55" xfId="25077" xr:uid="{F6FF9BB4-6D1C-41D9-9731-1FBE62F0B9BD}"/>
    <cellStyle name="Note 2 56" xfId="25223" xr:uid="{C445F00D-5537-47D7-B6DA-65AFF3986910}"/>
    <cellStyle name="Note 2 57" xfId="25330" xr:uid="{F18D4404-7E58-48B9-89F9-B3E70FB02E2F}"/>
    <cellStyle name="Note 2 58" xfId="26142" xr:uid="{8F26FEA7-6C69-43D0-BD69-013D7E77738A}"/>
    <cellStyle name="Note 2 59" xfId="24362" xr:uid="{9773D261-EF28-4200-93DD-6C71C2945245}"/>
    <cellStyle name="Note 2 6" xfId="927" xr:uid="{21A8219B-6727-4E2E-A577-C023DADCC5C1}"/>
    <cellStyle name="Note 2 60" xfId="26772" xr:uid="{DB102AC4-39A7-4B58-BAA1-A0483D553685}"/>
    <cellStyle name="Note 2 61" xfId="26785" xr:uid="{0E439440-7141-4254-8383-7B4B383B7C11}"/>
    <cellStyle name="Note 2 62" xfId="28056" xr:uid="{A18894C6-86E1-4EAB-8778-E212D7311E16}"/>
    <cellStyle name="Note 2 63" xfId="28046" xr:uid="{DEBDE385-0129-4325-AEEC-1325A828D231}"/>
    <cellStyle name="Note 2 64" xfId="29230" xr:uid="{EB3CFD33-E406-47F8-B477-01038D934F22}"/>
    <cellStyle name="Note 2 65" xfId="29398" xr:uid="{59C1EBB6-FDF7-4158-BF74-68E2AD73C602}"/>
    <cellStyle name="Note 2 66" xfId="29333" xr:uid="{EEB30B3F-E785-4844-A96D-2041EB17B0CF}"/>
    <cellStyle name="Note 2 67" xfId="29485" xr:uid="{A1E9D6C5-AEAD-43F8-AD5F-5A0F1ED9A57A}"/>
    <cellStyle name="Note 2 68" xfId="30817" xr:uid="{D3B7B67D-ECAF-4FAA-A3FB-C455B1BCDA13}"/>
    <cellStyle name="Note 2 69" xfId="29204" xr:uid="{DA0921E0-B86C-47ED-860A-50C887312E78}"/>
    <cellStyle name="Note 2 7" xfId="1594" xr:uid="{C54A4358-0B54-4CF4-A4D8-F04A758AD3EB}"/>
    <cellStyle name="Note 2 70" xfId="31537" xr:uid="{AAE32360-F721-4C9D-B052-3778EB49A707}"/>
    <cellStyle name="Note 2 71" xfId="32325" xr:uid="{D5F08BAE-9008-4305-B3C9-FECF1FC1B5D2}"/>
    <cellStyle name="Note 2 8" xfId="1998" xr:uid="{0A9EE395-AAC7-4297-AE60-5F5AD96A6520}"/>
    <cellStyle name="Note 2 9" xfId="2718" xr:uid="{5A4EB8D6-194E-4781-9B9E-49252A520929}"/>
    <cellStyle name="Note 3" xfId="236" xr:uid="{18B663CF-669F-4600-9B01-CD7D57EDF23B}"/>
    <cellStyle name="Note 3 10" xfId="3741" xr:uid="{9C037425-E128-4383-B35A-D3607930D91C}"/>
    <cellStyle name="Note 3 11" xfId="2810" xr:uid="{BBE71932-E5DC-4A68-B3C7-95EF2938FFB7}"/>
    <cellStyle name="Note 3 12" xfId="2871" xr:uid="{AE4F781B-91E2-4289-8C11-01AEEC205FBC}"/>
    <cellStyle name="Note 3 13" xfId="4449" xr:uid="{6DDE4632-47EA-4F1A-8463-769AB749686C}"/>
    <cellStyle name="Note 3 14" xfId="3440" xr:uid="{B197FED4-0ED8-4F6F-9037-30372FA3DD01}"/>
    <cellStyle name="Note 3 15" xfId="3151" xr:uid="{85DCB746-EBB1-440B-ABEF-85CAD1323A24}"/>
    <cellStyle name="Note 3 16" xfId="6072" xr:uid="{89BB1D2A-D0D6-4961-8396-A33F0E8FC653}"/>
    <cellStyle name="Note 3 17" xfId="6696" xr:uid="{10B64804-A622-4D1C-9FA9-0CDC8A9DC706}"/>
    <cellStyle name="Note 3 18" xfId="6967" xr:uid="{8908D213-B6CB-4D2C-8DE2-1BBC60B2CF43}"/>
    <cellStyle name="Note 3 19" xfId="7620" xr:uid="{559C2FBF-2DA2-4F27-A608-2DD7CCCCEB68}"/>
    <cellStyle name="Note 3 2" xfId="589" xr:uid="{A86B2AD8-B724-4B33-A639-DA65B84AE840}"/>
    <cellStyle name="Note 3 2 10" xfId="4870" xr:uid="{35A7BB59-04E2-480E-9EC0-139C47553253}"/>
    <cellStyle name="Note 3 2 11" xfId="5237" xr:uid="{0F0A738E-481D-4B06-8D81-94FDA30DF5BA}"/>
    <cellStyle name="Note 3 2 12" xfId="5644" xr:uid="{38DAB877-F4F6-43DB-8D81-2EC84636A114}"/>
    <cellStyle name="Note 3 2 13" xfId="5125" xr:uid="{C6135428-AAC3-46B2-95A6-334B04BC2C41}"/>
    <cellStyle name="Note 3 2 14" xfId="4828" xr:uid="{CDDD6C03-08E0-415F-99BB-B20955174F76}"/>
    <cellStyle name="Note 3 2 15" xfId="7309" xr:uid="{482FFACD-A6FE-4A0E-8C51-CEE0F6ABA5DB}"/>
    <cellStyle name="Note 3 2 16" xfId="7871" xr:uid="{B9DC268C-367B-4795-A87F-FA7C097CD6AB}"/>
    <cellStyle name="Note 3 2 17" xfId="7654" xr:uid="{CDD23DC7-ECE7-4D73-9591-D0E319ED843C}"/>
    <cellStyle name="Note 3 2 18" xfId="8895" xr:uid="{EE1B8EEA-B1BB-449E-BED7-08CF7FF54806}"/>
    <cellStyle name="Note 3 2 19" xfId="9523" xr:uid="{D7CAA4C1-C44F-40A4-A5A5-7089F456DB21}"/>
    <cellStyle name="Note 3 2 2" xfId="804" xr:uid="{0C9E377C-AEDB-48C2-9B5B-966D39D5FB50}"/>
    <cellStyle name="Note 3 2 2 10" xfId="5452" xr:uid="{FF47D0A4-BA7E-4A5C-BB84-F91888A46D0C}"/>
    <cellStyle name="Note 3 2 2 11" xfId="2740" xr:uid="{B38FC69C-43A5-46CA-A750-A253096F4DE8}"/>
    <cellStyle name="Note 3 2 2 12" xfId="3347" xr:uid="{556BD02F-2FF9-4FB4-A947-7FFB10785085}"/>
    <cellStyle name="Note 3 2 2 13" xfId="5652" xr:uid="{FEE966A1-5426-45BA-9618-617222A26217}"/>
    <cellStyle name="Note 3 2 2 14" xfId="7524" xr:uid="{4A9447B2-8314-4511-901F-3E661D2748BF}"/>
    <cellStyle name="Note 3 2 2 15" xfId="6772" xr:uid="{1361DBC1-1379-4BAA-8844-B17FD60A6AC2}"/>
    <cellStyle name="Note 3 2 2 16" xfId="8180" xr:uid="{C73F8081-CB40-4DF1-A1E1-729F71EE73E9}"/>
    <cellStyle name="Note 3 2 2 17" xfId="8316" xr:uid="{DE7D9112-59B0-4269-99C5-2B146FF0F123}"/>
    <cellStyle name="Note 3 2 2 18" xfId="9738" xr:uid="{8C495411-138A-4F28-BA68-AB4AE1E42BCC}"/>
    <cellStyle name="Note 3 2 2 19" xfId="8984" xr:uid="{550C5FA9-244A-4AA8-93D6-023481544E85}"/>
    <cellStyle name="Note 3 2 2 2" xfId="1278" xr:uid="{7F4E22FE-36E9-4934-B5CD-238BFB01E803}"/>
    <cellStyle name="Note 3 2 2 20" xfId="9348" xr:uid="{DCD76E82-5CC4-4F7A-8318-4C0FF7223A4F}"/>
    <cellStyle name="Note 3 2 2 21" xfId="9084" xr:uid="{C2864D5F-754A-4C65-A063-6F50D5B20D46}"/>
    <cellStyle name="Note 3 2 2 22" xfId="10225" xr:uid="{F199A29E-F67A-4685-9B76-08502DA85CC3}"/>
    <cellStyle name="Note 3 2 2 23" xfId="12157" xr:uid="{96FD0697-0030-4FC1-9371-4CF9BB083093}"/>
    <cellStyle name="Note 3 2 2 24" xfId="12630" xr:uid="{BA5795CC-24F4-4432-876F-EB114AF6F808}"/>
    <cellStyle name="Note 3 2 2 25" xfId="13064" xr:uid="{4E15F760-7421-42A5-A02D-DED2207591DA}"/>
    <cellStyle name="Note 3 2 2 26" xfId="13501" xr:uid="{E16F3674-BB71-40AA-AE70-CA171273CF5E}"/>
    <cellStyle name="Note 3 2 2 27" xfId="11378" xr:uid="{4D18FC98-762F-41F6-8941-465795AC1735}"/>
    <cellStyle name="Note 3 2 2 28" xfId="11663" xr:uid="{AC2BE4D6-1C69-45DA-9256-F43A87E3CAC6}"/>
    <cellStyle name="Note 3 2 2 29" xfId="11660" xr:uid="{B9FA5C90-DB39-4BAE-90AB-6E9AE34EF0B1}"/>
    <cellStyle name="Note 3 2 2 3" xfId="1697" xr:uid="{03F4112F-AD3D-4C49-B0E5-B7648308FCAC}"/>
    <cellStyle name="Note 3 2 2 30" xfId="11357" xr:uid="{A2D19F19-470D-482A-B475-51E5211F77D3}"/>
    <cellStyle name="Note 3 2 2 31" xfId="14364" xr:uid="{1906437A-603D-4E8A-99A8-14B5861685EA}"/>
    <cellStyle name="Note 3 2 2 32" xfId="14227" xr:uid="{6A73CDC3-CA80-4577-BB0E-268D85AD9E0F}"/>
    <cellStyle name="Note 3 2 2 33" xfId="16849" xr:uid="{F1DC12C6-8E2B-4FD4-8EF6-9449ACDCFA78}"/>
    <cellStyle name="Note 3 2 2 34" xfId="16081" xr:uid="{0B5E78AC-37EB-431B-909A-657EE0C7DAEA}"/>
    <cellStyle name="Note 3 2 2 35" xfId="16457" xr:uid="{DFD19DDF-F5EB-4665-9065-9DCA8BA04D6C}"/>
    <cellStyle name="Note 3 2 2 36" xfId="16551" xr:uid="{BF28C863-9A8B-46AC-AEF5-ECB9B5771D06}"/>
    <cellStyle name="Note 3 2 2 37" xfId="18667" xr:uid="{692B3655-BB8B-4195-9450-B8F4537E9068}"/>
    <cellStyle name="Note 3 2 2 38" xfId="17522" xr:uid="{5FB085FF-3469-417F-B243-4697741891CC}"/>
    <cellStyle name="Note 3 2 2 39" xfId="16950" xr:uid="{FAB6EB3A-8FB4-4AD5-908F-04BFD1C735D6}"/>
    <cellStyle name="Note 3 2 2 4" xfId="2626" xr:uid="{EDD3F3BB-BF97-4DB3-9A4A-673AF5583E45}"/>
    <cellStyle name="Note 3 2 2 40" xfId="20186" xr:uid="{7F874EBA-B0A4-4327-B0AD-8B66C394E1EF}"/>
    <cellStyle name="Note 3 2 2 41" xfId="19414" xr:uid="{9EDD0739-8B24-4338-91AB-E2413C0C3E87}"/>
    <cellStyle name="Note 3 2 2 42" xfId="20350" xr:uid="{CC11E3C3-5EDB-4858-A51E-4404BA7D8567}"/>
    <cellStyle name="Note 3 2 2 43" xfId="19888" xr:uid="{2C21DDA9-BCC6-47FA-AFED-51464B0CBAA0}"/>
    <cellStyle name="Note 3 2 2 44" xfId="20544" xr:uid="{C9B91AE6-D062-4436-B891-C54D9078BAC6}"/>
    <cellStyle name="Note 3 2 2 45" xfId="20580" xr:uid="{B2B798B4-784A-412F-871E-50343002DAB1}"/>
    <cellStyle name="Note 3 2 2 46" xfId="20294" xr:uid="{2CC70719-11DD-47A5-A977-174625D95A59}"/>
    <cellStyle name="Note 3 2 2 47" xfId="22167" xr:uid="{D2A7141A-DFC8-48CE-8579-4296D794A813}"/>
    <cellStyle name="Note 3 2 2 48" xfId="22782" xr:uid="{327F8351-EC9B-4F58-9736-5C3B826892F5}"/>
    <cellStyle name="Note 3 2 2 49" xfId="23986" xr:uid="{F6EFA5A8-A8E3-4FBE-A9A0-F096EB182CCC}"/>
    <cellStyle name="Note 3 2 2 5" xfId="2060" xr:uid="{384902CA-AFC8-46A8-91C4-77AAB92878F6}"/>
    <cellStyle name="Note 3 2 2 50" xfId="24894" xr:uid="{69F4FA9D-E5EE-4BB4-A8B8-5A9461707C1F}"/>
    <cellStyle name="Note 3 2 2 51" xfId="24138" xr:uid="{46DA3704-5FFE-4462-9CBA-C1D7623EFA9C}"/>
    <cellStyle name="Note 3 2 2 52" xfId="25810" xr:uid="{567BA968-DF8E-4992-8022-091A62D976F3}"/>
    <cellStyle name="Note 3 2 2 53" xfId="24126" xr:uid="{46AC0812-E918-4D60-A47A-B0A2C027A513}"/>
    <cellStyle name="Note 3 2 2 54" xfId="26340" xr:uid="{B91B85FF-1C28-4171-AC96-14D53A656E84}"/>
    <cellStyle name="Note 3 2 2 55" xfId="27098" xr:uid="{1C1F6126-D8B7-4406-A7EC-FADD47B8E797}"/>
    <cellStyle name="Note 3 2 2 56" xfId="27517" xr:uid="{E4F8F219-6BA2-4073-9C28-AD442890FA14}"/>
    <cellStyle name="Note 3 2 2 57" xfId="27649" xr:uid="{B5D9BCF4-52F3-4F55-ACB3-491355122DE0}"/>
    <cellStyle name="Note 3 2 2 58" xfId="28644" xr:uid="{72D51EBB-ADC8-4828-81E6-A7CA7B57F27F}"/>
    <cellStyle name="Note 3 2 2 59" xfId="29111" xr:uid="{AB12AC0A-94DC-47A6-BCFC-5888EBF81284}"/>
    <cellStyle name="Note 3 2 2 6" xfId="2104" xr:uid="{29ECBCE7-9E10-4ED6-832B-894C3426EF02}"/>
    <cellStyle name="Note 3 2 2 60" xfId="27920" xr:uid="{B6BB410C-6212-4711-8D68-FB4B45037590}"/>
    <cellStyle name="Note 3 2 2 61" xfId="29900" xr:uid="{D392A540-2AB1-41EF-B737-308683585F63}"/>
    <cellStyle name="Note 3 2 2 62" xfId="30306" xr:uid="{FF382FC0-7B80-4990-B61E-74DF3BA9BD0B}"/>
    <cellStyle name="Note 3 2 2 63" xfId="30723" xr:uid="{242FA59E-35F2-4F56-9164-5DEC34D5383D}"/>
    <cellStyle name="Note 3 2 2 64" xfId="30411" xr:uid="{E0222EE8-80E7-42F1-947C-81B9C8317959}"/>
    <cellStyle name="Note 3 2 2 65" xfId="31339" xr:uid="{AABBB503-05FB-4873-89A8-89D5CF070F80}"/>
    <cellStyle name="Note 3 2 2 66" xfId="32030" xr:uid="{D34B9978-A4E7-490F-AF92-B367D94F2474}"/>
    <cellStyle name="Note 3 2 2 67" xfId="31440" xr:uid="{8639A31E-522D-44FF-8E6D-AED9E13B3A45}"/>
    <cellStyle name="Note 3 2 2 7" xfId="4122" xr:uid="{587AA71E-A441-4225-9AB5-DB46027FE9FC}"/>
    <cellStyle name="Note 3 2 2 8" xfId="4559" xr:uid="{C3F8A41B-E07C-44A6-96A3-47ABEC0672A9}"/>
    <cellStyle name="Note 3 2 2 9" xfId="3355" xr:uid="{C432007C-CAE5-421C-A65B-1A9ECD6BB6F1}"/>
    <cellStyle name="Note 3 2 20" xfId="10085" xr:uid="{2DBEEA12-A151-4183-94D0-A01078AEF2A8}"/>
    <cellStyle name="Note 3 2 21" xfId="10500" xr:uid="{14792ECC-975A-43BE-8543-902582642769}"/>
    <cellStyle name="Note 3 2 22" xfId="10870" xr:uid="{CA315A71-3730-4B7B-B53F-42003460EEEA}"/>
    <cellStyle name="Note 3 2 23" xfId="9892" xr:uid="{9D0357AB-F88F-4D6A-9718-D875AB3EE057}"/>
    <cellStyle name="Note 3 2 24" xfId="11942" xr:uid="{446FB554-4581-407D-9498-C593C066EC00}"/>
    <cellStyle name="Note 3 2 25" xfId="12415" xr:uid="{5210A17F-60F9-46E3-86B6-77A96B1C51C6}"/>
    <cellStyle name="Note 3 2 26" xfId="12849" xr:uid="{D192D9EB-55D5-444D-8083-2F2D458C80CD}"/>
    <cellStyle name="Note 3 2 27" xfId="13286" xr:uid="{275B1379-E102-4E38-98B5-BD4566F747AF}"/>
    <cellStyle name="Note 3 2 28" xfId="13683" xr:uid="{97A166A2-CD3E-4634-B8DE-228758F5F43C}"/>
    <cellStyle name="Note 3 2 29" xfId="14367" xr:uid="{83C53B64-828C-4219-8D93-105F0A097D98}"/>
    <cellStyle name="Note 3 2 3" xfId="1072" xr:uid="{C54F5F2B-3C04-4A92-BEB1-84906E18CB65}"/>
    <cellStyle name="Note 3 2 30" xfId="14615" xr:uid="{9BB2AF50-4C47-4AC7-A0B8-5E5B75A08C11}"/>
    <cellStyle name="Note 3 2 31" xfId="15292" xr:uid="{9CA91956-48FE-4306-8577-2C2B104FE8E1}"/>
    <cellStyle name="Note 3 2 32" xfId="15304" xr:uid="{48F9D11A-8696-40E2-BE0F-322CB9B371F6}"/>
    <cellStyle name="Note 3 2 33" xfId="15900" xr:uid="{8E55EFF2-4422-41E8-8A21-76E18021BD0C}"/>
    <cellStyle name="Note 3 2 34" xfId="16634" xr:uid="{ED010F0B-2C87-4476-8CD7-3994861C610D}"/>
    <cellStyle name="Note 3 2 35" xfId="17203" xr:uid="{4C3A09F7-D89C-452D-8AA8-49E44AB99986}"/>
    <cellStyle name="Note 3 2 36" xfId="17649" xr:uid="{4551FB7A-61EF-46E7-BE3C-C6AE654A7D2B}"/>
    <cellStyle name="Note 3 2 37" xfId="16164" xr:uid="{269EB182-6709-44B3-BFEB-357240A8DB09}"/>
    <cellStyle name="Note 3 2 38" xfId="18452" xr:uid="{F055F8BE-6CFD-4B15-969E-D0BAEA211377}"/>
    <cellStyle name="Note 3 2 39" xfId="17345" xr:uid="{8F0F57DA-13B9-4C42-8DD1-FD2D789F662D}"/>
    <cellStyle name="Note 3 2 4" xfId="1712" xr:uid="{FB38CCF1-1C34-4E5B-8764-2F555D33BEC3}"/>
    <cellStyle name="Note 3 2 40" xfId="19310" xr:uid="{F1E6AE58-CE8C-487F-B8B1-0B6BCD5AB2E8}"/>
    <cellStyle name="Note 3 2 41" xfId="19971" xr:uid="{CE6B291B-4356-4180-A33E-3AF2BF822BBF}"/>
    <cellStyle name="Note 3 2 42" xfId="20556" xr:uid="{FC39F197-6660-47D8-BCCA-0AF9A3D7F90D}"/>
    <cellStyle name="Note 3 2 43" xfId="21009" xr:uid="{551AE91D-FD87-4F0E-BACA-13463899A49D}"/>
    <cellStyle name="Note 3 2 44" xfId="21300" xr:uid="{2E0D7BB7-424B-41C4-8F2C-A79B54E9E76F}"/>
    <cellStyle name="Note 3 2 45" xfId="21940" xr:uid="{AEBD8616-D9F0-4D66-BC6D-678C0B6B7FCC}"/>
    <cellStyle name="Note 3 2 46" xfId="22372" xr:uid="{8F1E19BE-4B44-417B-8EE0-2D49658505B6}"/>
    <cellStyle name="Note 3 2 47" xfId="22682" xr:uid="{6F6D9584-C53C-4E60-9ECB-7C1FD1A63BCD}"/>
    <cellStyle name="Note 3 2 48" xfId="22318" xr:uid="{6174978E-64BA-4CAB-A901-52DDB5F24369}"/>
    <cellStyle name="Note 3 2 49" xfId="23620" xr:uid="{84299F41-A67B-4082-A72C-8BED35714D1F}"/>
    <cellStyle name="Note 3 2 5" xfId="2411" xr:uid="{36EC7712-6B00-4B20-8ECA-DB82610C5E14}"/>
    <cellStyle name="Note 3 2 50" xfId="23780" xr:uid="{C6646688-BC1E-4E39-A7EB-D14D28A4D35B}"/>
    <cellStyle name="Note 3 2 51" xfId="24679" xr:uid="{6032833E-D631-4C72-8C23-5A9C11680AA1}"/>
    <cellStyle name="Note 3 2 52" xfId="25264" xr:uid="{FD1A2245-F517-496C-8C46-FD5C8048BCBE}"/>
    <cellStyle name="Note 3 2 53" xfId="25597" xr:uid="{F29E3565-433A-4462-8E6D-16A23E2567BB}"/>
    <cellStyle name="Note 3 2 54" xfId="25986" xr:uid="{7F64022E-3E20-4C0A-8485-98A6B34821D7}"/>
    <cellStyle name="Note 3 2 55" xfId="26029" xr:uid="{FDD18A08-23D6-457B-A323-15D2B340AA8F}"/>
    <cellStyle name="Note 3 2 56" xfId="26887" xr:uid="{FAB0C112-78E5-4237-A565-D2114E4C7C90}"/>
    <cellStyle name="Note 3 2 57" xfId="27306" xr:uid="{231AF61E-1708-4C98-AA65-D27CEED912EE}"/>
    <cellStyle name="Note 3 2 58" xfId="27681" xr:uid="{D8C748FB-A9E9-4AC3-B2C1-E46867CEB6DD}"/>
    <cellStyle name="Note 3 2 59" xfId="28429" xr:uid="{8B179F49-183C-4FCF-B4F5-E9A98F72BCFB}"/>
    <cellStyle name="Note 3 2 6" xfId="2848" xr:uid="{A4091C4F-15F3-4F69-AF13-5F3E8D23C96A}"/>
    <cellStyle name="Note 3 2 60" xfId="28897" xr:uid="{699509B9-E590-4BC0-927C-96305158F021}"/>
    <cellStyle name="Note 3 2 61" xfId="29395" xr:uid="{09DA5CB1-FF44-4AF4-A902-7C8D4B0044A6}"/>
    <cellStyle name="Note 3 2 62" xfId="29687" xr:uid="{EB734A9B-275A-4465-A117-307D0149F6E0}"/>
    <cellStyle name="Note 3 2 63" xfId="30095" xr:uid="{D2BB6D97-CC1C-442C-87C6-02A8F0F04384}"/>
    <cellStyle name="Note 3 2 64" xfId="30509" xr:uid="{EBC468D4-D0F6-4269-9993-580C8DBEBAEE}"/>
    <cellStyle name="Note 3 2 65" xfId="30943" xr:uid="{DA1A3582-483E-4C5D-BAB6-9FF4575BB5FC}"/>
    <cellStyle name="Note 3 2 66" xfId="31133" xr:uid="{1C3F68FD-9FA4-466F-B8D7-2DC23D532550}"/>
    <cellStyle name="Note 3 2 67" xfId="31819" xr:uid="{F546E563-2EA0-4F09-81AB-6D92BD582063}"/>
    <cellStyle name="Note 3 2 68" xfId="31485" xr:uid="{F3CCD073-FDE3-4649-88EA-E07AE6FC0A62}"/>
    <cellStyle name="Note 3 2 7" xfId="3490" xr:uid="{95F9DAD1-677B-4170-9934-CD91B96A5DD6}"/>
    <cellStyle name="Note 3 2 8" xfId="3907" xr:uid="{13CC6127-C4F4-469A-B782-E626F5A9A157}"/>
    <cellStyle name="Note 3 2 9" xfId="4345" xr:uid="{350810A8-67C3-47A9-9963-22ED74FBEAED}"/>
    <cellStyle name="Note 3 20" xfId="8640" xr:uid="{A2F77650-4CB0-4A25-9904-CF1284A37A9D}"/>
    <cellStyle name="Note 3 21" xfId="8613" xr:uid="{9657CEC4-1237-467E-8FBE-053F92B6D667}"/>
    <cellStyle name="Note 3 22" xfId="9180" xr:uid="{8B88016B-0096-429A-B724-D4628DB320A6}"/>
    <cellStyle name="Note 3 23" xfId="9833" xr:uid="{E719ABF4-6D3D-47BF-8A8C-3932B0AF1268}"/>
    <cellStyle name="Note 3 24" xfId="9368" xr:uid="{5ECD60B9-7FA5-420D-ADC0-5C2EAE2C1CE5}"/>
    <cellStyle name="Note 3 25" xfId="10864" xr:uid="{8A147909-1079-452C-BBFB-96317C0B97FA}"/>
    <cellStyle name="Note 3 26" xfId="11313" xr:uid="{EDF9C352-01A3-41EF-9929-703A0FB17A48}"/>
    <cellStyle name="Note 3 27" xfId="11592" xr:uid="{BA4DE81E-9DB2-404A-AD02-0B7F9F0772D2}"/>
    <cellStyle name="Note 3 28" xfId="11360" xr:uid="{762BBD05-360F-4BBA-A5A0-D93D914FFF4D}"/>
    <cellStyle name="Note 3 29" xfId="11655" xr:uid="{02E21739-B312-44F3-92CE-329FFAEFE7B4}"/>
    <cellStyle name="Note 3 3" xfId="555" xr:uid="{4DD4BF44-E696-4DD8-ACC2-C47D84B9AE0D}"/>
    <cellStyle name="Note 3 3 10" xfId="4225" xr:uid="{CF6AAFA0-89BC-4814-9110-6DC571293414}"/>
    <cellStyle name="Note 3 3 11" xfId="5203" xr:uid="{2C7154CE-A5E6-4541-9409-009638FFA6C9}"/>
    <cellStyle name="Note 3 3 12" xfId="5862" xr:uid="{6920EF0E-8116-45F0-9470-0F110092B18B}"/>
    <cellStyle name="Note 3 3 13" xfId="6138" xr:uid="{D71C5F99-059B-454B-86E1-FF441AF80B91}"/>
    <cellStyle name="Note 3 3 14" xfId="6367" xr:uid="{EF7B587E-00BC-467F-9782-243871DF9E71}"/>
    <cellStyle name="Note 3 3 15" xfId="7275" xr:uid="{93F10208-76BF-4151-9BB2-8C3B5446EDA1}"/>
    <cellStyle name="Note 3 3 16" xfId="7932" xr:uid="{7E973218-68BF-48B0-9583-783733B14A56}"/>
    <cellStyle name="Note 3 3 17" xfId="8578" xr:uid="{265C62F2-F222-46C0-A03F-8FF929459E1E}"/>
    <cellStyle name="Note 3 3 18" xfId="8309" xr:uid="{6580C229-7F70-4F6A-A6D9-11F617A71F69}"/>
    <cellStyle name="Note 3 3 19" xfId="9489" xr:uid="{EC16616C-EACF-4D2D-80B5-7C55098AEE5B}"/>
    <cellStyle name="Note 3 3 2" xfId="770" xr:uid="{C5014E7E-CF5B-47C3-AF9D-084A0BD6FC20}"/>
    <cellStyle name="Note 3 3 2 10" xfId="5418" xr:uid="{5BF6D970-0858-4596-BCDA-8B2B122D1520}"/>
    <cellStyle name="Note 3 3 2 11" xfId="4651" xr:uid="{D0C701A4-9088-4B5E-96CF-E0F3963CD62F}"/>
    <cellStyle name="Note 3 3 2 12" xfId="2968" xr:uid="{F25A5A10-0347-4E3E-AE6B-A6C212E4149A}"/>
    <cellStyle name="Note 3 3 2 13" xfId="6178" xr:uid="{93C6B687-528A-42BF-B487-989A069BFF3B}"/>
    <cellStyle name="Note 3 3 2 14" xfId="7490" xr:uid="{DEFB21CD-1923-4D65-884D-FB2CDA19F6F2}"/>
    <cellStyle name="Note 3 3 2 15" xfId="7195" xr:uid="{D068EFE0-933F-4A32-8849-5E635EEF2095}"/>
    <cellStyle name="Note 3 3 2 16" xfId="8399" xr:uid="{07D19F0E-69FB-4B60-A351-97BAAE2FA05C}"/>
    <cellStyle name="Note 3 3 2 17" xfId="7413" xr:uid="{B344AFC7-518C-4215-BBFB-D5EBF1A3618F}"/>
    <cellStyle name="Note 3 3 2 18" xfId="9704" xr:uid="{D5DA0B16-047B-47E6-AB86-224989C42194}"/>
    <cellStyle name="Note 3 3 2 19" xfId="9408" xr:uid="{824223DC-7FDF-44F8-AC64-8AA3369B64E7}"/>
    <cellStyle name="Note 3 3 2 2" xfId="1244" xr:uid="{E67300C5-ECEA-4D0D-AD45-726AABA5B1E8}"/>
    <cellStyle name="Note 3 3 2 20" xfId="9137" xr:uid="{C8165EEB-6574-4537-9DDC-D434250D6E5C}"/>
    <cellStyle name="Note 3 3 2 21" xfId="9139" xr:uid="{FBBD54EE-BA4E-47A8-A8CC-1B38B16523C0}"/>
    <cellStyle name="Note 3 3 2 22" xfId="11066" xr:uid="{1EEB64C8-82E9-47BA-9C06-9D3A59F34FD8}"/>
    <cellStyle name="Note 3 3 2 23" xfId="12123" xr:uid="{2F4DBEA1-6EEB-4932-A725-9CFD46B91479}"/>
    <cellStyle name="Note 3 3 2 24" xfId="12596" xr:uid="{38864038-18E6-4D1E-AB58-D39771DC3094}"/>
    <cellStyle name="Note 3 3 2 25" xfId="13030" xr:uid="{2ABAED5E-F59E-4D98-A979-5C32156E2EC8}"/>
    <cellStyle name="Note 3 3 2 26" xfId="13467" xr:uid="{D48066C4-5E95-4942-913E-EDFF632F314D}"/>
    <cellStyle name="Note 3 3 2 27" xfId="11803" xr:uid="{BB371D3C-6C87-4C5C-94A4-EAE57C174DDE}"/>
    <cellStyle name="Note 3 3 2 28" xfId="12247" xr:uid="{5506C861-D979-4885-98DE-BD9FDB979A09}"/>
    <cellStyle name="Note 3 3 2 29" xfId="14215" xr:uid="{3E829F81-F864-4B9A-BD05-A42B1647C44F}"/>
    <cellStyle name="Note 3 3 2 3" xfId="1431" xr:uid="{BCF77101-A046-4AD1-B210-6A4788B5E35D}"/>
    <cellStyle name="Note 3 3 2 30" xfId="15276" xr:uid="{5659B8DA-130F-4164-A096-B3CFC79BCBD9}"/>
    <cellStyle name="Note 3 3 2 31" xfId="13700" xr:uid="{AC7CC832-F859-4910-B8E6-6B3B4F1CFE09}"/>
    <cellStyle name="Note 3 3 2 32" xfId="14916" xr:uid="{FF93B34E-0C8B-4CA2-8ADC-C5753A4F6BDD}"/>
    <cellStyle name="Note 3 3 2 33" xfId="16815" xr:uid="{16DF0283-C822-4AA0-9BBB-FB9F4BF718AC}"/>
    <cellStyle name="Note 3 3 2 34" xfId="16517" xr:uid="{D959B0D8-B0D6-40F7-8A42-41B8DBA2F259}"/>
    <cellStyle name="Note 3 3 2 35" xfId="16241" xr:uid="{453E07F6-BC04-472F-AB23-CFE5C7CE1FAA}"/>
    <cellStyle name="Note 3 3 2 36" xfId="17887" xr:uid="{FD0BF369-E08B-4A80-90FA-A6CFAB7EB01E}"/>
    <cellStyle name="Note 3 3 2 37" xfId="18633" xr:uid="{F4C25C3C-44A4-4758-AAC5-4919EA8395BD}"/>
    <cellStyle name="Note 3 3 2 38" xfId="18039" xr:uid="{32564A33-FE04-4546-BA70-DB02B1282657}"/>
    <cellStyle name="Note 3 3 2 39" xfId="16217" xr:uid="{23256CAD-3A6F-4A82-852A-FD2A17DDC113}"/>
    <cellStyle name="Note 3 3 2 4" xfId="2592" xr:uid="{55AB61FD-1D07-4B3B-A2C4-E74EF945A5E1}"/>
    <cellStyle name="Note 3 3 2 40" xfId="20152" xr:uid="{EC14075E-1598-49FC-9EF5-5F94E03FCA0D}"/>
    <cellStyle name="Note 3 3 2 41" xfId="19853" xr:uid="{0F120831-F106-4388-A60C-058297135AC3}"/>
    <cellStyle name="Note 3 3 2 42" xfId="20302" xr:uid="{95BE38B4-727D-443B-B749-40DA821C9787}"/>
    <cellStyle name="Note 3 3 2 43" xfId="21524" xr:uid="{0A7A565F-FB2F-49B4-845D-7CB1240F365B}"/>
    <cellStyle name="Note 3 3 2 44" xfId="19542" xr:uid="{A934F192-8C8A-47C4-81A9-89D2CCCE17BE}"/>
    <cellStyle name="Note 3 3 2 45" xfId="21488" xr:uid="{35F06E0E-D81E-4338-B399-23AFF53B1DBB}"/>
    <cellStyle name="Note 3 3 2 46" xfId="22184" xr:uid="{FE3905E4-33F5-43A4-BC61-DEEAC1ED2793}"/>
    <cellStyle name="Note 3 3 2 47" xfId="22337" xr:uid="{BB5CCD62-F1AF-4241-9B3A-F49DCE200212}"/>
    <cellStyle name="Note 3 3 2 48" xfId="22780" xr:uid="{1111798C-29FC-46EB-B4B3-EA75CF11E524}"/>
    <cellStyle name="Note 3 3 2 49" xfId="23952" xr:uid="{0E4F32E8-E56C-444F-A730-E0C92CF2BF59}"/>
    <cellStyle name="Note 3 3 2 5" xfId="2328" xr:uid="{8C3C0F55-1100-4C1A-915A-200069069FB4}"/>
    <cellStyle name="Note 3 3 2 50" xfId="24860" xr:uid="{D5C1E5AB-59AA-4B3E-8FAC-4FDCDBA44200}"/>
    <cellStyle name="Note 3 3 2 51" xfId="24395" xr:uid="{08538442-01DF-445C-AC40-4021A7CA72C0}"/>
    <cellStyle name="Note 3 3 2 52" xfId="25776" xr:uid="{3DB56803-A6A9-4EED-931B-68B753D0585B}"/>
    <cellStyle name="Note 3 3 2 53" xfId="24269" xr:uid="{221BC2AF-D5A4-44F6-9250-661F0FDBF67F}"/>
    <cellStyle name="Note 3 3 2 54" xfId="26684" xr:uid="{EFD90596-D081-4839-9685-20A21D7CF871}"/>
    <cellStyle name="Note 3 3 2 55" xfId="27064" xr:uid="{E4B2D76C-92D0-493C-822D-0604AF402549}"/>
    <cellStyle name="Note 3 3 2 56" xfId="27483" xr:uid="{4B12EC4A-204B-4E42-87BE-B6E9A28891C5}"/>
    <cellStyle name="Note 3 3 2 57" xfId="26002" xr:uid="{2A89996E-C287-44EF-8180-4B1AE50673B4}"/>
    <cellStyle name="Note 3 3 2 58" xfId="28610" xr:uid="{78B20692-B0D2-4F6E-BDFE-989450EEEC55}"/>
    <cellStyle name="Note 3 3 2 59" xfId="29077" xr:uid="{B6318E39-80C3-4802-BEBD-A59312A76DF1}"/>
    <cellStyle name="Note 3 3 2 6" xfId="3359" xr:uid="{1B5B5FBB-65DE-4186-82A9-B2BC508E7EC4}"/>
    <cellStyle name="Note 3 3 2 60" xfId="28790" xr:uid="{B230205B-E42F-484E-804C-43935F399D94}"/>
    <cellStyle name="Note 3 3 2 61" xfId="29866" xr:uid="{9D40B8E7-EEAF-4C28-BB22-15A40730D930}"/>
    <cellStyle name="Note 3 3 2 62" xfId="30272" xr:uid="{9129C210-D994-4412-BD25-B2FCAA9C29A8}"/>
    <cellStyle name="Note 3 3 2 63" xfId="30689" xr:uid="{E1912BC2-E921-4BE4-9EC3-CA5EC518BFF0}"/>
    <cellStyle name="Note 3 3 2 64" xfId="29596" xr:uid="{B2AA9D37-8509-4588-BA4E-0B6D7870A778}"/>
    <cellStyle name="Note 3 3 2 65" xfId="31305" xr:uid="{E8A7EBA0-854F-47DF-B942-88837FE67D7B}"/>
    <cellStyle name="Note 3 3 2 66" xfId="31996" xr:uid="{F9EBBAAE-0740-4EDA-B605-8788C515FE0D}"/>
    <cellStyle name="Note 3 3 2 67" xfId="32192" xr:uid="{4098A961-D5ED-44E8-BAB1-0C355A4B2254}"/>
    <cellStyle name="Note 3 3 2 7" xfId="4088" xr:uid="{DA7C39CE-A1F6-4F01-95D5-9E36D8F7819E}"/>
    <cellStyle name="Note 3 3 2 8" xfId="4525" xr:uid="{91F82B71-BC28-41BC-9AD1-59DD175B8B47}"/>
    <cellStyle name="Note 3 3 2 9" xfId="3542" xr:uid="{D6D8DD70-CB0E-48C7-AA77-ACAA74ACE138}"/>
    <cellStyle name="Note 3 3 20" xfId="10145" xr:uid="{37341C7A-762C-4174-8DCF-B5E4D4FCE69F}"/>
    <cellStyle name="Note 3 3 21" xfId="10555" xr:uid="{919D7628-BB4B-4AA4-808D-B4AF9FB7541B}"/>
    <cellStyle name="Note 3 3 22" xfId="8954" xr:uid="{CE13B9AC-D7E9-4124-8830-8D6AFC46A6FC}"/>
    <cellStyle name="Note 3 3 23" xfId="11095" xr:uid="{98F0D045-18A4-426C-AC2D-E8198F14693C}"/>
    <cellStyle name="Note 3 3 24" xfId="11908" xr:uid="{79CF0348-41EA-44E5-BE5F-8A3822B51816}"/>
    <cellStyle name="Note 3 3 25" xfId="12381" xr:uid="{FB7C6E00-057D-46F8-81E3-DFF60EAB5A1E}"/>
    <cellStyle name="Note 3 3 26" xfId="12815" xr:uid="{37DADCEF-E496-44F1-BF17-B12E2C3EC2AF}"/>
    <cellStyle name="Note 3 3 27" xfId="13252" xr:uid="{1CA67615-BD73-4689-996F-770A97DCC155}"/>
    <cellStyle name="Note 3 3 28" xfId="11610" xr:uid="{DE8FB246-E0EB-4984-94AB-D1E985F95E3C}"/>
    <cellStyle name="Note 3 3 29" xfId="12325" xr:uid="{6B5F96C4-BAD0-46AD-8BF3-ABB540C6AC02}"/>
    <cellStyle name="Note 3 3 3" xfId="1038" xr:uid="{65E53414-A0E2-429B-ACA8-5456B8A6A771}"/>
    <cellStyle name="Note 3 3 30" xfId="14741" xr:uid="{EA3151D4-5A89-41FF-9451-58AE482AADA0}"/>
    <cellStyle name="Note 3 3 31" xfId="11821" xr:uid="{4B92E08F-6643-4382-AE9A-E9FBE73EC67A}"/>
    <cellStyle name="Note 3 3 32" xfId="15546" xr:uid="{7B941BF5-AC0F-4406-A975-27B3CB70E6EA}"/>
    <cellStyle name="Note 3 3 33" xfId="15935" xr:uid="{3A801749-509E-4B16-91F7-4D2B04B8774F}"/>
    <cellStyle name="Note 3 3 34" xfId="16600" xr:uid="{8D1CB7CE-46BC-4116-A6E6-BC109E6A3371}"/>
    <cellStyle name="Note 3 3 35" xfId="17265" xr:uid="{1458CF67-AF3D-49BE-B256-7CA7188394C1}"/>
    <cellStyle name="Note 3 3 36" xfId="17709" xr:uid="{A8E88AF4-2149-4D9C-A72F-F19890C2F1A3}"/>
    <cellStyle name="Note 3 3 37" xfId="17536" xr:uid="{198FC08B-F011-4D4A-8227-51E7F8EB260B}"/>
    <cellStyle name="Note 3 3 38" xfId="18418" xr:uid="{4F06C914-3167-4589-8097-5CADFA9861CF}"/>
    <cellStyle name="Note 3 3 39" xfId="17942" xr:uid="{ED788CB3-7C4B-40EF-B59D-51819398167B}"/>
    <cellStyle name="Note 3 3 4" xfId="1661" xr:uid="{97012357-B01A-47FF-8FFD-C4C6D595CC02}"/>
    <cellStyle name="Note 3 3 40" xfId="18044" xr:uid="{D892F3A0-6631-4619-AF1F-7117249470C1}"/>
    <cellStyle name="Note 3 3 41" xfId="19937" xr:uid="{8ADF98A6-2022-4E73-992E-FCE73D5C195D}"/>
    <cellStyle name="Note 3 3 42" xfId="20615" xr:uid="{C62B9006-0B56-4015-A4D7-399F354CF336}"/>
    <cellStyle name="Note 3 3 43" xfId="21070" xr:uid="{5FE3D8CC-9EE3-45FE-B842-AAF602F70664}"/>
    <cellStyle name="Note 3 3 44" xfId="20880" xr:uid="{39AECE3D-B057-4F3A-87D8-4C60FE22581F}"/>
    <cellStyle name="Note 3 3 45" xfId="22001" xr:uid="{D0F03877-517B-4A18-85DE-979B0B61EE3C}"/>
    <cellStyle name="Note 3 3 46" xfId="22432" xr:uid="{B92F2653-B755-4B36-BDD4-C2EA2CC1DAFE}"/>
    <cellStyle name="Note 3 3 47" xfId="19597" xr:uid="{C4AF34C1-6F0E-477B-BDB6-0E7DB3648B80}"/>
    <cellStyle name="Note 3 3 48" xfId="20478" xr:uid="{ADD5C62A-E8B3-4D35-9229-8A23CED3950F}"/>
    <cellStyle name="Note 3 3 49" xfId="22133" xr:uid="{D76A7083-1955-4B60-AE40-671D2AB9D0C0}"/>
    <cellStyle name="Note 3 3 5" xfId="2377" xr:uid="{8CD7D771-E9B0-4196-9B02-45DCC1D0289A}"/>
    <cellStyle name="Note 3 3 50" xfId="23746" xr:uid="{4E28086C-A900-4A9B-87D2-85BEFF45A41E}"/>
    <cellStyle name="Note 3 3 51" xfId="24645" xr:uid="{92C427DB-5245-4071-8917-0E2D06DF47EE}"/>
    <cellStyle name="Note 3 3 52" xfId="25321" xr:uid="{52ADAE1B-B87B-48A5-9ED0-C3613872E346}"/>
    <cellStyle name="Note 3 3 53" xfId="25563" xr:uid="{86B5F8AC-0F63-4430-AC54-068F9EAA6A72}"/>
    <cellStyle name="Note 3 3 54" xfId="24363" xr:uid="{881436E3-D0E3-49ED-951F-BC743BDA3419}"/>
    <cellStyle name="Note 3 3 55" xfId="26635" xr:uid="{E5FEF565-13E4-419B-8D94-C6E5CEC541FB}"/>
    <cellStyle name="Note 3 3 56" xfId="26853" xr:uid="{8CA023AC-8F13-4D27-B3C0-B1F432FF2C00}"/>
    <cellStyle name="Note 3 3 57" xfId="27272" xr:uid="{23CCA6EB-11F5-4EB9-A819-7A7B5B0D10EA}"/>
    <cellStyle name="Note 3 3 58" xfId="27686" xr:uid="{6F2D7D9A-A0BB-48ED-90AA-B581BA8D7EE2}"/>
    <cellStyle name="Note 3 3 59" xfId="28395" xr:uid="{E27716B6-B3E2-4124-B467-993EC96D9608}"/>
    <cellStyle name="Note 3 3 6" xfId="1923" xr:uid="{E1BA7E32-CBAB-47E5-875E-F47516B73C72}"/>
    <cellStyle name="Note 3 3 60" xfId="28863" xr:uid="{C642D059-2A66-476E-82CC-15A13EADEDDF}"/>
    <cellStyle name="Note 3 3 61" xfId="29445" xr:uid="{331E1506-A948-4879-AD33-C27BD552A926}"/>
    <cellStyle name="Note 3 3 62" xfId="29653" xr:uid="{4BA5CEA3-D26E-4027-8270-F96ABE5D048B}"/>
    <cellStyle name="Note 3 3 63" xfId="30061" xr:uid="{708AB913-CC2B-4E7E-86A4-9DD21964A00A}"/>
    <cellStyle name="Note 3 3 64" xfId="30475" xr:uid="{7366DEAB-A47C-469E-9BE8-47AEBFEBA829}"/>
    <cellStyle name="Note 3 3 65" xfId="30922" xr:uid="{A0D47BEB-3B2E-48F5-8767-E6C29A514844}"/>
    <cellStyle name="Note 3 3 66" xfId="31099" xr:uid="{FF45200D-B50A-42FD-8C15-59EBA23DFD31}"/>
    <cellStyle name="Note 3 3 67" xfId="31785" xr:uid="{C6A72692-E460-4EF1-8674-533F903E60AF}"/>
    <cellStyle name="Note 3 3 68" xfId="32151" xr:uid="{01601350-F6F2-4F60-8419-EDD330EDC758}"/>
    <cellStyle name="Note 3 3 7" xfId="2179" xr:uid="{B124D0F9-B29E-4B2A-85E7-543B3AAABEE1}"/>
    <cellStyle name="Note 3 3 8" xfId="3873" xr:uid="{3C334AC5-C8CF-40FD-9D53-F42574ED2036}"/>
    <cellStyle name="Note 3 3 9" xfId="4311" xr:uid="{6E315B1B-E678-4120-9CD1-D9620421D80B}"/>
    <cellStyle name="Note 3 30" xfId="11784" xr:uid="{65CBCF1E-3920-4C1F-A8CD-9E26888E956E}"/>
    <cellStyle name="Note 3 31" xfId="13970" xr:uid="{F2D4681E-DD03-4035-A68B-C1F1E96D0E58}"/>
    <cellStyle name="Note 3 32" xfId="13172" xr:uid="{A58F0093-4738-4C06-8BA9-F694F35D3730}"/>
    <cellStyle name="Note 3 33" xfId="14379" xr:uid="{EF5F25E8-0865-4BFD-AD30-AE56373EF9DC}"/>
    <cellStyle name="Note 3 34" xfId="14663" xr:uid="{02E6F0BB-80CC-418E-BEA4-A39F5EC948C8}"/>
    <cellStyle name="Note 3 35" xfId="14996" xr:uid="{D17D44B5-6114-47A1-AA56-6197585A7AD9}"/>
    <cellStyle name="Note 3 36" xfId="15802" xr:uid="{75F8CF7B-6BB2-4789-9C6C-034EE4138072}"/>
    <cellStyle name="Note 3 37" xfId="16287" xr:uid="{D70EF32C-A123-4217-A710-7926538692F8}"/>
    <cellStyle name="Note 3 38" xfId="16946" xr:uid="{D40C8098-ABF6-40B8-87ED-2C437E4C797B}"/>
    <cellStyle name="Note 3 39" xfId="16999" xr:uid="{0CB6F0A5-DA5C-4DD0-BE8D-F49E520A567C}"/>
    <cellStyle name="Note 3 4" xfId="573" xr:uid="{57AC2032-8089-4440-A019-5350E1B400CC}"/>
    <cellStyle name="Note 3 4 10" xfId="3344" xr:uid="{6666AAD1-A3FB-4959-AFCC-AFCFBDEC4FC6}"/>
    <cellStyle name="Note 3 4 11" xfId="5221" xr:uid="{47696283-A468-4176-BC36-95835B5EA1FA}"/>
    <cellStyle name="Note 3 4 12" xfId="5725" xr:uid="{3F4CA826-B1FB-40A7-8112-4A3DE93AF23F}"/>
    <cellStyle name="Note 3 4 13" xfId="5646" xr:uid="{1AB29A1E-5658-4154-BDDA-3F03A21F6E36}"/>
    <cellStyle name="Note 3 4 14" xfId="6638" xr:uid="{14C97117-0479-4DEA-9A29-D5A8DCF80D71}"/>
    <cellStyle name="Note 3 4 15" xfId="7293" xr:uid="{3D94A5A8-34B8-4AA5-B172-D4E0A9FA92AA}"/>
    <cellStyle name="Note 3 4 16" xfId="7052" xr:uid="{C4694309-36EF-45DD-9569-8632CD37C33C}"/>
    <cellStyle name="Note 3 4 17" xfId="8181" xr:uid="{BCEC337A-ADF4-4BA2-BCF7-7979CDA644E6}"/>
    <cellStyle name="Note 3 4 18" xfId="8558" xr:uid="{17847FEF-F5AE-405C-B671-25223028ADA1}"/>
    <cellStyle name="Note 3 4 19" xfId="9507" xr:uid="{2AA9CA03-F9CD-43FD-84A6-72F21AC95D41}"/>
    <cellStyle name="Note 3 4 2" xfId="788" xr:uid="{3CA561A8-5BCC-4FFD-A9A9-01307CF5F78E}"/>
    <cellStyle name="Note 3 4 2 10" xfId="5436" xr:uid="{951D46AB-733C-4990-A757-9A793151EA9D}"/>
    <cellStyle name="Note 3 4 2 11" xfId="5960" xr:uid="{29817CA1-2E9B-40A2-8093-FAFF85974A53}"/>
    <cellStyle name="Note 3 4 2 12" xfId="3178" xr:uid="{5046417A-88E6-4464-A242-B4758FD2EB58}"/>
    <cellStyle name="Note 3 4 2 13" xfId="6570" xr:uid="{3A426D2F-1E4D-4DD4-AC35-C72BD076C781}"/>
    <cellStyle name="Note 3 4 2 14" xfId="7508" xr:uid="{366F6949-9FCE-4AED-8009-6849905F5D85}"/>
    <cellStyle name="Note 3 4 2 15" xfId="7106" xr:uid="{3C450949-9AFB-4C63-8832-EBF5994DA7B7}"/>
    <cellStyle name="Note 3 4 2 16" xfId="6900" xr:uid="{EB8BBB03-3B2A-4A01-B044-6E722E442306}"/>
    <cellStyle name="Note 3 4 2 17" xfId="8577" xr:uid="{17D9966A-B7A6-495C-976F-55CC2DEDADDD}"/>
    <cellStyle name="Note 3 4 2 18" xfId="9722" xr:uid="{59722796-9B2F-47B8-80D5-D77BFB36A798}"/>
    <cellStyle name="Note 3 4 2 19" xfId="9192" xr:uid="{1624B79A-E90E-4315-90E6-D33CDD8BB9D9}"/>
    <cellStyle name="Note 3 4 2 2" xfId="1262" xr:uid="{289449E9-EFBB-43C1-B1B5-791676D9D721}"/>
    <cellStyle name="Note 3 4 2 20" xfId="9085" xr:uid="{7624822D-3198-4AB9-BB59-FDDF785518D9}"/>
    <cellStyle name="Note 3 4 2 21" xfId="8972" xr:uid="{4CD64D4C-D060-4A10-A275-70DD9DEDF192}"/>
    <cellStyle name="Note 3 4 2 22" xfId="11120" xr:uid="{2B94CA51-733D-4FDC-9C6C-F4436A977892}"/>
    <cellStyle name="Note 3 4 2 23" xfId="12141" xr:uid="{15E40E9A-0AC0-430E-8AB1-C31428F35558}"/>
    <cellStyle name="Note 3 4 2 24" xfId="12614" xr:uid="{135AB9D3-C460-40B3-8E93-0AEA8AB66084}"/>
    <cellStyle name="Note 3 4 2 25" xfId="13048" xr:uid="{21A8E3C2-90F8-41BE-9C96-D783206CE6EC}"/>
    <cellStyle name="Note 3 4 2 26" xfId="13485" xr:uid="{9FD2250D-4DA4-4F0E-B882-C1E0D4875824}"/>
    <cellStyle name="Note 3 4 2 27" xfId="12296" xr:uid="{957576EE-5D2E-4470-8BB6-0051538DF2EB}"/>
    <cellStyle name="Note 3 4 2 28" xfId="13881" xr:uid="{D63B7ACC-5E98-4AF5-B085-3FA704B20143}"/>
    <cellStyle name="Note 3 4 2 29" xfId="14155" xr:uid="{3AD35EA6-3AF8-4A22-B801-C16049051CF3}"/>
    <cellStyle name="Note 3 4 2 3" xfId="1508" xr:uid="{9C188BCE-7382-4491-946F-88D3D0640879}"/>
    <cellStyle name="Note 3 4 2 30" xfId="15199" xr:uid="{53B8608E-8B4A-4107-994E-E55EF2087203}"/>
    <cellStyle name="Note 3 4 2 31" xfId="14572" xr:uid="{4454072D-A261-44C4-BF1E-6F54986B7B1B}"/>
    <cellStyle name="Note 3 4 2 32" xfId="14978" xr:uid="{FBBB8D06-0089-4149-8D5F-47FAD4B8ED54}"/>
    <cellStyle name="Note 3 4 2 33" xfId="16833" xr:uid="{ADD5AD6C-6E29-499E-A058-BFCE96B26CF5}"/>
    <cellStyle name="Note 3 4 2 34" xfId="16428" xr:uid="{7B42746C-D0D1-4333-9D21-E394DAEB2265}"/>
    <cellStyle name="Note 3 4 2 35" xfId="16493" xr:uid="{461C93DB-051F-4CFD-B799-AED3648A0D45}"/>
    <cellStyle name="Note 3 4 2 36" xfId="17774" xr:uid="{AE741A20-5EAD-495B-8FAC-9FC7594E28E0}"/>
    <cellStyle name="Note 3 4 2 37" xfId="18651" xr:uid="{B379F170-768D-4BA1-90DA-9E72796E9D6D}"/>
    <cellStyle name="Note 3 4 2 38" xfId="19017" xr:uid="{CE4A2590-2092-4C4F-A8A0-B7B3F2D9C802}"/>
    <cellStyle name="Note 3 4 2 39" xfId="19021" xr:uid="{1941FC13-5F74-4C88-A657-F9B96BEEEBD7}"/>
    <cellStyle name="Note 3 4 2 4" xfId="2610" xr:uid="{19E03A94-6FE9-49FE-9590-68A59E8291C5}"/>
    <cellStyle name="Note 3 4 2 40" xfId="20170" xr:uid="{F381A815-7A5B-493B-AB95-549A267DCECF}"/>
    <cellStyle name="Note 3 4 2 41" xfId="19588" xr:uid="{46376924-80FB-40CE-BB5C-1B17D23F06E6}"/>
    <cellStyle name="Note 3 4 2 42" xfId="19705" xr:uid="{D1EB2D24-83DE-4C11-971C-44EE2544C871}"/>
    <cellStyle name="Note 3 4 2 43" xfId="21426" xr:uid="{828DB5F1-4F18-453F-8426-B0AEDBA87682}"/>
    <cellStyle name="Note 3 4 2 44" xfId="20665" xr:uid="{BF17BDDF-A2D1-47B9-8F2A-2CBC0720C8B5}"/>
    <cellStyle name="Note 3 4 2 45" xfId="21328" xr:uid="{1A3036A1-50BF-4283-A777-7CCC6F277510}"/>
    <cellStyle name="Note 3 4 2 46" xfId="22170" xr:uid="{9C518442-7A71-4467-A991-BC88EAB49802}"/>
    <cellStyle name="Note 3 4 2 47" xfId="23296" xr:uid="{C1C911FB-20A3-4F38-B9BF-718479B5F63A}"/>
    <cellStyle name="Note 3 4 2 48" xfId="23165" xr:uid="{FD0B9601-179D-4F4E-A061-7612F8AB0C0F}"/>
    <cellStyle name="Note 3 4 2 49" xfId="23970" xr:uid="{6F1E0709-F7CC-4AB6-8C55-1FB88DD5BFCF}"/>
    <cellStyle name="Note 3 4 2 5" xfId="2032" xr:uid="{7DC3FFDE-1C7A-41C1-88DA-C0C0FC73C9D5}"/>
    <cellStyle name="Note 3 4 2 50" xfId="24878" xr:uid="{86B2586A-1600-4306-A08F-6991F107BFD5}"/>
    <cellStyle name="Note 3 4 2 51" xfId="24305" xr:uid="{942B44C6-C8A4-4734-8052-CBEE38D99C48}"/>
    <cellStyle name="Note 3 4 2 52" xfId="25794" xr:uid="{0A4208C3-72A4-4E40-ADB3-361EDECD004A}"/>
    <cellStyle name="Note 3 4 2 53" xfId="24493" xr:uid="{2086C291-48FA-4D81-8A10-CB829BFEA02D}"/>
    <cellStyle name="Note 3 4 2 54" xfId="26631" xr:uid="{322ADA26-9F6D-4B46-8568-D3D3A6C5967E}"/>
    <cellStyle name="Note 3 4 2 55" xfId="27082" xr:uid="{65BCA766-DF1D-4816-8EA1-378591922613}"/>
    <cellStyle name="Note 3 4 2 56" xfId="27501" xr:uid="{5D427DC5-DA2F-4676-8FD5-C1C87C03FC9F}"/>
    <cellStyle name="Note 3 4 2 57" xfId="26787" xr:uid="{05FC04C1-0C70-41EA-8143-40A66AF37648}"/>
    <cellStyle name="Note 3 4 2 58" xfId="28628" xr:uid="{4492E260-0CC4-4256-8B93-BD32656BB7F7}"/>
    <cellStyle name="Note 3 4 2 59" xfId="29095" xr:uid="{79EA0DED-718E-4745-AA91-DD22E55FAAAB}"/>
    <cellStyle name="Note 3 4 2 6" xfId="3491" xr:uid="{F2D94946-C12F-43FF-BD1E-1C41016C6D9F}"/>
    <cellStyle name="Note 3 4 2 60" xfId="28087" xr:uid="{17C7E89D-492D-435B-9E9D-DBE2FBF8C2E3}"/>
    <cellStyle name="Note 3 4 2 61" xfId="29884" xr:uid="{00752345-0FE1-4B0F-8F36-39EDE9F41405}"/>
    <cellStyle name="Note 3 4 2 62" xfId="30290" xr:uid="{FDFF22DE-0149-4BF9-B4B3-EF3099A26718}"/>
    <cellStyle name="Note 3 4 2 63" xfId="30707" xr:uid="{96908FEE-1A1D-4DF7-B1BD-7D2A9B8C0232}"/>
    <cellStyle name="Note 3 4 2 64" xfId="30857" xr:uid="{F9AD71AA-4D18-4C18-A0EE-C9F306DC230F}"/>
    <cellStyle name="Note 3 4 2 65" xfId="31323" xr:uid="{91F696AD-7694-48B8-BF6F-BE2AF90E218F}"/>
    <cellStyle name="Note 3 4 2 66" xfId="32014" xr:uid="{C1BCC1CB-4672-40AB-AFFA-795B4D4C01C4}"/>
    <cellStyle name="Note 3 4 2 67" xfId="31552" xr:uid="{0FF1246A-5D6B-426C-BB38-085CE415FE7F}"/>
    <cellStyle name="Note 3 4 2 7" xfId="4106" xr:uid="{1A4FA466-5410-496A-9B95-19E302D675FD}"/>
    <cellStyle name="Note 3 4 2 8" xfId="4543" xr:uid="{267F2E22-BCCA-4F85-99DE-10BBD1A37496}"/>
    <cellStyle name="Note 3 4 2 9" xfId="4240" xr:uid="{C5633819-5D5E-4F43-B778-B93BA3CE068C}"/>
    <cellStyle name="Note 3 4 20" xfId="9265" xr:uid="{9558FD60-420A-4B22-8F3A-B7475676C1AC}"/>
    <cellStyle name="Note 3 4 21" xfId="9830" xr:uid="{8BC94005-1C77-4E68-9D4E-0FBBA9423280}"/>
    <cellStyle name="Note 3 4 22" xfId="10773" xr:uid="{E95EBF93-E5B0-4112-A6D4-60D7AD4C2239}"/>
    <cellStyle name="Note 3 4 23" xfId="11156" xr:uid="{0D13930B-FFBA-4620-88BB-4AE9E8E360C1}"/>
    <cellStyle name="Note 3 4 24" xfId="11926" xr:uid="{097EE104-D271-475F-B1E0-692C4AEF0841}"/>
    <cellStyle name="Note 3 4 25" xfId="12399" xr:uid="{A28F47EB-4231-40F9-BA06-10A69C57D6C9}"/>
    <cellStyle name="Note 3 4 26" xfId="12833" xr:uid="{FB90DDA2-6633-4D8E-B6D6-302CDB34246F}"/>
    <cellStyle name="Note 3 4 27" xfId="13270" xr:uid="{11D9E0D4-D541-4879-B376-9064AA0076F0}"/>
    <cellStyle name="Note 3 4 28" xfId="13749" xr:uid="{68B3D8B2-481F-41DA-B3F1-70A176E3104A}"/>
    <cellStyle name="Note 3 4 29" xfId="13193" xr:uid="{EBFE1218-059E-468F-B0E6-BE41B07ED262}"/>
    <cellStyle name="Note 3 4 3" xfId="1056" xr:uid="{3BFA2672-8CE0-4B7C-9B5E-84323E9AC02D}"/>
    <cellStyle name="Note 3 4 30" xfId="14123" xr:uid="{570DB1BD-3EAA-4D27-B9FA-2966F1905484}"/>
    <cellStyle name="Note 3 4 31" xfId="14704" xr:uid="{3DC6CCE8-6E29-4AE0-B97E-C3AE78E04CE9}"/>
    <cellStyle name="Note 3 4 32" xfId="14211" xr:uid="{0F184A01-CE2D-4FD0-9453-9D3A29C4FCA2}"/>
    <cellStyle name="Note 3 4 33" xfId="15417" xr:uid="{912647F1-E08D-4675-AB23-19643FCB1E7A}"/>
    <cellStyle name="Note 3 4 34" xfId="16618" xr:uid="{F658D630-1841-4A7D-81AA-45A0159D4C28}"/>
    <cellStyle name="Note 3 4 35" xfId="16374" xr:uid="{CB0F19E5-4115-40C1-9811-BACD548508EA}"/>
    <cellStyle name="Note 3 4 36" xfId="16943" xr:uid="{8CA790FD-91B1-4956-8DF7-74CAAA3683C4}"/>
    <cellStyle name="Note 3 4 37" xfId="18187" xr:uid="{5DDCCF88-41DF-4E53-ADF3-651FDF5188A1}"/>
    <cellStyle name="Note 3 4 38" xfId="18436" xr:uid="{64B8BF84-4D70-4EC7-9276-F0DE7F56E454}"/>
    <cellStyle name="Note 3 4 39" xfId="18871" xr:uid="{1E64D218-1B0E-4F27-B791-EA21021B1DD5}"/>
    <cellStyle name="Note 3 4 4" xfId="1692" xr:uid="{32632B5D-1B86-4D6A-8228-F3341BD681EE}"/>
    <cellStyle name="Note 3 4 40" xfId="19228" xr:uid="{2DF4E263-4A16-4EFB-AFC5-CEDBDB87EACA}"/>
    <cellStyle name="Note 3 4 41" xfId="19955" xr:uid="{2187DB68-8FFE-4337-8424-C480485FEB4D}"/>
    <cellStyle name="Note 3 4 42" xfId="19708" xr:uid="{B9A71345-108A-49E0-B28C-131542472E99}"/>
    <cellStyle name="Note 3 4 43" xfId="20475" xr:uid="{C37B51F2-3A0F-4E75-A166-0EE96DF9E550}"/>
    <cellStyle name="Note 3 4 44" xfId="19375" xr:uid="{D2203D3C-B4BD-4F7B-851B-7DCF8A38431F}"/>
    <cellStyle name="Note 3 4 45" xfId="20300" xr:uid="{7D74CCCA-B4B4-4CFB-8422-AFDC885F808A}"/>
    <cellStyle name="Note 3 4 46" xfId="21902" xr:uid="{7887D971-9B5F-4A1B-A195-40606182B9AA}"/>
    <cellStyle name="Note 3 4 47" xfId="22744" xr:uid="{6C1911C0-1C19-4B78-A9C0-3DF9E05BE6B9}"/>
    <cellStyle name="Note 3 4 48" xfId="23147" xr:uid="{A508BBBC-EBC8-44DD-A46F-59B56F3BDEFA}"/>
    <cellStyle name="Note 3 4 49" xfId="22841" xr:uid="{284AEE26-613F-47F7-BA61-7D7793337BC9}"/>
    <cellStyle name="Note 3 4 5" xfId="2395" xr:uid="{7761383A-0818-4553-A84F-16D8BB6A7273}"/>
    <cellStyle name="Note 3 4 50" xfId="23764" xr:uid="{FE86CEA6-EB87-487C-A5C3-7C880130343E}"/>
    <cellStyle name="Note 3 4 51" xfId="24663" xr:uid="{16469613-532E-4567-B529-2E29E7663AC9}"/>
    <cellStyle name="Note 3 4 52" xfId="24550" xr:uid="{EAA3C366-24AC-4497-8D7E-001A7874F737}"/>
    <cellStyle name="Note 3 4 53" xfId="25581" xr:uid="{DB9A7C27-87DF-4C2F-A0F2-87740DEF8005}"/>
    <cellStyle name="Note 3 4 54" xfId="25401" xr:uid="{ECD529C4-583C-4060-919A-CC78735789D9}"/>
    <cellStyle name="Note 3 4 55" xfId="26622" xr:uid="{CB80BA84-4FE3-4AE7-A68F-CB244330FB4F}"/>
    <cellStyle name="Note 3 4 56" xfId="26871" xr:uid="{BE2A9378-41A8-4ED0-84E2-61A4AC234597}"/>
    <cellStyle name="Note 3 4 57" xfId="27290" xr:uid="{66AB5707-EE9B-4672-A717-BC610BF82EF3}"/>
    <cellStyle name="Note 3 4 58" xfId="27624" xr:uid="{ECCF5BBA-B67D-46FC-B527-336D1323649B}"/>
    <cellStyle name="Note 3 4 59" xfId="28413" xr:uid="{F06033C9-867A-4AD1-828D-321DDFFDE6EB}"/>
    <cellStyle name="Note 3 4 6" xfId="2915" xr:uid="{1E00EAF8-C5F3-4287-8ED3-43504EE0FC34}"/>
    <cellStyle name="Note 3 4 60" xfId="28881" xr:uid="{F4C465DD-12E2-42A0-BE77-67664457C827}"/>
    <cellStyle name="Note 3 4 61" xfId="27917" xr:uid="{C62D240A-6552-48E3-8E56-AAC8949CDE80}"/>
    <cellStyle name="Note 3 4 62" xfId="29671" xr:uid="{0095DAC1-5E94-4BE4-9318-367F88E3AFA8}"/>
    <cellStyle name="Note 3 4 63" xfId="30079" xr:uid="{0E193941-91A6-4834-930A-69B01BA4D4D9}"/>
    <cellStyle name="Note 3 4 64" xfId="30493" xr:uid="{8160A11C-CFCD-4048-AF30-6BC70A4D490A}"/>
    <cellStyle name="Note 3 4 65" xfId="30889" xr:uid="{D3EA48D1-3F3F-4056-90B5-99702EE37D47}"/>
    <cellStyle name="Note 3 4 66" xfId="31117" xr:uid="{3D6118D9-B0A4-4E2A-8000-869FB02DFC3F}"/>
    <cellStyle name="Note 3 4 67" xfId="31803" xr:uid="{20DBCBCF-C789-4F0F-90C8-637542851224}"/>
    <cellStyle name="Note 3 4 68" xfId="31661" xr:uid="{BA5FAE46-8A13-47E1-8350-4CD673D2A87D}"/>
    <cellStyle name="Note 3 4 7" xfId="3244" xr:uid="{563BD4B6-9077-4B87-A707-EF8DF4872997}"/>
    <cellStyle name="Note 3 4 8" xfId="3891" xr:uid="{3359A13B-8860-4EFE-969A-91DA3C64B850}"/>
    <cellStyle name="Note 3 4 9" xfId="4329" xr:uid="{08F92137-2F85-4CAD-9FC4-04E5D4EB72E9}"/>
    <cellStyle name="Note 3 40" xfId="17875" xr:uid="{19BD0CB2-7342-4791-83A4-8F967F00AA83}"/>
    <cellStyle name="Note 3 41" xfId="18269" xr:uid="{C7AA1698-49AD-4730-B4D5-89E58341FE44}"/>
    <cellStyle name="Note 3 42" xfId="18167" xr:uid="{E9E5E513-34EA-4B64-833F-2D4FDEBCEA76}"/>
    <cellStyle name="Note 3 43" xfId="19196" xr:uid="{E136224E-F41E-4A3D-8DFA-E1F886550859}"/>
    <cellStyle name="Note 3 44" xfId="19620" xr:uid="{31DE52BE-834F-4C2C-B7CC-6CA33A0C1338}"/>
    <cellStyle name="Note 3 45" xfId="20289" xr:uid="{F6B7E0B2-1B8F-4535-9823-664E4E68DC21}"/>
    <cellStyle name="Note 3 46" xfId="20550" xr:uid="{5D1D4FE1-5CEB-4794-93DF-DCC125A8FEEE}"/>
    <cellStyle name="Note 3 47" xfId="21031" xr:uid="{0AD3E6C9-C28F-42DF-84B8-AF88B4AF1D31}"/>
    <cellStyle name="Note 3 48" xfId="20832" xr:uid="{D5F12486-EA15-4537-ADA4-AED2D34F9DE7}"/>
    <cellStyle name="Note 3 49" xfId="21535" xr:uid="{AFD3F08A-8868-4B44-AB37-BC4A113456FF}"/>
    <cellStyle name="Note 3 5" xfId="690" xr:uid="{DED39CB2-BCBD-4F06-BA36-7EBD0D7A0925}"/>
    <cellStyle name="Note 3 5 10" xfId="5338" xr:uid="{1D55AB9C-2067-4613-A680-3480A703CC7F}"/>
    <cellStyle name="Note 3 5 11" xfId="5860" xr:uid="{A01CF246-6354-43B0-99A9-0670A52BB749}"/>
    <cellStyle name="Note 3 5 12" xfId="4739" xr:uid="{F2059F95-C63F-4D7E-9AF2-7345E600D5C5}"/>
    <cellStyle name="Note 3 5 13" xfId="5570" xr:uid="{C01A92DA-0CB2-4735-AC12-6961CBF67926}"/>
    <cellStyle name="Note 3 5 14" xfId="7410" xr:uid="{AF0236C0-D1BA-4EFC-A120-C74620579D9D}"/>
    <cellStyle name="Note 3 5 15" xfId="7917" xr:uid="{051B9A29-CF73-4D4B-ADE9-5768C9C785BE}"/>
    <cellStyle name="Note 3 5 16" xfId="8271" xr:uid="{13D6BFBA-7DB9-4636-9C34-1554D397E24B}"/>
    <cellStyle name="Note 3 5 17" xfId="8511" xr:uid="{AEE91F16-A50D-4221-97C1-C2F54AC3FCB7}"/>
    <cellStyle name="Note 3 5 18" xfId="9624" xr:uid="{48E77B2B-4BBD-4F7C-B17C-A4FEC3EA4E5B}"/>
    <cellStyle name="Note 3 5 19" xfId="10131" xr:uid="{1E230FBB-7BBD-45FF-B054-094B6EA899D1}"/>
    <cellStyle name="Note 3 5 2" xfId="1172" xr:uid="{BFD0006B-A98D-4936-A39E-5B20CBA7B87C}"/>
    <cellStyle name="Note 3 5 20" xfId="10541" xr:uid="{C167ED83-0E6F-4C8D-A5A0-9A600F31E1BA}"/>
    <cellStyle name="Note 3 5 21" xfId="10535" xr:uid="{856FEB8F-EA0D-4B95-9520-B8CC284EA8C6}"/>
    <cellStyle name="Note 3 5 22" xfId="10704" xr:uid="{6B330692-7287-477F-AC62-4A5FA980A4F2}"/>
    <cellStyle name="Note 3 5 23" xfId="12043" xr:uid="{18088EC9-5660-45E0-9CEC-0F01B2B51554}"/>
    <cellStyle name="Note 3 5 24" xfId="12516" xr:uid="{3E127DD7-275D-4763-878C-370015D928AD}"/>
    <cellStyle name="Note 3 5 25" xfId="12950" xr:uid="{E8C5780B-3E4A-4149-BBBA-AAD043DA978C}"/>
    <cellStyle name="Note 3 5 26" xfId="13387" xr:uid="{31F45427-D762-4433-A604-14EDB17F93B7}"/>
    <cellStyle name="Note 3 5 27" xfId="11738" xr:uid="{79611E30-76A7-43AB-B5AE-10CA13C1AAD2}"/>
    <cellStyle name="Note 3 5 28" xfId="13918" xr:uid="{B55768B9-1C58-4811-97AE-9FA9496C7B19}"/>
    <cellStyle name="Note 3 5 29" xfId="14780" xr:uid="{3CC7FFEA-9992-464A-AC51-EC9CA023401A}"/>
    <cellStyle name="Note 3 5 3" xfId="1663" xr:uid="{3D5176E2-8BDB-42E4-BE83-5E1EB72A4262}"/>
    <cellStyle name="Note 3 5 30" xfId="15306" xr:uid="{71FEE527-FA90-4180-AF82-B020A3836D11}"/>
    <cellStyle name="Note 3 5 31" xfId="15365" xr:uid="{03A3729B-2284-4CFF-95B7-198A708BE101}"/>
    <cellStyle name="Note 3 5 32" xfId="15925" xr:uid="{832E7405-F6A4-4058-93E9-93E3B5C1B4D2}"/>
    <cellStyle name="Note 3 5 33" xfId="16735" xr:uid="{F06813DA-8430-4018-989E-16D685FEBE1B}"/>
    <cellStyle name="Note 3 5 34" xfId="17250" xr:uid="{DBE46CA9-BEF0-4795-B00E-C373E147297C}"/>
    <cellStyle name="Note 3 5 35" xfId="17694" xr:uid="{2F1B4894-EF10-455D-9975-F5C481A04341}"/>
    <cellStyle name="Note 3 5 36" xfId="17880" xr:uid="{BC95A7EE-9748-41D0-8BAB-AAF245C97279}"/>
    <cellStyle name="Note 3 5 37" xfId="18553" xr:uid="{F8E3899A-C54F-4FD0-8684-FE3DB1E94C8F}"/>
    <cellStyle name="Note 3 5 38" xfId="17439" xr:uid="{FDB5866C-8BA1-4830-824C-2AA942E411D8}"/>
    <cellStyle name="Note 3 5 39" xfId="17436" xr:uid="{1F78D5BB-C171-4393-B9FA-BDA82D04C5A6}"/>
    <cellStyle name="Note 3 5 4" xfId="2512" xr:uid="{ABEA90FE-C125-42FC-AC09-0D8436039A41}"/>
    <cellStyle name="Note 3 5 40" xfId="20072" xr:uid="{D0EEA6A1-C8E2-4ECD-A25A-43FB3B31AA00}"/>
    <cellStyle name="Note 3 5 41" xfId="20600" xr:uid="{99A525A8-238D-43E8-95AB-812BEA84C568}"/>
    <cellStyle name="Note 3 5 42" xfId="21055" xr:uid="{C9A9C96D-B45C-441D-AA1A-603A41773FC4}"/>
    <cellStyle name="Note 3 5 43" xfId="19541" xr:uid="{3349E84F-9752-4B24-A84D-16BC25D83DAA}"/>
    <cellStyle name="Note 3 5 44" xfId="21986" xr:uid="{ED32CD85-2B84-4259-98DD-B2614B83F766}"/>
    <cellStyle name="Note 3 5 45" xfId="22417" xr:uid="{C400DFC0-9D9E-411D-90F7-706B1A890FA9}"/>
    <cellStyle name="Note 3 5 46" xfId="22187" xr:uid="{4B0E03F5-C555-4FC1-AF4F-096D726E788F}"/>
    <cellStyle name="Note 3 5 47" xfId="22555" xr:uid="{167A2DA1-84CD-452A-8105-760DE0B302BB}"/>
    <cellStyle name="Note 3 5 48" xfId="21746" xr:uid="{5CFF6B33-712D-4BD3-94B8-EAB09E249457}"/>
    <cellStyle name="Note 3 5 49" xfId="23880" xr:uid="{6B164A5F-85EB-493A-8349-FBCA1E34A816}"/>
    <cellStyle name="Note 3 5 5" xfId="1994" xr:uid="{5C47F3E8-9A8A-4922-82D0-7E4D03F85E90}"/>
    <cellStyle name="Note 3 5 50" xfId="24780" xr:uid="{3BFF05E5-0E09-4C6E-BD74-17FED4452189}"/>
    <cellStyle name="Note 3 5 51" xfId="25309" xr:uid="{4B28B9DE-2223-4474-BA94-5E87194D1B3C}"/>
    <cellStyle name="Note 3 5 52" xfId="25698" xr:uid="{93B11A63-6E00-4896-8AEF-E7E54BDFDB77}"/>
    <cellStyle name="Note 3 5 53" xfId="25252" xr:uid="{6AF44D13-9FBB-4BF5-AF1D-08DA80DE8F4B}"/>
    <cellStyle name="Note 3 5 54" xfId="26595" xr:uid="{2738AEE7-DDD4-441D-95F9-876D36610B57}"/>
    <cellStyle name="Note 3 5 55" xfId="26988" xr:uid="{E3E86FB3-D4B4-4849-AB79-DAB944733969}"/>
    <cellStyle name="Note 3 5 56" xfId="27407" xr:uid="{4A33BB3B-7DCD-4C4F-9236-119A23049A58}"/>
    <cellStyle name="Note 3 5 57" xfId="27819" xr:uid="{175B018C-5FB0-49DC-A4AC-CBDE72911409}"/>
    <cellStyle name="Note 3 5 58" xfId="28530" xr:uid="{48151E65-D8BB-4C58-9C4E-1061983A8491}"/>
    <cellStyle name="Note 3 5 59" xfId="28998" xr:uid="{78943782-DE55-43ED-BD95-F4D970C8D455}"/>
    <cellStyle name="Note 3 5 6" xfId="3402" xr:uid="{33D872B2-22A1-4ABF-9A79-6BB101CF9A27}"/>
    <cellStyle name="Note 3 5 60" xfId="29431" xr:uid="{3C2068F7-D0CA-4350-B05D-94E21CF14941}"/>
    <cellStyle name="Note 3 5 61" xfId="29788" xr:uid="{7ED8AFD2-7AFC-4102-8BFA-F735086FE3C3}"/>
    <cellStyle name="Note 3 5 62" xfId="30195" xr:uid="{6CF61B0E-1A40-46AD-84F3-7BE10A229C22}"/>
    <cellStyle name="Note 3 5 63" xfId="30610" xr:uid="{D8811A93-EF23-4C4F-A3DF-4742AD703432}"/>
    <cellStyle name="Note 3 5 64" xfId="30867" xr:uid="{E3A1001A-936D-4F74-9C3B-EF5127218AFE}"/>
    <cellStyle name="Note 3 5 65" xfId="31233" xr:uid="{41E3F4BE-2ED9-4A83-B17D-F898CE1DFE9F}"/>
    <cellStyle name="Note 3 5 66" xfId="31919" xr:uid="{38FF9ED7-F5D2-4545-A1F1-DDEFC299A227}"/>
    <cellStyle name="Note 3 5 67" xfId="31624" xr:uid="{025CE832-81E0-4407-9252-9852A371390D}"/>
    <cellStyle name="Note 3 5 7" xfId="4008" xr:uid="{8E1DA068-4AB3-44E2-9F65-F35747AFA067}"/>
    <cellStyle name="Note 3 5 8" xfId="4446" xr:uid="{0DD8A74D-E9E9-4DE4-AD8C-39063B125EDA}"/>
    <cellStyle name="Note 3 5 9" xfId="3438" xr:uid="{D98DB141-6D67-4AC5-A1A9-56680500AECA}"/>
    <cellStyle name="Note 3 50" xfId="22943" xr:uid="{8AA09E46-71F9-4520-8447-09D88D7A46C5}"/>
    <cellStyle name="Note 3 51" xfId="22720" xr:uid="{13CAF59B-215B-49BA-87CA-442FD42C7BED}"/>
    <cellStyle name="Note 3 52" xfId="23572" xr:uid="{5F06DE58-F3ED-4809-B66A-93A632CD2F7A}"/>
    <cellStyle name="Note 3 53" xfId="22647" xr:uid="{D540689F-35A9-408A-8B1C-BEAD371CF69A}"/>
    <cellStyle name="Note 3 54" xfId="24341" xr:uid="{E43626B2-50A7-43E3-A4B0-2F8225660520}"/>
    <cellStyle name="Note 3 55" xfId="25046" xr:uid="{08388028-C60A-4B26-83AB-7A22867D6D31}"/>
    <cellStyle name="Note 3 56" xfId="24152" xr:uid="{8DC8EDC0-3236-4850-AAF2-A5BCD3ACC718}"/>
    <cellStyle name="Note 3 57" xfId="26292" xr:uid="{C7FA7669-87D8-4850-8E48-99CE47CC2C98}"/>
    <cellStyle name="Note 3 58" xfId="26251" xr:uid="{2C625BDD-44DB-49D2-8704-F55585D98BE7}"/>
    <cellStyle name="Note 3 59" xfId="25299" xr:uid="{1CB0DE6B-CAE4-428A-B505-9FBD4356E6D6}"/>
    <cellStyle name="Note 3 6" xfId="934" xr:uid="{CD15529B-900C-41C6-A0AD-D45E7B2AF6F6}"/>
    <cellStyle name="Note 3 60" xfId="24578" xr:uid="{552F1B6F-D365-4E13-8C26-12EE3272CC4C}"/>
    <cellStyle name="Note 3 61" xfId="27607" xr:uid="{DF990779-3641-48B1-A99C-2CE92A282012}"/>
    <cellStyle name="Note 3 62" xfId="28114" xr:uid="{757502FC-9A4A-4B1C-9C5B-8EA9F3D361FA}"/>
    <cellStyle name="Note 3 63" xfId="27902" xr:uid="{8526F907-F166-44A1-8E63-E65DD4B52577}"/>
    <cellStyle name="Note 3 64" xfId="27977" xr:uid="{F6E49811-8620-4E2A-8021-CABE78AD97AF}"/>
    <cellStyle name="Note 3 65" xfId="28203" xr:uid="{134F0C8C-88AD-44ED-B58F-2D3DD8C6EC2C}"/>
    <cellStyle name="Note 3 66" xfId="28263" xr:uid="{E340F971-5DFF-4593-B620-7A9651304239}"/>
    <cellStyle name="Note 3 67" xfId="28762" xr:uid="{A1F0B53C-0121-4A58-B8B0-D7072FB2C190}"/>
    <cellStyle name="Note 3 68" xfId="30814" xr:uid="{13D5B62D-14BB-4E32-9078-584A3A8229F1}"/>
    <cellStyle name="Note 3 69" xfId="30906" xr:uid="{365BBB8D-849F-4ACF-A77F-0E69EA77CFCB}"/>
    <cellStyle name="Note 3 7" xfId="1593" xr:uid="{0212EE72-5E12-4B35-BD61-AD9E076388EF}"/>
    <cellStyle name="Note 3 70" xfId="31573" xr:uid="{516E6DDB-46C0-4568-9FE5-101068823817}"/>
    <cellStyle name="Note 3 71" xfId="31653" xr:uid="{3E744424-2076-40B8-837F-F7CA37A471CB}"/>
    <cellStyle name="Note 3 8" xfId="2061" xr:uid="{B17FD8D9-1EA7-4FAD-819B-B5F6DC00E56A}"/>
    <cellStyle name="Note 3 9" xfId="3140" xr:uid="{7370E669-F899-48A8-9F7A-7EE11FE1CF69}"/>
    <cellStyle name="Notiz" xfId="172" xr:uid="{B7600077-6B6C-4B3F-9055-F739CF88A6FD}"/>
    <cellStyle name="Notiz 10" xfId="2100" xr:uid="{D83634CA-1772-4227-846D-9064A760B7E2}"/>
    <cellStyle name="Notiz 11" xfId="3695" xr:uid="{6C8A73D9-D321-48C6-B07E-7F5543E794BF}"/>
    <cellStyle name="Notiz 12" xfId="3564" xr:uid="{FEAAFAB2-8102-4690-8BAB-3861B2FE97A0}"/>
    <cellStyle name="Notiz 13" xfId="2330" xr:uid="{1C30548E-2773-49D9-9064-F81CA3C30F02}"/>
    <cellStyle name="Notiz 14" xfId="4837" xr:uid="{6955FF41-02B6-473F-958F-EADBB7B2510D}"/>
    <cellStyle name="Notiz 15" xfId="5951" xr:uid="{39FC75F8-DEB8-454F-AB83-F4B456E7BB98}"/>
    <cellStyle name="Notiz 16" xfId="5593" xr:uid="{0EA74677-6689-4EF1-B940-329B98989E27}"/>
    <cellStyle name="Notiz 17" xfId="6269" xr:uid="{CD58D0B2-4BC3-4E53-AFAF-D996ABE7FB7B}"/>
    <cellStyle name="Notiz 18" xfId="6906" xr:uid="{260AC715-FFD0-45FE-A3B0-3B44D715FFD1}"/>
    <cellStyle name="Notiz 19" xfId="7685" xr:uid="{6EFD2922-87F9-4802-90AD-2A74D09D873D}"/>
    <cellStyle name="Notiz 2" xfId="562" xr:uid="{D5D9CAB9-0D4D-4276-9E43-8C9AD5A481FA}"/>
    <cellStyle name="Notiz 2 10" xfId="4251" xr:uid="{36B4880F-F7D8-4313-9789-2A2AE4D5DDF8}"/>
    <cellStyle name="Notiz 2 11" xfId="5210" xr:uid="{F370DED0-C387-4662-80EC-90BD536433F9}"/>
    <cellStyle name="Notiz 2 12" xfId="5847" xr:uid="{E8B608A3-DB1A-4F23-A732-D39B9B149852}"/>
    <cellStyle name="Notiz 2 13" xfId="5564" xr:uid="{E8D2EDB0-E74D-4F8A-878D-DDCB7B0803B9}"/>
    <cellStyle name="Notiz 2 14" xfId="6577" xr:uid="{CCA5AA3F-F16D-46E9-A882-55F5B6A912B7}"/>
    <cellStyle name="Notiz 2 15" xfId="7282" xr:uid="{5C3E754C-3CF0-4968-93AA-02C70C01312B}"/>
    <cellStyle name="Notiz 2 16" xfId="6756" xr:uid="{E1523610-BC71-4918-B2E1-70D4AE5C392F}"/>
    <cellStyle name="Notiz 2 17" xfId="7211" xr:uid="{12FFE63E-3B2B-47E5-9F2C-5BCF7E1D27B2}"/>
    <cellStyle name="Notiz 2 18" xfId="7743" xr:uid="{6FA99977-C08F-407A-9FB1-445B66B34320}"/>
    <cellStyle name="Notiz 2 19" xfId="9496" xr:uid="{2BBB77A4-2E51-4E95-91CB-E44E42B152EC}"/>
    <cellStyle name="Notiz 2 2" xfId="777" xr:uid="{43484427-C5D6-4BB7-9FF9-52E2171B5E9C}"/>
    <cellStyle name="Notiz 2 2 10" xfId="5425" xr:uid="{0D803110-60DA-41A3-A419-8B1BF170AB8C}"/>
    <cellStyle name="Notiz 2 2 11" xfId="5658" xr:uid="{472FB4AF-11EC-42F8-89B8-2D71E0CFC8EB}"/>
    <cellStyle name="Notiz 2 2 12" xfId="5594" xr:uid="{F7C7E912-2621-42E0-9AFA-577CE071FC13}"/>
    <cellStyle name="Notiz 2 2 13" xfId="6468" xr:uid="{50657B12-82A1-4EEE-8F4D-DED5AEBF333A}"/>
    <cellStyle name="Notiz 2 2 14" xfId="7497" xr:uid="{871F4EEB-E8E5-4B51-9762-FB9895420676}"/>
    <cellStyle name="Notiz 2 2 15" xfId="6768" xr:uid="{1EB092FD-63CB-41CE-B333-0B98086B81D4}"/>
    <cellStyle name="Notiz 2 2 16" xfId="7763" xr:uid="{B401C472-79B7-4E54-AF88-D1A86B1C8703}"/>
    <cellStyle name="Notiz 2 2 17" xfId="8836" xr:uid="{E667FBB6-C1D9-46AA-B49A-E098CE74A17C}"/>
    <cellStyle name="Notiz 2 2 18" xfId="9711" xr:uid="{73C11E3E-E78A-4A93-8AB4-F1C9AE6BBDFB}"/>
    <cellStyle name="Notiz 2 2 19" xfId="8980" xr:uid="{B032812A-5487-4122-A5A7-B226B6CDFE0E}"/>
    <cellStyle name="Notiz 2 2 2" xfId="1251" xr:uid="{D79F057E-F6CD-4754-B716-AEBDCA751A8C}"/>
    <cellStyle name="Notiz 2 2 20" xfId="10081" xr:uid="{E15B68A9-2BCF-4DFF-93F0-251876292892}"/>
    <cellStyle name="Notiz 2 2 21" xfId="10649" xr:uid="{DF18E45B-3ED6-4E8D-AA83-D58E39195D46}"/>
    <cellStyle name="Notiz 2 2 22" xfId="11195" xr:uid="{31D8382C-27E8-4162-AA0E-2BEA073210AA}"/>
    <cellStyle name="Notiz 2 2 23" xfId="12130" xr:uid="{B3DB70E2-DB15-4249-8813-4431019DB887}"/>
    <cellStyle name="Notiz 2 2 24" xfId="12603" xr:uid="{593E0CDD-54DC-4319-A52A-3C52A81ABC2F}"/>
    <cellStyle name="Notiz 2 2 25" xfId="13037" xr:uid="{4687A0A8-55BE-45EB-B7E0-382B2597EE5E}"/>
    <cellStyle name="Notiz 2 2 26" xfId="13474" xr:uid="{DBB879A4-0356-45C0-A599-3FFE83310B9F}"/>
    <cellStyle name="Notiz 2 2 27" xfId="13614" xr:uid="{8B4FBD1F-630F-4DFE-B5BF-A1844779F623}"/>
    <cellStyle name="Notiz 2 2 28" xfId="14293" xr:uid="{DFFBB77A-F020-4DF7-95E1-33375213E9A1}"/>
    <cellStyle name="Notiz 2 2 29" xfId="12291" xr:uid="{B4E7568F-80D2-412D-BDC2-17DABA2F9B17}"/>
    <cellStyle name="Notiz 2 2 3" xfId="1428" xr:uid="{9E3E9762-AE67-4196-8A33-DF2E792C5CAC}"/>
    <cellStyle name="Notiz 2 2 30" xfId="14824" xr:uid="{138202DF-F7DF-4DA6-9C94-E6C69BDA9DC5}"/>
    <cellStyle name="Notiz 2 2 31" xfId="15516" xr:uid="{B0A8EAB0-EB10-44DF-837E-295F6F9CF904}"/>
    <cellStyle name="Notiz 2 2 32" xfId="15774" xr:uid="{9F9A5E20-369B-4F43-88DC-86EBD7FE6262}"/>
    <cellStyle name="Notiz 2 2 33" xfId="16822" xr:uid="{E5220E47-4AA4-49AE-888D-4B208F783C51}"/>
    <cellStyle name="Notiz 2 2 34" xfId="16077" xr:uid="{27D7DE58-4EB1-4650-B967-E938283D68C3}"/>
    <cellStyle name="Notiz 2 2 35" xfId="17199" xr:uid="{D02DA4EE-5ED8-43CE-9A49-144EA77EB52B}"/>
    <cellStyle name="Notiz 2 2 36" xfId="17293" xr:uid="{DD3170F8-300E-4C30-8645-FDC8CB855621}"/>
    <cellStyle name="Notiz 2 2 37" xfId="18640" xr:uid="{ABA1F434-937B-4492-BBCB-DB390DC04A73}"/>
    <cellStyle name="Notiz 2 2 38" xfId="18993" xr:uid="{8E757219-CC0B-479E-81D6-F4A35A3D1B27}"/>
    <cellStyle name="Notiz 2 2 39" xfId="19170" xr:uid="{9ABE3893-3DB7-41DE-B003-4610F613D8DE}"/>
    <cellStyle name="Notiz 2 2 4" xfId="2599" xr:uid="{8B973471-86F5-4523-94F7-0476B168380E}"/>
    <cellStyle name="Notiz 2 2 40" xfId="20159" xr:uid="{6A58BAAB-B0B9-4B1C-BFB2-A7433694699E}"/>
    <cellStyle name="Notiz 2 2 41" xfId="19410" xr:uid="{A4E6DE84-B9BB-4A33-BD45-90D3AC0E6257}"/>
    <cellStyle name="Notiz 2 2 42" xfId="19466" xr:uid="{D0E17AAB-9E01-4DC1-B186-9B942A9BE22F}"/>
    <cellStyle name="Notiz 2 2 43" xfId="21367" xr:uid="{C8D3297C-0AD4-4623-97C5-86F0E7D7A0DB}"/>
    <cellStyle name="Notiz 2 2 44" xfId="21648" xr:uid="{50D6191C-5547-4B24-A6B4-E55CF4CC05B9}"/>
    <cellStyle name="Notiz 2 2 45" xfId="21882" xr:uid="{BE5FFA0F-13A1-4AE5-920E-BC1B8FD15361}"/>
    <cellStyle name="Notiz 2 2 46" xfId="22623" xr:uid="{4D564F63-BCD6-42C9-AAC7-8C15446EE069}"/>
    <cellStyle name="Notiz 2 2 47" xfId="23276" xr:uid="{C4B64CE7-8E49-457D-9FF5-A6E4ED823E26}"/>
    <cellStyle name="Notiz 2 2 48" xfId="22859" xr:uid="{378A533B-5F72-4343-ABBA-84A683AB742F}"/>
    <cellStyle name="Notiz 2 2 49" xfId="23959" xr:uid="{12EBBD45-7B4C-437C-A4D2-458F149A292F}"/>
    <cellStyle name="Notiz 2 2 5" xfId="2781" xr:uid="{07EE2215-F432-47AD-98F0-8BD9868513B6}"/>
    <cellStyle name="Notiz 2 2 50" xfId="24867" xr:uid="{F4824E9C-7BE4-4092-BA14-67FD10B2F848}"/>
    <cellStyle name="Notiz 2 2 51" xfId="24463" xr:uid="{1CF02CD4-5BC8-447D-A73D-BC6B2034200C}"/>
    <cellStyle name="Notiz 2 2 52" xfId="25783" xr:uid="{AD8ECE77-73BB-4028-9512-C6A9DCA9E109}"/>
    <cellStyle name="Notiz 2 2 53" xfId="25095" xr:uid="{B5385B3E-D61D-4265-980D-AAFD26927A34}"/>
    <cellStyle name="Notiz 2 2 54" xfId="26516" xr:uid="{4535B07D-B8CB-40FB-9044-A06FC0AFE55F}"/>
    <cellStyle name="Notiz 2 2 55" xfId="27071" xr:uid="{2B229099-6AD3-478D-8F05-2F32A1529FE9}"/>
    <cellStyle name="Notiz 2 2 56" xfId="27490" xr:uid="{23743E2A-9372-4EE0-AB4B-F17DE880E376}"/>
    <cellStyle name="Notiz 2 2 57" xfId="26687" xr:uid="{6711F5D7-6A96-4412-80E0-6980702D7066}"/>
    <cellStyle name="Notiz 2 2 58" xfId="28617" xr:uid="{6D55A432-FAB5-471C-BCFB-D98CAFFC1D87}"/>
    <cellStyle name="Notiz 2 2 59" xfId="29084" xr:uid="{E21B2F59-8BC2-4EC3-96D4-7930AEA33F1F}"/>
    <cellStyle name="Notiz 2 2 6" xfId="2217" xr:uid="{98760151-A08A-4583-B63F-5C883BA790C9}"/>
    <cellStyle name="Notiz 2 2 60" xfId="27907" xr:uid="{629ECAAA-5FC4-4998-B60D-4FB2133DCF3A}"/>
    <cellStyle name="Notiz 2 2 61" xfId="29873" xr:uid="{B1822BC9-EC0F-47B7-BB33-9BACFD7EF237}"/>
    <cellStyle name="Notiz 2 2 62" xfId="30279" xr:uid="{DD639E48-19C2-4FEE-99B7-C54129F34622}"/>
    <cellStyle name="Notiz 2 2 63" xfId="30696" xr:uid="{E2EB80E6-BFA0-401F-915D-19E49EBDA400}"/>
    <cellStyle name="Notiz 2 2 64" xfId="29589" xr:uid="{99E526B5-AB3B-48E8-841C-102C4BB190D6}"/>
    <cellStyle name="Notiz 2 2 65" xfId="31312" xr:uid="{58FCC405-A3D1-4A80-AFFA-8551EDFC963B}"/>
    <cellStyle name="Notiz 2 2 66" xfId="32003" xr:uid="{DC7B2C99-09CA-4CAB-B0A6-A800DD63B8C9}"/>
    <cellStyle name="Notiz 2 2 67" xfId="32137" xr:uid="{099A7CF0-EE46-40F2-B089-59E82863ACD4}"/>
    <cellStyle name="Notiz 2 2 7" xfId="4095" xr:uid="{0E50261E-5B1B-4375-8635-C2ACE27C8E0E}"/>
    <cellStyle name="Notiz 2 2 8" xfId="4532" xr:uid="{5EF11B31-680A-434E-B50B-B14BA088C7E5}"/>
    <cellStyle name="Notiz 2 2 9" xfId="2794" xr:uid="{89F582F2-432A-4417-9ECA-F591C5F52B99}"/>
    <cellStyle name="Notiz 2 20" xfId="8970" xr:uid="{400AB72D-4C90-45BE-865E-EC14B29B2031}"/>
    <cellStyle name="Notiz 2 21" xfId="10178" xr:uid="{BFAB8EF7-52C2-4CDF-96AC-681D99C3A726}"/>
    <cellStyle name="Notiz 2 22" xfId="10494" xr:uid="{9342EBB5-0BEE-4F14-A5B6-E8740708F65E}"/>
    <cellStyle name="Notiz 2 23" xfId="11223" xr:uid="{E8E4B870-55B3-44E1-BA3C-72D619E0E3C0}"/>
    <cellStyle name="Notiz 2 24" xfId="11915" xr:uid="{BE899657-CE61-44DE-8F18-3EFE1FD3A72A}"/>
    <cellStyle name="Notiz 2 25" xfId="12388" xr:uid="{2241B79A-0A8B-4BB0-9FEF-E822DA410F35}"/>
    <cellStyle name="Notiz 2 26" xfId="12822" xr:uid="{7FE30348-7663-4C3C-8A96-C65C258073EB}"/>
    <cellStyle name="Notiz 2 27" xfId="13259" xr:uid="{A281DDFF-EAF5-4F9F-980C-EEAAD4D22931}"/>
    <cellStyle name="Notiz 2 28" xfId="11707" xr:uid="{21D51897-09F0-4A85-9CBB-7ACB578894B2}"/>
    <cellStyle name="Notiz 2 29" xfId="14284" xr:uid="{333E8B3D-A370-4ED2-9CF1-3B5E4412B0A7}"/>
    <cellStyle name="Notiz 2 3" xfId="1045" xr:uid="{39530E23-E473-484F-AD53-05987A48BD1B}"/>
    <cellStyle name="Notiz 2 30" xfId="14783" xr:uid="{3860C95C-CCA0-454E-967B-DD78F0143F8A}"/>
    <cellStyle name="Notiz 2 31" xfId="14726" xr:uid="{2FCDFA32-F6BD-4BAD-A823-D9BF4DFD2AFD}"/>
    <cellStyle name="Notiz 2 32" xfId="15437" xr:uid="{53900A2A-433C-4D7A-9EC2-E762BC237313}"/>
    <cellStyle name="Notiz 2 33" xfId="15679" xr:uid="{B38480A6-3892-4E8D-9219-A6941D10D81B}"/>
    <cellStyle name="Notiz 2 34" xfId="16607" xr:uid="{65F08591-827E-4CD1-81B8-B31F7B409D75}"/>
    <cellStyle name="Notiz 2 35" xfId="16065" xr:uid="{898E6261-8D83-412B-A704-C49DBEDF875D}"/>
    <cellStyle name="Notiz 2 36" xfId="17229" xr:uid="{B4B3746C-37D6-4ACB-BF40-F2F0BE497A0B}"/>
    <cellStyle name="Notiz 2 37" xfId="17820" xr:uid="{CF720696-84F0-42ED-8207-FB328CBC0B81}"/>
    <cellStyle name="Notiz 2 38" xfId="18425" xr:uid="{DAEA26CF-3C18-4580-B9B5-DAD89EB86EC3}"/>
    <cellStyle name="Notiz 2 39" xfId="18907" xr:uid="{B10910AB-2077-4DB4-A68E-EE1717148942}"/>
    <cellStyle name="Notiz 2 4" xfId="1652" xr:uid="{A0ADFA05-63DF-4315-82F3-26FF90543F9B}"/>
    <cellStyle name="Notiz 2 40" xfId="19147" xr:uid="{3F0974A6-B9C1-4D71-A0A7-29B8C5EC6A2A}"/>
    <cellStyle name="Notiz 2 41" xfId="19944" xr:uid="{E07FC255-BC24-42CD-A2C7-1D5DEAE17B23}"/>
    <cellStyle name="Notiz 2 42" xfId="19789" xr:uid="{65FB6D93-2AB0-4C03-946A-143BCA5A700B}"/>
    <cellStyle name="Notiz 2 43" xfId="20688" xr:uid="{2345F4A2-3AA7-4E1A-96EA-594689C70D37}"/>
    <cellStyle name="Notiz 2 44" xfId="21455" xr:uid="{E0AE481B-2D7B-43FB-B62C-140E1CCDC791}"/>
    <cellStyle name="Notiz 2 45" xfId="21503" xr:uid="{2E098306-8E1D-46EB-A093-15F419FF28E7}"/>
    <cellStyle name="Notiz 2 46" xfId="21827" xr:uid="{B19CCBC5-DB7A-425E-9CAD-5CE7BB3CF2B8}"/>
    <cellStyle name="Notiz 2 47" xfId="22589" xr:uid="{B87CF173-F6A0-40C9-82F2-16923E1E0B68}"/>
    <cellStyle name="Notiz 2 48" xfId="23184" xr:uid="{F7E78309-5194-48CD-B025-9D13F1434899}"/>
    <cellStyle name="Notiz 2 49" xfId="22828" xr:uid="{DDAA4F5E-36B6-4E3E-BB7F-8A906CADC324}"/>
    <cellStyle name="Notiz 2 5" xfId="2384" xr:uid="{B7B981F4-DF57-4002-85F4-44FE7FF2F4DF}"/>
    <cellStyle name="Notiz 2 50" xfId="23753" xr:uid="{EECA624E-784A-4290-B224-47E31AD57775}"/>
    <cellStyle name="Notiz 2 51" xfId="24652" xr:uid="{459CB670-1AA7-4E63-8E87-6226F4B6064F}"/>
    <cellStyle name="Notiz 2 52" xfId="24120" xr:uid="{F2282390-9AB9-4AAA-AC84-6D4A8644D8E4}"/>
    <cellStyle name="Notiz 2 53" xfId="25570" xr:uid="{809B95F6-92D4-4E18-BE9E-9F2D2A3AEDA1}"/>
    <cellStyle name="Notiz 2 54" xfId="25009" xr:uid="{7E9F0809-9B7D-417B-8A82-1A3E8621E0F5}"/>
    <cellStyle name="Notiz 2 55" xfId="26071" xr:uid="{667F00BB-D8C2-43F0-ACE3-18D7959E12FD}"/>
    <cellStyle name="Notiz 2 56" xfId="26860" xr:uid="{AE64B8AB-F5A7-4AEC-A9CF-4B082F992354}"/>
    <cellStyle name="Notiz 2 57" xfId="27279" xr:uid="{D9198F8B-E2FE-4D4F-B626-FAC476CD2B3A}"/>
    <cellStyle name="Notiz 2 58" xfId="27693" xr:uid="{0A240B16-8261-479B-8410-9182679FC0B4}"/>
    <cellStyle name="Notiz 2 59" xfId="28402" xr:uid="{D908B800-8030-4A0F-A1A8-4771305C210C}"/>
    <cellStyle name="Notiz 2 6" xfId="2745" xr:uid="{6273044E-648C-4BF9-9C52-A21AC6646933}"/>
    <cellStyle name="Notiz 2 60" xfId="28870" xr:uid="{0D85A27D-6AE6-4746-B276-99617A79FF47}"/>
    <cellStyle name="Notiz 2 61" xfId="28169" xr:uid="{62703A29-1F88-4E99-B716-6DBBE2E53C29}"/>
    <cellStyle name="Notiz 2 62" xfId="29660" xr:uid="{8890ADDD-4A8A-49C5-88A1-2CF1489B4C41}"/>
    <cellStyle name="Notiz 2 63" xfId="30068" xr:uid="{C3855082-1925-4FB1-B20D-1210E189B15C}"/>
    <cellStyle name="Notiz 2 64" xfId="30482" xr:uid="{A2A401F9-B33B-4315-B809-CCC0CBD94209}"/>
    <cellStyle name="Notiz 2 65" xfId="29226" xr:uid="{ACE63E5C-E8A7-4854-9EA7-8D2BED8AB8DC}"/>
    <cellStyle name="Notiz 2 66" xfId="31106" xr:uid="{5173A69C-AE3A-4031-B257-44479879A8D4}"/>
    <cellStyle name="Notiz 2 67" xfId="31792" xr:uid="{1F981021-69C5-4876-8888-8B20E90DC0F3}"/>
    <cellStyle name="Notiz 2 68" xfId="32274" xr:uid="{B6D18D65-DC77-4902-8139-AD127C2384B6}"/>
    <cellStyle name="Notiz 2 7" xfId="3644" xr:uid="{1AA88912-6383-4133-B132-44BE4C0FE4C8}"/>
    <cellStyle name="Notiz 2 8" xfId="3880" xr:uid="{3BE067A3-70CE-41B7-8AF1-0E21A770DFEB}"/>
    <cellStyle name="Notiz 2 9" xfId="4318" xr:uid="{15D7DBDA-7474-440B-9A59-D5F7287A11D7}"/>
    <cellStyle name="Notiz 20" xfId="8568" xr:uid="{AAE65FE9-44AC-415C-9B2E-243B6C1DD715}"/>
    <cellStyle name="Notiz 21" xfId="8449" xr:uid="{E44CFF1B-10A4-4808-8F68-E0098EE56D1B}"/>
    <cellStyle name="Notiz 22" xfId="9119" xr:uid="{7D0510BF-A9D1-4F41-B859-231C06C743D7}"/>
    <cellStyle name="Notiz 23" xfId="9901" xr:uid="{D7C04B44-8217-4615-B6A1-354FDA26C050}"/>
    <cellStyle name="Notiz 24" xfId="10335" xr:uid="{06230CF7-B071-41D4-877F-0B0DE9186799}"/>
    <cellStyle name="Notiz 25" xfId="9057" xr:uid="{D46E5DB3-A259-4737-8B73-C75593B19533}"/>
    <cellStyle name="Notiz 26" xfId="11176" xr:uid="{0C730BB2-D0BC-486D-970B-DF3BB1838C53}"/>
    <cellStyle name="Notiz 27" xfId="11530" xr:uid="{69010959-46B8-4983-9241-20714B03328D}"/>
    <cellStyle name="Notiz 28" xfId="11515" xr:uid="{CC393AC9-6628-4203-A394-2E20192A43AF}"/>
    <cellStyle name="Notiz 29" xfId="12271" xr:uid="{71413AE6-73C7-4CA0-AA87-A6E767BF2A1E}"/>
    <cellStyle name="Notiz 3" xfId="624" xr:uid="{A59F5559-C1F4-407E-9BE8-7E990170AE0D}"/>
    <cellStyle name="Notiz 3 10" xfId="5031" xr:uid="{6E49445B-33F4-49DC-AD84-71ACA6D845AD}"/>
    <cellStyle name="Notiz 3 11" xfId="5272" xr:uid="{420B8439-C556-422C-834D-5EA245DD8F5B}"/>
    <cellStyle name="Notiz 3 12" xfId="5964" xr:uid="{2CE54535-E5B4-437D-AFAB-F73BA17788AC}"/>
    <cellStyle name="Notiz 3 13" xfId="6080" xr:uid="{78C4EB91-F3A8-4296-BD42-AFEE2F8D31B7}"/>
    <cellStyle name="Notiz 3 14" xfId="6614" xr:uid="{D4A6AA87-35B5-4C97-82F4-DBE5E4F01366}"/>
    <cellStyle name="Notiz 3 15" xfId="7344" xr:uid="{B34B4BC5-A326-4B92-AEEF-6E808632EFA2}"/>
    <cellStyle name="Notiz 3 16" xfId="7065" xr:uid="{BE3FD984-7F10-472D-BDD7-6C38F7F7881F}"/>
    <cellStyle name="Notiz 3 17" xfId="8439" xr:uid="{9A0FDCA0-40B3-4E9F-B65F-598B83C0F97D}"/>
    <cellStyle name="Notiz 3 18" xfId="8809" xr:uid="{2BF74FE9-CDF4-40F1-9EE7-89A0FCA6265E}"/>
    <cellStyle name="Notiz 3 19" xfId="9558" xr:uid="{18AC6F3D-8B01-4F3E-AEC2-C3D560A5A9F1}"/>
    <cellStyle name="Notiz 3 2" xfId="839" xr:uid="{AF81A8A4-8ED3-4571-BB97-D25922E304D2}"/>
    <cellStyle name="Notiz 3 2 10" xfId="5487" xr:uid="{09139607-270C-4905-A2E8-AA015F65996A}"/>
    <cellStyle name="Notiz 3 2 11" xfId="4702" xr:uid="{ACF88C63-CC66-44BC-A050-7B4B3078B2AA}"/>
    <cellStyle name="Notiz 3 2 12" xfId="6259" xr:uid="{C36C3D91-44B2-4B89-BD4D-F4F9EF6C3A51}"/>
    <cellStyle name="Notiz 3 2 13" xfId="5631" xr:uid="{73108BBE-1A11-4F17-B206-D59B8E755AE9}"/>
    <cellStyle name="Notiz 3 2 14" xfId="7559" xr:uid="{C48C9E66-2872-4E30-822F-3416DECB543D}"/>
    <cellStyle name="Notiz 3 2 15" xfId="6933" xr:uid="{B9BB8C16-CB2C-4DF8-AD8D-96D7CB9FE748}"/>
    <cellStyle name="Notiz 3 2 16" xfId="8475" xr:uid="{8B4E9822-A8DB-4DB5-BA71-58B61DF509B8}"/>
    <cellStyle name="Notiz 3 2 17" xfId="8659" xr:uid="{31F4BDAF-997E-4DAF-94D4-AF884DFEB332}"/>
    <cellStyle name="Notiz 3 2 18" xfId="9773" xr:uid="{DFED518E-8518-4AAA-9F32-1F4DDB5DA81B}"/>
    <cellStyle name="Notiz 3 2 19" xfId="9036" xr:uid="{EEDF8E4F-F448-4791-9E4B-F52A02E6E119}"/>
    <cellStyle name="Notiz 3 2 2" xfId="1313" xr:uid="{87B891AF-A0C9-4C4D-B850-0F605BA23707}"/>
    <cellStyle name="Notiz 3 2 20" xfId="9140" xr:uid="{C44F0B65-9436-4039-AFBF-C37111D9FEEC}"/>
    <cellStyle name="Notiz 3 2 21" xfId="10865" xr:uid="{550A103B-77F4-4085-974A-0AA714B1517E}"/>
    <cellStyle name="Notiz 3 2 22" xfId="11259" xr:uid="{ED18C3C9-EB23-4E30-84D2-18DFF9CEB2EC}"/>
    <cellStyle name="Notiz 3 2 23" xfId="12192" xr:uid="{879E5E09-68E7-4FF5-99F7-664D132238CA}"/>
    <cellStyle name="Notiz 3 2 24" xfId="12665" xr:uid="{DE44BA12-20A5-49DB-8800-613C45E208E4}"/>
    <cellStyle name="Notiz 3 2 25" xfId="13099" xr:uid="{D1766E4E-8442-49C7-BE26-A0576B5A8772}"/>
    <cellStyle name="Notiz 3 2 26" xfId="13536" xr:uid="{8C717708-4F82-470B-BCEF-D9A20E536160}"/>
    <cellStyle name="Notiz 3 2 27" xfId="13968" xr:uid="{955864B7-DAE6-4C26-A33B-4ECE443B2A77}"/>
    <cellStyle name="Notiz 3 2 28" xfId="11509" xr:uid="{58D961CE-1CB8-40A3-8193-8C3DA9AADCD8}"/>
    <cellStyle name="Notiz 3 2 29" xfId="14078" xr:uid="{50DC8E62-90E1-4ED3-A1FF-FAD05455ABAB}"/>
    <cellStyle name="Notiz 3 2 3" xfId="1762" xr:uid="{8332A57F-57FB-40D2-AF7B-496059E2BDE2}"/>
    <cellStyle name="Notiz 3 2 30" xfId="14788" xr:uid="{E1F3B226-4DD6-4DDE-92F2-1B751066CD88}"/>
    <cellStyle name="Notiz 3 2 31" xfId="15212" xr:uid="{BD8F4596-814F-4527-AA8C-3DAB146C8B38}"/>
    <cellStyle name="Notiz 3 2 32" xfId="15699" xr:uid="{3837EE92-B70B-40C2-B281-8C789A2376A3}"/>
    <cellStyle name="Notiz 3 2 33" xfId="16884" xr:uid="{4EACBDA5-A7FF-4641-9527-1E0FE1BCD82B}"/>
    <cellStyle name="Notiz 3 2 34" xfId="16251" xr:uid="{BF76E666-C2A3-46CD-84D8-675BFD27CF79}"/>
    <cellStyle name="Notiz 3 2 35" xfId="17242" xr:uid="{3589B562-8D52-4151-80B9-9EC909F38DA5}"/>
    <cellStyle name="Notiz 3 2 36" xfId="17960" xr:uid="{11E7AA0B-B0AC-4112-9C4C-EE78C6276D91}"/>
    <cellStyle name="Notiz 3 2 37" xfId="18702" xr:uid="{F25AE623-2BE3-4F83-BBC0-B92A1BE905C3}"/>
    <cellStyle name="Notiz 3 2 38" xfId="18290" xr:uid="{0647F803-F174-4FEF-82DD-CEDEC7CCB139}"/>
    <cellStyle name="Notiz 3 2 39" xfId="19197" xr:uid="{78DF98E5-9752-42DC-81E6-68E69CEE2209}"/>
    <cellStyle name="Notiz 3 2 4" xfId="2661" xr:uid="{55AAD347-4497-4094-9F73-D3AF9E04CD07}"/>
    <cellStyle name="Notiz 3 2 40" xfId="20221" xr:uid="{E10990D1-787D-4789-BE77-624682CC0756}"/>
    <cellStyle name="Notiz 3 2 41" xfId="19630" xr:uid="{B8995FA1-7B72-48A1-904A-CD02067851FD}"/>
    <cellStyle name="Notiz 3 2 42" xfId="20346" xr:uid="{2ECF60CA-87E4-4BFA-BB89-D872117F728C}"/>
    <cellStyle name="Notiz 3 2 43" xfId="20890" xr:uid="{7ED794A2-DA00-45E7-81CA-104DF8F15138}"/>
    <cellStyle name="Notiz 3 2 44" xfId="21370" xr:uid="{02A40982-B2B8-4884-870F-976E0352F9C3}"/>
    <cellStyle name="Notiz 3 2 45" xfId="21543" xr:uid="{E77D1EFC-59D4-4593-92A4-E5A6F0763CDC}"/>
    <cellStyle name="Notiz 3 2 46" xfId="22942" xr:uid="{BE626E98-D144-4B2F-93A8-9C089A486E88}"/>
    <cellStyle name="Notiz 3 2 47" xfId="22247" xr:uid="{96B0C48F-1F26-41DF-BC9F-0D4BCA5EFD79}"/>
    <cellStyle name="Notiz 3 2 48" xfId="23604" xr:uid="{E9AEA54D-AB54-4A05-8D16-D32927F47974}"/>
    <cellStyle name="Notiz 3 2 49" xfId="24021" xr:uid="{24BDC685-F9CE-438F-971A-74A0E625DE93}"/>
    <cellStyle name="Notiz 3 2 5" xfId="3138" xr:uid="{8EDFF658-9B02-4327-BBE5-9091BD96B922}"/>
    <cellStyle name="Notiz 3 2 50" xfId="24929" xr:uid="{0C9F5B49-B5EB-4A70-B3FE-FB3194DAF5F0}"/>
    <cellStyle name="Notiz 3 2 51" xfId="24346" xr:uid="{6FEA9137-435D-43F8-B9A4-C1090749E852}"/>
    <cellStyle name="Notiz 3 2 52" xfId="25845" xr:uid="{FE145D98-59DB-4463-A118-5F350309A268}"/>
    <cellStyle name="Notiz 3 2 53" xfId="26248" xr:uid="{8D66ADCC-5422-400A-BB84-75992756B07D}"/>
    <cellStyle name="Notiz 3 2 54" xfId="24438" xr:uid="{FAB341E6-6AC4-49FA-AB8B-6530685CDD22}"/>
    <cellStyle name="Notiz 3 2 55" xfId="27133" xr:uid="{84B75504-C66C-4F1F-8A61-BF0F125310D1}"/>
    <cellStyle name="Notiz 3 2 56" xfId="27552" xr:uid="{C89BC165-AE79-44E9-B1D3-86736DC71634}"/>
    <cellStyle name="Notiz 3 2 57" xfId="27801" xr:uid="{6E4DAA87-E2E4-4262-AE02-3CA779321E77}"/>
    <cellStyle name="Notiz 3 2 58" xfId="28679" xr:uid="{280EEBE4-A09A-4F99-B6BB-96B91BCADCFA}"/>
    <cellStyle name="Notiz 3 2 59" xfId="29146" xr:uid="{7BC51A94-BD28-4CD5-80BD-DFB5A8189743}"/>
    <cellStyle name="Notiz 3 2 6" xfId="2926" xr:uid="{29EA6DAB-DAEB-428F-AF9B-16033734CA7D}"/>
    <cellStyle name="Notiz 3 2 60" xfId="28314" xr:uid="{6B39604B-8248-4E34-B94E-F2C3D18BF403}"/>
    <cellStyle name="Notiz 3 2 61" xfId="29935" xr:uid="{57468826-6D1F-470A-8B1B-81778846F5A3}"/>
    <cellStyle name="Notiz 3 2 62" xfId="30341" xr:uid="{74B6578B-481B-4DBC-9836-B2F799852E26}"/>
    <cellStyle name="Notiz 3 2 63" xfId="30758" xr:uid="{1F0C998A-2EDF-4D84-A64C-2645E5876C99}"/>
    <cellStyle name="Notiz 3 2 64" xfId="29206" xr:uid="{521CF801-317D-4A9F-AD84-CEA728F1A218}"/>
    <cellStyle name="Notiz 3 2 65" xfId="31374" xr:uid="{EB0BCFD2-E19F-468A-8DBF-0E2E6893F570}"/>
    <cellStyle name="Notiz 3 2 66" xfId="32065" xr:uid="{288CD806-398A-4FEE-B86A-3A9A83B30D65}"/>
    <cellStyle name="Notiz 3 2 67" xfId="31557" xr:uid="{ED95A622-730B-4A63-A09B-93CE5C7EF01F}"/>
    <cellStyle name="Notiz 3 2 7" xfId="4157" xr:uid="{F0601982-019A-4B72-BB72-7BA40867C88A}"/>
    <cellStyle name="Notiz 3 2 8" xfId="4594" xr:uid="{118C6DA2-57DD-4809-BD59-D7CFDF7795C7}"/>
    <cellStyle name="Notiz 3 2 9" xfId="4249" xr:uid="{3F703EA7-59CB-441B-A2AC-C0A2151819CC}"/>
    <cellStyle name="Notiz 3 20" xfId="9278" xr:uid="{FAFB7029-698E-4DC6-8214-9C844012E527}"/>
    <cellStyle name="Notiz 3 21" xfId="10020" xr:uid="{03B02995-1C3B-4E5B-912D-30A594AFBFB2}"/>
    <cellStyle name="Notiz 3 22" xfId="10760" xr:uid="{53E9B9FF-ECAA-4C5C-95BD-4B493A30CC92}"/>
    <cellStyle name="Notiz 3 23" xfId="10017" xr:uid="{84F89747-FD8F-49FD-A61D-E40D6536E17F}"/>
    <cellStyle name="Notiz 3 24" xfId="11977" xr:uid="{80D0AB73-3138-4FFD-B289-1773F3343188}"/>
    <cellStyle name="Notiz 3 25" xfId="12450" xr:uid="{5856EB7C-C669-4248-A569-267D117DC45B}"/>
    <cellStyle name="Notiz 3 26" xfId="12884" xr:uid="{C6B83689-8D3F-4168-873A-1CEF5D4231F9}"/>
    <cellStyle name="Notiz 3 27" xfId="13321" xr:uid="{A4AC4CE3-3722-4F14-BEC4-95996D083991}"/>
    <cellStyle name="Notiz 3 28" xfId="13816" xr:uid="{37A82B5B-C883-4ED8-A0BE-0850A0608CE0}"/>
    <cellStyle name="Notiz 3 29" xfId="14245" xr:uid="{4BB44AA8-C697-4E5E-894A-9BBFF4B70D9B}"/>
    <cellStyle name="Notiz 3 3" xfId="1107" xr:uid="{903AF3AD-89B6-434F-BFE8-3CE55CBCB0D6}"/>
    <cellStyle name="Notiz 3 30" xfId="14643" xr:uid="{A87B2A91-22CD-4D63-BE19-BB75E56E59B9}"/>
    <cellStyle name="Notiz 3 31" xfId="15070" xr:uid="{96FA7658-BDE2-4C88-AE53-8E09B9036D0B}"/>
    <cellStyle name="Notiz 3 32" xfId="11563" xr:uid="{AD441B70-D3AB-449E-8671-A5FC7AC047A2}"/>
    <cellStyle name="Notiz 3 33" xfId="15454" xr:uid="{6534A335-2958-4D06-ADF3-D3FB79F65C9F}"/>
    <cellStyle name="Notiz 3 34" xfId="16669" xr:uid="{A5EB01B5-21CA-415E-B525-CBEB935A851D}"/>
    <cellStyle name="Notiz 3 35" xfId="16387" xr:uid="{F3DA3DDA-FAA9-4802-87F1-A7A7488EC85E}"/>
    <cellStyle name="Notiz 3 36" xfId="17137" xr:uid="{982F0660-ACA7-4F01-9B5D-0EFDE9872FEA}"/>
    <cellStyle name="Notiz 3 37" xfId="16143" xr:uid="{63135D1F-8076-43C0-8FD4-0A58E024B0B0}"/>
    <cellStyle name="Notiz 3 38" xfId="18487" xr:uid="{07A4DFE5-8F8F-4D06-87A2-137CA2FBFC98}"/>
    <cellStyle name="Notiz 3 39" xfId="19029" xr:uid="{26A0AFE1-3AE8-49CB-B966-D61FF4BC972D}"/>
    <cellStyle name="Notiz 3 4" xfId="1370" xr:uid="{6F3500BD-1044-45D3-9993-8F37407C6B5C}"/>
    <cellStyle name="Notiz 3 40" xfId="19253" xr:uid="{94BB853A-B34A-4DA7-92DB-57ED4359BA78}"/>
    <cellStyle name="Notiz 3 41" xfId="20006" xr:uid="{4F5453C2-F8D7-404C-97D3-493A314E471B}"/>
    <cellStyle name="Notiz 3 42" xfId="19721" xr:uid="{5B3B34C8-78CF-423E-B872-659A099B091D}"/>
    <cellStyle name="Notiz 3 43" xfId="20304" xr:uid="{3E298C72-E0C4-4C5A-A0A9-8F59C24BCCDA}"/>
    <cellStyle name="Notiz 3 44" xfId="21285" xr:uid="{C661B844-A207-427F-AE40-7560DA5E6E0B}"/>
    <cellStyle name="Notiz 3 45" xfId="21366" xr:uid="{0593824E-7839-4221-B27A-3A94D70DEB43}"/>
    <cellStyle name="Notiz 3 46" xfId="20356" xr:uid="{0A06D1CD-812C-4C53-9D29-D051F4798973}"/>
    <cellStyle name="Notiz 3 47" xfId="22805" xr:uid="{0C0A3115-A947-467F-B9E5-648939F7D57D}"/>
    <cellStyle name="Notiz 3 48" xfId="23307" xr:uid="{DBE182CC-3C11-4B2A-879F-45608B5960AC}"/>
    <cellStyle name="Notiz 3 49" xfId="21299" xr:uid="{696064BB-E97B-4E83-8B1D-B48A25B404CF}"/>
    <cellStyle name="Notiz 3 5" xfId="2446" xr:uid="{1B973AAA-8750-442C-8E0E-0D9D2F57029B}"/>
    <cellStyle name="Notiz 3 50" xfId="23815" xr:uid="{DC5065DE-99CE-4AE0-97F9-9E541B66CA51}"/>
    <cellStyle name="Notiz 3 51" xfId="24714" xr:uid="{DD7CC641-883A-4517-B64C-41F246CD5889}"/>
    <cellStyle name="Notiz 3 52" xfId="24489" xr:uid="{7276D59D-21E3-4745-8E23-C6168BAD7F55}"/>
    <cellStyle name="Notiz 3 53" xfId="25632" xr:uid="{8BD23B0C-2131-4F90-BBE4-FB88C42117A3}"/>
    <cellStyle name="Notiz 3 54" xfId="26025" xr:uid="{9CD75FE8-1060-4F5E-A2F7-078551190ED4}"/>
    <cellStyle name="Notiz 3 55" xfId="26171" xr:uid="{71E4B8D7-F533-4EE2-A27C-4440173BF6F2}"/>
    <cellStyle name="Notiz 3 56" xfId="26922" xr:uid="{17514C20-F708-4811-AF2D-80BD4FD6D3F1}"/>
    <cellStyle name="Notiz 3 57" xfId="27341" xr:uid="{B62C9958-1A1E-4E1A-BB38-3F1E86D61EDA}"/>
    <cellStyle name="Notiz 3 58" xfId="27633" xr:uid="{B802EE75-886B-4EDA-B5EC-B5448920F76E}"/>
    <cellStyle name="Notiz 3 59" xfId="28464" xr:uid="{B68D3772-1F18-4D1C-8997-171C9BE6CA70}"/>
    <cellStyle name="Notiz 3 6" xfId="2982" xr:uid="{84BE2105-A15E-4F57-B27E-F753DDDE0888}"/>
    <cellStyle name="Notiz 3 60" xfId="28932" xr:uid="{AD952670-9F70-4C10-A395-21A00038A38B}"/>
    <cellStyle name="Notiz 3 61" xfId="28798" xr:uid="{BB164AD3-0E3C-4B79-B6CD-E1E82B21B6A0}"/>
    <cellStyle name="Notiz 3 62" xfId="29722" xr:uid="{8570708A-AC8A-4A56-B79D-3B4B3B967B17}"/>
    <cellStyle name="Notiz 3 63" xfId="30130" xr:uid="{D6BA7191-EC3D-492E-BC1E-D30A732B46BE}"/>
    <cellStyle name="Notiz 3 64" xfId="30544" xr:uid="{8FEE8876-0BF0-4271-AE85-CB2F3CC2ABB0}"/>
    <cellStyle name="Notiz 3 65" xfId="30931" xr:uid="{351387C3-8520-4CD7-B868-DF02C45EABFC}"/>
    <cellStyle name="Notiz 3 66" xfId="31168" xr:uid="{4FA15B35-5242-4472-BFD0-34836783E036}"/>
    <cellStyle name="Notiz 3 67" xfId="31854" xr:uid="{7BDDBA83-8B4F-48BD-B5A4-D75D49A7D4DA}"/>
    <cellStyle name="Notiz 3 68" xfId="32366" xr:uid="{BF879FDA-799E-4FD8-9174-16626310668B}"/>
    <cellStyle name="Notiz 3 7" xfId="1932" xr:uid="{89C63A21-A39D-42E9-9A39-3A3638DC9D4D}"/>
    <cellStyle name="Notiz 3 8" xfId="3942" xr:uid="{0373F002-9E43-4C12-BEA5-5E181B242B28}"/>
    <cellStyle name="Notiz 3 9" xfId="4380" xr:uid="{0E798BC8-2986-4ADF-9D8B-72D04E213A46}"/>
    <cellStyle name="Notiz 30" xfId="11541" xr:uid="{D57390E0-3175-4FF3-BB93-9A44B0692AC3}"/>
    <cellStyle name="Notiz 31" xfId="12251" xr:uid="{3C6B85F7-F97B-4D79-ABD6-584C42E1D2A1}"/>
    <cellStyle name="Notiz 32" xfId="13600" xr:uid="{5B525CD9-7C2E-4D73-BA84-85B0E2E1B735}"/>
    <cellStyle name="Notiz 33" xfId="14317" xr:uid="{B1546192-49E9-46F3-9C7A-878E50D57641}"/>
    <cellStyle name="Notiz 34" xfId="15136" xr:uid="{A6D093DB-C209-4B5C-8D15-AE0439E60286}"/>
    <cellStyle name="Notiz 35" xfId="14803" xr:uid="{191AC647-3366-4A64-B0C4-E9D5D9C89D94}"/>
    <cellStyle name="Notiz 36" xfId="15715" xr:uid="{0FCA948C-E863-48EB-A7B5-A5B4DE451C48}"/>
    <cellStyle name="Notiz 37" xfId="16223" xr:uid="{B3C31B62-B22D-4089-AF87-D88CA077ED6C}"/>
    <cellStyle name="Notiz 38" xfId="17015" xr:uid="{95D04B25-2E45-41B9-9CAF-4ACFB87FAA47}"/>
    <cellStyle name="Notiz 39" xfId="17460" xr:uid="{1DAE5E6C-E07B-470B-9318-500F51A09224}"/>
    <cellStyle name="Notiz 4" xfId="593" xr:uid="{E942EFC5-DF07-4E0C-8F07-195890B5CC78}"/>
    <cellStyle name="Notiz 4 10" xfId="4734" xr:uid="{DF5AED1A-E62B-44DF-AE25-FAF740E85AF4}"/>
    <cellStyle name="Notiz 4 11" xfId="5241" xr:uid="{B73ED449-49EA-482E-AF73-ED24BF92A7AA}"/>
    <cellStyle name="Notiz 4 12" xfId="5880" xr:uid="{5A0AE0FD-69B8-4D32-A794-E5917D768C0A}"/>
    <cellStyle name="Notiz 4 13" xfId="6212" xr:uid="{6A44096D-E26B-4FA3-98E7-CADDF283CC38}"/>
    <cellStyle name="Notiz 4 14" xfId="6444" xr:uid="{62655043-C709-4DBE-BCFB-D71B4982BE7E}"/>
    <cellStyle name="Notiz 4 15" xfId="7313" xr:uid="{876CC872-114D-4455-9D85-D8FD7F9A2AF7}"/>
    <cellStyle name="Notiz 4 16" xfId="7767" xr:uid="{944C215B-BD6F-423E-9E33-7FC900908F3C}"/>
    <cellStyle name="Notiz 4 17" xfId="6891" xr:uid="{14AA0618-3673-4DE9-BF52-E30133DF8B6C}"/>
    <cellStyle name="Notiz 4 18" xfId="8605" xr:uid="{52AE547D-1352-4581-804A-A5DE99584FDF}"/>
    <cellStyle name="Notiz 4 19" xfId="9527" xr:uid="{7837FCEC-B1E7-43AE-BC2F-3E6D81E62FA3}"/>
    <cellStyle name="Notiz 4 2" xfId="808" xr:uid="{79018637-3A4F-4E8E-A064-9525EBA8A2AF}"/>
    <cellStyle name="Notiz 4 2 10" xfId="5456" xr:uid="{9A91E2EE-8EB0-4D38-90E9-992379E62A2D}"/>
    <cellStyle name="Notiz 4 2 11" xfId="5869" xr:uid="{EA9F4B93-8CBB-4877-8BBE-5E5A277A1471}"/>
    <cellStyle name="Notiz 4 2 12" xfId="5715" xr:uid="{A4D109EF-63C8-42DD-A9A1-D0261F367748}"/>
    <cellStyle name="Notiz 4 2 13" xfId="6653" xr:uid="{A2754584-E19E-49E1-81D0-A431405A4417}"/>
    <cellStyle name="Notiz 4 2 14" xfId="7528" xr:uid="{44152CA4-6868-45DE-86FD-EE452F12C813}"/>
    <cellStyle name="Notiz 4 2 15" xfId="7037" xr:uid="{7DAA2198-3D7C-42D8-944F-0DE5A4D6050E}"/>
    <cellStyle name="Notiz 4 2 16" xfId="7848" xr:uid="{01D24D45-4A33-4242-A82C-8577ECDB09F6}"/>
    <cellStyle name="Notiz 4 2 17" xfId="8460" xr:uid="{E8D3731C-1D31-4F21-8D9F-CADEF9F0F038}"/>
    <cellStyle name="Notiz 4 2 18" xfId="9742" xr:uid="{81FE96E4-EF6B-4473-8FAE-9F7191FC5F80}"/>
    <cellStyle name="Notiz 4 2 19" xfId="9250" xr:uid="{7764B9B4-2396-4C7F-94C0-7BFE4E66D065}"/>
    <cellStyle name="Notiz 4 2 2" xfId="1282" xr:uid="{87BE61D7-8705-4470-B1CE-33400A9FA117}"/>
    <cellStyle name="Notiz 4 2 20" xfId="9942" xr:uid="{F60DAB4E-84AE-4C27-8617-2E0CBA83F32D}"/>
    <cellStyle name="Notiz 4 2 21" xfId="10911" xr:uid="{108F737A-7EEB-4322-8D03-DDF38FFE9247}"/>
    <cellStyle name="Notiz 4 2 22" xfId="10113" xr:uid="{A01E7897-E832-4FED-80F4-9304E28F1B6D}"/>
    <cellStyle name="Notiz 4 2 23" xfId="12161" xr:uid="{D458E612-19B4-406B-86DE-E54B145BF6F1}"/>
    <cellStyle name="Notiz 4 2 24" xfId="12634" xr:uid="{0F5FBCC4-24CA-48E4-A35C-3651D98E6489}"/>
    <cellStyle name="Notiz 4 2 25" xfId="13068" xr:uid="{01C03B51-F87F-47C9-8324-2CEDBEFF7056}"/>
    <cellStyle name="Notiz 4 2 26" xfId="13505" xr:uid="{EE8E940F-A49C-4688-A8F2-CC34EAF1EB30}"/>
    <cellStyle name="Notiz 4 2 27" xfId="13865" xr:uid="{324C85DF-8F6C-4A1C-9A38-7AB7821C668F}"/>
    <cellStyle name="Notiz 4 2 28" xfId="13751" xr:uid="{42A6CFD9-A7CE-421E-8DF3-22AF0A44CE50}"/>
    <cellStyle name="Notiz 4 2 29" xfId="14266" xr:uid="{4D74B37A-C744-4D0F-8A69-93624DA309D1}"/>
    <cellStyle name="Notiz 4 2 3" xfId="1423" xr:uid="{1BBE9F9A-22F9-4398-98EA-22A21B2BE9CE}"/>
    <cellStyle name="Notiz 4 2 30" xfId="14306" xr:uid="{AE7A64B2-6A38-462D-ADE5-CAFA190D6DA2}"/>
    <cellStyle name="Notiz 4 2 31" xfId="15683" xr:uid="{C8C6A368-2C97-41FB-A002-5D73FE59B47D}"/>
    <cellStyle name="Notiz 4 2 32" xfId="15247" xr:uid="{967BEF6A-A8D6-47AE-A40F-F49950A96E79}"/>
    <cellStyle name="Notiz 4 2 33" xfId="16853" xr:uid="{012F2BED-54F6-4E0C-AB3C-2326E32025A9}"/>
    <cellStyle name="Notiz 4 2 34" xfId="16360" xr:uid="{BD79492C-C1FC-4078-851D-1DE02E038A50}"/>
    <cellStyle name="Notiz 4 2 35" xfId="17056" xr:uid="{E9044354-555A-494E-AC5C-4C0A56B2E6C7}"/>
    <cellStyle name="Notiz 4 2 36" xfId="17656" xr:uid="{F75827B4-E0FF-497C-9C41-F544207C236F}"/>
    <cellStyle name="Notiz 4 2 37" xfId="18671" xr:uid="{FA4A9576-C67D-4BE0-8E29-B31E6FB5A544}"/>
    <cellStyle name="Notiz 4 2 38" xfId="18056" xr:uid="{46B67972-B980-476C-A5FF-1DDF44F0C470}"/>
    <cellStyle name="Notiz 4 2 39" xfId="19276" xr:uid="{1D8C0F02-0BF9-48DA-A1B5-1BE9638D71B4}"/>
    <cellStyle name="Notiz 4 2 4" xfId="2630" xr:uid="{051C8CC2-A194-4A77-B7A8-C1945B1A8DC0}"/>
    <cellStyle name="Notiz 4 2 40" xfId="20190" xr:uid="{625C32A6-4D57-48B8-88AA-E2F7BEC3C0A5}"/>
    <cellStyle name="Notiz 4 2 41" xfId="19693" xr:uid="{47737479-C22F-49C8-8550-0E8F72843522}"/>
    <cellStyle name="Notiz 4 2 42" xfId="20279" xr:uid="{9A2545CE-EA64-438D-8F84-CB5888331DE6}"/>
    <cellStyle name="Notiz 4 2 43" xfId="20718" xr:uid="{53805F3E-CF69-44CE-8865-351AEB3A47F2}"/>
    <cellStyle name="Notiz 4 2 44" xfId="20590" xr:uid="{EB2DA6D4-4DA2-4476-A551-B067ACC6BEB0}"/>
    <cellStyle name="Notiz 4 2 45" xfId="21856" xr:uid="{7F6C7792-957B-4D13-B8F6-7714D8126B3A}"/>
    <cellStyle name="Notiz 4 2 46" xfId="22848" xr:uid="{8891E540-2B5D-4E75-BF73-3E516E66FD40}"/>
    <cellStyle name="Notiz 4 2 47" xfId="22826" xr:uid="{E67B1F0B-C830-4686-8575-0E74F17C49A5}"/>
    <cellStyle name="Notiz 4 2 48" xfId="23480" xr:uid="{0F19627C-AEC4-4C3C-ADC0-9BEEAACF3373}"/>
    <cellStyle name="Notiz 4 2 49" xfId="23990" xr:uid="{9B5A7673-5261-4214-9DA9-F776461C104A}"/>
    <cellStyle name="Notiz 4 2 5" xfId="3031" xr:uid="{6342F6D1-EA75-4A68-AE26-820DA38008B1}"/>
    <cellStyle name="Notiz 4 2 50" xfId="24898" xr:uid="{3E4DE7CD-36C2-4C24-9620-90D37CE244B4}"/>
    <cellStyle name="Notiz 4 2 51" xfId="24408" xr:uid="{26DB6E2D-95B6-443B-86A9-5165806F76D0}"/>
    <cellStyle name="Notiz 4 2 52" xfId="25814" xr:uid="{42061143-1E1B-4C53-A420-8CEB89020A3A}"/>
    <cellStyle name="Notiz 4 2 53" xfId="25086" xr:uid="{B62A1BF0-CF23-4E57-872C-8340F39A0BC3}"/>
    <cellStyle name="Notiz 4 2 54" xfId="26577" xr:uid="{035769E6-14C1-4E45-A29D-9577B8F04E98}"/>
    <cellStyle name="Notiz 4 2 55" xfId="27102" xr:uid="{DF8F86B5-34EE-4EE5-8FA3-58DB9BE3841F}"/>
    <cellStyle name="Notiz 4 2 56" xfId="27521" xr:uid="{F362D88D-142B-4C14-B69E-D73713CB1187}"/>
    <cellStyle name="Notiz 4 2 57" xfId="26698" xr:uid="{97D684B5-554A-4BDE-A70E-9B4CF2541CF4}"/>
    <cellStyle name="Notiz 4 2 58" xfId="28648" xr:uid="{2F3B43F6-3E50-4616-BE02-7529FCB3B35A}"/>
    <cellStyle name="Notiz 4 2 59" xfId="29115" xr:uid="{1DA567E1-C8C6-4B9F-9E54-C81DF1D6D569}"/>
    <cellStyle name="Notiz 4 2 6" xfId="3562" xr:uid="{399E1CDB-C63C-46E3-87AC-2B5130ABC355}"/>
    <cellStyle name="Notiz 4 2 60" xfId="28794" xr:uid="{16DA0FCA-E4AE-4DA1-83D8-E57BAC2D4648}"/>
    <cellStyle name="Notiz 4 2 61" xfId="29904" xr:uid="{7B543A08-3093-408A-B6BE-223F8ED22240}"/>
    <cellStyle name="Notiz 4 2 62" xfId="30310" xr:uid="{173F3A90-E864-4141-B213-9FDECFA02CDD}"/>
    <cellStyle name="Notiz 4 2 63" xfId="30727" xr:uid="{72760BE4-367C-4F6B-9114-B65DA6683F4C}"/>
    <cellStyle name="Notiz 4 2 64" xfId="30412" xr:uid="{D4BE8236-5A5D-4227-85F4-A1270CE1B753}"/>
    <cellStyle name="Notiz 4 2 65" xfId="31343" xr:uid="{9EF406A4-585B-485F-AD65-EABFB1378EAF}"/>
    <cellStyle name="Notiz 4 2 66" xfId="32034" xr:uid="{B7970DD7-B7C6-4D07-B14E-BA2EFCA2DDD6}"/>
    <cellStyle name="Notiz 4 2 67" xfId="31431" xr:uid="{8890032A-C0BB-4640-BE49-AB362E91A5E5}"/>
    <cellStyle name="Notiz 4 2 7" xfId="4126" xr:uid="{C79272D2-9F46-48DB-A32E-7E65FCF54A2A}"/>
    <cellStyle name="Notiz 4 2 8" xfId="4563" xr:uid="{DC2877B1-3B0B-429C-9166-89835DC0A3F5}"/>
    <cellStyle name="Notiz 4 2 9" xfId="2307" xr:uid="{4FDF5D07-3EF7-424C-A8AA-259917816F4B}"/>
    <cellStyle name="Notiz 4 20" xfId="9980" xr:uid="{DDA4477D-1349-44CF-88C3-4DC30AA2F068}"/>
    <cellStyle name="Notiz 4 21" xfId="10407" xr:uid="{8CBAEBF8-22C9-4952-BB31-5255CA561170}"/>
    <cellStyle name="Notiz 4 22" xfId="10917" xr:uid="{2F63AB34-76C3-44D5-B7C6-3A27F08477C3}"/>
    <cellStyle name="Notiz 4 23" xfId="11145" xr:uid="{3C14F567-450E-47A1-919E-E0316656C996}"/>
    <cellStyle name="Notiz 4 24" xfId="11946" xr:uid="{2834ACC5-36D1-4148-91EB-BCF34F4FE29F}"/>
    <cellStyle name="Notiz 4 25" xfId="12419" xr:uid="{02C6D6FA-D4ED-4149-ABA8-E6493CDBAB66}"/>
    <cellStyle name="Notiz 4 26" xfId="12853" xr:uid="{76436F77-5308-4E29-9D5F-2EF1F67ED73E}"/>
    <cellStyle name="Notiz 4 27" xfId="13290" xr:uid="{5B5E5268-7699-4523-A1E4-F928EBD536AB}"/>
    <cellStyle name="Notiz 4 28" xfId="13774" xr:uid="{D2A3FE85-0E10-47AA-93D3-62B7D6FC72E3}"/>
    <cellStyle name="Notiz 4 29" xfId="14403" xr:uid="{69EC813B-293B-4712-BE2C-E596A7FBDA84}"/>
    <cellStyle name="Notiz 4 3" xfId="1076" xr:uid="{EBB92E02-80B6-40EB-AD20-3FF92FA9D05C}"/>
    <cellStyle name="Notiz 4 30" xfId="14657" xr:uid="{85BB316E-E97C-4677-BAFA-E243241CBB2E}"/>
    <cellStyle name="Notiz 4 31" xfId="14900" xr:uid="{9D6D85F2-735A-4B69-A853-4611B5E60EC4}"/>
    <cellStyle name="Notiz 4 32" xfId="14515" xr:uid="{750CD918-F9B8-4E48-ADED-5AB4F7022911}"/>
    <cellStyle name="Notiz 4 33" xfId="15841" xr:uid="{BF9587AB-F222-4BB7-B838-C28641524E6F}"/>
    <cellStyle name="Notiz 4 34" xfId="16638" xr:uid="{49C59D92-8669-4B6A-AC52-D42437573809}"/>
    <cellStyle name="Notiz 4 35" xfId="17095" xr:uid="{A619DA07-3AFF-45B7-BC32-84DE48ACD4A5}"/>
    <cellStyle name="Notiz 4 36" xfId="17543" xr:uid="{C2681894-EA22-4ACE-9B8E-2662BD13BDDA}"/>
    <cellStyle name="Notiz 4 37" xfId="17437" xr:uid="{6F2138D2-79F2-46A3-86D2-376F07A81DC0}"/>
    <cellStyle name="Notiz 4 38" xfId="18456" xr:uid="{CB5C0183-C50C-4B8A-88E1-8C480D12D560}"/>
    <cellStyle name="Notiz 4 39" xfId="19068" xr:uid="{EA82BB0B-2E24-40C5-8019-D19D9A862EF9}"/>
    <cellStyle name="Notiz 4 4" xfId="1730" xr:uid="{10BDF7F3-F4AE-45E7-9570-40406806187E}"/>
    <cellStyle name="Notiz 4 40" xfId="19296" xr:uid="{3BD4F408-9FDF-4E43-B59E-0964FD4586C4}"/>
    <cellStyle name="Notiz 4 41" xfId="19975" xr:uid="{2D0CDB43-3DA5-4873-B3C4-60DE1627DB13}"/>
    <cellStyle name="Notiz 4 42" xfId="20449" xr:uid="{0DD3A702-2F35-4B0C-BFD8-35519C05BC78}"/>
    <cellStyle name="Notiz 4 43" xfId="20901" xr:uid="{4DDEEF07-BD0C-4386-90B2-C788B86E19F0}"/>
    <cellStyle name="Notiz 4 44" xfId="21147" xr:uid="{79C956AD-8FC7-4F2E-8EB0-3BB8045CDFEA}"/>
    <cellStyle name="Notiz 4 45" xfId="21831" xr:uid="{D2E6DB8C-6E7D-4AB0-BE16-FFA57FAB8BE7}"/>
    <cellStyle name="Notiz 4 46" xfId="22267" xr:uid="{71B669BB-9522-4972-BECE-9D968A307871}"/>
    <cellStyle name="Notiz 4 47" xfId="22767" xr:uid="{52A775D1-24FD-499C-9ABF-9A3029750AA5}"/>
    <cellStyle name="Notiz 4 48" xfId="23343" xr:uid="{276CED05-F924-4B46-AB42-F84115089279}"/>
    <cellStyle name="Notiz 4 49" xfId="23485" xr:uid="{CEF8CCC6-A579-4CA9-AE73-B203558668B6}"/>
    <cellStyle name="Notiz 4 5" xfId="2415" xr:uid="{1F1DF65F-0F30-4917-A533-27CE1A6BEE55}"/>
    <cellStyle name="Notiz 4 50" xfId="23784" xr:uid="{C20534C0-8042-4530-9F80-5EBC0FC7311C}"/>
    <cellStyle name="Notiz 4 51" xfId="24683" xr:uid="{51AF0B2A-F741-43B1-8FDD-49A5274566C8}"/>
    <cellStyle name="Notiz 4 52" xfId="25156" xr:uid="{5CD8C8CA-ECE4-4991-A9B2-4151F80E1CF0}"/>
    <cellStyle name="Notiz 4 53" xfId="25601" xr:uid="{42D294B1-694C-45C0-A5FD-4AE77CB1D606}"/>
    <cellStyle name="Notiz 4 54" xfId="26072" xr:uid="{2E2A957E-E843-4BA8-B274-7B9E27FE8C61}"/>
    <cellStyle name="Notiz 4 55" xfId="26524" xr:uid="{28BF00D0-CC65-4D9E-BC8E-1E16043B70F1}"/>
    <cellStyle name="Notiz 4 56" xfId="26891" xr:uid="{879889E7-0370-4AC4-950C-E29FE2AD4BF6}"/>
    <cellStyle name="Notiz 4 57" xfId="27310" xr:uid="{E9E8764C-ED27-4F98-B9B7-7663B725C294}"/>
    <cellStyle name="Notiz 4 58" xfId="27805" xr:uid="{6F9F441A-FB59-42FD-9A00-8F9634880855}"/>
    <cellStyle name="Notiz 4 59" xfId="28433" xr:uid="{D0C7CB53-BCC7-4FEF-8F9E-D76C78BAA015}"/>
    <cellStyle name="Notiz 4 6" xfId="2941" xr:uid="{533E196A-1197-4927-B322-56768CA94712}"/>
    <cellStyle name="Notiz 4 60" xfId="28901" xr:uid="{ED0FF8B9-DF7A-4B45-A723-887CD16E8100}"/>
    <cellStyle name="Notiz 4 61" xfId="29306" xr:uid="{904A5D3B-0EA5-4325-BD26-1B8D95F974D0}"/>
    <cellStyle name="Notiz 4 62" xfId="29691" xr:uid="{1023C61B-9ABD-485F-88D9-154BB0E7B26E}"/>
    <cellStyle name="Notiz 4 63" xfId="30099" xr:uid="{A486FC16-2E15-47FA-9929-372E3BFDA739}"/>
    <cellStyle name="Notiz 4 64" xfId="30513" xr:uid="{644440B5-6F52-471F-AAD7-A05C3DDABF10}"/>
    <cellStyle name="Notiz 4 65" xfId="29441" xr:uid="{979AF03D-09CB-423A-808B-0CF8B790013F}"/>
    <cellStyle name="Notiz 4 66" xfId="31137" xr:uid="{2E2505FD-C584-46B6-825C-60F16DBA1EE3}"/>
    <cellStyle name="Notiz 4 67" xfId="31823" xr:uid="{40128438-CA7B-46C4-B244-F9926E0D2C8D}"/>
    <cellStyle name="Notiz 4 68" xfId="31655" xr:uid="{F474975D-2C8D-4A3B-9187-367C886DFCB5}"/>
    <cellStyle name="Notiz 4 7" xfId="3642" xr:uid="{53174182-ADB3-4732-8747-BBBD27EECE63}"/>
    <cellStyle name="Notiz 4 8" xfId="3911" xr:uid="{86BFB37D-9388-4F6F-AE11-F3629F267986}"/>
    <cellStyle name="Notiz 4 9" xfId="4349" xr:uid="{B32BD73E-1CB4-46C6-94EE-5C48953509C4}"/>
    <cellStyle name="Notiz 40" xfId="18146" xr:uid="{6F8AB78B-D83A-41B7-80FD-EBC02E5BCABB}"/>
    <cellStyle name="Notiz 41" xfId="18235" xr:uid="{8FB4E729-91DA-4DF1-B279-F148E38F35A6}"/>
    <cellStyle name="Notiz 42" xfId="18291" xr:uid="{EEDE0312-4FF6-450B-8E4A-932B9EA27A00}"/>
    <cellStyle name="Notiz 43" xfId="18884" xr:uid="{CE849FAA-DAE3-4F77-8553-C51DC9F04970}"/>
    <cellStyle name="Notiz 44" xfId="19556" xr:uid="{00AAE1E4-9B14-4CDC-9C04-351D704FDDF6}"/>
    <cellStyle name="Notiz 45" xfId="20364" xr:uid="{C066A62A-26D6-449E-B3CE-711C974C06F0}"/>
    <cellStyle name="Notiz 46" xfId="20819" xr:uid="{504C7B9B-B1CC-47F4-892B-01EF09079044}"/>
    <cellStyle name="Notiz 47" xfId="20614" xr:uid="{50B0AA8A-52C4-4CB2-A3CC-632E9E7566E1}"/>
    <cellStyle name="Notiz 48" xfId="21750" xr:uid="{2973AA7E-703E-4FA5-BDE8-85B33639F87E}"/>
    <cellStyle name="Notiz 49" xfId="22189" xr:uid="{589ACB6D-A2A7-4B34-A73A-23B9F2008E78}"/>
    <cellStyle name="Notiz 5" xfId="685" xr:uid="{B3A5177A-D8C9-45F6-9546-313626CBB132}"/>
    <cellStyle name="Notiz 5 10" xfId="5333" xr:uid="{7D7A5623-C3E2-44C6-9A04-6B2AABEEA7B0}"/>
    <cellStyle name="Notiz 5 11" xfId="5824" xr:uid="{9BD844F6-7F3D-450A-A444-2087D42DD915}"/>
    <cellStyle name="Notiz 5 12" xfId="4876" xr:uid="{46EB111D-C3DD-40EE-8E07-52555D0BACC7}"/>
    <cellStyle name="Notiz 5 13" xfId="6283" xr:uid="{D026D339-9442-44A0-AA2F-015AF9EFF344}"/>
    <cellStyle name="Notiz 5 14" xfId="7405" xr:uid="{91A0F35E-062A-4DB3-94CE-CCC3BC32F5E8}"/>
    <cellStyle name="Notiz 5 15" xfId="7831" xr:uid="{0AFF40A2-0F9F-4575-9F6A-78E53853EAB3}"/>
    <cellStyle name="Notiz 5 16" xfId="6805" xr:uid="{BCA181CC-EA88-4FED-8DB5-3C2D985AAD7C}"/>
    <cellStyle name="Notiz 5 17" xfId="8821" xr:uid="{1AC86335-625D-4F5B-BF1F-DDE75B1AA33D}"/>
    <cellStyle name="Notiz 5 18" xfId="9619" xr:uid="{312A73FB-EF8E-4D32-A8EE-A855B1EFCE31}"/>
    <cellStyle name="Notiz 5 19" xfId="10043" xr:uid="{047310DF-CC6F-4040-AEEF-2B2BED80BD06}"/>
    <cellStyle name="Notiz 5 2" xfId="1167" xr:uid="{A3FB22DE-5F5B-42E5-9476-4ADB0C2AFC36}"/>
    <cellStyle name="Notiz 5 20" xfId="10463" xr:uid="{F28025FE-F674-4E14-A052-DFC032A131CC}"/>
    <cellStyle name="Notiz 5 21" xfId="10915" xr:uid="{EFF79983-D29D-43A6-A7E6-C75B8F003E31}"/>
    <cellStyle name="Notiz 5 22" xfId="10164" xr:uid="{10552461-69AD-4BA4-9BD2-0F216A1468A8}"/>
    <cellStyle name="Notiz 5 23" xfId="12038" xr:uid="{6E9A0989-A527-4ED5-A3EC-AE6ED37A217B}"/>
    <cellStyle name="Notiz 5 24" xfId="12511" xr:uid="{FB25221B-FAD6-4CCD-9D17-77A77A33E791}"/>
    <cellStyle name="Notiz 5 25" xfId="12945" xr:uid="{CEAD597A-0BC0-4357-A65B-69EA297062A2}"/>
    <cellStyle name="Notiz 5 26" xfId="13382" xr:uid="{C6FCC066-CAA8-434B-9CCB-52323B6FC9F7}"/>
    <cellStyle name="Notiz 5 27" xfId="12496" xr:uid="{4FADADF4-F7FD-486D-A961-653D61BBA1F3}"/>
    <cellStyle name="Notiz 5 28" xfId="14301" xr:uid="{96D5FBD3-97D2-422A-9863-F32FBBB3296B}"/>
    <cellStyle name="Notiz 5 29" xfId="14697" xr:uid="{DE4D6299-CCCB-45DA-9F3E-9941EEFED96F}"/>
    <cellStyle name="Notiz 5 3" xfId="1682" xr:uid="{B2F0E43F-853B-4E41-A6A3-7A9E8D557983}"/>
    <cellStyle name="Notiz 5 30" xfId="14571" xr:uid="{61F3EDEA-7EF6-454F-9983-899F67DC2D5C}"/>
    <cellStyle name="Notiz 5 31" xfId="15519" xr:uid="{B771F10B-F271-4535-828A-788D83B262B4}"/>
    <cellStyle name="Notiz 5 32" xfId="15876" xr:uid="{A7F572B8-A27A-49E3-91F4-031F07A7D9BA}"/>
    <cellStyle name="Notiz 5 33" xfId="16730" xr:uid="{8FB7F0B5-F596-461A-8475-BAF341B850BC}"/>
    <cellStyle name="Notiz 5 34" xfId="17161" xr:uid="{981FC570-0199-4059-8109-D65783623B08}"/>
    <cellStyle name="Notiz 5 35" xfId="17606" xr:uid="{B110C33E-1144-48E4-94DE-D25AEC66626E}"/>
    <cellStyle name="Notiz 5 36" xfId="17468" xr:uid="{0A62B20C-DB85-43E4-8131-4C467D406F29}"/>
    <cellStyle name="Notiz 5 37" xfId="18548" xr:uid="{7234A2FA-23DC-416A-8E5A-635CDA1A543C}"/>
    <cellStyle name="Notiz 5 38" xfId="18956" xr:uid="{FB146BCC-E647-482E-918A-8751D342D939}"/>
    <cellStyle name="Notiz 5 39" xfId="19204" xr:uid="{3589E0B6-F632-4B3C-AA9D-AC2E0CE34CD7}"/>
    <cellStyle name="Notiz 5 4" xfId="2507" xr:uid="{256C5C34-251F-4CEE-9970-CAB2C69F0475}"/>
    <cellStyle name="Notiz 5 40" xfId="20067" xr:uid="{3DC43C1F-2AAA-471F-9B01-BFD97D8CCE39}"/>
    <cellStyle name="Notiz 5 41" xfId="20513" xr:uid="{3FE2244A-18A8-4F98-B79E-F87BE536179B}"/>
    <cellStyle name="Notiz 5 42" xfId="20966" xr:uid="{6D1085AC-9227-4343-90F0-149D975E01AB}"/>
    <cellStyle name="Notiz 5 43" xfId="21324" xr:uid="{610B55B7-5E2A-48A4-88D4-0CBC0D3CFAD0}"/>
    <cellStyle name="Notiz 5 44" xfId="21897" xr:uid="{94072791-7628-488F-8C27-320CA3DB6213}"/>
    <cellStyle name="Notiz 5 45" xfId="22333" xr:uid="{A1CE1010-DDE4-4FD8-9697-DB1A51FE41C9}"/>
    <cellStyle name="Notiz 5 46" xfId="21883" xr:uid="{6B8B777F-467F-481D-91AF-B8F59B4C1134}"/>
    <cellStyle name="Notiz 5 47" xfId="23244" xr:uid="{A4A7E019-544B-4D17-B36C-22A358B5D940}"/>
    <cellStyle name="Notiz 5 48" xfId="23483" xr:uid="{77D4A9E9-70A7-44B8-94CD-49BA13E58BF2}"/>
    <cellStyle name="Notiz 5 49" xfId="23875" xr:uid="{23488837-1671-43E7-B3B4-9F1620B61F06}"/>
    <cellStyle name="Notiz 5 5" xfId="1906" xr:uid="{BF3467ED-573E-4F7B-82D4-F2479037C912}"/>
    <cellStyle name="Notiz 5 50" xfId="24775" xr:uid="{C4930F1D-21CE-4392-9DD0-A4AAA8D785A1}"/>
    <cellStyle name="Notiz 5 51" xfId="25222" xr:uid="{97C9436A-E896-45EC-8980-EE6002CEFF29}"/>
    <cellStyle name="Notiz 5 52" xfId="25693" xr:uid="{76562F05-1A24-4D0E-BE00-66D13CC46F2F}"/>
    <cellStyle name="Notiz 5 53" xfId="24598" xr:uid="{2CD4640C-87D0-442E-B1F3-DC88AF5F26B2}"/>
    <cellStyle name="Notiz 5 54" xfId="26136" xr:uid="{39AA504E-03E5-4332-896D-188A505EE7D5}"/>
    <cellStyle name="Notiz 5 55" xfId="26983" xr:uid="{FE8D1710-5F09-4B87-AFCC-45B3428B031B}"/>
    <cellStyle name="Notiz 5 56" xfId="27402" xr:uid="{7DCC0344-3551-4BD4-B117-E2387EDCCF8D}"/>
    <cellStyle name="Notiz 5 57" xfId="27621" xr:uid="{F71B97E0-BB68-4353-B179-C24E4AD2EBF3}"/>
    <cellStyle name="Notiz 5 58" xfId="28525" xr:uid="{78C69C87-395A-46EF-A558-3D697A1EB57E}"/>
    <cellStyle name="Notiz 5 59" xfId="28993" xr:uid="{83BE8492-F1B3-4375-8A15-D02CA0986322}"/>
    <cellStyle name="Notiz 5 6" xfId="2961" xr:uid="{DCDB1402-DD1E-47E3-807E-84DCF6402CB0}"/>
    <cellStyle name="Notiz 5 60" xfId="29363" xr:uid="{12EBAA1F-7D63-414E-89D6-BEE8D80F6F7F}"/>
    <cellStyle name="Notiz 5 61" xfId="29783" xr:uid="{324BD779-94FF-4018-81A2-2B0EB01BC720}"/>
    <cellStyle name="Notiz 5 62" xfId="30190" xr:uid="{B4F7EE62-D3E3-45D2-9765-E6EDC0CBEF2A}"/>
    <cellStyle name="Notiz 5 63" xfId="30605" xr:uid="{1DD96716-C136-4B4E-B90C-DB4E130C3ABA}"/>
    <cellStyle name="Notiz 5 64" xfId="30998" xr:uid="{6E2E4689-3990-40BF-9777-B16390429055}"/>
    <cellStyle name="Notiz 5 65" xfId="31228" xr:uid="{1AB5875C-78C7-4D8F-9172-0E7DEE009133}"/>
    <cellStyle name="Notiz 5 66" xfId="31914" xr:uid="{CBB88943-B044-40C8-A3BA-071F62006EF5}"/>
    <cellStyle name="Notiz 5 67" xfId="32159" xr:uid="{BD197788-4647-4446-AA35-A0E86E1BC372}"/>
    <cellStyle name="Notiz 5 7" xfId="4003" xr:uid="{1D04C36B-825D-4152-B079-41DB75437E9D}"/>
    <cellStyle name="Notiz 5 8" xfId="4441" xr:uid="{28CA3185-F94F-4C16-A1F6-45B878D83079}"/>
    <cellStyle name="Notiz 5 9" xfId="2801" xr:uid="{477A0A8A-27B6-411B-BD07-8B922910021B}"/>
    <cellStyle name="Notiz 50" xfId="22453" xr:uid="{07CCFBC7-95D7-4FF2-BCAF-213BCCD6CE66}"/>
    <cellStyle name="Notiz 51" xfId="22763" xr:uid="{8476A51B-6092-4A2A-BE46-C0310E953075}"/>
    <cellStyle name="Notiz 52" xfId="23229" xr:uid="{900266BB-A5BE-43D6-85F1-92CCAFFBE99C}"/>
    <cellStyle name="Notiz 53" xfId="23119" xr:uid="{D6A1EF9A-6E59-47BA-BE5F-065D07FFB232}"/>
    <cellStyle name="Notiz 54" xfId="24277" xr:uid="{568A11BC-5778-4576-8CB7-49FF038F4199}"/>
    <cellStyle name="Notiz 55" xfId="24480" xr:uid="{4057F1B6-F794-483B-BAF6-65AE71730ED9}"/>
    <cellStyle name="Notiz 56" xfId="24167" xr:uid="{C8B88F9A-8E9A-43DE-A5D5-83E60E88A985}"/>
    <cellStyle name="Notiz 57" xfId="24268" xr:uid="{3BB748CB-8B39-4625-AD27-16F5D55C93D6}"/>
    <cellStyle name="Notiz 58" xfId="26515" xr:uid="{7F46E96A-91DC-4152-A196-E7A85E48FFBC}"/>
    <cellStyle name="Notiz 59" xfId="25934" xr:uid="{759D5604-3F74-4048-9D79-AFCCE1B31C0F}"/>
    <cellStyle name="Notiz 6" xfId="928" xr:uid="{B37EE614-921A-410C-A661-CA200826F188}"/>
    <cellStyle name="Notiz 60" xfId="26774" xr:uid="{C134CF03-ADA5-48A1-9CA7-25DAC7E5223A}"/>
    <cellStyle name="Notiz 61" xfId="27610" xr:uid="{0FD26F0F-66E4-4DEC-B1CE-7947AA2FE4B2}"/>
    <cellStyle name="Notiz 62" xfId="28057" xr:uid="{D54A4F57-56C3-4C1C-8E2B-967075A36211}"/>
    <cellStyle name="Notiz 63" xfId="28045" xr:uid="{F68E4B24-F12C-4373-8B4C-E3B95AD96505}"/>
    <cellStyle name="Notiz 64" xfId="29233" xr:uid="{ADD4E2E2-EFB6-4527-909E-FA992E2AAFB1}"/>
    <cellStyle name="Notiz 65" xfId="28090" xr:uid="{4D9BFBEE-7E45-44A5-B084-E2C6CBC6E2EA}"/>
    <cellStyle name="Notiz 66" xfId="29472" xr:uid="{D334D8B4-8B7A-4A09-AB3A-ACB48416D8BE}"/>
    <cellStyle name="Notiz 67" xfId="29541" xr:uid="{06BAA373-9889-44FF-8112-D3A24484B10D}"/>
    <cellStyle name="Notiz 68" xfId="30819" xr:uid="{119FEE65-DD6B-4B12-A797-77226D3773E8}"/>
    <cellStyle name="Notiz 69" xfId="30940" xr:uid="{3B61C3F5-3E71-4456-886C-C01681E3A815}"/>
    <cellStyle name="Notiz 7" xfId="1595" xr:uid="{00B112B4-D5E0-4663-B4A0-415DD8B4D1ED}"/>
    <cellStyle name="Notiz 70" xfId="31538" xr:uid="{16C076C4-6DFF-481E-BB8C-5CE470FCF73B}"/>
    <cellStyle name="Notiz 71" xfId="32222" xr:uid="{DF5943AD-8B01-4F44-8075-C282AE479E79}"/>
    <cellStyle name="Notiz 8" xfId="1999" xr:uid="{94C8227F-DBB5-43A0-BE6A-A888BA9846E6}"/>
    <cellStyle name="Notiz 9" xfId="1881" xr:uid="{2757A987-B64C-427F-877F-92AAC4D65AD2}"/>
    <cellStyle name="Output 2" xfId="173" xr:uid="{54E5C78E-FA75-4A1A-A773-E6D794C17B4C}"/>
    <cellStyle name="Output 2 10" xfId="3704" xr:uid="{758769B9-9E81-420B-94EC-16776FA7EFFF}"/>
    <cellStyle name="Output 2 11" xfId="2814" xr:uid="{A191694F-CF1E-4FA9-A2B7-16D5B172EE81}"/>
    <cellStyle name="Output 2 12" xfId="6907" xr:uid="{1751B2E2-C52A-4B84-A686-B4A681BF5B93}"/>
    <cellStyle name="Output 2 13" xfId="6837" xr:uid="{E8EB5741-AFE9-40BB-A462-87F07FDA2703}"/>
    <cellStyle name="Output 2 14" xfId="8254" xr:uid="{AD709863-C200-40E9-B9EF-ACD362320B5C}"/>
    <cellStyle name="Output 2 15" xfId="9120" xr:uid="{6375D6F2-B860-461E-A917-7BD8B184B956}"/>
    <cellStyle name="Output 2 16" xfId="9160" xr:uid="{04AF8DFF-C4D7-4B18-91B3-3E6BD12074D0}"/>
    <cellStyle name="Output 2 17" xfId="11531" xr:uid="{B0C8E407-B34D-49B4-9B47-8FA362FA3111}"/>
    <cellStyle name="Output 2 18" xfId="12274" xr:uid="{3AE4DC00-3DB3-48C5-941A-31A2A8A5D3B9}"/>
    <cellStyle name="Output 2 19" xfId="11783" xr:uid="{4163664B-ACA0-4FC7-A115-55E0A30425B4}"/>
    <cellStyle name="Output 2 2" xfId="563" xr:uid="{08525963-92DB-4CDB-940B-4F323842C13E}"/>
    <cellStyle name="Output 2 2 10" xfId="4872" xr:uid="{6622B35A-36EF-4F0C-B8BE-AA49D1863BE0}"/>
    <cellStyle name="Output 2 2 11" xfId="5211" xr:uid="{85BF37C7-E277-4C79-8E46-D644FCE3FA8C}"/>
    <cellStyle name="Output 2 2 12" xfId="5004" xr:uid="{82C2CA9E-C084-49EB-9513-7BB93B13108F}"/>
    <cellStyle name="Output 2 2 13" xfId="6263" xr:uid="{C9D8AACD-B894-4E6F-9533-1631A1DCF630}"/>
    <cellStyle name="Output 2 2 14" xfId="6110" xr:uid="{CFF71B36-AFC8-48BB-9087-A0880EBC5950}"/>
    <cellStyle name="Output 2 2 15" xfId="7283" xr:uid="{DE4DDDD6-CAE0-4F4A-9CF6-408147EF5FB3}"/>
    <cellStyle name="Output 2 2 16" xfId="7880" xr:uid="{AD7084CA-00F9-4ABB-B8F7-DDECDCDD8D67}"/>
    <cellStyle name="Output 2 2 17" xfId="8409" xr:uid="{600C9EFA-DA1F-490B-B928-3D09D5B01375}"/>
    <cellStyle name="Output 2 2 18" xfId="8555" xr:uid="{1BD15EC4-6D9D-4965-8BE6-40E8E2CBE929}"/>
    <cellStyle name="Output 2 2 19" xfId="9497" xr:uid="{18763CC5-1B15-4C31-8E71-BB1A7809FCBB}"/>
    <cellStyle name="Output 2 2 2" xfId="778" xr:uid="{3EA29027-84D7-4A9C-9CD6-6816CE5EF1EF}"/>
    <cellStyle name="Output 2 2 2 10" xfId="5426" xr:uid="{BBD9079B-C5BB-4874-8317-8433AF26A9B8}"/>
    <cellStyle name="Output 2 2 2 11" xfId="5608" xr:uid="{34295B09-5187-4817-9D98-E685288BFB35}"/>
    <cellStyle name="Output 2 2 2 12" xfId="5158" xr:uid="{05C3E35E-438D-4A12-805B-603310343CD0}"/>
    <cellStyle name="Output 2 2 2 13" xfId="6647" xr:uid="{BEE13D67-1655-47A1-A3CA-BBD765FE9A93}"/>
    <cellStyle name="Output 2 2 2 14" xfId="7498" xr:uid="{D6C394F2-C405-472D-9F84-28B8C89B7013}"/>
    <cellStyle name="Output 2 2 2 15" xfId="7199" xr:uid="{1EBBB384-8E12-4929-9705-B5DDDCD46A03}"/>
    <cellStyle name="Output 2 2 2 16" xfId="6971" xr:uid="{F7FC266A-1082-405F-BFD4-60F6F4E1A1AD}"/>
    <cellStyle name="Output 2 2 2 17" xfId="8805" xr:uid="{79BB9085-82F2-493D-BFB9-E9B1EA1B8041}"/>
    <cellStyle name="Output 2 2 2 18" xfId="9712" xr:uid="{DE4FC0F8-00E5-4988-B81B-2C0C82355155}"/>
    <cellStyle name="Output 2 2 2 19" xfId="9412" xr:uid="{B32971E2-5381-4826-8F65-1A030135FFA9}"/>
    <cellStyle name="Output 2 2 2 2" xfId="1252" xr:uid="{1D18125A-CCF5-42E4-8299-411F8A0B6FA8}"/>
    <cellStyle name="Output 2 2 2 20" xfId="9828" xr:uid="{F331E680-92AF-49EB-8D14-543B655FF7C6}"/>
    <cellStyle name="Output 2 2 2 21" xfId="10330" xr:uid="{02C96584-5298-411D-8882-B41BF766B3E4}"/>
    <cellStyle name="Output 2 2 2 22" xfId="11184" xr:uid="{789A5859-6FB9-495F-A566-88BBE43D8172}"/>
    <cellStyle name="Output 2 2 2 23" xfId="12131" xr:uid="{7986CFBB-9F87-4416-98A8-0CCFFB1E2CEB}"/>
    <cellStyle name="Output 2 2 2 24" xfId="12604" xr:uid="{E311312D-A380-435C-881B-AC039AE4908C}"/>
    <cellStyle name="Output 2 2 2 25" xfId="13038" xr:uid="{C6C11F51-1938-4D03-9FB8-82A8F4CE54C1}"/>
    <cellStyle name="Output 2 2 2 26" xfId="13475" xr:uid="{2C0628AE-91F3-4D7D-9807-2732FB6A1CED}"/>
    <cellStyle name="Output 2 2 2 27" xfId="13693" xr:uid="{ED3AA01B-334D-489D-BCC5-024EA4E3379D}"/>
    <cellStyle name="Output 2 2 2 28" xfId="14460" xr:uid="{E2CD5B5A-48DE-46B3-BF65-E06F58A820DC}"/>
    <cellStyle name="Output 2 2 2 29" xfId="14450" xr:uid="{462B342D-58EE-467D-969C-6CDEB1CF0868}"/>
    <cellStyle name="Output 2 2 2 3" xfId="1481" xr:uid="{D2A67954-6624-4BE7-AD0C-DDDCA7482C8E}"/>
    <cellStyle name="Output 2 2 2 30" xfId="14947" xr:uid="{000FA8D2-6C31-4E05-83F8-31EE5FF83D24}"/>
    <cellStyle name="Output 2 2 2 31" xfId="15361" xr:uid="{ED0BEE5C-62CA-4647-8E17-6CF702FDA583}"/>
    <cellStyle name="Output 2 2 2 32" xfId="15493" xr:uid="{BADB9766-0B53-432F-8D54-39E5CB46CDE6}"/>
    <cellStyle name="Output 2 2 2 33" xfId="16823" xr:uid="{3F2922BF-CEF1-4A11-A3DF-AF483B420646}"/>
    <cellStyle name="Output 2 2 2 34" xfId="16521" xr:uid="{01A4EB43-8E5D-4B9B-901E-8EA0278B8087}"/>
    <cellStyle name="Output 2 2 2 35" xfId="16941" xr:uid="{A367850A-1AF2-400C-AC8F-6EADBB14967B}"/>
    <cellStyle name="Output 2 2 2 36" xfId="17111" xr:uid="{2F555DC8-2898-4D64-B897-60096157A282}"/>
    <cellStyle name="Output 2 2 2 37" xfId="18641" xr:uid="{F1A7A61B-AD89-4DDA-BB9F-41C71FEB6821}"/>
    <cellStyle name="Output 2 2 2 38" xfId="18881" xr:uid="{EA688963-543F-49D1-BC1B-7B7427C9FC31}"/>
    <cellStyle name="Output 2 2 2 39" xfId="19201" xr:uid="{6FE4964E-D99C-4365-ACAC-922E4BEA3F3C}"/>
    <cellStyle name="Output 2 2 2 4" xfId="2600" xr:uid="{F2E0CAC8-9809-487A-BFBC-9FEC238EF510}"/>
    <cellStyle name="Output 2 2 2 40" xfId="20160" xr:uid="{137D97B3-D8C0-4108-A2E8-8A54CBCDBDD3}"/>
    <cellStyle name="Output 2 2 2 41" xfId="19857" xr:uid="{69C2E6A1-1609-44DE-AF3A-9592674D7B4A}"/>
    <cellStyle name="Output 2 2 2 42" xfId="20404" xr:uid="{CC5C6CDC-53CC-47EA-8D96-8B18A4AEBA98}"/>
    <cellStyle name="Output 2 2 2 43" xfId="21616" xr:uid="{0CE9FBF9-7A38-478B-9240-765338CB9395}"/>
    <cellStyle name="Output 2 2 2 44" xfId="20349" xr:uid="{2EE53F94-516C-4434-9E7B-B6A6B721A35A}"/>
    <cellStyle name="Output 2 2 2 45" xfId="21142" xr:uid="{D5E3843E-90AB-48E4-98CC-2A76E5F64D67}"/>
    <cellStyle name="Output 2 2 2 46" xfId="22690" xr:uid="{73B60C8E-46F5-4CCB-B9B4-63DABAA3A886}"/>
    <cellStyle name="Output 2 2 2 47" xfId="23156" xr:uid="{10F5FC92-EC7A-4706-9686-3280CFD2E712}"/>
    <cellStyle name="Output 2 2 2 48" xfId="22729" xr:uid="{149E01EB-65D4-4365-9231-2EBA95B5FD0A}"/>
    <cellStyle name="Output 2 2 2 49" xfId="23960" xr:uid="{0CF35896-1495-4386-930F-3EC3B89AC3CF}"/>
    <cellStyle name="Output 2 2 2 5" xfId="2858" xr:uid="{726746ED-4266-4640-82DD-134AD7EA95A9}"/>
    <cellStyle name="Output 2 2 2 50" xfId="24868" xr:uid="{6E88AA00-6FBE-4407-8D7E-7BE187E1B2E3}"/>
    <cellStyle name="Output 2 2 2 51" xfId="24563" xr:uid="{5F4C6D62-E5B3-4873-AB70-74CBCE6FB789}"/>
    <cellStyle name="Output 2 2 2 52" xfId="25784" xr:uid="{F6BDD7BA-066A-4AC4-AB7C-021E04AFB621}"/>
    <cellStyle name="Output 2 2 2 53" xfId="24272" xr:uid="{82E70C82-1ADF-44BE-8381-BEB02CC8518F}"/>
    <cellStyle name="Output 2 2 2 54" xfId="26641" xr:uid="{3FE70390-5AD8-4646-BDA4-67FA6853636A}"/>
    <cellStyle name="Output 2 2 2 55" xfId="27072" xr:uid="{27EE5371-96C3-4BF6-9B45-3261724170BC}"/>
    <cellStyle name="Output 2 2 2 56" xfId="27491" xr:uid="{00DE32D0-FAE2-4E10-94A9-F6658F3DCE94}"/>
    <cellStyle name="Output 2 2 2 57" xfId="27201" xr:uid="{1B45F83E-8F8C-4708-A7D9-DEBE410552D1}"/>
    <cellStyle name="Output 2 2 2 58" xfId="28618" xr:uid="{43B77AA5-6032-4937-9B75-B0B97BD96E4F}"/>
    <cellStyle name="Output 2 2 2 59" xfId="29085" xr:uid="{F3B6B809-2957-4CF6-8430-5BE5CB08597B}"/>
    <cellStyle name="Output 2 2 2 6" xfId="3326" xr:uid="{757A6556-5CDB-4E2D-BBEE-6875D1832DD2}"/>
    <cellStyle name="Output 2 2 2 60" xfId="28792" xr:uid="{D3087B7B-0EC9-4B88-A5FC-8AAC49A0FE12}"/>
    <cellStyle name="Output 2 2 2 61" xfId="29874" xr:uid="{A5428BBE-04B7-49B2-940F-F7D6583769F6}"/>
    <cellStyle name="Output 2 2 2 62" xfId="30280" xr:uid="{B542E5B9-070B-4448-A97E-F35A63C1D6E6}"/>
    <cellStyle name="Output 2 2 2 63" xfId="30697" xr:uid="{7D3EA1C0-C238-4E22-8E52-5E95B4FD8A9E}"/>
    <cellStyle name="Output 2 2 2 64" xfId="28186" xr:uid="{BADA5025-AB19-4A32-B94D-7310045F8316}"/>
    <cellStyle name="Output 2 2 2 65" xfId="31313" xr:uid="{B35C63C2-DE8E-4605-98CA-D5259607ADE8}"/>
    <cellStyle name="Output 2 2 2 66" xfId="32004" xr:uid="{9C74F3DA-F073-4146-82C1-F06F97C24060}"/>
    <cellStyle name="Output 2 2 2 67" xfId="32327" xr:uid="{A72593E9-12EA-4E9E-835C-FE86C34CB663}"/>
    <cellStyle name="Output 2 2 2 7" xfId="4096" xr:uid="{5A028C78-7896-43EB-BA41-C2CCFC336C19}"/>
    <cellStyle name="Output 2 2 2 8" xfId="4533" xr:uid="{52946D6C-D0D1-4CBC-9D1A-9212706F576F}"/>
    <cellStyle name="Output 2 2 2 9" xfId="4881" xr:uid="{4ED702F5-5E75-4E90-AC16-39ABFB342440}"/>
    <cellStyle name="Output 2 2 20" xfId="10094" xr:uid="{030B6C3E-79FE-4297-919C-0E92E80DF58D}"/>
    <cellStyle name="Output 2 2 21" xfId="10509" xr:uid="{6A4C2528-1A01-41A6-BE0A-AD6B533567A3}"/>
    <cellStyle name="Output 2 2 22" xfId="10966" xr:uid="{791782B5-0DD5-4302-96E9-100B071083F4}"/>
    <cellStyle name="Output 2 2 23" xfId="10799" xr:uid="{7623AA97-731B-452B-A163-A586262E77C6}"/>
    <cellStyle name="Output 2 2 24" xfId="11916" xr:uid="{743A5753-484B-4C50-9334-D05375B9F744}"/>
    <cellStyle name="Output 2 2 25" xfId="12389" xr:uid="{B83079DF-E27F-48F0-9296-D813AB4D33CD}"/>
    <cellStyle name="Output 2 2 26" xfId="12823" xr:uid="{A5BFCB01-D681-4A96-AAA0-F197CF33F502}"/>
    <cellStyle name="Output 2 2 27" xfId="13260" xr:uid="{FFFFA12A-B90B-41DC-9FFD-471C7403BD06}"/>
    <cellStyle name="Output 2 2 28" xfId="11575" xr:uid="{665B14B9-1B97-4201-94C5-B14B8D89FA0B}"/>
    <cellStyle name="Output 2 2 29" xfId="14456" xr:uid="{C2A1A0C6-5E64-414D-8B4F-33C1068CAC81}"/>
    <cellStyle name="Output 2 2 3" xfId="1046" xr:uid="{7C9F6CE8-5B5A-4BAA-8D36-66304C3137A7}"/>
    <cellStyle name="Output 2 2 30" xfId="14581" xr:uid="{E2298406-8681-43AC-8B3A-BFDA80FDA692}"/>
    <cellStyle name="Output 2 2 31" xfId="14600" xr:uid="{65C3ED52-5B49-4854-BDB5-5B522160A498}"/>
    <cellStyle name="Output 2 2 32" xfId="15528" xr:uid="{A2B3569B-7AC1-4351-B7A2-A402BB6DB703}"/>
    <cellStyle name="Output 2 2 33" xfId="15905" xr:uid="{1B232A8A-8005-40FA-ADE1-4C003A3BBB42}"/>
    <cellStyle name="Output 2 2 34" xfId="16608" xr:uid="{D02A63C9-A9C3-4A3C-92E8-819B9A22381C}"/>
    <cellStyle name="Output 2 2 35" xfId="17212" xr:uid="{EFADE917-5895-4675-BB20-63A7C45E82A6}"/>
    <cellStyle name="Output 2 2 36" xfId="17658" xr:uid="{1454E8F3-DA94-468A-B592-46E487C21EC0}"/>
    <cellStyle name="Output 2 2 37" xfId="17881" xr:uid="{B4A75DF5-8533-45D6-B9E1-F085EB5501F6}"/>
    <cellStyle name="Output 2 2 38" xfId="18426" xr:uid="{622BC2CA-B85B-4460-998D-DEF5C5011F8E}"/>
    <cellStyle name="Output 2 2 39" xfId="18209" xr:uid="{BB8E72E4-0CFE-487B-AB57-C8008D80EF97}"/>
    <cellStyle name="Output 2 2 4" xfId="1385" xr:uid="{097DCFE7-BDA3-487C-A867-6D890CAE3609}"/>
    <cellStyle name="Output 2 2 40" xfId="19272" xr:uid="{D9F30A25-B7E3-4116-8FB1-167E716E0D33}"/>
    <cellStyle name="Output 2 2 41" xfId="19945" xr:uid="{8594CC49-CBB8-4004-BF52-48D61195F607}"/>
    <cellStyle name="Output 2 2 42" xfId="20565" xr:uid="{15FDE477-E5BE-466A-82C6-644067EB6CED}"/>
    <cellStyle name="Output 2 2 43" xfId="21018" xr:uid="{806DC700-2B08-46E9-B969-3005BDF18D75}"/>
    <cellStyle name="Output 2 2 44" xfId="20357" xr:uid="{C517D565-6E67-4A9F-94A0-76EA9F10CA02}"/>
    <cellStyle name="Output 2 2 45" xfId="21949" xr:uid="{39106496-9F89-4B8C-91F2-32BE99757B71}"/>
    <cellStyle name="Output 2 2 46" xfId="22380" xr:uid="{489F4323-4BC6-48F7-8362-F2801860E8F2}"/>
    <cellStyle name="Output 2 2 47" xfId="22179" xr:uid="{6398A951-1571-44FA-A7CB-D9F68BF5E053}"/>
    <cellStyle name="Output 2 2 48" xfId="21352" xr:uid="{495AE178-9AD7-49C2-84C0-5E091796CA8C}"/>
    <cellStyle name="Output 2 2 49" xfId="23522" xr:uid="{BB15037A-CE1F-434E-AC4F-06906B102B13}"/>
    <cellStyle name="Output 2 2 5" xfId="2385" xr:uid="{8DB56C1E-8606-4497-8410-2D76BED0C1AE}"/>
    <cellStyle name="Output 2 2 50" xfId="23754" xr:uid="{E3BAE5CE-6199-4D6E-9EE8-8750A7E8FB51}"/>
    <cellStyle name="Output 2 2 51" xfId="24653" xr:uid="{311755D2-5B6F-4DE4-B67F-A64DED7E3B4B}"/>
    <cellStyle name="Output 2 2 52" xfId="25273" xr:uid="{C8E7C2F6-9FFE-4FDD-A733-91AC14439D3C}"/>
    <cellStyle name="Output 2 2 53" xfId="25571" xr:uid="{A0EFBA8B-0B57-48AC-87E9-F6E54217B612}"/>
    <cellStyle name="Output 2 2 54" xfId="24105" xr:uid="{7FD838A8-330C-4A8F-8CDE-E6A297182747}"/>
    <cellStyle name="Output 2 2 55" xfId="24347" xr:uid="{C5361AC3-2D27-40B4-BC5F-1314D006A92D}"/>
    <cellStyle name="Output 2 2 56" xfId="26861" xr:uid="{71ECCEE4-7561-4D92-A8DC-A6DA3CB26113}"/>
    <cellStyle name="Output 2 2 57" xfId="27280" xr:uid="{6D85603A-D96A-47D8-A662-9F743DB159AC}"/>
    <cellStyle name="Output 2 2 58" xfId="27752" xr:uid="{5EAE8E76-BF5F-44E2-9013-8D3D08E1C75F}"/>
    <cellStyle name="Output 2 2 59" xfId="28403" xr:uid="{00ED8FF3-C308-425B-BEBD-CD032F7CB6F2}"/>
    <cellStyle name="Output 2 2 6" xfId="2219" xr:uid="{23FB8010-FF63-499D-A5F5-7C2BF6D92B75}"/>
    <cellStyle name="Output 2 2 60" xfId="28871" xr:uid="{D5A8F902-5025-42B4-850A-BFCD3BD3D7C5}"/>
    <cellStyle name="Output 2 2 61" xfId="29402" xr:uid="{9DC83E3B-350E-4994-883D-0C4B808D3745}"/>
    <cellStyle name="Output 2 2 62" xfId="29661" xr:uid="{9F89746F-F7B3-47BA-9193-A6A293A5FB4E}"/>
    <cellStyle name="Output 2 2 63" xfId="30069" xr:uid="{53E78184-03A5-483A-88E0-1864C9F6E311}"/>
    <cellStyle name="Output 2 2 64" xfId="30483" xr:uid="{DD04D5EC-B274-404D-9B89-EC6506B6EECF}"/>
    <cellStyle name="Output 2 2 65" xfId="30395" xr:uid="{8B006F1F-B0BD-4AF1-88B5-DC06BC801225}"/>
    <cellStyle name="Output 2 2 66" xfId="31107" xr:uid="{0348B3B7-2E70-41EB-AED4-288454B9B8EC}"/>
    <cellStyle name="Output 2 2 67" xfId="31793" xr:uid="{52C00D50-E7DF-4963-9215-C2459B8E9667}"/>
    <cellStyle name="Output 2 2 68" xfId="32292" xr:uid="{FFBBF255-CC1F-4A69-A3F5-798A8A4C815A}"/>
    <cellStyle name="Output 2 2 7" xfId="2998" xr:uid="{DEF63B08-A8DC-4372-8190-95E1C0E2C19C}"/>
    <cellStyle name="Output 2 2 8" xfId="3881" xr:uid="{D54632CF-85C1-41A1-B362-65A8EF3144B1}"/>
    <cellStyle name="Output 2 2 9" xfId="4319" xr:uid="{008F8796-8C84-40E2-8EDA-E0CF87841336}"/>
    <cellStyle name="Output 2 20" xfId="16224" xr:uid="{5C8AF056-1196-45EB-9BBD-C805B5AFC1A1}"/>
    <cellStyle name="Output 2 21" xfId="16151" xr:uid="{6D10BCF3-E64E-4993-BC6C-1CC1FDE5352B}"/>
    <cellStyle name="Output 2 22" xfId="18200" xr:uid="{F8D539FD-1895-47A9-BB99-936A6C2BB928}"/>
    <cellStyle name="Output 2 23" xfId="16327" xr:uid="{C16A7429-F3A9-4786-8501-92BEE7EFBD70}"/>
    <cellStyle name="Output 2 24" xfId="19557" xr:uid="{60074F28-8257-467D-BC3F-63A2952A767C}"/>
    <cellStyle name="Output 2 25" xfId="22022" xr:uid="{19E9256D-BA26-4A33-B16D-24CE3B5B4A7D}"/>
    <cellStyle name="Output 2 26" xfId="23187" xr:uid="{8944AF69-287A-4506-9976-37274DEF2A64}"/>
    <cellStyle name="Output 2 27" xfId="24278" xr:uid="{3BD30A6D-6D20-4A45-AF6E-DA666E209712}"/>
    <cellStyle name="Output 2 28" xfId="24403" xr:uid="{DFC863F0-53B7-420D-8DFF-7C7FE70C6DD6}"/>
    <cellStyle name="Output 2 29" xfId="25506" xr:uid="{3D550B8B-83F4-4CF5-B7EB-84EB01DDEAF8}"/>
    <cellStyle name="Output 2 3" xfId="659" xr:uid="{27A32375-7753-42FD-AE1D-CB75B303F014}"/>
    <cellStyle name="Output 2 3 10" xfId="4785" xr:uid="{8B13331F-3833-477B-9285-FC9998421DA7}"/>
    <cellStyle name="Output 2 3 11" xfId="5307" xr:uid="{D8D9490D-1FFE-4E19-9A5F-FE9C62DE0443}"/>
    <cellStyle name="Output 2 3 12" xfId="5660" xr:uid="{CF3F86AD-CBE5-477B-8BD0-A76973BE5293}"/>
    <cellStyle name="Output 2 3 13" xfId="3747" xr:uid="{B6E2EAB6-39A3-460E-8CDA-95C864F10DA2}"/>
    <cellStyle name="Output 2 3 14" xfId="3802" xr:uid="{085A69BB-53A2-48BD-B461-C5339546BFA9}"/>
    <cellStyle name="Output 2 3 15" xfId="7379" xr:uid="{28E716E6-4B93-4934-A9E7-5AE8409DECB7}"/>
    <cellStyle name="Output 2 3 16" xfId="7974" xr:uid="{3BCAA8BB-BDD5-494E-8ABE-4FFCBDD99756}"/>
    <cellStyle name="Output 2 3 17" xfId="7632" xr:uid="{62ACB0B4-D5BF-4488-87F1-78F982F2436B}"/>
    <cellStyle name="Output 2 3 18" xfId="8031" xr:uid="{A2B6F195-D8C4-46DD-942E-ADC0522D9264}"/>
    <cellStyle name="Output 2 3 19" xfId="9593" xr:uid="{C2EA0D16-13AC-4BCD-B055-EC2604ED576B}"/>
    <cellStyle name="Output 2 3 2" xfId="874" xr:uid="{E2A57AB1-580D-42D5-9A2F-83423A3F7D16}"/>
    <cellStyle name="Output 2 3 2 10" xfId="5522" xr:uid="{E48194D5-5CC3-4F7D-89EC-D1CE7D05AE41}"/>
    <cellStyle name="Output 2 3 2 11" xfId="6016" xr:uid="{02298221-DD1C-495C-A8E1-63BAD107158F}"/>
    <cellStyle name="Output 2 3 2 12" xfId="6375" xr:uid="{EC3E5FD3-B3E3-4758-9465-B00865CD8BDD}"/>
    <cellStyle name="Output 2 3 2 13" xfId="6713" xr:uid="{D17B7513-7375-49CC-A596-053926DFDCBD}"/>
    <cellStyle name="Output 2 3 2 14" xfId="7594" xr:uid="{DFAE2CDD-26EF-43D1-A919-1625D9FA8BEE}"/>
    <cellStyle name="Output 2 3 2 15" xfId="8058" xr:uid="{4752F9CB-C81D-4CA0-9C76-E83B693FCE06}"/>
    <cellStyle name="Output 2 3 2 16" xfId="8667" xr:uid="{706DCB12-3108-4C46-9908-4DD4895931FE}"/>
    <cellStyle name="Output 2 3 2 17" xfId="8926" xr:uid="{CBADF946-6ADD-4B61-B6E5-39DF734A56FD}"/>
    <cellStyle name="Output 2 3 2 18" xfId="9808" xr:uid="{2F443CFE-AFBE-4390-AAF8-34134F0466E8}"/>
    <cellStyle name="Output 2 3 2 19" xfId="10277" xr:uid="{6AD0FA21-67C6-4CC6-B05A-04CB8BC83D0C}"/>
    <cellStyle name="Output 2 3 2 2" xfId="1348" xr:uid="{0EB6305E-9475-4864-A36C-1BDF2A4931F7}"/>
    <cellStyle name="Output 2 3 2 20" xfId="10671" xr:uid="{244D3F31-A264-4219-A177-E524DEDD7E5D}"/>
    <cellStyle name="Output 2 3 2 21" xfId="11020" xr:uid="{566B8B02-0B58-41A5-929C-1676844A16B5}"/>
    <cellStyle name="Output 2 3 2 22" xfId="11330" xr:uid="{E855934E-8F0C-4971-B945-E26442E9598E}"/>
    <cellStyle name="Output 2 3 2 23" xfId="12227" xr:uid="{39208D4F-3BEB-44A1-802A-8F535188FB35}"/>
    <cellStyle name="Output 2 3 2 24" xfId="12700" xr:uid="{2CDDD564-E58B-42AA-AC8E-D116759F271B}"/>
    <cellStyle name="Output 2 3 2 25" xfId="13134" xr:uid="{D7761F94-4B89-49BA-8989-AF3DA4B373CC}"/>
    <cellStyle name="Output 2 3 2 26" xfId="13571" xr:uid="{CB3862BE-A52A-4185-B311-9BFC6BB8B34E}"/>
    <cellStyle name="Output 2 3 2 27" xfId="14043" xr:uid="{BDB64357-0E19-4180-9ECC-6D9AF7C7C5DB}"/>
    <cellStyle name="Output 2 3 2 28" xfId="14490" xr:uid="{F3C369DF-E0BB-41CD-B288-E99CE914B98A}"/>
    <cellStyle name="Output 2 3 2 29" xfId="14924" xr:uid="{5C613BFF-AD16-46E6-94C4-356FDDD2546E}"/>
    <cellStyle name="Output 2 3 2 3" xfId="1797" xr:uid="{4B012913-E5A0-4144-B419-05FB86EF270E}"/>
    <cellStyle name="Output 2 3 2 30" xfId="15394" xr:uid="{29FF699C-9ED4-44F2-8FAF-2D58F9BC5B96}"/>
    <cellStyle name="Output 2 3 2 31" xfId="15784" xr:uid="{75F53D3D-6614-4EF8-941F-D88FF9643497}"/>
    <cellStyle name="Output 2 3 2 32" xfId="16006" xr:uid="{270FDACB-89B0-46EA-B781-42AD885C5B12}"/>
    <cellStyle name="Output 2 3 2 33" xfId="16919" xr:uid="{AF0E13BD-1D47-4D83-9BF3-73107A926ADF}"/>
    <cellStyle name="Output 2 3 2 34" xfId="17400" xr:uid="{820E2641-DB7A-44C0-AB6B-24133692C3DD}"/>
    <cellStyle name="Output 2 3 2 35" xfId="17841" xr:uid="{2BC0539D-BCC2-48CD-8DAA-B8B3F7506305}"/>
    <cellStyle name="Output 2 3 2 36" xfId="18316" xr:uid="{FB1968AC-7D30-4A6E-B3AD-D497118E3EF9}"/>
    <cellStyle name="Output 2 3 2 37" xfId="18737" xr:uid="{726334D7-C463-4BF7-9219-D59F41258F2B}"/>
    <cellStyle name="Output 2 3 2 38" xfId="19124" xr:uid="{202B1AE9-9201-4EFF-9CF1-CDD563417985}"/>
    <cellStyle name="Output 2 3 2 39" xfId="19354" xr:uid="{11E1F2F5-0FDF-42A7-A78B-A6A5199CAECA}"/>
    <cellStyle name="Output 2 3 2 4" xfId="2696" xr:uid="{71D7F9DB-37BE-4146-AFCD-A6932D85E1C4}"/>
    <cellStyle name="Output 2 3 2 40" xfId="20256" xr:uid="{896E1D76-8B30-4DC2-8BF2-F677FF79E8D6}"/>
    <cellStyle name="Output 2 3 2 41" xfId="20749" xr:uid="{3B8964F0-AC69-49B0-AADA-26F3A5B07E79}"/>
    <cellStyle name="Output 2 3 2 42" xfId="21208" xr:uid="{D4FEA220-DDC9-441A-AE71-D241ED55C847}"/>
    <cellStyle name="Output 2 3 2 43" xfId="21700" xr:uid="{2774DCC3-EB26-4FE8-8A41-212CC793F7D4}"/>
    <cellStyle name="Output 2 3 2 44" xfId="22139" xr:uid="{C56BD87C-6407-4A33-AF9A-AABC04448C20}"/>
    <cellStyle name="Output 2 3 2 45" xfId="22566" xr:uid="{C39A3BBC-8B41-492A-968C-94F96E91EC14}"/>
    <cellStyle name="Output 2 3 2 46" xfId="23011" xr:uid="{FD94438A-A24C-4EA2-A170-DA51E5008050}"/>
    <cellStyle name="Output 2 3 2 47" xfId="23413" xr:uid="{C17D437D-9B8C-4480-B595-178588526244}"/>
    <cellStyle name="Output 2 3 2 48" xfId="23676" xr:uid="{DF76D7E1-55EA-4DA9-8B37-B19357A38C77}"/>
    <cellStyle name="Output 2 3 2 49" xfId="24056" xr:uid="{2EAACC30-E00F-4575-A467-6F93865F1641}"/>
    <cellStyle name="Output 2 3 2 5" xfId="3216" xr:uid="{891BC3B7-78C7-4AED-B6B9-2C07CDB89624}"/>
    <cellStyle name="Output 2 3 2 50" xfId="24964" xr:uid="{3C5D5BDB-A6C8-4337-B75D-5D17DCE19CEC}"/>
    <cellStyle name="Output 2 3 2 51" xfId="25452" xr:uid="{87CA8C9C-68AF-486D-A83D-96A03BD9FE67}"/>
    <cellStyle name="Output 2 3 2 52" xfId="25880" xr:uid="{F8918119-E0B9-4E6A-B8C0-8A95B297EFEE}"/>
    <cellStyle name="Output 2 3 2 53" xfId="26318" xr:uid="{35C797AC-A47C-4108-BE30-285883DEAD08}"/>
    <cellStyle name="Output 2 3 2 54" xfId="26747" xr:uid="{98D0EDC8-D4DF-4A41-B08F-421513A7F457}"/>
    <cellStyle name="Output 2 3 2 55" xfId="27168" xr:uid="{34FA2E14-973D-4533-96D9-DD933D2C169C}"/>
    <cellStyle name="Output 2 3 2 56" xfId="27587" xr:uid="{6D3F2B67-8C5D-4959-A732-4D2B0C3886DF}"/>
    <cellStyle name="Output 2 3 2 57" xfId="25703" xr:uid="{0D5285E2-E11A-42D0-8234-B043A5FAED4E}"/>
    <cellStyle name="Output 2 3 2 58" xfId="28714" xr:uid="{A5038ECC-FF62-4578-9CE9-FF69061CB9F0}"/>
    <cellStyle name="Output 2 3 2 59" xfId="29181" xr:uid="{730C93B9-40F1-4BAD-B0B5-500236E4B0D6}"/>
    <cellStyle name="Output 2 3 2 6" xfId="3771" xr:uid="{3F505281-2DE6-43CF-9F28-2FF2D39C4300}"/>
    <cellStyle name="Output 2 3 2 60" xfId="29563" xr:uid="{8D0E6D56-5F79-40E2-A937-8711D44A6D47}"/>
    <cellStyle name="Output 2 3 2 61" xfId="29970" xr:uid="{3199B128-1BE4-422E-B9B7-B49C68C79DC7}"/>
    <cellStyle name="Output 2 3 2 62" xfId="30376" xr:uid="{A081248D-4B26-4142-A73E-571276B69221}"/>
    <cellStyle name="Output 2 3 2 63" xfId="30793" xr:uid="{7F1929F5-A106-4C63-A82A-FD530FC0F739}"/>
    <cellStyle name="Output 2 3 2 64" xfId="31038" xr:uid="{E6809B74-A98B-4A23-A75C-23CB7BFE3D55}"/>
    <cellStyle name="Output 2 3 2 65" xfId="31409" xr:uid="{181B9B42-B269-4A1A-970F-7430E3408C22}"/>
    <cellStyle name="Output 2 3 2 66" xfId="32100" xr:uid="{0B4C60DF-2EB5-44B7-B44D-A392914305FC}"/>
    <cellStyle name="Output 2 3 2 67" xfId="32387" xr:uid="{6CB1F394-644F-4C20-BDD2-0C93613158A6}"/>
    <cellStyle name="Output 2 3 2 7" xfId="4192" xr:uid="{6D529D2C-190C-4175-ADFD-6FB13C4AB921}"/>
    <cellStyle name="Output 2 3 2 8" xfId="4629" xr:uid="{854E8751-52BA-4AC4-BFDB-BCE16679BAA8}"/>
    <cellStyle name="Output 2 3 2 9" xfId="5075" xr:uid="{56D2688D-6BFA-43FC-8B30-9CC2A5B79548}"/>
    <cellStyle name="Output 2 3 20" xfId="10190" xr:uid="{94735939-8747-4D09-9F99-1C3BC0FC09B3}"/>
    <cellStyle name="Output 2 3 21" xfId="10595" xr:uid="{7B6F60F5-DB86-4EB4-B4D6-639FFBEFCD35}"/>
    <cellStyle name="Output 2 3 22" xfId="10252" xr:uid="{D75530FB-276F-4265-99F6-95DC8CBAF57E}"/>
    <cellStyle name="Output 2 3 23" xfId="11278" xr:uid="{C644B6C5-FDAC-41C3-A680-4788C9AB3CAB}"/>
    <cellStyle name="Output 2 3 24" xfId="12012" xr:uid="{5B104D4C-9D9E-4BCA-A350-C4815257B956}"/>
    <cellStyle name="Output 2 3 25" xfId="12485" xr:uid="{9B5886A3-6AE3-40E6-850E-CB6B39D5EE05}"/>
    <cellStyle name="Output 2 3 26" xfId="12919" xr:uid="{CA3B6335-3FF2-4EAC-943A-7CF923202BFA}"/>
    <cellStyle name="Output 2 3 27" xfId="13356" xr:uid="{AF9C60C8-4728-496B-B6B9-C724572190D6}"/>
    <cellStyle name="Output 2 3 28" xfId="11573" xr:uid="{3EB4B814-ED60-4CE9-A14A-AE3B3A231889}"/>
    <cellStyle name="Output 2 3 29" xfId="13689" xr:uid="{2114DA7E-506E-4514-B0BD-50518D32A6FE}"/>
    <cellStyle name="Output 2 3 3" xfId="1142" xr:uid="{B952B48F-825E-4A1C-BB14-BF9AFFA9C9DB}"/>
    <cellStyle name="Output 2 3 30" xfId="14841" xr:uid="{266477BC-CC20-4B46-BE5D-6787B164F2F3}"/>
    <cellStyle name="Output 2 3 31" xfId="15176" xr:uid="{CA73BB62-3130-41ED-B514-1D35F08198B8}"/>
    <cellStyle name="Output 2 3 32" xfId="15384" xr:uid="{B74F3746-E51B-41DD-BCB4-80DFFBCB8AA2}"/>
    <cellStyle name="Output 2 3 33" xfId="15955" xr:uid="{6EC9EEF4-F59C-4DBE-BB1A-45ADA08D864C}"/>
    <cellStyle name="Output 2 3 34" xfId="16704" xr:uid="{DDB75469-4A49-464B-87C1-37F70E7C3B7B}"/>
    <cellStyle name="Output 2 3 35" xfId="17311" xr:uid="{42D92190-1EB5-4221-AE4F-1D642EA003B8}"/>
    <cellStyle name="Output 2 3 36" xfId="17754" xr:uid="{D9B2417C-7590-41CC-B26B-D83596605E18}"/>
    <cellStyle name="Output 2 3 37" xfId="17443" xr:uid="{7D800637-BF6E-43BD-8FAC-F6349C6C6335}"/>
    <cellStyle name="Output 2 3 38" xfId="18522" xr:uid="{4D84C676-EE93-4808-A271-9FA6F5C8D0B1}"/>
    <cellStyle name="Output 2 3 39" xfId="17896" xr:uid="{0889D64F-0A90-4EF1-8D32-BFBEB99477C6}"/>
    <cellStyle name="Output 2 3 4" xfId="1683" xr:uid="{C0E13313-AD8F-4E95-AC56-E5743872D1B0}"/>
    <cellStyle name="Output 2 3 40" xfId="18844" xr:uid="{94FEC605-8624-4181-BC0A-9247A921F07D}"/>
    <cellStyle name="Output 2 3 41" xfId="20041" xr:uid="{A2525D45-45C1-4202-927F-3CEC0DB690A9}"/>
    <cellStyle name="Output 2 3 42" xfId="20662" xr:uid="{A7B31BD2-780C-4DB7-B27F-4D9A0A1DE29B}"/>
    <cellStyle name="Output 2 3 43" xfId="21118" xr:uid="{CBA092BA-DD92-4565-8785-A048C4C325CA}"/>
    <cellStyle name="Output 2 3 44" xfId="21238" xr:uid="{E02EA71A-6184-404E-9283-B6FC5FFE6F42}"/>
    <cellStyle name="Output 2 3 45" xfId="22050" xr:uid="{4FE191BF-BF7F-4AC0-B17D-D132E5C90CEC}"/>
    <cellStyle name="Output 2 3 46" xfId="22478" xr:uid="{71890AC7-2C7B-4257-B5A7-883B61624424}"/>
    <cellStyle name="Output 2 3 47" xfId="20769" xr:uid="{AD8349B0-B410-4063-B454-989E5A555A4E}"/>
    <cellStyle name="Output 2 3 48" xfId="22591" xr:uid="{5A580343-F6B3-4A47-BF52-ED1308D287B9}"/>
    <cellStyle name="Output 2 3 49" xfId="23352" xr:uid="{47F17B7A-0397-4C84-A27F-87F8EF35907D}"/>
    <cellStyle name="Output 2 3 5" xfId="2481" xr:uid="{7C1DDF80-3179-4C0E-80E8-8025CF5FCB45}"/>
    <cellStyle name="Output 2 3 50" xfId="23850" xr:uid="{5890C27B-BF91-46C8-A029-94B0B1A2A742}"/>
    <cellStyle name="Output 2 3 51" xfId="24749" xr:uid="{281829DE-B452-43D8-A3F8-CFD448CACB7C}"/>
    <cellStyle name="Output 2 3 52" xfId="25365" xr:uid="{714597D2-1B77-4C88-9DB3-984953424BC2}"/>
    <cellStyle name="Output 2 3 53" xfId="25667" xr:uid="{97E48D22-234F-48A4-9E82-E49925948FA5}"/>
    <cellStyle name="Output 2 3 54" xfId="24794" xr:uid="{C412A723-BAC6-49B0-9B15-046A4ACD316D}"/>
    <cellStyle name="Output 2 3 55" xfId="25067" xr:uid="{2B3F1282-7095-4C8C-82D6-5B24526961E8}"/>
    <cellStyle name="Output 2 3 56" xfId="26957" xr:uid="{85F9594C-9967-44C9-ACD9-02DF086038C6}"/>
    <cellStyle name="Output 2 3 57" xfId="27376" xr:uid="{62AFCDCE-A4BA-4C8D-A240-4318D422D1F4}"/>
    <cellStyle name="Output 2 3 58" xfId="26629" xr:uid="{F9776330-DD35-4534-AF22-1EF0A82B07D3}"/>
    <cellStyle name="Output 2 3 59" xfId="28499" xr:uid="{5CAA7D15-DC4E-495A-9A5C-DEED94C59ED6}"/>
    <cellStyle name="Output 2 3 6" xfId="1968" xr:uid="{AD822047-CE3F-4F1A-B165-ADD2AD979116}"/>
    <cellStyle name="Output 2 3 60" xfId="28967" xr:uid="{C8E9EBA3-7794-498E-B3E4-CF8ABA69D287}"/>
    <cellStyle name="Output 2 3 61" xfId="29488" xr:uid="{49770CCF-72A9-476B-BFDC-A082271D95FA}"/>
    <cellStyle name="Output 2 3 62" xfId="29757" xr:uid="{F19C4526-C936-43DF-9607-2B044C8223EE}"/>
    <cellStyle name="Output 2 3 63" xfId="30165" xr:uid="{2763CD6E-8EC2-4363-A2B6-D303ACEB1183}"/>
    <cellStyle name="Output 2 3 64" xfId="30579" xr:uid="{EFCE41FB-01DF-4438-8C82-A03D2B3810FD}"/>
    <cellStyle name="Output 2 3 65" xfId="28122" xr:uid="{C38E4D3D-E3D8-4014-B73D-4A5A00169ECA}"/>
    <cellStyle name="Output 2 3 66" xfId="31203" xr:uid="{47B54C9F-CD7E-46D6-A18D-F7F763646195}"/>
    <cellStyle name="Output 2 3 67" xfId="31889" xr:uid="{B770D14C-2745-4AF1-93EF-DD02B692B552}"/>
    <cellStyle name="Output 2 3 68" xfId="32302" xr:uid="{DE03440E-D24E-482B-8602-06598F5D5FF4}"/>
    <cellStyle name="Output 2 3 7" xfId="3279" xr:uid="{1D76DF80-37B3-4FEF-97E6-B17C908D7BB5}"/>
    <cellStyle name="Output 2 3 8" xfId="3977" xr:uid="{152CF72F-B75F-47F5-B995-5F1567D0BC8F}"/>
    <cellStyle name="Output 2 3 9" xfId="4415" xr:uid="{DEAA0357-CF68-4832-8162-37A893044A6D}"/>
    <cellStyle name="Output 2 30" xfId="25229" xr:uid="{5C96B417-1A16-402A-9BC8-0B09A45B8E79}"/>
    <cellStyle name="Output 2 31" xfId="28058" xr:uid="{5B543451-A30C-4327-B4D8-8D4F3B207856}"/>
    <cellStyle name="Output 2 32" xfId="29791" xr:uid="{249C8708-E081-4249-AE72-695EB56D7972}"/>
    <cellStyle name="Output 2 33" xfId="29389" xr:uid="{72BCFB58-23BE-4357-BFE1-9873EC0FCED9}"/>
    <cellStyle name="Output 2 34" xfId="31539" xr:uid="{27FDAD88-11FB-40D6-93CB-53E02BD25F97}"/>
    <cellStyle name="Output 2 4" xfId="686" xr:uid="{8C5A7EFF-9BC0-436C-A5A3-5C24A99E73B3}"/>
    <cellStyle name="Output 2 4 10" xfId="5334" xr:uid="{07C0792B-96D0-4D1E-B10A-0156FA51CED1}"/>
    <cellStyle name="Output 2 4 11" xfId="5902" xr:uid="{70E06470-456A-454F-A63E-4E98F3A551A9}"/>
    <cellStyle name="Output 2 4 12" xfId="5978" xr:uid="{9188EDA5-F226-4051-8D0C-31C35B29297C}"/>
    <cellStyle name="Output 2 4 13" xfId="6437" xr:uid="{82E268EC-566C-4C66-B33C-F9B39B473787}"/>
    <cellStyle name="Output 2 4 14" xfId="7406" xr:uid="{E982924D-43A8-4F41-8064-BEF6F13AAA80}"/>
    <cellStyle name="Output 2 4 15" xfId="7983" xr:uid="{92AEAC49-84E5-4D45-90D1-BC16E6053BA2}"/>
    <cellStyle name="Output 2 4 16" xfId="7661" xr:uid="{8AC16992-6EFF-4C82-B823-E4F31891AA81}"/>
    <cellStyle name="Output 2 4 17" xfId="8856" xr:uid="{EDC31780-F20C-499C-9178-18CAA88BF8CD}"/>
    <cellStyle name="Output 2 4 18" xfId="9620" xr:uid="{FAD07811-E2D2-4DA4-A33D-CC8E788A3001}"/>
    <cellStyle name="Output 2 4 19" xfId="10199" xr:uid="{41B13678-FD9E-438F-BE0E-25A9438F332C}"/>
    <cellStyle name="Output 2 4 2" xfId="1168" xr:uid="{DFA585E9-62F1-4A9D-A1FD-6DBCB285A43A}"/>
    <cellStyle name="Output 2 4 20" xfId="10603" xr:uid="{8B49F2F7-B740-4A55-9B3F-D3F0BDF43BFD}"/>
    <cellStyle name="Output 2 4 21" xfId="9915" xr:uid="{A14B73A6-A5B8-4D9A-9BF7-4C8B2FD4F19E}"/>
    <cellStyle name="Output 2 4 22" xfId="11047" xr:uid="{AE1B0F09-9F09-4331-8D5C-D2E4CA0F8598}"/>
    <cellStyle name="Output 2 4 23" xfId="12039" xr:uid="{2179A379-1CC8-4FD1-A1B3-B3B82C0AABB7}"/>
    <cellStyle name="Output 2 4 24" xfId="12512" xr:uid="{1994A233-256B-414E-A3EA-FC4442F964BF}"/>
    <cellStyle name="Output 2 4 25" xfId="12946" xr:uid="{D716E6CA-5157-489A-B58F-0D6FB07F8FF8}"/>
    <cellStyle name="Output 2 4 26" xfId="13383" xr:uid="{6761E212-E0F3-4DB6-9FEC-1FEB54FE1A97}"/>
    <cellStyle name="Output 2 4 27" xfId="11564" xr:uid="{57B25E9E-6D07-4CFA-8CE6-0407AB56EF46}"/>
    <cellStyle name="Output 2 4 28" xfId="14394" xr:uid="{4B3DD257-DC97-43EB-9172-8BF869D88DA3}"/>
    <cellStyle name="Output 2 4 29" xfId="14849" xr:uid="{C0B9DDDD-50C3-44A0-A270-C83317AD0124}"/>
    <cellStyle name="Output 2 4 3" xfId="1696" xr:uid="{09F2364E-775A-4549-B9C5-AD7D63B9C70B}"/>
    <cellStyle name="Output 2 4 30" xfId="15062" xr:uid="{26B98CBF-D2EA-4DC2-B477-5AC4C1EDB3D4}"/>
    <cellStyle name="Output 2 4 31" xfId="15584" xr:uid="{7C3E4601-AF43-4850-AD52-4FAE46E98DE2}"/>
    <cellStyle name="Output 2 4 32" xfId="15962" xr:uid="{759F0796-ACA0-46EB-ACFE-172457B52E04}"/>
    <cellStyle name="Output 2 4 33" xfId="16731" xr:uid="{1EB99227-0325-4C8B-8DEB-3D32F04116E7}"/>
    <cellStyle name="Output 2 4 34" xfId="17320" xr:uid="{EB8E06D1-7CD1-4414-8ED1-368576B26021}"/>
    <cellStyle name="Output 2 4 35" xfId="17763" xr:uid="{6AF33328-35B3-4E47-8984-5D4301C97EC4}"/>
    <cellStyle name="Output 2 4 36" xfId="17017" xr:uid="{572931D9-80B4-4A13-B88A-404B65E8586C}"/>
    <cellStyle name="Output 2 4 37" xfId="18549" xr:uid="{462FDE3D-E107-415E-B5CD-836B38FCAC8E}"/>
    <cellStyle name="Output 2 4 38" xfId="19018" xr:uid="{12C04650-C2B8-4361-8A12-ACEC1B4EE1AD}"/>
    <cellStyle name="Output 2 4 39" xfId="18108" xr:uid="{4D231DF8-2FD1-4B35-AAF4-341A1469162F}"/>
    <cellStyle name="Output 2 4 4" xfId="2508" xr:uid="{A0005709-15AF-4DC6-9316-E7F968F05457}"/>
    <cellStyle name="Output 2 4 40" xfId="20068" xr:uid="{FA2F9AC9-73DD-463B-B82D-A0E256661C81}"/>
    <cellStyle name="Output 2 4 41" xfId="20671" xr:uid="{D093627B-A24B-4B13-BCE9-6434A73F70A4}"/>
    <cellStyle name="Output 2 4 42" xfId="21127" xr:uid="{E6D96823-FB6C-4177-B205-F1309BDCA3A1}"/>
    <cellStyle name="Output 2 4 43" xfId="21277" xr:uid="{9C1922D7-63FE-4955-8A6B-9B5926B04B43}"/>
    <cellStyle name="Output 2 4 44" xfId="22059" xr:uid="{ED241001-5DE3-41BC-BE73-969BDB9AEC7D}"/>
    <cellStyle name="Output 2 4 45" xfId="22487" xr:uid="{621F3E48-280D-4ECF-9C1E-4D939473F6A2}"/>
    <cellStyle name="Output 2 4 46" xfId="22366" xr:uid="{27810088-2FE4-4798-8E3E-F630B4E2FAFD}"/>
    <cellStyle name="Output 2 4 47" xfId="23297" xr:uid="{6B042F76-B93F-40B6-90C3-283443F8A5A8}"/>
    <cellStyle name="Output 2 4 48" xfId="23388" xr:uid="{26CC6221-DC52-4717-9A62-DA79609C34AE}"/>
    <cellStyle name="Output 2 4 49" xfId="23876" xr:uid="{D2BD888A-8FAE-4CD6-8B56-25FF1524D257}"/>
    <cellStyle name="Output 2 4 5" xfId="2133" xr:uid="{80ACA569-4E5F-4B3F-9608-FCAE0190965A}"/>
    <cellStyle name="Output 2 4 50" xfId="24776" xr:uid="{0A220A09-56F7-48DE-847A-A2386E7A241F}"/>
    <cellStyle name="Output 2 4 51" xfId="25374" xr:uid="{B03183BB-3D97-4D27-A1DE-B1952DA88E97}"/>
    <cellStyle name="Output 2 4 52" xfId="25694" xr:uid="{B76EEBEE-3D41-4D49-9BAD-4F5C7C756915}"/>
    <cellStyle name="Output 2 4 53" xfId="25068" xr:uid="{86CE3046-1632-4825-A073-2973BEFED872}"/>
    <cellStyle name="Output 2 4 54" xfId="26578" xr:uid="{23441886-81CF-4FFB-8718-216C7CCC79E4}"/>
    <cellStyle name="Output 2 4 55" xfId="26984" xr:uid="{23C3CF52-B936-4E66-BCE4-7DBF2A320226}"/>
    <cellStyle name="Output 2 4 56" xfId="27403" xr:uid="{607761CD-1924-4C8C-ACB1-705DDA3A1894}"/>
    <cellStyle name="Output 2 4 57" xfId="25985" xr:uid="{632A4D67-CF2C-4B8A-932B-A394E093BB1A}"/>
    <cellStyle name="Output 2 4 58" xfId="28526" xr:uid="{CA315B24-130D-4E40-A278-DF15CF8B9F04}"/>
    <cellStyle name="Output 2 4 59" xfId="28994" xr:uid="{5F560A38-CC54-48C6-9C3B-0246BF02F072}"/>
    <cellStyle name="Output 2 4 6" xfId="3426" xr:uid="{23EFCD73-ACF8-409D-9AD0-FC8CA0BF0DE1}"/>
    <cellStyle name="Output 2 4 60" xfId="29496" xr:uid="{2E6E05F2-5ACA-48BC-B3B8-6BC7E1B2F93D}"/>
    <cellStyle name="Output 2 4 61" xfId="29784" xr:uid="{3BE80A75-25D6-461B-BCF5-559A2584A016}"/>
    <cellStyle name="Output 2 4 62" xfId="30191" xr:uid="{F6D8E818-3476-4CD7-8B1D-753F1A04ED5C}"/>
    <cellStyle name="Output 2 4 63" xfId="30606" xr:uid="{5BA4FE1C-D939-4442-B839-C6FD304DBFC2}"/>
    <cellStyle name="Output 2 4 64" xfId="30881" xr:uid="{79EB7408-C852-4244-AD60-3115A39B8409}"/>
    <cellStyle name="Output 2 4 65" xfId="31229" xr:uid="{FA1FC24B-E82C-41D5-A969-CB5C2A6A2754}"/>
    <cellStyle name="Output 2 4 66" xfId="31915" xr:uid="{0ADBAF0B-8B69-46F3-96B0-E8294FF6DD4C}"/>
    <cellStyle name="Output 2 4 67" xfId="31925" xr:uid="{F043E8E4-0D71-48C0-8A4A-B8A59BCFDDFF}"/>
    <cellStyle name="Output 2 4 7" xfId="4004" xr:uid="{9AC3D4D2-A4E3-4746-9A64-135BBF5091CD}"/>
    <cellStyle name="Output 2 4 8" xfId="4442" xr:uid="{28F9CABA-84E1-499F-A25C-8C9E1B1AC775}"/>
    <cellStyle name="Output 2 4 9" xfId="4889" xr:uid="{C90328CC-D819-424C-8730-A5958E590931}"/>
    <cellStyle name="Output 2 5" xfId="929" xr:uid="{43D0CF7D-28DA-4E3E-A257-017893CAF9DC}"/>
    <cellStyle name="Output 2 6" xfId="2000" xr:uid="{9C0AC079-B074-484F-BE65-6E54C2323C28}"/>
    <cellStyle name="Output 2 7" xfId="2721" xr:uid="{0A269069-DD70-4352-B883-B61FFC6405DF}"/>
    <cellStyle name="Output 2 8" xfId="3693" xr:uid="{4FC1DD7A-EC3D-4C64-9AC6-5A978F8BAA0C}"/>
    <cellStyle name="Output 2 9" xfId="2211" xr:uid="{3483E081-00BB-47CD-A76C-D086CF28EBEE}"/>
    <cellStyle name="Output 3" xfId="237" xr:uid="{6030A89D-1943-4334-B908-3C8A125CF3D0}"/>
    <cellStyle name="Output 3 10" xfId="3007" xr:uid="{11D234DF-5E84-47EA-B347-743A404DF1FE}"/>
    <cellStyle name="Output 3 11" xfId="2854" xr:uid="{EA1A6A1D-911A-4818-89B6-379404D17D6D}"/>
    <cellStyle name="Output 3 12" xfId="6968" xr:uid="{84289001-6DEC-40D5-BD50-3BAB01736428}"/>
    <cellStyle name="Output 3 13" xfId="7657" xr:uid="{8873F660-9BC1-468F-B566-069ECF95D81C}"/>
    <cellStyle name="Output 3 14" xfId="8289" xr:uid="{C8B256B0-9D52-412A-A2EA-85EF8EC5276E}"/>
    <cellStyle name="Output 3 15" xfId="9181" xr:uid="{DAEE006F-D419-4C46-8B91-C8EE923EED77}"/>
    <cellStyle name="Output 3 16" xfId="9868" xr:uid="{EC40BCBF-40BE-423F-8D43-6567F1F12337}"/>
    <cellStyle name="Output 3 17" xfId="11593" xr:uid="{4A90C4EE-21AD-4F08-9F27-7CB097356489}"/>
    <cellStyle name="Output 3 18" xfId="11453" xr:uid="{E7E71D78-47F5-435D-8B05-D82159E2017E}"/>
    <cellStyle name="Output 3 19" xfId="14015" xr:uid="{386EDF57-8531-4DFD-A960-1B38E775C48F}"/>
    <cellStyle name="Output 3 2" xfId="590" xr:uid="{423FA8AA-F2F3-4AB9-BC6E-E56B2CA070E7}"/>
    <cellStyle name="Output 3 2 10" xfId="4954" xr:uid="{4628B56F-4DD2-4A4A-A13D-6B05958C619E}"/>
    <cellStyle name="Output 3 2 11" xfId="5238" xr:uid="{66F1D8B6-A0D0-456C-994A-33B2C6DC4377}"/>
    <cellStyle name="Output 3 2 12" xfId="4687" xr:uid="{407B0A34-9612-4405-8385-05810328492C}"/>
    <cellStyle name="Output 3 2 13" xfId="5576" xr:uid="{66AB58E0-8408-47D7-867A-CD92E5215F04}"/>
    <cellStyle name="Output 3 2 14" xfId="6619" xr:uid="{D3E77901-C423-4076-B801-D5319372684A}"/>
    <cellStyle name="Output 3 2 15" xfId="7310" xr:uid="{8051D630-6C87-42B8-963C-9AB0DD709EFD}"/>
    <cellStyle name="Output 3 2 16" xfId="7954" xr:uid="{F9A30CCF-0D3E-4DBF-9549-89F618D6CB46}"/>
    <cellStyle name="Output 3 2 17" xfId="8349" xr:uid="{A01AF00D-ACC0-4BE1-9A94-E89C0FE5A3A6}"/>
    <cellStyle name="Output 3 2 18" xfId="8288" xr:uid="{832C4FD8-17D7-4C2F-9FC8-539887184977}"/>
    <cellStyle name="Output 3 2 19" xfId="9524" xr:uid="{E4F458A3-E088-4B72-83A6-BF5DE2F75AC0}"/>
    <cellStyle name="Output 3 2 2" xfId="805" xr:uid="{C42722FE-26E5-4F1B-A9C4-3DDC165BDF0B}"/>
    <cellStyle name="Output 3 2 2 10" xfId="5453" xr:uid="{04D239AE-278A-45C8-9A0C-E3E1A470E5A3}"/>
    <cellStyle name="Output 3 2 2 11" xfId="5636" xr:uid="{06D9F356-D2F1-427F-911E-6A39D9A5831E}"/>
    <cellStyle name="Output 3 2 2 12" xfId="5585" xr:uid="{0C4793FC-05CD-4F77-9D56-72E504876C7E}"/>
    <cellStyle name="Output 3 2 2 13" xfId="6354" xr:uid="{287A63F8-BE4F-4D17-B08F-16863FD0926D}"/>
    <cellStyle name="Output 3 2 2 14" xfId="7525" xr:uid="{BEDFC9C8-A027-4D23-9C68-1A20745DC642}"/>
    <cellStyle name="Output 3 2 2 15" xfId="7071" xr:uid="{8D94F36F-C936-48D9-970A-342947A1FBD6}"/>
    <cellStyle name="Output 3 2 2 16" xfId="8159" xr:uid="{998CD5F5-A439-4CFB-84CF-448A8B45346E}"/>
    <cellStyle name="Output 3 2 2 17" xfId="8799" xr:uid="{06335D10-5FDA-4A6F-8F47-30ACF8B73F69}"/>
    <cellStyle name="Output 3 2 2 18" xfId="9739" xr:uid="{CBEC4471-DBD3-4390-8E9A-51B9A69EBF09}"/>
    <cellStyle name="Output 3 2 2 19" xfId="9284" xr:uid="{9ED9920E-A5E8-4466-9C72-A057C7CB3559}"/>
    <cellStyle name="Output 3 2 2 2" xfId="1279" xr:uid="{A490CB1E-C4C0-41A5-BF81-6A90A89F6E86}"/>
    <cellStyle name="Output 3 2 2 20" xfId="10235" xr:uid="{3AF6CB4E-81F6-4D95-AC3E-079D4135E716}"/>
    <cellStyle name="Output 3 2 2 21" xfId="10699" xr:uid="{5FF46646-E5F0-48B9-A1BB-C05EADD904F5}"/>
    <cellStyle name="Output 3 2 2 22" xfId="11075" xr:uid="{ABE124D1-5BAF-43EC-B76E-096299E5E1C6}"/>
    <cellStyle name="Output 3 2 2 23" xfId="12158" xr:uid="{08C69DCC-4AF3-40D0-896D-FCD0DA581245}"/>
    <cellStyle name="Output 3 2 2 24" xfId="12631" xr:uid="{A6DF6BFF-44BA-47D1-9F70-9AF2C99A25A4}"/>
    <cellStyle name="Output 3 2 2 25" xfId="13065" xr:uid="{48044C4B-5A32-4D9F-9D6D-1A97FD49173C}"/>
    <cellStyle name="Output 3 2 2 26" xfId="13502" xr:uid="{C569E1A9-09F2-47C0-A159-AF7C96FBDA0E}"/>
    <cellStyle name="Output 3 2 2 27" xfId="13611" xr:uid="{535451D4-A1C8-4DB6-B676-5B211595432A}"/>
    <cellStyle name="Output 3 2 2 28" xfId="13773" xr:uid="{145A6FDD-9051-49B6-8330-5C7CFA9104B9}"/>
    <cellStyle name="Output 3 2 2 29" xfId="11471" xr:uid="{749D88F4-46EE-420C-B250-B6BD8B8A141E}"/>
    <cellStyle name="Output 3 2 2 3" xfId="1605" xr:uid="{67DC460F-76FF-4092-A0FC-E7DCFF67382E}"/>
    <cellStyle name="Output 3 2 2 30" xfId="12289" xr:uid="{97D2B19B-74EE-4965-915A-F1742E186A47}"/>
    <cellStyle name="Output 3 2 2 31" xfId="15606" xr:uid="{7E3C13DC-5BF4-404C-975E-8000BB409685}"/>
    <cellStyle name="Output 3 2 2 32" xfId="15674" xr:uid="{4439BABA-25D6-4924-B681-5381190AB105}"/>
    <cellStyle name="Output 3 2 2 33" xfId="16850" xr:uid="{0A29ED61-33BB-4B78-AC2B-27D8B9ED76CE}"/>
    <cellStyle name="Output 3 2 2 34" xfId="16392" xr:uid="{78310304-0445-4FF2-9B41-5A668754C1AF}"/>
    <cellStyle name="Output 3 2 2 35" xfId="17356" xr:uid="{80571DB6-53E5-4E71-B9EF-773E37CBC1E2}"/>
    <cellStyle name="Output 3 2 2 36" xfId="17965" xr:uid="{44D836C9-D5AB-4B2E-A09E-5D79001D92E2}"/>
    <cellStyle name="Output 3 2 2 37" xfId="18668" xr:uid="{3CD15287-AAA5-4A79-BF09-38E71FEB2300}"/>
    <cellStyle name="Output 3 2 2 38" xfId="18224" xr:uid="{53D34AC2-C91A-4C0B-9742-A1F93A093800}"/>
    <cellStyle name="Output 3 2 2 39" xfId="19167" xr:uid="{25FA7341-6C95-421A-A571-63D3C7F2158C}"/>
    <cellStyle name="Output 3 2 2 4" xfId="2627" xr:uid="{A52D5B87-9C1C-4429-9715-0129B740B828}"/>
    <cellStyle name="Output 3 2 2 40" xfId="20187" xr:uid="{6AC8781F-765B-4118-B738-38137782CCD0}"/>
    <cellStyle name="Output 3 2 2 41" xfId="19727" xr:uid="{3F1CD477-C0DF-4EF9-A3C8-27658BFF4AA1}"/>
    <cellStyle name="Output 3 2 2 42" xfId="20426" xr:uid="{97F7F39E-C803-4E38-9F2D-99D4F2062BDA}"/>
    <cellStyle name="Output 3 2 2 43" xfId="21515" xr:uid="{03191D88-722A-4804-95B9-5C0D99F3CCD0}"/>
    <cellStyle name="Output 3 2 2 44" xfId="20477" xr:uid="{646829AB-FA64-4FCE-9FD3-83A299B10E8C}"/>
    <cellStyle name="Output 3 2 2 45" xfId="21604" xr:uid="{B2AC6A36-5EAA-4CBB-9DCA-3FA2B85366B8}"/>
    <cellStyle name="Output 3 2 2 46" xfId="22620" xr:uid="{46EA591C-76C0-4CF7-8FED-378F2BE3E0D0}"/>
    <cellStyle name="Output 3 2 2 47" xfId="22210" xr:uid="{BE1B6DBA-CF3A-43DF-9214-9418C49995E0}"/>
    <cellStyle name="Output 3 2 2 48" xfId="23393" xr:uid="{D71CE597-CEEF-4867-98A7-D7BE8FE5F10F}"/>
    <cellStyle name="Output 3 2 2 49" xfId="23987" xr:uid="{63A9B837-002F-4254-B9A3-CB3215085D65}"/>
    <cellStyle name="Output 3 2 2 5" xfId="2778" xr:uid="{4D351CD7-6AF6-4DFB-A7E0-7DCA3C7744F5}"/>
    <cellStyle name="Output 3 2 2 50" xfId="24895" xr:uid="{F0B0E59F-8DD3-4C1C-980D-4D208681DE77}"/>
    <cellStyle name="Output 3 2 2 51" xfId="24245" xr:uid="{72E5166C-3202-4AF4-A2E2-FCC0FEA185B2}"/>
    <cellStyle name="Output 3 2 2 52" xfId="25811" xr:uid="{1980D441-DC4F-4601-84C7-070A9F6CAD30}"/>
    <cellStyle name="Output 3 2 2 53" xfId="25926" xr:uid="{87726234-2C27-42A1-8D2D-B74CA81314FA}"/>
    <cellStyle name="Output 3 2 2 54" xfId="26661" xr:uid="{D5F17B8D-3A43-44C3-BBFA-40F562614EEF}"/>
    <cellStyle name="Output 3 2 2 55" xfId="27099" xr:uid="{310E9BAF-E217-4E4A-8F0A-6181B9683D6D}"/>
    <cellStyle name="Output 3 2 2 56" xfId="27518" xr:uid="{02E24F20-1D4A-4EB8-A48F-72938B2331E7}"/>
    <cellStyle name="Output 3 2 2 57" xfId="27800" xr:uid="{3AB1F9C4-DBA3-4B89-B382-7B6A077D3076}"/>
    <cellStyle name="Output 3 2 2 58" xfId="28645" xr:uid="{52E0198B-EE10-4500-AF35-17D1E5DD5BE7}"/>
    <cellStyle name="Output 3 2 2 59" xfId="29112" xr:uid="{722A2078-0FEC-44DE-9DEA-BCE4D4CCF91D}"/>
    <cellStyle name="Output 3 2 2 6" xfId="2967" xr:uid="{04B8DB05-3F38-4900-AF88-28673B73B168}"/>
    <cellStyle name="Output 3 2 2 60" xfId="28089" xr:uid="{6E1DFC35-7565-45E9-A569-CD860D85F8C1}"/>
    <cellStyle name="Output 3 2 2 61" xfId="29901" xr:uid="{E459A718-4FCD-477A-B2C0-BA512D6753FB}"/>
    <cellStyle name="Output 3 2 2 62" xfId="30307" xr:uid="{0E5034FE-474C-48E4-903F-BA1A733B3A4C}"/>
    <cellStyle name="Output 3 2 2 63" xfId="30724" xr:uid="{104440F5-18A5-4D75-9467-90A96EABDECE}"/>
    <cellStyle name="Output 3 2 2 64" xfId="29277" xr:uid="{D15874F9-B7F7-4AD8-A245-10EF947D278D}"/>
    <cellStyle name="Output 3 2 2 65" xfId="31340" xr:uid="{2489435C-F797-40A9-99AF-109584FBFB35}"/>
    <cellStyle name="Output 3 2 2 66" xfId="32031" xr:uid="{D312E029-284A-49DF-AA50-B41D66A5C9F7}"/>
    <cellStyle name="Output 3 2 2 67" xfId="31711" xr:uid="{E178C725-B908-4E93-97A3-E288A50202E5}"/>
    <cellStyle name="Output 3 2 2 7" xfId="4123" xr:uid="{A150E516-C81D-442E-A743-1BF32ECD3786}"/>
    <cellStyle name="Output 3 2 2 8" xfId="4560" xr:uid="{3C3B0D11-EB3D-4BC1-A03A-3A8851EFF656}"/>
    <cellStyle name="Output 3 2 2 9" xfId="3376" xr:uid="{2778BBEF-91D5-4215-AA20-817534D27EC4}"/>
    <cellStyle name="Output 3 2 20" xfId="10169" xr:uid="{537AE06C-F5CD-4A48-B95E-BD8903F19C3E}"/>
    <cellStyle name="Output 3 2 21" xfId="10576" xr:uid="{F300DC2C-D70B-48EE-BB21-4B0C81ED257A}"/>
    <cellStyle name="Output 3 2 22" xfId="9371" xr:uid="{41E1A8E7-64DD-4792-A29F-FBB73E9DE83B}"/>
    <cellStyle name="Output 3 2 23" xfId="10745" xr:uid="{4003E73A-F2CD-4D98-8DBC-AE5A15FA9958}"/>
    <cellStyle name="Output 3 2 24" xfId="11943" xr:uid="{274FDA44-EF07-4541-AD5B-0AEB69AEC309}"/>
    <cellStyle name="Output 3 2 25" xfId="12416" xr:uid="{2C18C9D2-95AB-495F-B0D7-645A99C5FBD9}"/>
    <cellStyle name="Output 3 2 26" xfId="12850" xr:uid="{748336D1-9F82-4C9E-8132-CE4A94FFDA75}"/>
    <cellStyle name="Output 3 2 27" xfId="13287" xr:uid="{61A88C32-A17E-45EE-8F9F-9D8DC14E56FB}"/>
    <cellStyle name="Output 3 2 28" xfId="11386" xr:uid="{2E7992BC-A3CD-46FF-92AC-CDC3019B4D6E}"/>
    <cellStyle name="Output 3 2 29" xfId="14169" xr:uid="{1E001216-880A-4321-9197-0CA800A67A1D}"/>
    <cellStyle name="Output 3 2 3" xfId="1073" xr:uid="{B719A36A-E547-4517-A9C9-92B5333206E9}"/>
    <cellStyle name="Output 3 2 30" xfId="14835" xr:uid="{62566170-4C21-4ACC-9285-0F5DC1F9EE07}"/>
    <cellStyle name="Output 3 2 31" xfId="14310" xr:uid="{E1830186-79B1-4FA4-BC7A-EDC1B5B7EDFD}"/>
    <cellStyle name="Output 3 2 32" xfId="15264" xr:uid="{CEDE5576-67F5-4264-A394-DEFF29E28099}"/>
    <cellStyle name="Output 3 2 33" xfId="15944" xr:uid="{2304BDD5-1BDD-4A93-902A-CE075CC8BCF5}"/>
    <cellStyle name="Output 3 2 34" xfId="16635" xr:uid="{12540EA3-6D05-44FC-83D3-273C296325E9}"/>
    <cellStyle name="Output 3 2 35" xfId="17289" xr:uid="{CBC4400E-8F4A-4571-B53A-A503B278ADA2}"/>
    <cellStyle name="Output 3 2 36" xfId="17732" xr:uid="{C3321456-B4B6-40E1-BDD1-41F362406537}"/>
    <cellStyle name="Output 3 2 37" xfId="18021" xr:uid="{E81C36BC-A6FC-4F8A-815A-71C418637D81}"/>
    <cellStyle name="Output 3 2 38" xfId="18453" xr:uid="{A43B77FB-D455-4F83-B28B-E87976CB542B}"/>
    <cellStyle name="Output 3 2 39" xfId="16351" xr:uid="{9B800975-345F-4E29-B2C4-93446E280EA6}"/>
    <cellStyle name="Output 3 2 4" xfId="1621" xr:uid="{B1F9CEF9-6F34-4F00-9EEA-C79C2BA1E30F}"/>
    <cellStyle name="Output 3 2 40" xfId="19063" xr:uid="{D63EDAF5-6E68-4433-A626-4BE4DDB6DA3E}"/>
    <cellStyle name="Output 3 2 41" xfId="19972" xr:uid="{DD422B1C-663B-4B3A-8848-1817C0960004}"/>
    <cellStyle name="Output 3 2 42" xfId="20639" xr:uid="{1C8680A3-D6E3-4058-95E4-868758EBC1AB}"/>
    <cellStyle name="Output 3 2 43" xfId="21095" xr:uid="{A8B91627-EA09-46AE-9D09-E85E8A33AECF}"/>
    <cellStyle name="Output 3 2 44" xfId="20782" xr:uid="{D82FA0C7-23CC-4F91-81FE-346C39CC5AB4}"/>
    <cellStyle name="Output 3 2 45" xfId="22026" xr:uid="{224E8CF3-08DE-4C1F-8F99-B2F763F9BF74}"/>
    <cellStyle name="Output 3 2 46" xfId="22456" xr:uid="{64A36C14-97EF-427E-82CF-6FAEE5746E80}"/>
    <cellStyle name="Output 3 2 47" xfId="21549" xr:uid="{EE3E0253-06EE-40FE-8141-73DF35BA1430}"/>
    <cellStyle name="Output 3 2 48" xfId="22557" xr:uid="{0F46014F-C5DE-4A8F-8961-9BC49AF8EEB9}"/>
    <cellStyle name="Output 3 2 49" xfId="23060" xr:uid="{CD3573C6-A3F7-480C-AC1B-D9A4EF1548C1}"/>
    <cellStyle name="Output 3 2 5" xfId="2412" xr:uid="{1B3FFC9E-EC16-4C6D-840C-35BE6442EDC1}"/>
    <cellStyle name="Output 3 2 50" xfId="23781" xr:uid="{4496B6A6-4A3D-417A-8AC2-6FEC5449FDBF}"/>
    <cellStyle name="Output 3 2 51" xfId="24680" xr:uid="{C390F993-831B-4678-8269-4A1EDDFFC411}"/>
    <cellStyle name="Output 3 2 52" xfId="25343" xr:uid="{57691F8A-11C0-4834-BD33-81C8A0409670}"/>
    <cellStyle name="Output 3 2 53" xfId="25598" xr:uid="{69C53BDF-D0C1-4E27-95A4-2BB5CCE1D8DD}"/>
    <cellStyle name="Output 3 2 54" xfId="24302" xr:uid="{7B27B668-244E-4DCC-BB2D-22A7EA71E8AF}"/>
    <cellStyle name="Output 3 2 55" xfId="26336" xr:uid="{ECFCC648-292A-428B-9ED8-8875559A1011}"/>
    <cellStyle name="Output 3 2 56" xfId="26888" xr:uid="{A057C59D-121D-49A2-8909-A450A84487AB}"/>
    <cellStyle name="Output 3 2 57" xfId="27307" xr:uid="{E56683A5-FFDB-445A-8E04-2D118A9ACCBE}"/>
    <cellStyle name="Output 3 2 58" xfId="27787" xr:uid="{7464083C-AE9A-4325-8BA2-AA7DD63A1DC9}"/>
    <cellStyle name="Output 3 2 59" xfId="28430" xr:uid="{3E950EAD-4340-47A4-B28F-532E1070AF14}"/>
    <cellStyle name="Output 3 2 6" xfId="1948" xr:uid="{498B0DC5-3074-4129-85EF-3D1201CDEEFF}"/>
    <cellStyle name="Output 3 2 60" xfId="28898" xr:uid="{72C4CAC9-6B0E-4FEC-883F-B91112C9FF2B}"/>
    <cellStyle name="Output 3 2 61" xfId="29467" xr:uid="{44440C83-8C37-4C3F-8340-E22B72DB9805}"/>
    <cellStyle name="Output 3 2 62" xfId="29688" xr:uid="{8315E976-D31A-4DA2-9A88-3CC4D3A9986F}"/>
    <cellStyle name="Output 3 2 63" xfId="30096" xr:uid="{A9C19219-0087-4B92-960D-7B41D6826A06}"/>
    <cellStyle name="Output 3 2 64" xfId="30510" xr:uid="{CCD77F8F-CDA8-4543-8907-87DBCC29B8D6}"/>
    <cellStyle name="Output 3 2 65" xfId="30826" xr:uid="{C862E285-F5A2-4AD5-8D9C-89D8CA134717}"/>
    <cellStyle name="Output 3 2 66" xfId="31134" xr:uid="{E7DC010B-0799-4AEA-9226-A79BFF08944D}"/>
    <cellStyle name="Output 3 2 67" xfId="31820" xr:uid="{4E628BD0-D33E-4D8D-8570-1E7E9608FE0D}"/>
    <cellStyle name="Output 3 2 68" xfId="31616" xr:uid="{94F4A810-8851-4932-8413-92C2F2FBAE51}"/>
    <cellStyle name="Output 3 2 7" xfId="3041" xr:uid="{0B2610ED-35ED-4A46-82F1-FD1DD82F1B5D}"/>
    <cellStyle name="Output 3 2 8" xfId="3908" xr:uid="{D8B13DCB-1DC9-486F-8276-571EAF19462A}"/>
    <cellStyle name="Output 3 2 9" xfId="4346" xr:uid="{BCED6452-BE0C-4CC9-B76E-9F28CD780CAB}"/>
    <cellStyle name="Output 3 20" xfId="16288" xr:uid="{16184F60-746D-43F6-A175-BE7902F43EAE}"/>
    <cellStyle name="Output 3 21" xfId="16983" xr:uid="{EBFF976E-C1F4-4FFA-9389-6D7E8A0BBB43}"/>
    <cellStyle name="Output 3 22" xfId="17453" xr:uid="{0610841A-60C7-4AA2-9D2A-F5F54AA44E34}"/>
    <cellStyle name="Output 3 23" xfId="19104" xr:uid="{61C0329A-DA32-49DB-8E83-9E683FC53061}"/>
    <cellStyle name="Output 3 24" xfId="19621" xr:uid="{06C7D926-C579-4B2D-B060-D3EA796BE946}"/>
    <cellStyle name="Output 3 25" xfId="22157" xr:uid="{8CBCC189-D46C-46AF-8B8D-B052A1907F2E}"/>
    <cellStyle name="Output 3 26" xfId="22832" xr:uid="{34F003B0-5BA1-4A2D-93BE-2099360F1903}"/>
    <cellStyle name="Output 3 27" xfId="24342" xr:uid="{07EFC5BC-CC50-49A2-937C-E1DDFC0D5553}"/>
    <cellStyle name="Output 3 28" xfId="25158" xr:uid="{EDDE165F-431F-4A10-95DC-42521B344A5D}"/>
    <cellStyle name="Output 3 29" xfId="24399" xr:uid="{DF5C6767-907C-47B4-9E26-94310153C43A}"/>
    <cellStyle name="Output 3 3" xfId="641" xr:uid="{4A9E61E5-174B-495A-9B84-54DB221B5E53}"/>
    <cellStyle name="Output 3 3 10" xfId="4263" xr:uid="{2755C4DF-C1FD-4292-8A15-CB05146B7A25}"/>
    <cellStyle name="Output 3 3 11" xfId="5289" xr:uid="{954E0002-981C-47A0-8336-114BEAB8E681}"/>
    <cellStyle name="Output 3 3 12" xfId="1873" xr:uid="{C7D99F21-E1D2-49F8-8D3A-7EFFE7DE0416}"/>
    <cellStyle name="Output 3 3 13" xfId="6223" xr:uid="{64F82A67-213F-41D8-AE60-964C716437FA}"/>
    <cellStyle name="Output 3 3 14" xfId="5121" xr:uid="{3EDFF7B2-C7BE-4508-A1BF-55A1FF37DB32}"/>
    <cellStyle name="Output 3 3 15" xfId="7361" xr:uid="{ADA64CD9-B8B9-4E0F-8B7F-CCEB21346C8C}"/>
    <cellStyle name="Output 3 3 16" xfId="7786" xr:uid="{60591F77-1FA0-4F0E-A2D0-DFA0F7849059}"/>
    <cellStyle name="Output 3 3 17" xfId="8444" xr:uid="{F184C365-2260-445B-A037-9D50CCFE0585}"/>
    <cellStyle name="Output 3 3 18" xfId="7893" xr:uid="{11CC9294-878C-4B7B-966D-F150C43FF021}"/>
    <cellStyle name="Output 3 3 19" xfId="9575" xr:uid="{4B7A3177-6267-4FDD-B3D9-4C3E5E5D4173}"/>
    <cellStyle name="Output 3 3 2" xfId="856" xr:uid="{3465A469-8AAB-416F-8CB8-65B597F6DADD}"/>
    <cellStyle name="Output 3 3 2 10" xfId="5504" xr:uid="{DFF06DD2-B7CE-4B8A-9F59-73A5E5AC4A73}"/>
    <cellStyle name="Output 3 3 2 11" xfId="5001" xr:uid="{39262AD0-9EBC-4660-BF66-F644B54BF155}"/>
    <cellStyle name="Output 3 3 2 12" xfId="5657" xr:uid="{663D939B-BF6F-4FD7-96C8-AFD1552A12BE}"/>
    <cellStyle name="Output 3 3 2 13" xfId="4727" xr:uid="{B528FA0C-4007-4DEA-85FD-03C0A90F21A9}"/>
    <cellStyle name="Output 3 3 2 14" xfId="7576" xr:uid="{068A0D15-683E-4F2E-B8F4-2C3C14D16527}"/>
    <cellStyle name="Output 3 3 2 15" xfId="7140" xr:uid="{F69A6F6E-AB1A-4EDC-BBBC-75791ABF61FB}"/>
    <cellStyle name="Output 3 3 2 16" xfId="8256" xr:uid="{3BD4EFEE-86B2-450E-A938-40E090FECA5F}"/>
    <cellStyle name="Output 3 3 2 17" xfId="8764" xr:uid="{028DCC3D-8EE2-45FA-BAFC-13D2EDB46D86}"/>
    <cellStyle name="Output 3 3 2 18" xfId="9790" xr:uid="{B079BC8A-B05A-439C-888A-93337D895182}"/>
    <cellStyle name="Output 3 3 2 19" xfId="9443" xr:uid="{75DF2558-D07E-41B0-BED3-304C49B425F6}"/>
    <cellStyle name="Output 3 3 2 2" xfId="1330" xr:uid="{888AC1CF-3F96-4839-9E2D-4A3CA7FC0CF1}"/>
    <cellStyle name="Output 3 3 2 20" xfId="9850" xr:uid="{F1D5F25D-02E4-4BED-A128-B43F6847671A}"/>
    <cellStyle name="Output 3 3 2 21" xfId="10173" xr:uid="{CBAB710B-B56F-4371-9561-558EB80508F6}"/>
    <cellStyle name="Output 3 3 2 22" xfId="10974" xr:uid="{E97C3CA9-D2C6-4383-8D8A-2731C2F9933F}"/>
    <cellStyle name="Output 3 3 2 23" xfId="12209" xr:uid="{5689757F-332F-4FEC-868B-BD0F9D589910}"/>
    <cellStyle name="Output 3 3 2 24" xfId="12682" xr:uid="{F7BC19EC-C5B8-41E2-B385-78FFA961D8B2}"/>
    <cellStyle name="Output 3 3 2 25" xfId="13116" xr:uid="{A4927D0D-BC96-4BDA-917A-41517FBB5FF4}"/>
    <cellStyle name="Output 3 3 2 26" xfId="13553" xr:uid="{BF8E0D3B-7A7A-4A81-9899-02348F2CC7DB}"/>
    <cellStyle name="Output 3 3 2 27" xfId="13598" xr:uid="{017430B2-B9C2-4048-8652-65FB543FFCB3}"/>
    <cellStyle name="Output 3 3 2 28" xfId="14472" xr:uid="{2ADB0F98-8CB9-40B3-8560-45D6D616B4CE}"/>
    <cellStyle name="Output 3 3 2 29" xfId="14341" xr:uid="{7DDC9B15-18BC-4BDF-881A-089B1B34B034}"/>
    <cellStyle name="Output 3 3 2 3" xfId="1779" xr:uid="{74B42DA5-80CC-4BB3-BD78-884EC4049451}"/>
    <cellStyle name="Output 3 3 2 30" xfId="14016" xr:uid="{D6DF9309-D34B-45EE-933C-FF7B55115AE6}"/>
    <cellStyle name="Output 3 3 2 31" xfId="11546" xr:uid="{400E622E-8B84-4DE0-BDE6-CFD7D0636948}"/>
    <cellStyle name="Output 3 3 2 32" xfId="15250" xr:uid="{66231811-8A76-496C-980B-632C4970726A}"/>
    <cellStyle name="Output 3 3 2 33" xfId="16901" xr:uid="{1456C2BB-9070-436C-BCA7-C918658F2525}"/>
    <cellStyle name="Output 3 3 2 34" xfId="16463" xr:uid="{D586447A-E268-4D2F-93E8-470818596689}"/>
    <cellStyle name="Output 3 3 2 35" xfId="16966" xr:uid="{FD1F93CD-7779-4326-B97A-A55E5DDCF026}"/>
    <cellStyle name="Output 3 3 2 36" xfId="18186" xr:uid="{01ACF8C0-595B-44F4-840A-7FCE68F75214}"/>
    <cellStyle name="Output 3 3 2 37" xfId="18719" xr:uid="{62DDC024-801A-4780-8DF2-B920C94591E8}"/>
    <cellStyle name="Output 3 3 2 38" xfId="18895" xr:uid="{2B71937C-6850-44FA-A9DA-AB2263D6AC87}"/>
    <cellStyle name="Output 3 3 2 39" xfId="19161" xr:uid="{B920957D-6615-415E-9E3D-07C0859913B3}"/>
    <cellStyle name="Output 3 3 2 4" xfId="2678" xr:uid="{A6460622-1BEB-46D0-AF70-409410F36E1C}"/>
    <cellStyle name="Output 3 3 2 40" xfId="20238" xr:uid="{40F44A03-9018-4E2A-9995-4273A3982E83}"/>
    <cellStyle name="Output 3 3 2 41" xfId="19625" xr:uid="{2111D779-1697-45E2-9B1C-169C7BCB4B87}"/>
    <cellStyle name="Output 3 3 2 42" xfId="19886" xr:uid="{AE6CCCB3-2294-464A-8223-99DB6B67B527}"/>
    <cellStyle name="Output 3 3 2 43" xfId="21432" xr:uid="{5FF0CFFC-44BB-4AE8-9D23-2600083C0F21}"/>
    <cellStyle name="Output 3 3 2 44" xfId="21087" xr:uid="{4AF0B47D-AB51-4FCD-A6A7-2739EEB15904}"/>
    <cellStyle name="Output 3 3 2 45" xfId="21772" xr:uid="{6203E770-D3E7-4236-BAE8-69B95B59B40B}"/>
    <cellStyle name="Output 3 3 2 46" xfId="22607" xr:uid="{59F18D0A-1402-46C7-8FA7-3725C19DB27F}"/>
    <cellStyle name="Output 3 3 2 47" xfId="23171" xr:uid="{D7627EB4-460B-4B14-B992-16071F504849}"/>
    <cellStyle name="Output 3 3 2 48" xfId="22873" xr:uid="{9E1FAA6D-6CE9-474D-B375-982B291E6036}"/>
    <cellStyle name="Output 3 3 2 49" xfId="24038" xr:uid="{A0FEDA9E-5058-4B0A-87DB-B5AE5D4FC3E4}"/>
    <cellStyle name="Output 3 3 2 5" xfId="2764" xr:uid="{CE829F09-A3AF-4FB6-8521-279EB141191D}"/>
    <cellStyle name="Output 3 3 2 50" xfId="24946" xr:uid="{1D61B59B-57CE-41C9-B7FF-1242A9262313}"/>
    <cellStyle name="Output 3 3 2 51" xfId="24461" xr:uid="{6A9CA3EE-81FD-4FB7-B05C-DD76D6E88D63}"/>
    <cellStyle name="Output 3 3 2 52" xfId="25862" xr:uid="{85D52CFB-2BAE-44EC-84F8-AB320B7DF65A}"/>
    <cellStyle name="Output 3 3 2 53" xfId="25069" xr:uid="{6DC158BF-1B1D-4B38-8B6E-6ACB2EE78FDE}"/>
    <cellStyle name="Output 3 3 2 54" xfId="26729" xr:uid="{4A75517B-6241-4BE6-8296-8038C3F12848}"/>
    <cellStyle name="Output 3 3 2 55" xfId="27150" xr:uid="{0158F943-0B20-4DBC-89EC-1D3BFF5C42BD}"/>
    <cellStyle name="Output 3 3 2 56" xfId="27569" xr:uid="{95298A5F-72BC-4EAF-B2A9-122CC6CE757A}"/>
    <cellStyle name="Output 3 3 2 57" xfId="26504" xr:uid="{6DF99B40-87B0-4A7E-866D-DB6813CD790C}"/>
    <cellStyle name="Output 3 3 2 58" xfId="28696" xr:uid="{815A0140-7405-44D1-97B9-3AD0277760EB}"/>
    <cellStyle name="Output 3 3 2 59" xfId="29163" xr:uid="{310256BC-8AF4-4B3D-9BB5-5133A791A688}"/>
    <cellStyle name="Output 3 3 2 6" xfId="3413" xr:uid="{E05FB145-6E7A-4938-B70A-31EE6B20DD94}"/>
    <cellStyle name="Output 3 3 2 60" xfId="28220" xr:uid="{32BF92DD-3162-4896-98AE-502FAA3C023B}"/>
    <cellStyle name="Output 3 3 2 61" xfId="29952" xr:uid="{174D837E-6958-4C02-998A-432C54C785C1}"/>
    <cellStyle name="Output 3 3 2 62" xfId="30358" xr:uid="{95E4888E-2EB1-4AA0-A65A-EDC116FBE517}"/>
    <cellStyle name="Output 3 3 2 63" xfId="30775" xr:uid="{98CDC8CB-A52E-427C-AA6F-009AE5C1D6FF}"/>
    <cellStyle name="Output 3 3 2 64" xfId="28172" xr:uid="{7530C871-C846-419E-8AC0-2FE365DDD229}"/>
    <cellStyle name="Output 3 3 2 65" xfId="31391" xr:uid="{0C73D17B-BCDD-429B-BFAE-F37E39920830}"/>
    <cellStyle name="Output 3 3 2 66" xfId="32082" xr:uid="{CE13E9CB-8771-4DD1-ADE6-068193CCD342}"/>
    <cellStyle name="Output 3 3 2 67" xfId="31578" xr:uid="{6E03DEAD-DA09-47F4-88DB-3D0978B11BE0}"/>
    <cellStyle name="Output 3 3 2 7" xfId="4174" xr:uid="{FE2E96FD-0022-4C8C-9A1E-30EEA1759C8B}"/>
    <cellStyle name="Output 3 3 2 8" xfId="4611" xr:uid="{B1BB7884-E534-4F73-835D-83FA64781BF0}"/>
    <cellStyle name="Output 3 3 2 9" xfId="5057" xr:uid="{AD651968-847E-4014-880D-E07EF03678C4}"/>
    <cellStyle name="Output 3 3 20" xfId="9999" xr:uid="{7F34B836-DF1C-4033-80E7-376EA53DD6F9}"/>
    <cellStyle name="Output 3 3 21" xfId="10424" xr:uid="{EA719D01-F9E3-4F25-B696-1060D440925C}"/>
    <cellStyle name="Output 3 3 22" xfId="10469" xr:uid="{C57F125B-58ED-42F3-AEFC-F3572369F064}"/>
    <cellStyle name="Output 3 3 23" xfId="10404" xr:uid="{049E4855-3D35-464E-A479-C8D4EDA47449}"/>
    <cellStyle name="Output 3 3 24" xfId="11994" xr:uid="{1A09BCA8-2B06-41F0-8437-94DCBDFD92D5}"/>
    <cellStyle name="Output 3 3 25" xfId="12467" xr:uid="{8A3F460C-2DF5-4A77-9B29-B87F57F7CC28}"/>
    <cellStyle name="Output 3 3 26" xfId="12901" xr:uid="{12831DB2-A732-4253-AB44-8653A612B2A5}"/>
    <cellStyle name="Output 3 3 27" xfId="13338" xr:uid="{9D2853AE-1012-40E7-ADA4-ABD016B96D34}"/>
    <cellStyle name="Output 3 3 28" xfId="13892" xr:uid="{C30F97FA-799C-4E24-906B-0F801A051A0E}"/>
    <cellStyle name="Output 3 3 29" xfId="13167" xr:uid="{393941B2-3EFB-443A-8AC9-9C5C51715197}"/>
    <cellStyle name="Output 3 3 3" xfId="1124" xr:uid="{806F3166-880B-404C-9311-F46914E1A6D4}"/>
    <cellStyle name="Output 3 3 30" xfId="14754" xr:uid="{A45977A3-51E5-4989-B06E-3BDBF414AEA8}"/>
    <cellStyle name="Output 3 3 31" xfId="15064" xr:uid="{8FA171B6-221A-4855-8179-027BC9EC7F37}"/>
    <cellStyle name="Output 3 3 32" xfId="15491" xr:uid="{D7D2BDF9-2354-4F59-A1B5-01D8B52FA965}"/>
    <cellStyle name="Output 3 3 33" xfId="15854" xr:uid="{5A37E4D4-00CB-409F-9C5A-52559E9FBCDD}"/>
    <cellStyle name="Output 3 3 34" xfId="16686" xr:uid="{D202E81E-D39F-490F-BDDC-0E70950E9823}"/>
    <cellStyle name="Output 3 3 35" xfId="17115" xr:uid="{9757125F-2DEC-4C54-B328-AA547CA94A0A}"/>
    <cellStyle name="Output 3 3 36" xfId="17562" xr:uid="{FBB6C50A-D9AD-426F-A311-69AF4CE5E5AD}"/>
    <cellStyle name="Output 3 3 37" xfId="16988" xr:uid="{4D4E38E9-2B3A-4336-8EA4-CF454693E48A}"/>
    <cellStyle name="Output 3 3 38" xfId="18504" xr:uid="{ABC0BF2D-7D04-4480-9324-73D8CBE8C80A}"/>
    <cellStyle name="Output 3 3 39" xfId="17737" xr:uid="{47E8ACF9-D469-4324-BD71-1FB2FB2DF929}"/>
    <cellStyle name="Output 3 3 4" xfId="1596" xr:uid="{3570092E-EE76-4FAD-8040-B1C11BBFAB5A}"/>
    <cellStyle name="Output 3 3 40" xfId="16403" xr:uid="{DE80795C-2A87-4CA0-B386-86599DA85EF5}"/>
    <cellStyle name="Output 3 3 41" xfId="20023" xr:uid="{8A58970A-CFCD-49E3-A355-30451E385F85}"/>
    <cellStyle name="Output 3 3 42" xfId="20468" xr:uid="{DB4592E2-6FE6-4B2D-A432-39C9E51EC6B5}"/>
    <cellStyle name="Output 3 3 43" xfId="20921" xr:uid="{3B2626A6-BB36-4C46-921F-E5E5570D954F}"/>
    <cellStyle name="Output 3 3 44" xfId="21005" xr:uid="{3D9B79F5-1535-4914-A58F-D7D38EEFEDD0}"/>
    <cellStyle name="Output 3 3 45" xfId="21850" xr:uid="{93010D4E-06A1-4EE8-8225-79E164E7B342}"/>
    <cellStyle name="Output 3 3 46" xfId="22287" xr:uid="{6C1AA5D4-073D-4303-A0B8-92861DE5AD09}"/>
    <cellStyle name="Output 3 3 47" xfId="22872" xr:uid="{932BA0AA-2023-40E9-86DB-15F2B0317072}"/>
    <cellStyle name="Output 3 3 48" xfId="22636" xr:uid="{39AA9608-6A8C-40D7-A831-315B6594E1F6}"/>
    <cellStyle name="Output 3 3 49" xfId="22477" xr:uid="{B1F6BD50-9BCD-4C78-9A5D-80A1BB382CFC}"/>
    <cellStyle name="Output 3 3 5" xfId="2463" xr:uid="{941A1369-B951-4E3C-B9C5-4E1A0D27BE42}"/>
    <cellStyle name="Output 3 3 50" xfId="23832" xr:uid="{3E4799B6-4006-43D6-A07E-C6CFB8A6812F}"/>
    <cellStyle name="Output 3 3 51" xfId="24731" xr:uid="{75576C53-3CA2-498A-9FA2-70BF14623876}"/>
    <cellStyle name="Output 3 3 52" xfId="25176" xr:uid="{3D10C625-2A68-4731-8DEE-5E5E93CA8C18}"/>
    <cellStyle name="Output 3 3 53" xfId="25649" xr:uid="{1222FE94-1628-44AF-8840-BA5BBC7E9CCC}"/>
    <cellStyle name="Output 3 3 54" xfId="26178" xr:uid="{9EB8B8A3-5114-44A6-AA5A-FF4DBA8725BD}"/>
    <cellStyle name="Output 3 3 55" xfId="25047" xr:uid="{8DFD4093-A2FA-461B-ABE9-0F93F0F447FB}"/>
    <cellStyle name="Output 3 3 56" xfId="26939" xr:uid="{3CB4A2EA-B382-42C0-8643-E85C81E41919}"/>
    <cellStyle name="Output 3 3 57" xfId="27358" xr:uid="{9386C380-4CC5-4999-A96A-488BB70F3113}"/>
    <cellStyle name="Output 3 3 58" xfId="27776" xr:uid="{2F042F3A-F423-4950-8601-B79DDB4EDF29}"/>
    <cellStyle name="Output 3 3 59" xfId="28481" xr:uid="{4404F458-5F8A-4C2E-87B5-597A00827D51}"/>
    <cellStyle name="Output 3 3 6" xfId="3060" xr:uid="{57C3B601-9428-4A10-8E4A-4A0984C72383}"/>
    <cellStyle name="Output 3 3 60" xfId="28949" xr:uid="{504312A4-9B19-4782-806B-5E6BBF5C33B1}"/>
    <cellStyle name="Output 3 3 61" xfId="29323" xr:uid="{0965AC5C-ADF2-4738-BFAE-4C6159A745F3}"/>
    <cellStyle name="Output 3 3 62" xfId="29739" xr:uid="{412339F3-E402-4316-8AE0-4F60CB8A0746}"/>
    <cellStyle name="Output 3 3 63" xfId="30147" xr:uid="{3F570088-9755-4C0E-82CB-2EA7DC8D1E6F}"/>
    <cellStyle name="Output 3 3 64" xfId="30561" xr:uid="{6889E30D-58D3-4B2A-8292-DFCE457CD208}"/>
    <cellStyle name="Output 3 3 65" xfId="29551" xr:uid="{38581375-1AD8-4E0E-BCE1-00E69A5B2322}"/>
    <cellStyle name="Output 3 3 66" xfId="31185" xr:uid="{3145E6CD-C209-4655-87A8-35709379CD15}"/>
    <cellStyle name="Output 3 3 67" xfId="31871" xr:uid="{E08E23EE-F527-499C-A2BE-7441E42A10B7}"/>
    <cellStyle name="Output 3 3 68" xfId="31740" xr:uid="{FA998658-17A2-45B7-8F7D-F23E1763D51E}"/>
    <cellStyle name="Output 3 3 7" xfId="3442" xr:uid="{DAF8D3B4-E776-4002-AE87-F6285361E967}"/>
    <cellStyle name="Output 3 3 8" xfId="3959" xr:uid="{82FFB977-3961-450C-9ECA-B7CD021435E6}"/>
    <cellStyle name="Output 3 3 9" xfId="4397" xr:uid="{98A5631F-25E2-4F38-8303-C0D82A4F27D3}"/>
    <cellStyle name="Output 3 30" xfId="26436" xr:uid="{AF25552C-6215-48DC-8822-E83D7F82CDB8}"/>
    <cellStyle name="Output 3 31" xfId="28115" xr:uid="{2400C38E-13D4-430C-A7CE-C30C32354A6F}"/>
    <cellStyle name="Output 3 32" xfId="29003" xr:uid="{F3485597-C89B-4A76-9589-447C936CF829}"/>
    <cellStyle name="Output 3 33" xfId="28132" xr:uid="{D9F38FA1-3663-4E6E-8D79-C57183B03D53}"/>
    <cellStyle name="Output 3 34" xfId="31574" xr:uid="{A7BB1EE7-5513-4F59-82FA-6151660AA897}"/>
    <cellStyle name="Output 3 4" xfId="691" xr:uid="{9563BF86-73C8-44B9-B504-B29B1E7CA669}"/>
    <cellStyle name="Output 3 4 10" xfId="5339" xr:uid="{AC081AEF-FAFC-4442-83A5-4DA6AF995906}"/>
    <cellStyle name="Output 3 4 11" xfId="4426" xr:uid="{E79F6A10-D525-449C-ADAA-08F4D8606161}"/>
    <cellStyle name="Output 3 4 12" xfId="6187" xr:uid="{0B25093F-2C90-4AD3-ADDE-5B71295FBB75}"/>
    <cellStyle name="Output 3 4 13" xfId="6533" xr:uid="{9A7A823C-00C4-4BDC-92C9-6F642E4FC22F}"/>
    <cellStyle name="Output 3 4 14" xfId="7411" xr:uid="{6BB7F5EC-852E-4F9C-94E9-94AAF6CD9DEE}"/>
    <cellStyle name="Output 3 4 15" xfId="7711" xr:uid="{C160C82A-2F56-4E3F-893A-FA0FF5F7AC77}"/>
    <cellStyle name="Output 3 4 16" xfId="8168" xr:uid="{70CC1222-F5E5-40C4-9B59-30FC248DDBEF}"/>
    <cellStyle name="Output 3 4 17" xfId="8826" xr:uid="{3C1AE0E1-7255-4A2E-A60E-02CB768FE187}"/>
    <cellStyle name="Output 3 4 18" xfId="9625" xr:uid="{3AE0E177-DD17-4E4C-9D5D-303176C7B53B}"/>
    <cellStyle name="Output 3 4 19" xfId="9925" xr:uid="{78C4376B-3AEA-4579-8B73-0A895B1A6145}"/>
    <cellStyle name="Output 3 4 2" xfId="1173" xr:uid="{426BB4B5-E641-48CB-BB0A-F6D3ED746AAC}"/>
    <cellStyle name="Output 3 4 20" xfId="10356" xr:uid="{D2F926FF-88F6-4902-BDF8-8BC796D919C1}"/>
    <cellStyle name="Output 3 4 21" xfId="10747" xr:uid="{53CDF690-D0BA-4C85-9093-513E7C8BF3C1}"/>
    <cellStyle name="Output 3 4 22" xfId="11275" xr:uid="{379B1F3A-E0CC-4D5A-9654-DB35430AF4BE}"/>
    <cellStyle name="Output 3 4 23" xfId="12044" xr:uid="{7ED7166A-1164-4C8B-801C-8C5B563D2A55}"/>
    <cellStyle name="Output 3 4 24" xfId="12517" xr:uid="{8F04606C-B7D3-40D2-9896-8B24ABA52133}"/>
    <cellStyle name="Output 3 4 25" xfId="12951" xr:uid="{E9207937-7110-4054-AD6D-DD1FCF3866D8}"/>
    <cellStyle name="Output 3 4 26" xfId="13388" xr:uid="{974AA0B4-2B83-4C18-8957-3BA987E719A1}"/>
    <cellStyle name="Output 3 4 27" xfId="13803" xr:uid="{252EF118-FB91-462E-9100-975A6AB3B329}"/>
    <cellStyle name="Output 3 4 28" xfId="13657" xr:uid="{6D854ECE-90D0-4C94-9A00-196799FDACCD}"/>
    <cellStyle name="Output 3 4 29" xfId="14577" xr:uid="{92B69138-1AD0-43BB-B3B0-BA226FF20D04}"/>
    <cellStyle name="Output 3 4 3" xfId="1757" xr:uid="{D596CE98-846E-44F8-B0DB-893D8A034E64}"/>
    <cellStyle name="Output 3 4 30" xfId="15039" xr:uid="{F1309325-5E1A-4359-9734-E700D523BEE0}"/>
    <cellStyle name="Output 3 4 31" xfId="15520" xr:uid="{77A1371F-3403-49B6-B2C7-AB923752E794}"/>
    <cellStyle name="Output 3 4 32" xfId="15813" xr:uid="{D6B73C5A-BD6A-4F48-9470-5B5F9BD939A7}"/>
    <cellStyle name="Output 3 4 33" xfId="16736" xr:uid="{4A59429B-C234-4642-B29B-E36345759353}"/>
    <cellStyle name="Output 3 4 34" xfId="17039" xr:uid="{420AD695-CC1F-497D-8E00-F934D1E0C5C8}"/>
    <cellStyle name="Output 3 4 35" xfId="17487" xr:uid="{48240F93-7BF9-4AEE-9251-B7D37B8A039D}"/>
    <cellStyle name="Output 3 4 36" xfId="18151" xr:uid="{34A24D4F-BD25-4ED2-8703-689EF6A98B10}"/>
    <cellStyle name="Output 3 4 37" xfId="18554" xr:uid="{CDB916D7-010E-47AF-986B-C6424C232124}"/>
    <cellStyle name="Output 3 4 38" xfId="18867" xr:uid="{5D9DFEAA-A57C-4996-A6E0-CCC2548C577C}"/>
    <cellStyle name="Output 3 4 39" xfId="19283" xr:uid="{8B03C3E5-F163-4AC1-9DEE-41541EBE7AE4}"/>
    <cellStyle name="Output 3 4 4" xfId="2513" xr:uid="{B3418533-46C1-44EC-801D-6083B94C2ED1}"/>
    <cellStyle name="Output 3 4 40" xfId="20073" xr:uid="{BCF36DD1-CD09-4F0C-BC81-4FF087F0884B}"/>
    <cellStyle name="Output 3 4 41" xfId="20391" xr:uid="{A3F9360A-D1C3-4E57-8ABA-558865CC7725}"/>
    <cellStyle name="Output 3 4 42" xfId="20844" xr:uid="{5F49A6E8-E99B-4C28-8DA6-762A36E55B9D}"/>
    <cellStyle name="Output 3 4 43" xfId="20809" xr:uid="{CD9820CB-43AD-45E4-924B-6F3D2BAFB1B9}"/>
    <cellStyle name="Output 3 4 44" xfId="21777" xr:uid="{1FBC0B05-1167-434C-B0C6-2A74F57C0436}"/>
    <cellStyle name="Output 3 4 45" xfId="22214" xr:uid="{40906EFD-174C-4C0C-8BE5-7D71F1586B01}"/>
    <cellStyle name="Output 3 4 46" xfId="22793" xr:uid="{D34D44A1-268B-4225-A335-0AD3426764C5}"/>
    <cellStyle name="Output 3 4 47" xfId="23143" xr:uid="{E0F1C92F-E83A-455D-8E91-BBF5BE7DA36C}"/>
    <cellStyle name="Output 3 4 48" xfId="23554" xr:uid="{B19EEE89-2B34-414B-A0E1-C3C59932C511}"/>
    <cellStyle name="Output 3 4 49" xfId="23881" xr:uid="{9452D79D-3882-4321-A9CD-023496306E3D}"/>
    <cellStyle name="Output 3 4 5" xfId="2970" xr:uid="{EBE0A3B1-14DA-480A-8403-8ED6268C4462}"/>
    <cellStyle name="Output 3 4 50" xfId="24781" xr:uid="{DCAA76B9-5219-4FEF-B9D1-4F809993CB35}"/>
    <cellStyle name="Output 3 4 51" xfId="25101" xr:uid="{C7023A6A-5DE9-46B7-A576-945E7E9DD710}"/>
    <cellStyle name="Output 3 4 52" xfId="25699" xr:uid="{F4261E24-E80A-4899-88C3-0B05DD9DDA77}"/>
    <cellStyle name="Output 3 4 53" xfId="26096" xr:uid="{BDDC0D87-4659-4B83-B6BB-B4B218E671AB}"/>
    <cellStyle name="Output 3 4 54" xfId="26062" xr:uid="{C28E0709-17C0-439B-AA3C-932E45F8ED3B}"/>
    <cellStyle name="Output 3 4 55" xfId="26989" xr:uid="{B57E312E-1768-4D36-BDE0-4D55317AF875}"/>
    <cellStyle name="Output 3 4 56" xfId="27408" xr:uid="{DCC82483-30D5-475C-8458-F725F2158FB9}"/>
    <cellStyle name="Output 3 4 57" xfId="27695" xr:uid="{A2D13787-4854-47E7-9025-D68052DE7A6B}"/>
    <cellStyle name="Output 3 4 58" xfId="28531" xr:uid="{7198E535-FCCC-49F7-B6D7-CFB7009CA603}"/>
    <cellStyle name="Output 3 4 59" xfId="28999" xr:uid="{270771D3-37AC-4139-A17A-C3F1A61D9674}"/>
    <cellStyle name="Output 3 4 6" xfId="3184" xr:uid="{3AC34191-9A80-4DF6-B59B-CDA94143C505}"/>
    <cellStyle name="Output 3 4 60" xfId="29255" xr:uid="{7C23F2F5-C11B-4B75-9777-F23A31CE6776}"/>
    <cellStyle name="Output 3 4 61" xfId="29789" xr:uid="{BFEC1267-D03B-4588-89B1-065F87F6DF6E}"/>
    <cellStyle name="Output 3 4 62" xfId="30196" xr:uid="{79AD7C04-8931-4A19-BC38-81F19ACEF194}"/>
    <cellStyle name="Output 3 4 63" xfId="30611" xr:uid="{8C8F87A3-C389-44CD-BF55-70806F306BE4}"/>
    <cellStyle name="Output 3 4 64" xfId="28120" xr:uid="{FD704286-8EF5-4A0C-9840-74E7E3ABECB2}"/>
    <cellStyle name="Output 3 4 65" xfId="31234" xr:uid="{842CAC08-94DF-4EA1-8C89-04E22C362CDE}"/>
    <cellStyle name="Output 3 4 66" xfId="31920" xr:uid="{CA13BCD6-6510-4BE5-BF4B-FCC08B93E814}"/>
    <cellStyle name="Output 3 4 67" xfId="31493" xr:uid="{8D5F4F75-E8A8-41C3-9F3D-79F7640C0414}"/>
    <cellStyle name="Output 3 4 7" xfId="4009" xr:uid="{ACC82143-242C-4DFB-8730-31C556BA843E}"/>
    <cellStyle name="Output 3 4 8" xfId="4447" xr:uid="{E0B72656-A1D2-4D0C-A16E-36313918900E}"/>
    <cellStyle name="Output 3 4 9" xfId="3425" xr:uid="{C8C768D5-5B0E-4493-85C5-6F97D38F851A}"/>
    <cellStyle name="Output 3 5" xfId="935" xr:uid="{2F4F0F2D-9865-4198-9F35-6E1C61E0A860}"/>
    <cellStyle name="Output 3 6" xfId="2062" xr:uid="{DB02E8ED-B80D-455D-B72A-F5E1BEDA8D3F}"/>
    <cellStyle name="Output 3 7" xfId="3187" xr:uid="{EC73B93B-C47D-4B56-B1FC-5B48F7D582F3}"/>
    <cellStyle name="Output 3 8" xfId="3358" xr:uid="{2A59364A-2D24-4141-AC92-4105E2923C1F}"/>
    <cellStyle name="Output 3 9" xfId="2750" xr:uid="{22BD5F03-13B9-41AF-B1D8-AABA920A3D78}"/>
    <cellStyle name="Pattern" xfId="174" xr:uid="{43AD4B32-8041-43FE-80A7-7E4D7C18747D}"/>
    <cellStyle name="Pattern 2" xfId="434" xr:uid="{28A81C50-ED86-4269-872B-8A60548A4DFA}"/>
    <cellStyle name="Pattern 2 2" xfId="577" xr:uid="{44629451-40B4-4BC4-A58B-1232DF6452CB}"/>
    <cellStyle name="Pattern 2 2 10" xfId="4751" xr:uid="{22F65779-71D4-4610-8EE9-15E3AF42C126}"/>
    <cellStyle name="Pattern 2 2 11" xfId="5225" xr:uid="{2E22DAFA-6227-45DA-BEED-3D89497E1750}"/>
    <cellStyle name="Pattern 2 2 12" xfId="4809" xr:uid="{86963A18-DE17-48B7-A6FC-3128AE21208A}"/>
    <cellStyle name="Pattern 2 2 13" xfId="5104" xr:uid="{89538E1A-EA15-4365-B1AC-F01CDFED25EE}"/>
    <cellStyle name="Pattern 2 2 14" xfId="6100" xr:uid="{EBB0A8DC-07D5-47B8-8DB3-95ABA92DFE13}"/>
    <cellStyle name="Pattern 2 2 15" xfId="7297" xr:uid="{A98E0377-4178-4A1E-8ABF-BF22E80C389A}"/>
    <cellStyle name="Pattern 2 2 16" xfId="7870" xr:uid="{D0312C8A-FF24-4A88-BF02-AA3415E4D812}"/>
    <cellStyle name="Pattern 2 2 17" xfId="8649" xr:uid="{72737C38-BED3-4C77-9EE4-1627C9C142BD}"/>
    <cellStyle name="Pattern 2 2 18" xfId="7801" xr:uid="{A3BC6709-82DA-482E-AB73-143233DD0B5C}"/>
    <cellStyle name="Pattern 2 2 19" xfId="9511" xr:uid="{BAA5894A-91DC-4836-BD77-7FCC5108CF12}"/>
    <cellStyle name="Pattern 2 2 2" xfId="792" xr:uid="{1917EC5F-F2C0-4538-A8B5-FA66D1AD2078}"/>
    <cellStyle name="Pattern 2 2 2 10" xfId="5440" xr:uid="{B1F0CF33-C677-4D21-B4A3-629BAFED27F8}"/>
    <cellStyle name="Pattern 2 2 2 11" xfId="5915" xr:uid="{B8C3DEA8-10E8-4393-BEB7-A109EECB936D}"/>
    <cellStyle name="Pattern 2 2 2 12" xfId="6008" xr:uid="{9FACA6E9-81AB-463E-B92A-66800F217EF8}"/>
    <cellStyle name="Pattern 2 2 2 13" xfId="6588" xr:uid="{D2B96537-C1A7-4583-8814-81C3650197A2}"/>
    <cellStyle name="Pattern 2 2 2 14" xfId="7512" xr:uid="{3697B746-1F98-4B25-BBE6-9EAE6EE8E493}"/>
    <cellStyle name="Pattern 2 2 2 15" xfId="7879" xr:uid="{A075BC1A-2A06-4C50-801F-E3519D02AB94}"/>
    <cellStyle name="Pattern 2 2 2 16" xfId="8653" xr:uid="{3041C8AF-4B55-4E52-BE71-15568B57E27F}"/>
    <cellStyle name="Pattern 2 2 2 17" xfId="8610" xr:uid="{5D92158D-DB3D-4A34-A47B-8C640BC6B1B4}"/>
    <cellStyle name="Pattern 2 2 2 18" xfId="9726" xr:uid="{7AD247FD-E8EF-4BA1-B6C7-222D8019B4E8}"/>
    <cellStyle name="Pattern 2 2 2 19" xfId="10093" xr:uid="{2B675B0B-15C9-42C9-834B-D00A366153E4}"/>
    <cellStyle name="Pattern 2 2 2 2" xfId="1266" xr:uid="{8FAAE054-AB6F-426F-BB49-B7EF1D9B27EE}"/>
    <cellStyle name="Pattern 2 2 2 20" xfId="10508" xr:uid="{E8E7B06B-24DF-45CB-969E-EB6DE3157B44}"/>
    <cellStyle name="Pattern 2 2 2 21" xfId="10662" xr:uid="{91B989D2-A37A-461E-82C2-F88A50B0950E}"/>
    <cellStyle name="Pattern 2 2 2 22" xfId="10991" xr:uid="{2A54D89E-09DF-4281-A5F8-9D74871ACB78}"/>
    <cellStyle name="Pattern 2 2 2 23" xfId="12145" xr:uid="{26381034-5F13-4E50-9A47-7D24126B86AC}"/>
    <cellStyle name="Pattern 2 2 2 24" xfId="12618" xr:uid="{4E4367C4-ADE5-442B-99B6-887AE318CB3F}"/>
    <cellStyle name="Pattern 2 2 2 25" xfId="13052" xr:uid="{E3DA371A-52E2-4A6D-8AF8-4468FEF95F68}"/>
    <cellStyle name="Pattern 2 2 2 26" xfId="13489" xr:uid="{E8094709-E092-484A-BC5A-2E4469A5436D}"/>
    <cellStyle name="Pattern 2 2 2 27" xfId="13173" xr:uid="{BD94DF1C-E1FE-4D4D-8E94-72FA28BB066C}"/>
    <cellStyle name="Pattern 2 2 2 28" xfId="11734" xr:uid="{071B838F-B469-4D4C-B15A-10AD654C8D87}"/>
    <cellStyle name="Pattern 2 2 2 29" xfId="14743" xr:uid="{864DBD44-CA97-433B-981B-880C2F2FFBCA}"/>
    <cellStyle name="Pattern 2 2 2 3" xfId="1506" xr:uid="{C86FE937-D75B-427F-9463-D1060F7B01AE}"/>
    <cellStyle name="Pattern 2 2 2 30" xfId="14068" xr:uid="{2B0A8589-4847-40EE-9198-8383EA68B099}"/>
    <cellStyle name="Pattern 2 2 2 31" xfId="14969" xr:uid="{34024DF9-1D98-402C-AD6A-DEF034179428}"/>
    <cellStyle name="Pattern 2 2 2 32" xfId="15904" xr:uid="{6ABF62A3-3905-45E6-81A5-290DABA14E41}"/>
    <cellStyle name="Pattern 2 2 2 33" xfId="16837" xr:uid="{6A97F1A4-4F9D-4410-B282-77EE1D156A44}"/>
    <cellStyle name="Pattern 2 2 2 34" xfId="17211" xr:uid="{AFEE6609-9F15-4395-8AE7-9744C965E2F2}"/>
    <cellStyle name="Pattern 2 2 2 35" xfId="17657" xr:uid="{63007AC9-3EE4-4523-891D-70A91D278210}"/>
    <cellStyle name="Pattern 2 2 2 36" xfId="17231" xr:uid="{F92D6F57-E274-44B1-B16C-82FADFBD788E}"/>
    <cellStyle name="Pattern 2 2 2 37" xfId="18655" xr:uid="{024023C3-2A52-47B5-B3D4-A11EA4826B48}"/>
    <cellStyle name="Pattern 2 2 2 38" xfId="18361" xr:uid="{D4A0E2D6-30A0-4C6B-B84B-161ABC14BEDB}"/>
    <cellStyle name="Pattern 2 2 2 39" xfId="19236" xr:uid="{DA7C099E-A348-45D8-BB5F-2A74811393B0}"/>
    <cellStyle name="Pattern 2 2 2 4" xfId="2614" xr:uid="{EDBE560B-C4FC-4ACF-8EC3-112B3B28790B}"/>
    <cellStyle name="Pattern 2 2 2 40" xfId="20174" xr:uid="{DAEA42A6-FD53-4CEB-A54A-47C618E7C031}"/>
    <cellStyle name="Pattern 2 2 2 41" xfId="20564" xr:uid="{036C2120-449E-462E-B137-829D8EDCAB3D}"/>
    <cellStyle name="Pattern 2 2 2 42" xfId="21017" xr:uid="{7EB8260E-CCB0-4DAB-AF63-529C3C9AEF4B}"/>
    <cellStyle name="Pattern 2 2 2 43" xfId="21588" xr:uid="{5492C074-E095-4034-8719-0B9970B27083}"/>
    <cellStyle name="Pattern 2 2 2 44" xfId="21948" xr:uid="{2AC126C4-0C9B-4E24-B157-01F88DF55DD2}"/>
    <cellStyle name="Pattern 2 2 2 45" xfId="22379" xr:uid="{B832F95E-54CB-4666-B2DC-3B854747032B}"/>
    <cellStyle name="Pattern 2 2 2 46" xfId="22405" xr:uid="{E1542211-7801-4633-B52B-2D3FD200AFBF}"/>
    <cellStyle name="Pattern 2 2 2 47" xfId="22644" xr:uid="{18667390-5F83-471A-B436-2B6511A29ED5}"/>
    <cellStyle name="Pattern 2 2 2 48" xfId="23638" xr:uid="{A7D2054C-28B8-4A93-B5B5-CEB4A48E9CCF}"/>
    <cellStyle name="Pattern 2 2 2 49" xfId="23974" xr:uid="{2FE98AA2-1F6C-472A-8E59-5A51D335D176}"/>
    <cellStyle name="Pattern 2 2 2 5" xfId="2284" xr:uid="{C2E9ADEF-E72B-4006-BA2E-6142B33DA7A1}"/>
    <cellStyle name="Pattern 2 2 2 50" xfId="24882" xr:uid="{7C11619E-A24A-4EC5-8FAB-F65B5918B3D9}"/>
    <cellStyle name="Pattern 2 2 2 51" xfId="25272" xr:uid="{C07854C1-164B-4084-B1BA-37E3A67734B5}"/>
    <cellStyle name="Pattern 2 2 2 52" xfId="25798" xr:uid="{BAC2907D-E195-4BFB-9C65-F6A918AA6B43}"/>
    <cellStyle name="Pattern 2 2 2 53" xfId="25484" xr:uid="{3ED138BC-6BC7-48BF-886B-8B1865DE3553}"/>
    <cellStyle name="Pattern 2 2 2 54" xfId="26200" xr:uid="{D4DAD9A3-BF9D-4600-8285-B54580E19B2B}"/>
    <cellStyle name="Pattern 2 2 2 55" xfId="27086" xr:uid="{2EDA1D2B-BD18-4F87-AF4C-BAE919F9BF20}"/>
    <cellStyle name="Pattern 2 2 2 56" xfId="27505" xr:uid="{F824AD77-9AE6-4C77-808F-A293ED65504C}"/>
    <cellStyle name="Pattern 2 2 2 57" xfId="26790" xr:uid="{C7CF4341-2954-48C2-89BB-90A6B409A737}"/>
    <cellStyle name="Pattern 2 2 2 58" xfId="28632" xr:uid="{EA25D33B-D041-444F-97E6-05FACD17DCA4}"/>
    <cellStyle name="Pattern 2 2 2 59" xfId="29099" xr:uid="{B5FA6B78-D08C-4E1C-86B7-8D05F0D9DED7}"/>
    <cellStyle name="Pattern 2 2 2 6" xfId="3755" xr:uid="{039CB618-BC0E-42A9-AF21-FBADC5325BA7}"/>
    <cellStyle name="Pattern 2 2 2 60" xfId="29401" xr:uid="{73AE1AD4-1062-4F83-A063-758F4ADF4522}"/>
    <cellStyle name="Pattern 2 2 2 61" xfId="29888" xr:uid="{D95699F7-94DA-4D67-ACBF-6255D7115B7F}"/>
    <cellStyle name="Pattern 2 2 2 62" xfId="30294" xr:uid="{4E9882F6-1892-47A9-B37E-DDA7D42BD559}"/>
    <cellStyle name="Pattern 2 2 2 63" xfId="30711" xr:uid="{91A0CCAC-2933-4EE0-ABFB-FFA1F9DCAA9C}"/>
    <cellStyle name="Pattern 2 2 2 64" xfId="30000" xr:uid="{3E41C1CC-35AD-4892-8E79-BEE0E7ED8F5B}"/>
    <cellStyle name="Pattern 2 2 2 65" xfId="31327" xr:uid="{0157F210-C751-4918-B202-F97F1C02C2C3}"/>
    <cellStyle name="Pattern 2 2 2 66" xfId="32018" xr:uid="{A950E7E7-C9E4-468E-B7D9-1B936C528021}"/>
    <cellStyle name="Pattern 2 2 2 67" xfId="32215" xr:uid="{19ABFCD0-925D-41E4-9CE2-F7F8F99CEA84}"/>
    <cellStyle name="Pattern 2 2 2 7" xfId="4110" xr:uid="{E078C2F5-DF0A-4B1D-B6E7-04B3C6A629CB}"/>
    <cellStyle name="Pattern 2 2 2 8" xfId="4547" xr:uid="{E5A833DF-5D9F-4A57-BD2D-B829545CDD0E}"/>
    <cellStyle name="Pattern 2 2 2 9" xfId="3701" xr:uid="{7835EFAC-608B-4802-9CBC-14EEDE7ACA96}"/>
    <cellStyle name="Pattern 2 2 20" xfId="10084" xr:uid="{AA6270AF-9212-420E-9804-05D75C40AF39}"/>
    <cellStyle name="Pattern 2 2 21" xfId="10499" xr:uid="{7D0B0671-3643-47B1-BC14-CD40DB022527}"/>
    <cellStyle name="Pattern 2 2 22" xfId="10107" xr:uid="{C9CF43F9-4858-4BBF-AB60-2B1E334D3613}"/>
    <cellStyle name="Pattern 2 2 23" xfId="11080" xr:uid="{45FD7275-9470-4E56-966E-7777F8A35F66}"/>
    <cellStyle name="Pattern 2 2 24" xfId="11930" xr:uid="{2487743B-DCEF-43B6-99F1-05C1EAD60D0E}"/>
    <cellStyle name="Pattern 2 2 25" xfId="12403" xr:uid="{17642DF1-37A8-4588-9E59-079284F23E05}"/>
    <cellStyle name="Pattern 2 2 26" xfId="12837" xr:uid="{97414513-7249-43E3-8535-B09635D7EFCF}"/>
    <cellStyle name="Pattern 2 2 27" xfId="13274" xr:uid="{352BF4E2-42A6-4D14-ADC9-92A1868A4724}"/>
    <cellStyle name="Pattern 2 2 28" xfId="13894" xr:uid="{9EA20B57-B36B-4469-9AD1-E3D582E4B596}"/>
    <cellStyle name="Pattern 2 2 29" xfId="14383" xr:uid="{C2D3A135-D20D-4BBD-B56D-E18677E265E6}"/>
    <cellStyle name="Pattern 2 2 3" xfId="1060" xr:uid="{7CEF78BC-6BE5-4ADD-8119-D008B1678014}"/>
    <cellStyle name="Pattern 2 2 30" xfId="14707" xr:uid="{6923F1EA-18D9-4CEA-BD9D-0A89959CBA41}"/>
    <cellStyle name="Pattern 2 2 31" xfId="14868" xr:uid="{6F184706-6ECF-4E4B-A848-B41663D78524}"/>
    <cellStyle name="Pattern 2 2 32" xfId="15500" xr:uid="{0A757D32-029A-42A9-9E05-63A69FD42236}"/>
    <cellStyle name="Pattern 2 2 33" xfId="15899" xr:uid="{706A5F30-A03C-4C7F-B5B5-42F5480A32BA}"/>
    <cellStyle name="Pattern 2 2 34" xfId="16622" xr:uid="{DD8F99B3-0784-4CD8-82ED-B13B64312E09}"/>
    <cellStyle name="Pattern 2 2 35" xfId="17202" xr:uid="{9EEA7BEE-0C5A-4271-ABD8-8C9C7A20FAAD}"/>
    <cellStyle name="Pattern 2 2 36" xfId="17648" xr:uid="{B61657E9-50BD-4438-9E69-28673361B587}"/>
    <cellStyle name="Pattern 2 2 37" xfId="16390" xr:uid="{6CDBEBCC-23ED-40CC-85CF-AFA77B51269E}"/>
    <cellStyle name="Pattern 2 2 38" xfId="18440" xr:uid="{1B978ABB-1D2D-4C3C-95CC-158A23C2BD7B}"/>
    <cellStyle name="Pattern 2 2 39" xfId="17346" xr:uid="{C8A67E6C-0941-4FF5-B20E-582072BBEB0D}"/>
    <cellStyle name="Pattern 2 2 4" xfId="1372" xr:uid="{B0141B5C-150F-4901-AF82-605C161216F9}"/>
    <cellStyle name="Pattern 2 2 40" xfId="19266" xr:uid="{49CD1DEC-1659-4220-BE0C-28A44C73A0E0}"/>
    <cellStyle name="Pattern 2 2 41" xfId="19959" xr:uid="{6C019FDE-55F9-4ACF-9F1F-39BB62F57421}"/>
    <cellStyle name="Pattern 2 2 42" xfId="20555" xr:uid="{656B862A-DA5C-4F87-A822-B9C6542FFA26}"/>
    <cellStyle name="Pattern 2 2 43" xfId="21008" xr:uid="{53C0F7FE-5E00-400E-B8F4-09D61412DF47}"/>
    <cellStyle name="Pattern 2 2 44" xfId="21164" xr:uid="{42D41256-BF26-4152-9542-D7FDD8C251ED}"/>
    <cellStyle name="Pattern 2 2 45" xfId="21939" xr:uid="{79CC7218-4EC5-4724-BF08-48ECA9248009}"/>
    <cellStyle name="Pattern 2 2 46" xfId="22371" xr:uid="{45F9CA33-F34B-4A9F-ADBD-CA29690413A0}"/>
    <cellStyle name="Pattern 2 2 47" xfId="22874" xr:uid="{377AC099-8F6B-4991-894B-FF651252E390}"/>
    <cellStyle name="Pattern 2 2 48" xfId="21931" xr:uid="{CA0870E1-F1A3-4E33-BB1B-5EF82AA48FD3}"/>
    <cellStyle name="Pattern 2 2 49" xfId="23560" xr:uid="{9C092350-822D-49C2-ABCE-52B55ADBC75D}"/>
    <cellStyle name="Pattern 2 2 5" xfId="2399" xr:uid="{7F6C593F-921A-4E55-B40A-053EB3E7B993}"/>
    <cellStyle name="Pattern 2 2 50" xfId="23768" xr:uid="{B376F879-AF31-4619-8A46-E1F3ADB5F848}"/>
    <cellStyle name="Pattern 2 2 51" xfId="24667" xr:uid="{14CDEDF6-AFC7-43E1-B8C7-A9F8D4A884BE}"/>
    <cellStyle name="Pattern 2 2 52" xfId="25263" xr:uid="{44464BED-4442-465D-B249-2A1128A94082}"/>
    <cellStyle name="Pattern 2 2 53" xfId="25585" xr:uid="{1982989A-E464-46E2-8C1E-04B80A3FF172}"/>
    <cellStyle name="Pattern 2 2 54" xfId="26180" xr:uid="{38A11B5C-2527-4C12-90B0-83F53CD7DFAA}"/>
    <cellStyle name="Pattern 2 2 55" xfId="25952" xr:uid="{9F8C26DF-4B76-4041-BE8A-DCAEB9B44F6A}"/>
    <cellStyle name="Pattern 2 2 56" xfId="26875" xr:uid="{0DC11FFD-40C0-4C1B-B2CC-D571930DEC21}"/>
    <cellStyle name="Pattern 2 2 57" xfId="27294" xr:uid="{1ABA7B5E-7E08-40C3-9E11-885F9676A944}"/>
    <cellStyle name="Pattern 2 2 58" xfId="27188" xr:uid="{B11F5C0A-4DA5-45B5-B92B-BBB890BDDDE7}"/>
    <cellStyle name="Pattern 2 2 59" xfId="28417" xr:uid="{5A3D5AF9-3427-4F65-9A19-602A29F4C363}"/>
    <cellStyle name="Pattern 2 2 6" xfId="3062" xr:uid="{322E5B16-D464-413D-94B9-0BF6F86BCD8A}"/>
    <cellStyle name="Pattern 2 2 60" xfId="28885" xr:uid="{A1E26C37-8256-4436-800A-3EE527C6A8DC}"/>
    <cellStyle name="Pattern 2 2 61" xfId="29394" xr:uid="{D3A29C51-BFA9-47BA-B40C-A82FDF3D6564}"/>
    <cellStyle name="Pattern 2 2 62" xfId="29675" xr:uid="{02E3CFE7-627F-40A4-8ABA-E60886CF1862}"/>
    <cellStyle name="Pattern 2 2 63" xfId="30083" xr:uid="{9A025346-EBF1-4BB7-801A-C2CA965B230E}"/>
    <cellStyle name="Pattern 2 2 64" xfId="30497" xr:uid="{8A4E9A8A-3960-4C10-B88A-D01CD5DB4007}"/>
    <cellStyle name="Pattern 2 2 65" xfId="31006" xr:uid="{2159B402-B57D-406D-9620-E47E8BABEAC5}"/>
    <cellStyle name="Pattern 2 2 66" xfId="31121" xr:uid="{B0F7184C-41D2-4599-89DD-6A8374E57336}"/>
    <cellStyle name="Pattern 2 2 67" xfId="31807" xr:uid="{3CE27AC7-D609-4FC3-8EF7-C42BA8B6FDEA}"/>
    <cellStyle name="Pattern 2 2 68" xfId="31559" xr:uid="{F965A662-4C43-4B4A-BA12-68EED21AED93}"/>
    <cellStyle name="Pattern 2 2 7" xfId="3751" xr:uid="{1113A08A-1AB3-4825-AB08-F3FF796B4762}"/>
    <cellStyle name="Pattern 2 2 8" xfId="3895" xr:uid="{C02B95F3-6728-4366-9423-6A969016F951}"/>
    <cellStyle name="Pattern 2 2 9" xfId="4333" xr:uid="{92331102-953E-489D-A94C-B6762095DFEE}"/>
    <cellStyle name="Pattern 2 3" xfId="723" xr:uid="{516B13C1-0007-4BE0-9978-789860D87416}"/>
    <cellStyle name="Pattern 2 3 10" xfId="5371" xr:uid="{6B5BF5FF-027E-48C0-AE63-FE5C4D258C9F}"/>
    <cellStyle name="Pattern 2 3 11" xfId="5695" xr:uid="{C7134BE2-F838-47AA-A6B2-7C2B5F035D34}"/>
    <cellStyle name="Pattern 2 3 12" xfId="6081" xr:uid="{88694CA8-032D-4D51-BAC9-2622135FCA77}"/>
    <cellStyle name="Pattern 2 3 13" xfId="5672" xr:uid="{D7F1EACC-F5E7-4A11-87F3-7425E2AD73AD}"/>
    <cellStyle name="Pattern 2 3 14" xfId="7443" xr:uid="{D9999909-F33B-4741-8107-8DC80C438A5C}"/>
    <cellStyle name="Pattern 2 3 15" xfId="7847" xr:uid="{511E8283-A1DB-40A9-B857-5B9B661E5F99}"/>
    <cellStyle name="Pattern 2 3 16" xfId="8184" xr:uid="{960254F7-503D-47B6-A828-2FFC1A6E00AF}"/>
    <cellStyle name="Pattern 2 3 17" xfId="8791" xr:uid="{76A2A682-7F5F-4BCF-8243-4FF65046BE9D}"/>
    <cellStyle name="Pattern 2 3 18" xfId="9657" xr:uid="{85B1B3B6-C4D6-4935-AF98-4C4B371434DC}"/>
    <cellStyle name="Pattern 2 3 19" xfId="10059" xr:uid="{8C498E79-3120-414E-B8B1-4EEC7C12770B}"/>
    <cellStyle name="Pattern 2 3 2" xfId="1197" xr:uid="{3982BEE2-44F8-49E5-A76C-6CA08F54DA20}"/>
    <cellStyle name="Pattern 2 3 20" xfId="10478" xr:uid="{809A7E81-90AF-48D8-99CB-8A463F8E73F0}"/>
    <cellStyle name="Pattern 2 3 21" xfId="10793" xr:uid="{FF1A1F93-1C6C-4383-9216-44AF5FBFDC4D}"/>
    <cellStyle name="Pattern 2 3 22" xfId="10965" xr:uid="{7BDC98A5-9EF4-4685-8F21-F17EC8B27D79}"/>
    <cellStyle name="Pattern 2 3 23" xfId="12076" xr:uid="{F945E6C2-5FBD-4A17-A512-424CFB987F21}"/>
    <cellStyle name="Pattern 2 3 24" xfId="12549" xr:uid="{D59F5A24-38BA-43E9-AF06-0DFBBB4C7996}"/>
    <cellStyle name="Pattern 2 3 25" xfId="12983" xr:uid="{5525AE92-66C8-40D8-A298-34CA6020ADC1}"/>
    <cellStyle name="Pattern 2 3 26" xfId="13420" xr:uid="{625AC0EF-1F03-4E3D-9F3B-D96E6F089A97}"/>
    <cellStyle name="Pattern 2 3 27" xfId="13659" xr:uid="{D4F28D93-7857-4643-9179-32DA3FB8847B}"/>
    <cellStyle name="Pattern 2 3 28" xfId="13777" xr:uid="{B79DAB7A-EB88-4635-B0D2-35D59FE35705}"/>
    <cellStyle name="Pattern 2 3 29" xfId="14713" xr:uid="{B908546E-39F4-4548-9995-D9BD0A8E90F9}"/>
    <cellStyle name="Pattern 2 3 3" xfId="1494" xr:uid="{B11243C5-FF74-445F-83C1-648170AFC5B5}"/>
    <cellStyle name="Pattern 2 3 30" xfId="15336" xr:uid="{E342227A-5196-46AD-BFE0-F07B2FFDE9DC}"/>
    <cellStyle name="Pattern 2 3 31" xfId="13963" xr:uid="{C163CB48-5B38-4075-B982-3A68F90F3DCC}"/>
    <cellStyle name="Pattern 2 3 32" xfId="15888" xr:uid="{E058F32B-95F7-467D-A4AE-76BA90590159}"/>
    <cellStyle name="Pattern 2 3 33" xfId="16768" xr:uid="{D9CE98B9-A728-42D6-933D-5F50C8CDF60F}"/>
    <cellStyle name="Pattern 2 3 34" xfId="17177" xr:uid="{DFE681D7-546E-4FD2-8347-3994581DDF98}"/>
    <cellStyle name="Pattern 2 3 35" xfId="17622" xr:uid="{7A7BFB1A-12F7-495E-ADA7-E9E2B81BAAF1}"/>
    <cellStyle name="Pattern 2 3 36" xfId="16058" xr:uid="{A10A5B41-6F18-4290-8A1E-4BD653F101E8}"/>
    <cellStyle name="Pattern 2 3 37" xfId="18586" xr:uid="{9C8C9BA5-2202-412D-9FBE-73A90020D084}"/>
    <cellStyle name="Pattern 2 3 38" xfId="18922" xr:uid="{B8E1021E-70EC-402B-86C2-5B70124EDABB}"/>
    <cellStyle name="Pattern 2 3 39" xfId="18908" xr:uid="{299DC1E6-3625-43FD-B592-B33D9CCDBDBE}"/>
    <cellStyle name="Pattern 2 3 4" xfId="2545" xr:uid="{380C8EB6-F741-4414-B92A-0F11449F342E}"/>
    <cellStyle name="Pattern 2 3 40" xfId="20105" xr:uid="{B0EEE63E-BDF4-421D-9CB2-0A364A28B5B8}"/>
    <cellStyle name="Pattern 2 3 41" xfId="20529" xr:uid="{8D240E91-2BAF-4F1C-BDF1-7AC3347B432B}"/>
    <cellStyle name="Pattern 2 3 42" xfId="20982" xr:uid="{62D13698-956B-4BBA-B78D-28CA0B72F8EE}"/>
    <cellStyle name="Pattern 2 3 43" xfId="21514" xr:uid="{7F67F32A-6CAC-40B4-87EE-ECD8A885E815}"/>
    <cellStyle name="Pattern 2 3 44" xfId="21913" xr:uid="{5BE47EA8-BD1B-4ECE-826E-A18C75AA8D8D}"/>
    <cellStyle name="Pattern 2 3 45" xfId="22347" xr:uid="{24391C5D-C872-47B4-A261-6A026624246D}"/>
    <cellStyle name="Pattern 2 3 46" xfId="22662" xr:uid="{66EAB466-0D82-423D-8963-813D0EB9620D}"/>
    <cellStyle name="Pattern 2 3 47" xfId="23204" xr:uid="{5B0662B2-A6A6-4B82-8C9C-6BD4ACED4810}"/>
    <cellStyle name="Pattern 2 3 48" xfId="23294" xr:uid="{86A14511-4805-4E20-B0E4-5FCCAD8FC0BE}"/>
    <cellStyle name="Pattern 2 3 49" xfId="23905" xr:uid="{0CED9E4A-4C9F-4D92-8189-F17C0A29C8BB}"/>
    <cellStyle name="Pattern 2 3 5" xfId="2825" xr:uid="{FBC66005-5A04-44D4-909E-7B42F5D03127}"/>
    <cellStyle name="Pattern 2 3 50" xfId="24813" xr:uid="{4CF41899-28C3-48A7-93D3-AD338CABAD1B}"/>
    <cellStyle name="Pattern 2 3 51" xfId="25238" xr:uid="{90BA989F-7683-4C05-B91D-F757EB1811C9}"/>
    <cellStyle name="Pattern 2 3 52" xfId="25729" xr:uid="{52B8E280-9A07-4C02-9655-9FD3861CB95B}"/>
    <cellStyle name="Pattern 2 3 53" xfId="25965" xr:uid="{808543E8-F96E-4E0F-9EA3-45D99203A9D9}"/>
    <cellStyle name="Pattern 2 3 54" xfId="26242" xr:uid="{66334C94-5229-44C3-A147-946FF6A50002}"/>
    <cellStyle name="Pattern 2 3 55" xfId="27017" xr:uid="{B385060B-57B2-4665-AB16-10ED68758C7A}"/>
    <cellStyle name="Pattern 2 3 56" xfId="27436" xr:uid="{33A1BE1E-F49C-4180-A2EE-91C7D9559D70}"/>
    <cellStyle name="Pattern 2 3 57" xfId="25966" xr:uid="{3D78C1E9-0676-426D-A47F-ECFD6B8E514F}"/>
    <cellStyle name="Pattern 2 3 58" xfId="28563" xr:uid="{BF70C956-15E5-4924-BB4F-8F833BC2BE9A}"/>
    <cellStyle name="Pattern 2 3 59" xfId="29030" xr:uid="{B8251BEA-2473-4326-AF5F-0CB63D8967AF}"/>
    <cellStyle name="Pattern 2 3 6" xfId="3164" xr:uid="{03E547EC-3136-4198-B6D3-9578473B0828}"/>
    <cellStyle name="Pattern 2 3 60" xfId="29377" xr:uid="{3BBF4D87-F5AE-4312-9542-02D8D8EEBD6B}"/>
    <cellStyle name="Pattern 2 3 61" xfId="29819" xr:uid="{09F67DEF-E992-412C-81C2-2A35E3E43108}"/>
    <cellStyle name="Pattern 2 3 62" xfId="30225" xr:uid="{B18A76B7-D416-40D5-ABFE-4BE5D4C14F2E}"/>
    <cellStyle name="Pattern 2 3 63" xfId="30642" xr:uid="{1F04AF83-469C-4ED4-A309-25371E456AAF}"/>
    <cellStyle name="Pattern 2 3 64" xfId="30400" xr:uid="{3C7CE05E-F85E-4C3D-9860-462744CC7B3A}"/>
    <cellStyle name="Pattern 2 3 65" xfId="31258" xr:uid="{41E18A00-1AE5-4719-A418-8667190B5A42}"/>
    <cellStyle name="Pattern 2 3 66" xfId="31949" xr:uid="{11F78B8A-09D1-43B0-BDA1-6BE61A2DDCB1}"/>
    <cellStyle name="Pattern 2 3 67" xfId="31708" xr:uid="{4A566539-9779-49EB-8827-9E211614DBF8}"/>
    <cellStyle name="Pattern 2 3 7" xfId="4041" xr:uid="{A84925E4-339B-4389-8600-6A9B0A3247D0}"/>
    <cellStyle name="Pattern 2 3 8" xfId="4478" xr:uid="{D81F2487-9212-4886-9A1D-D529D92D3AA3}"/>
    <cellStyle name="Pattern 2 3 9" xfId="3167" xr:uid="{33C23327-81CE-4799-9FAA-24820CC9C9F0}"/>
    <cellStyle name="Pattern 3" xfId="283" xr:uid="{95F310EC-6A0B-4EB0-AFA2-652727A84B79}"/>
    <cellStyle name="Pattern 3 10" xfId="3123" xr:uid="{EDF917C8-CD11-4771-A01B-E5A39539308C}"/>
    <cellStyle name="Pattern 3 11" xfId="3573" xr:uid="{165EF7D5-DE07-4AA7-872E-F4A9B76CFBC4}"/>
    <cellStyle name="Pattern 3 12" xfId="3538" xr:uid="{F6E8C036-FCBD-48F2-8887-E8DE4EF328AE}"/>
    <cellStyle name="Pattern 3 13" xfId="3288" xr:uid="{9561A022-461D-4F97-A13D-19796BB2BF1E}"/>
    <cellStyle name="Pattern 3 14" xfId="5616" xr:uid="{DCEF9C72-288A-434F-8660-46E9287D2F2D}"/>
    <cellStyle name="Pattern 3 15" xfId="4666" xr:uid="{E707398B-1F7E-4FBA-82CA-D371329862D6}"/>
    <cellStyle name="Pattern 3 16" xfId="6672" xr:uid="{5AF8122E-F6F2-4163-B16A-C7BFFF1A926E}"/>
    <cellStyle name="Pattern 3 17" xfId="7013" xr:uid="{005A47D9-7001-406C-8366-EE12A7F3FA6C}"/>
    <cellStyle name="Pattern 3 18" xfId="7637" xr:uid="{638F2E37-0482-4B1D-BAAC-8F86DDFBC5A7}"/>
    <cellStyle name="Pattern 3 19" xfId="8595" xr:uid="{E163BC0C-7EC2-4202-B67F-2B1AC4A4BAF3}"/>
    <cellStyle name="Pattern 3 2" xfId="620" xr:uid="{4B970A8F-1440-4B39-8030-1B00BCE2384E}"/>
    <cellStyle name="Pattern 3 2 10" xfId="4778" xr:uid="{2EA051A8-57F9-4A0A-8EA9-78EA485DD1C5}"/>
    <cellStyle name="Pattern 3 2 11" xfId="5268" xr:uid="{94002FF4-43DE-41E1-A943-4B227600789F}"/>
    <cellStyle name="Pattern 3 2 12" xfId="4671" xr:uid="{73EF1A69-4699-447D-919B-6E9FCCA6F8CF}"/>
    <cellStyle name="Pattern 3 2 13" xfId="6288" xr:uid="{9F50F104-8FA6-4688-B7BB-214B7656CA19}"/>
    <cellStyle name="Pattern 3 2 14" xfId="6630" xr:uid="{A9D3D63B-2D0D-42C4-82CA-0ACF18F45261}"/>
    <cellStyle name="Pattern 3 2 15" xfId="7340" xr:uid="{99FE8634-580A-4764-9A0C-EB0FEB1F8168}"/>
    <cellStyle name="Pattern 3 2 16" xfId="7102" xr:uid="{A4590655-27AF-4036-A428-0A369026DCF5}"/>
    <cellStyle name="Pattern 3 2 17" xfId="8519" xr:uid="{43F28699-010D-4125-A44A-0968A4675DAA}"/>
    <cellStyle name="Pattern 3 2 18" xfId="8685" xr:uid="{18B6EC27-44D2-4428-9DBA-5AA8E66C9FF0}"/>
    <cellStyle name="Pattern 3 2 19" xfId="9554" xr:uid="{2ED96BB7-AC72-49A7-A2DC-C539B95BDC9D}"/>
    <cellStyle name="Pattern 3 2 2" xfId="835" xr:uid="{7D56EC9A-8220-44E4-A6D9-BFC453021884}"/>
    <cellStyle name="Pattern 3 2 2 10" xfId="5483" xr:uid="{26DE78B8-9520-497F-B53F-D83597064202}"/>
    <cellStyle name="Pattern 3 2 2 11" xfId="3146" xr:uid="{67489DFA-04C5-4E54-AA58-32D2D0E9E1F8}"/>
    <cellStyle name="Pattern 3 2 2 12" xfId="5736" xr:uid="{52236FBD-474E-4673-B334-D1A657A30951}"/>
    <cellStyle name="Pattern 3 2 2 13" xfId="6406" xr:uid="{775CE348-8032-4CBB-A6F1-B53B156A2036}"/>
    <cellStyle name="Pattern 3 2 2 14" xfId="7555" xr:uid="{AFC710D8-F8A4-48CA-87F2-317C13D71F99}"/>
    <cellStyle name="Pattern 3 2 2 15" xfId="6988" xr:uid="{5F076851-2392-457F-AED3-E91B630BDAAE}"/>
    <cellStyle name="Pattern 3 2 2 16" xfId="8459" xr:uid="{0D9B0A22-6D6D-408E-BA06-E176DE65FA6A}"/>
    <cellStyle name="Pattern 3 2 2 17" xfId="8119" xr:uid="{98ED5C36-D319-423B-B8C5-927C0B1AD796}"/>
    <cellStyle name="Pattern 3 2 2 18" xfId="9769" xr:uid="{E710F9B5-0E41-4D18-B2AA-B5084BBC69AE}"/>
    <cellStyle name="Pattern 3 2 2 19" xfId="9329" xr:uid="{F140E997-DEC4-421F-A58F-22E8982A0049}"/>
    <cellStyle name="Pattern 3 2 2 2" xfId="1309" xr:uid="{DAB5B3AB-540D-4B42-A893-CBCDBEB85C82}"/>
    <cellStyle name="Pattern 3 2 2 20" xfId="9048" xr:uid="{39B2CEEE-F959-49EC-A866-651A85F75C0E}"/>
    <cellStyle name="Pattern 3 2 2 21" xfId="10322" xr:uid="{8A086434-5C10-4537-9276-6CE624896806}"/>
    <cellStyle name="Pattern 3 2 2 22" xfId="11073" xr:uid="{1529EF8D-A205-4446-847F-9CBF60F1B7E9}"/>
    <cellStyle name="Pattern 3 2 2 23" xfId="12188" xr:uid="{D7525FAC-7D72-4E74-81A0-D28B91157119}"/>
    <cellStyle name="Pattern 3 2 2 24" xfId="12661" xr:uid="{0044A64B-E373-464F-9A29-9DC277335B02}"/>
    <cellStyle name="Pattern 3 2 2 25" xfId="13095" xr:uid="{86378495-994F-4643-BAEE-1D53C740E9CD}"/>
    <cellStyle name="Pattern 3 2 2 26" xfId="13532" xr:uid="{0A8C9F1E-1446-4C18-BAF3-403C47FC121D}"/>
    <cellStyle name="Pattern 3 2 2 27" xfId="13937" xr:uid="{2B6A6C09-7DEC-42C1-A16F-ECFA9DDF49E4}"/>
    <cellStyle name="Pattern 3 2 2 28" xfId="13902" xr:uid="{2A3A8880-57CD-4D62-9A19-F8509F239591}"/>
    <cellStyle name="Pattern 3 2 2 29" xfId="11837" xr:uid="{516ECE55-CCB0-4082-BDCA-B3DA5277C7C2}"/>
    <cellStyle name="Pattern 3 2 2 3" xfId="1383" xr:uid="{B571DE90-D120-4EF7-B136-A57EB44413EC}"/>
    <cellStyle name="Pattern 3 2 2 30" xfId="14816" xr:uid="{97B886E4-42AA-422C-BB48-31941E820F93}"/>
    <cellStyle name="Pattern 3 2 2 31" xfId="11452" xr:uid="{2A21809A-0B44-4918-AE8A-A85DC799BC6D}"/>
    <cellStyle name="Pattern 3 2 2 32" xfId="15712" xr:uid="{651FDEE7-3BC7-4881-81D6-D81687923FA1}"/>
    <cellStyle name="Pattern 3 2 2 33" xfId="16880" xr:uid="{A5CF7FB1-BB7A-4189-AE5A-B070D3ADF811}"/>
    <cellStyle name="Pattern 3 2 2 34" xfId="16308" xr:uid="{64AF6D19-C181-4818-8033-3E64360ADBE1}"/>
    <cellStyle name="Pattern 3 2 2 35" xfId="16285" xr:uid="{3D65D9B5-4D35-4A4F-9429-5A6F8FFA7B18}"/>
    <cellStyle name="Pattern 3 2 2 36" xfId="17703" xr:uid="{55A75E8C-C3A6-4E7C-9AFD-5BB5C90FD72A}"/>
    <cellStyle name="Pattern 3 2 2 37" xfId="18698" xr:uid="{EB2804C6-A320-46AC-8CF3-025401761DA8}"/>
    <cellStyle name="Pattern 3 2 2 38" xfId="17640" xr:uid="{5E75EF01-4A46-43AF-84A7-B5063C7B81FF}"/>
    <cellStyle name="Pattern 3 2 2 39" xfId="18860" xr:uid="{EE429C45-C0F3-4D9B-A56E-768C089FC216}"/>
    <cellStyle name="Pattern 3 2 2 4" xfId="2657" xr:uid="{60650FC8-A25F-4E46-9FC5-74F7651A1A88}"/>
    <cellStyle name="Pattern 3 2 2 40" xfId="20217" xr:uid="{6E790E94-7BF6-4E66-81A8-90FB02A1BD6C}"/>
    <cellStyle name="Pattern 3 2 2 41" xfId="19638" xr:uid="{22417472-1D13-4C62-86A4-00A1C4E6B138}"/>
    <cellStyle name="Pattern 3 2 2 42" xfId="19639" xr:uid="{8349C792-DB6C-4583-B03B-1246BB814E1B}"/>
    <cellStyle name="Pattern 3 2 2 43" xfId="20824" xr:uid="{759DCA5B-EBE9-4496-BB3D-0695ABF9BE00}"/>
    <cellStyle name="Pattern 3 2 2 44" xfId="20903" xr:uid="{4D3AB358-D82A-4A55-8156-6A60E55BA959}"/>
    <cellStyle name="Pattern 3 2 2 45" xfId="21246" xr:uid="{3E57F932-9BF4-44ED-A205-474DF7D2554D}"/>
    <cellStyle name="Pattern 3 2 2 46" xfId="22912" xr:uid="{36C80DCB-D4AE-431F-AA79-4D0A9822560C}"/>
    <cellStyle name="Pattern 3 2 2 47" xfId="22883" xr:uid="{21855C52-4521-4246-95F2-B995FC206F1E}"/>
    <cellStyle name="Pattern 3 2 2 48" xfId="23300" xr:uid="{337575A9-D2ED-46F9-B177-CB8328237B36}"/>
    <cellStyle name="Pattern 3 2 2 49" xfId="24017" xr:uid="{7285F12C-6AA5-4E7F-B2A0-D2ECD980B053}"/>
    <cellStyle name="Pattern 3 2 2 5" xfId="3105" xr:uid="{CCF44B65-8F5D-4086-92D0-BE3F5E86E8AB}"/>
    <cellStyle name="Pattern 3 2 2 50" xfId="24925" xr:uid="{82AC2196-13C1-4F95-8E54-25B232C6EF94}"/>
    <cellStyle name="Pattern 3 2 2 51" xfId="24108" xr:uid="{214F5CD9-D134-458B-8B72-6A1DC4381085}"/>
    <cellStyle name="Pattern 3 2 2 52" xfId="25841" xr:uid="{853F0E19-D62B-489A-8240-0934EB0E2569}"/>
    <cellStyle name="Pattern 3 2 2 53" xfId="26217" xr:uid="{084F0B04-4A2D-42BD-A39F-867F661BA836}"/>
    <cellStyle name="Pattern 3 2 2 54" xfId="25241" xr:uid="{C39B5A7B-7F8B-4283-A837-A43B5AD84118}"/>
    <cellStyle name="Pattern 3 2 2 55" xfId="27129" xr:uid="{484DE458-204B-4CFB-A1A2-0C14561C6739}"/>
    <cellStyle name="Pattern 3 2 2 56" xfId="27548" xr:uid="{0D913F47-2C19-4E46-9004-834BC965900C}"/>
    <cellStyle name="Pattern 3 2 2 57" xfId="26274" xr:uid="{97D83253-F88A-4D68-8892-D245BCCC51F6}"/>
    <cellStyle name="Pattern 3 2 2 58" xfId="28675" xr:uid="{7F50286F-C515-4687-B614-3EB7C8897773}"/>
    <cellStyle name="Pattern 3 2 2 59" xfId="29142" xr:uid="{37F3E791-9B79-4F7A-BBCD-A5F6F44A082A}"/>
    <cellStyle name="Pattern 3 2 2 6" xfId="2956" xr:uid="{6FA3DF9A-C858-457C-918A-3AABA0EE9274}"/>
    <cellStyle name="Pattern 3 2 2 60" xfId="27912" xr:uid="{B70564BE-F7DC-46C4-AD97-7B19EFE1FDB1}"/>
    <cellStyle name="Pattern 3 2 2 61" xfId="29931" xr:uid="{15AB891E-52FD-487B-824D-C53DEDF011ED}"/>
    <cellStyle name="Pattern 3 2 2 62" xfId="30337" xr:uid="{DAD169DE-2DB5-41E2-A36A-8ACBC16D62C8}"/>
    <cellStyle name="Pattern 3 2 2 63" xfId="30754" xr:uid="{4E84898D-4316-4ECB-A7EA-17156DBD4A2E}"/>
    <cellStyle name="Pattern 3 2 2 64" xfId="29221" xr:uid="{74281E89-EA77-425F-8759-AE7F64AE4912}"/>
    <cellStyle name="Pattern 3 2 2 65" xfId="31370" xr:uid="{2E2D53AF-ECCD-4E32-BA57-71C4C6D8BC4C}"/>
    <cellStyle name="Pattern 3 2 2 66" xfId="32061" xr:uid="{690F512D-3243-4786-8373-58026E1FFA03}"/>
    <cellStyle name="Pattern 3 2 2 67" xfId="32140" xr:uid="{382D2BC7-84F2-4B6F-8BF3-E4B9EEA3BE83}"/>
    <cellStyle name="Pattern 3 2 2 7" xfId="4153" xr:uid="{98FCF3E9-3FA4-4C3D-8267-038A47F8B6D8}"/>
    <cellStyle name="Pattern 3 2 2 8" xfId="4590" xr:uid="{5D2F78C8-D381-4985-859A-8CB44600037C}"/>
    <cellStyle name="Pattern 3 2 2 9" xfId="3730" xr:uid="{5B97478C-B153-42DD-B32F-125ED2FAC85B}"/>
    <cellStyle name="Pattern 3 2 20" xfId="9188" xr:uid="{BB002783-4D2F-4088-BEA1-45108C9947D4}"/>
    <cellStyle name="Pattern 3 2 21" xfId="9171" xr:uid="{156B4545-B314-46BD-BF1C-35EFA47EF532}"/>
    <cellStyle name="Pattern 3 2 22" xfId="10928" xr:uid="{12E40BAF-EF10-4C77-BD3B-D13C513AEE8D}"/>
    <cellStyle name="Pattern 3 2 23" xfId="10814" xr:uid="{566DADC5-852C-4322-A70C-A9995B2B0F97}"/>
    <cellStyle name="Pattern 3 2 24" xfId="11973" xr:uid="{A490BA78-7CC0-4430-BE9B-DF1286F040A4}"/>
    <cellStyle name="Pattern 3 2 25" xfId="12446" xr:uid="{63E4C3CD-520D-4299-8841-0E9A7A671C20}"/>
    <cellStyle name="Pattern 3 2 26" xfId="12880" xr:uid="{96C4F925-E679-4E1F-95A5-ADF5BB57036E}"/>
    <cellStyle name="Pattern 3 2 27" xfId="13317" xr:uid="{1722733E-4B7D-4F35-8AF5-978F71E0CC4E}"/>
    <cellStyle name="Pattern 3 2 28" xfId="12730" xr:uid="{D97AF37A-0E09-4B5B-9993-88F6E38C4741}"/>
    <cellStyle name="Pattern 3 2 29" xfId="11647" xr:uid="{CAA8E9AB-B9DC-43CA-B67E-507E4A8222CC}"/>
    <cellStyle name="Pattern 3 2 3" xfId="1103" xr:uid="{5048DFC5-F5F4-4405-9C32-266304474144}"/>
    <cellStyle name="Pattern 3 2 30" xfId="14345" xr:uid="{2736B292-BFF2-4FEA-A580-E74F28073821}"/>
    <cellStyle name="Pattern 3 2 31" xfId="14962" xr:uid="{98997E90-5429-497C-9032-C73B7E64010F}"/>
    <cellStyle name="Pattern 3 2 32" xfId="15255" xr:uid="{B1C44083-C6A7-498B-AA8E-2DC2F11E8F69}"/>
    <cellStyle name="Pattern 3 2 33" xfId="15626" xr:uid="{CA697145-E3BD-4778-9DA5-64E378BA3389}"/>
    <cellStyle name="Pattern 3 2 34" xfId="16665" xr:uid="{A456942E-DA67-44BF-A43F-4F8CEC1803A0}"/>
    <cellStyle name="Pattern 3 2 35" xfId="16424" xr:uid="{18D70F59-7F77-4127-A1D9-B339839CC0DF}"/>
    <cellStyle name="Pattern 3 2 36" xfId="16975" xr:uid="{ACD245C4-D2E9-474A-8B64-E72A17179F79}"/>
    <cellStyle name="Pattern 3 2 37" xfId="17162" xr:uid="{14175AB8-943F-4D2A-A2FB-CF262971F0F0}"/>
    <cellStyle name="Pattern 3 2 38" xfId="18483" xr:uid="{C02F6110-3B50-420E-95C7-2D32BE12A20B}"/>
    <cellStyle name="Pattern 3 2 39" xfId="17627" xr:uid="{7299ED3E-D087-46B9-8F6C-3A185571D445}"/>
    <cellStyle name="Pattern 3 2 4" xfId="1744" xr:uid="{EDB8C6CC-FEC6-40F4-A646-E01D047D51F3}"/>
    <cellStyle name="Pattern 3 2 40" xfId="19207" xr:uid="{515A8405-CAC4-48AF-BF96-87E7034BBF7C}"/>
    <cellStyle name="Pattern 3 2 41" xfId="20002" xr:uid="{7CA0EE4E-E213-48CF-959D-D310B27A37F7}"/>
    <cellStyle name="Pattern 3 2 42" xfId="20274" xr:uid="{C935D6CB-93B1-4890-9FB3-79D868D3D3B8}"/>
    <cellStyle name="Pattern 3 2 43" xfId="19684" xr:uid="{4EA8EF29-58DC-4174-84E4-888C2E0DE037}"/>
    <cellStyle name="Pattern 3 2 44" xfId="20929" xr:uid="{AC0B147A-23EB-49AB-8EBD-B2E52E7A008C}"/>
    <cellStyle name="Pattern 3 2 45" xfId="20589" xr:uid="{48798E96-94AA-4D1A-BFA2-72F7CD169771}"/>
    <cellStyle name="Pattern 3 2 46" xfId="21869" xr:uid="{B5242DFB-F12C-4D97-82A2-9C75F1EF7FA6}"/>
    <cellStyle name="Pattern 3 2 47" xfId="22236" xr:uid="{37358DE1-156B-4856-9270-CAFA13586C38}"/>
    <cellStyle name="Pattern 3 2 48" xfId="22802" xr:uid="{79A353C9-C632-4534-B7EF-831C83FD3C64}"/>
    <cellStyle name="Pattern 3 2 49" xfId="23494" xr:uid="{E199458D-50AC-44A7-87F1-E97FE9ED0689}"/>
    <cellStyle name="Pattern 3 2 5" xfId="2442" xr:uid="{CA18A47B-8E55-448C-B1AD-5A13C8CF98B2}"/>
    <cellStyle name="Pattern 3 2 50" xfId="23811" xr:uid="{22014BCD-AD40-42AA-B6C5-ECFC28D76430}"/>
    <cellStyle name="Pattern 3 2 51" xfId="24710" xr:uid="{F70AA568-85CA-43B5-B6FB-625238012C47}"/>
    <cellStyle name="Pattern 3 2 52" xfId="24990" xr:uid="{D9278580-DC68-4DA4-A923-0DE6AE2F951F}"/>
    <cellStyle name="Pattern 3 2 53" xfId="25628" xr:uid="{D7A366AA-D950-4689-8551-413AB638B1E7}"/>
    <cellStyle name="Pattern 3 2 54" xfId="25239" xr:uid="{81EAFB7D-7386-47CB-9E32-7FEB2D55FEB7}"/>
    <cellStyle name="Pattern 3 2 55" xfId="25492" xr:uid="{490ACF7C-4619-4407-99CF-35C929946127}"/>
    <cellStyle name="Pattern 3 2 56" xfId="26918" xr:uid="{95F8CBB8-629D-41CF-9F39-0F41D74A544D}"/>
    <cellStyle name="Pattern 3 2 57" xfId="27337" xr:uid="{60203A80-7972-4836-AF6A-ADF43B593246}"/>
    <cellStyle name="Pattern 3 2 58" xfId="27712" xr:uid="{340B80C1-ABF6-4551-9591-E088DBDD7DA7}"/>
    <cellStyle name="Pattern 3 2 59" xfId="28460" xr:uid="{5C165703-F8CA-47F5-8A1B-FF0312271300}"/>
    <cellStyle name="Pattern 3 2 6" xfId="2227" xr:uid="{46836922-B375-4661-99CC-005CE7C09F26}"/>
    <cellStyle name="Pattern 3 2 60" xfId="28928" xr:uid="{EBA5CFAA-E17F-439D-87C7-0B6410020F63}"/>
    <cellStyle name="Pattern 3 2 61" xfId="28323" xr:uid="{A0D16419-20C8-4EE3-AFA8-E766EB532826}"/>
    <cellStyle name="Pattern 3 2 62" xfId="29718" xr:uid="{B4C70C9C-48F7-41BC-8202-2A873611E773}"/>
    <cellStyle name="Pattern 3 2 63" xfId="30126" xr:uid="{646CD70C-A8F2-4163-BEBD-B9BC36125F11}"/>
    <cellStyle name="Pattern 3 2 64" xfId="30540" xr:uid="{8D74D9EB-98F7-4136-B458-64EB67AD2B6F}"/>
    <cellStyle name="Pattern 3 2 65" xfId="30844" xr:uid="{07526B91-34CB-4670-873E-8AE3E3D39EFD}"/>
    <cellStyle name="Pattern 3 2 66" xfId="31164" xr:uid="{DEC066D6-80D0-4AA2-B306-C5D26FBF41B2}"/>
    <cellStyle name="Pattern 3 2 67" xfId="31850" xr:uid="{B9D907A7-2160-4BD9-80F0-BCE5666483E0}"/>
    <cellStyle name="Pattern 3 2 68" xfId="31571" xr:uid="{01A9B8D4-C493-40D1-A17C-169210DD380A}"/>
    <cellStyle name="Pattern 3 2 7" xfId="3576" xr:uid="{2CDF63C6-77C8-49AE-8247-EC7BDA7989A1}"/>
    <cellStyle name="Pattern 3 2 8" xfId="3938" xr:uid="{045C99D6-26AB-423D-A45B-9188EB467C77}"/>
    <cellStyle name="Pattern 3 2 9" xfId="4376" xr:uid="{572A77D4-EBC9-4C37-8213-04171FC4704D}"/>
    <cellStyle name="Pattern 3 20" xfId="8552" xr:uid="{3AAFB717-D2F7-4D4B-99E4-5C91397223D8}"/>
    <cellStyle name="Pattern 3 21" xfId="9226" xr:uid="{5078E6AA-006F-43D0-B38B-ADB15B93C500}"/>
    <cellStyle name="Pattern 3 22" xfId="9847" xr:uid="{3ED8BC55-F8BD-433E-8D10-57EBB9EC7A15}"/>
    <cellStyle name="Pattern 3 23" xfId="9862" xr:uid="{D749BC5D-9E02-4480-B5AB-BC6F2FE1AE2A}"/>
    <cellStyle name="Pattern 3 24" xfId="10727" xr:uid="{3C8B44BF-8ED5-4D1D-AB61-E6AF8EE1D381}"/>
    <cellStyle name="Pattern 3 25" xfId="11289" xr:uid="{79D51E2C-531C-46D2-8E15-CE5937BB15CF}"/>
    <cellStyle name="Pattern 3 26" xfId="11639" xr:uid="{8B403853-8FBA-432B-A1A6-4F30F16F5B83}"/>
    <cellStyle name="Pattern 3 27" xfId="11373" xr:uid="{7D7BFE4F-2CF5-46FB-9C12-9459A2C8B3D8}"/>
    <cellStyle name="Pattern 3 28" xfId="11375" xr:uid="{EF5B7E05-FEDE-463D-93A1-84F825D366A7}"/>
    <cellStyle name="Pattern 3 29" xfId="11362" xr:uid="{FE05A007-A8F1-4B3E-9384-604E91EA23A6}"/>
    <cellStyle name="Pattern 3 3" xfId="519" xr:uid="{76FF1343-BB3F-41F4-AB10-9B2BE976112C}"/>
    <cellStyle name="Pattern 3 3 10" xfId="4874" xr:uid="{493C4B25-75B0-4E7B-917F-8A0E3E4C42F6}"/>
    <cellStyle name="Pattern 3 3 11" xfId="5167" xr:uid="{29C1B2AB-3AA9-4BE0-AC82-1174000034DF}"/>
    <cellStyle name="Pattern 3 3 12" xfId="5573" xr:uid="{30AA432B-D4AE-48F3-AA5B-6B475C468F9A}"/>
    <cellStyle name="Pattern 3 3 13" xfId="6227" xr:uid="{D5A8DA98-A8C1-4CCD-BF1C-67EABE13CC21}"/>
    <cellStyle name="Pattern 3 3 14" xfId="5783" xr:uid="{64FE40EB-2E38-4288-8ABC-2FF47F2DBC3A}"/>
    <cellStyle name="Pattern 3 3 15" xfId="7239" xr:uid="{01538E61-C83F-4438-A083-6AD3B7D78A64}"/>
    <cellStyle name="Pattern 3 3 16" xfId="7719" xr:uid="{DD7A8183-C646-41AC-8B7F-4EDE37264A87}"/>
    <cellStyle name="Pattern 3 3 17" xfId="8241" xr:uid="{EC19CA4E-B845-43DA-9A01-9A7DF921EF73}"/>
    <cellStyle name="Pattern 3 3 18" xfId="8576" xr:uid="{93802F43-C44D-416E-B2F9-EF4ED01165B7}"/>
    <cellStyle name="Pattern 3 3 19" xfId="9453" xr:uid="{F0CF116F-AC26-4A60-B9AF-B8A3772AFE13}"/>
    <cellStyle name="Pattern 3 3 2" xfId="734" xr:uid="{B3D461E9-C8EF-4DBB-AC48-55AB09C671A8}"/>
    <cellStyle name="Pattern 3 3 2 10" xfId="5382" xr:uid="{3DB98A96-9E8E-4491-934E-A81C6C136E28}"/>
    <cellStyle name="Pattern 3 3 2 11" xfId="5571" xr:uid="{6C378F2E-6FAF-4051-BFA5-2889251EF2D3}"/>
    <cellStyle name="Pattern 3 3 2 12" xfId="6134" xr:uid="{056CF446-8241-473B-B8BD-8D4A2A200C86}"/>
    <cellStyle name="Pattern 3 3 2 13" xfId="6562" xr:uid="{5A7CE08A-38D8-486B-BE69-3A188CDCE6AB}"/>
    <cellStyle name="Pattern 3 3 2 14" xfId="7454" xr:uid="{12C194AA-8311-4A6F-9D32-E61F4DD43CAB}"/>
    <cellStyle name="Pattern 3 3 2 15" xfId="7117" xr:uid="{47526601-3440-4157-8012-A984E8A0EBAF}"/>
    <cellStyle name="Pattern 3 3 2 16" xfId="8554" xr:uid="{87353225-9297-464E-B51B-14D68FBB2364}"/>
    <cellStyle name="Pattern 3 3 2 17" xfId="8501" xr:uid="{EA80ECE8-E133-4062-BAAE-04223E72ABC0}"/>
    <cellStyle name="Pattern 3 3 2 18" xfId="9668" xr:uid="{A9412F17-5A9B-4F69-B4FE-4278FD8B6E67}"/>
    <cellStyle name="Pattern 3 3 2 19" xfId="9203" xr:uid="{202256DE-4F0D-4BE0-82E5-332CFB841B62}"/>
    <cellStyle name="Pattern 3 3 2 2" xfId="1208" xr:uid="{95A0779C-D773-42F4-92F4-9FAFDC0BF3CE}"/>
    <cellStyle name="Pattern 3 3 2 20" xfId="9107" xr:uid="{AA542D39-DF2E-4ED4-9E92-3C3BE83256EF}"/>
    <cellStyle name="Pattern 3 3 2 21" xfId="10785" xr:uid="{25612C40-111B-47A3-84D2-A77630D838E9}"/>
    <cellStyle name="Pattern 3 3 2 22" xfId="11148" xr:uid="{15773841-1267-4DAE-A343-F956648B8A96}"/>
    <cellStyle name="Pattern 3 3 2 23" xfId="12087" xr:uid="{3C4CF8BD-79AB-4896-BE9C-CEB73B99D82A}"/>
    <cellStyle name="Pattern 3 3 2 24" xfId="12560" xr:uid="{161451E3-F89F-4468-B633-FD1AE8698850}"/>
    <cellStyle name="Pattern 3 3 2 25" xfId="12994" xr:uid="{E8CD8868-CCB6-49D4-ABE6-A8FA136E9379}"/>
    <cellStyle name="Pattern 3 3 2 26" xfId="13431" xr:uid="{09F2E938-FC72-46C7-91D2-6148AC97294F}"/>
    <cellStyle name="Pattern 3 3 2 27" xfId="13748" xr:uid="{E48286C5-9D33-416E-80E9-58CD0761B4B4}"/>
    <cellStyle name="Pattern 3 3 2 28" xfId="13798" xr:uid="{A93647A8-E808-484E-AB52-ABD98ECFEDA2}"/>
    <cellStyle name="Pattern 3 3 2 29" xfId="12300" xr:uid="{75D175D0-A71F-4F6E-A689-FDC4D309D551}"/>
    <cellStyle name="Pattern 3 3 2 3" xfId="1490" xr:uid="{566A04AF-50A2-4B12-A924-0323E155042D}"/>
    <cellStyle name="Pattern 3 3 2 30" xfId="14590" xr:uid="{156D3A7D-C4E9-4A57-9B63-099937FCD67B}"/>
    <cellStyle name="Pattern 3 3 2 31" xfId="14425" xr:uid="{8951E81E-773E-4D08-808C-E6A348BB7EC0}"/>
    <cellStyle name="Pattern 3 3 2 32" xfId="15530" xr:uid="{65C92D8B-CFA9-4DB5-B508-252477492F45}"/>
    <cellStyle name="Pattern 3 3 2 33" xfId="16779" xr:uid="{42D8E35A-0BE8-4E11-B1C7-9FAEDE7823B6}"/>
    <cellStyle name="Pattern 3 3 2 34" xfId="16439" xr:uid="{42EDF1A3-72B0-43C6-905F-8E150AC9BCC6}"/>
    <cellStyle name="Pattern 3 3 2 35" xfId="16468" xr:uid="{37EBB1C2-CBE9-4102-858D-55F24A6A411C}"/>
    <cellStyle name="Pattern 3 3 2 36" xfId="17689" xr:uid="{9ED3C653-1456-463B-8ACF-8594F98D6933}"/>
    <cellStyle name="Pattern 3 3 2 37" xfId="18597" xr:uid="{DCD0FC82-DDED-4798-8684-E2646953D2FA}"/>
    <cellStyle name="Pattern 3 3 2 38" xfId="19035" xr:uid="{286BE14C-6B9D-418A-A1BB-0E9593C1B249}"/>
    <cellStyle name="Pattern 3 3 2 39" xfId="19309" xr:uid="{A33AF4CB-16E1-4CBB-B6E3-72FD378E11B9}"/>
    <cellStyle name="Pattern 3 3 2 4" xfId="2556" xr:uid="{A4012D7B-B3D1-4025-98FF-35CA3D3ADC50}"/>
    <cellStyle name="Pattern 3 3 2 40" xfId="20116" xr:uid="{33ECFE6C-3CF4-47B9-B718-688DB8B97703}"/>
    <cellStyle name="Pattern 3 3 2 41" xfId="19771" xr:uid="{E865BD3D-08E4-4B66-B16F-DB678118C42F}"/>
    <cellStyle name="Pattern 3 3 2 42" xfId="19618" xr:uid="{E2E2D0BC-A2DD-41E7-BEC2-580C558B7CF8}"/>
    <cellStyle name="Pattern 3 3 2 43" xfId="20342" xr:uid="{CD6E9E3D-FE49-4348-97A8-80F7733624A4}"/>
    <cellStyle name="Pattern 3 3 2 44" xfId="20482" xr:uid="{81DBC9A0-2F9A-4A70-8A38-BCE5E0B65B17}"/>
    <cellStyle name="Pattern 3 3 2 45" xfId="22011" xr:uid="{65206B6C-347B-4C85-AFE0-988EB3588BAB}"/>
    <cellStyle name="Pattern 3 3 2 46" xfId="22743" xr:uid="{F75BA7B3-EA0F-4D34-8DAD-E755AF92156B}"/>
    <cellStyle name="Pattern 3 3 2 47" xfId="23312" xr:uid="{C01EDC3F-A9B4-4A68-B5FC-7D8044DC8E10}"/>
    <cellStyle name="Pattern 3 3 2 48" xfId="22822" xr:uid="{FB230F74-C8A7-4B62-B797-169F64241EB8}"/>
    <cellStyle name="Pattern 3 3 2 49" xfId="23916" xr:uid="{622D085C-3E54-4DC1-814F-E4FE60D72AB2}"/>
    <cellStyle name="Pattern 3 3 2 5" xfId="2914" xr:uid="{9A33320F-07E6-4818-A02C-D2F929EB15AF}"/>
    <cellStyle name="Pattern 3 3 2 50" xfId="24824" xr:uid="{5142CFF8-5201-405F-80CB-999F8D59FE36}"/>
    <cellStyle name="Pattern 3 3 2 51" xfId="24201" xr:uid="{E35CCCE7-C943-4CD5-9599-6340C49FB18E}"/>
    <cellStyle name="Pattern 3 3 2 52" xfId="25740" xr:uid="{860D35FD-7E5D-47A9-B0BC-96756C30DA3B}"/>
    <cellStyle name="Pattern 3 3 2 53" xfId="26048" xr:uid="{165736A7-F891-43FB-A3FB-8267D9F51924}"/>
    <cellStyle name="Pattern 3 3 2 54" xfId="24497" xr:uid="{46832705-572B-4FC4-9DF0-436112A2137B}"/>
    <cellStyle name="Pattern 3 3 2 55" xfId="27028" xr:uid="{23D360DF-2088-4A99-8F34-B56E31DFFAF4}"/>
    <cellStyle name="Pattern 3 3 2 56" xfId="27447" xr:uid="{36234DF0-BFBB-4BDF-A0B4-01F9A42FB14C}"/>
    <cellStyle name="Pattern 3 3 2 57" xfId="25387" xr:uid="{07A26788-C529-48C5-BE01-129623D674CB}"/>
    <cellStyle name="Pattern 3 3 2 58" xfId="28574" xr:uid="{BCB09F60-3B62-4BBC-9B75-DB865827F109}"/>
    <cellStyle name="Pattern 3 3 2 59" xfId="29041" xr:uid="{EAA1624D-A8D8-4B0C-A6AB-3FDB16DA9F43}"/>
    <cellStyle name="Pattern 3 3 2 6" xfId="3256" xr:uid="{A75428A8-916D-4E8F-96AA-B19CC8598C36}"/>
    <cellStyle name="Pattern 3 3 2 60" xfId="27940" xr:uid="{D88C2E2C-2C0F-4FE0-A2AB-7B26AA281A82}"/>
    <cellStyle name="Pattern 3 3 2 61" xfId="29830" xr:uid="{E7B679FF-4FF6-4D52-A78E-A90357371A6A}"/>
    <cellStyle name="Pattern 3 3 2 62" xfId="30236" xr:uid="{41948208-BDC3-499F-BE8C-40B6FA8AF9C1}"/>
    <cellStyle name="Pattern 3 3 2 63" xfId="30653" xr:uid="{8BC27344-ADA4-4A6C-BA1A-838E52B0B5A3}"/>
    <cellStyle name="Pattern 3 3 2 64" xfId="29210" xr:uid="{BB3E5C3F-B880-4D0C-81B9-1531ABE7E099}"/>
    <cellStyle name="Pattern 3 3 2 65" xfId="31269" xr:uid="{974C3843-73A2-4141-AEFF-DB02E51DED34}"/>
    <cellStyle name="Pattern 3 3 2 66" xfId="31960" xr:uid="{FA458E57-2A2F-4757-A495-64B8A55697D1}"/>
    <cellStyle name="Pattern 3 3 2 67" xfId="31739" xr:uid="{1E2D7342-0A9C-4C58-8AEE-A7EAD6318FFE}"/>
    <cellStyle name="Pattern 3 3 2 7" xfId="4052" xr:uid="{24290223-9938-4E8E-99B1-BC49EB5F1A24}"/>
    <cellStyle name="Pattern 3 3 2 8" xfId="4489" xr:uid="{65ABDBF5-B26E-498B-B83D-D97A455AE1EC}"/>
    <cellStyle name="Pattern 3 3 2 9" xfId="4232" xr:uid="{ACBF85AF-8BB2-4AF7-BC3E-F7E97193FFCD}"/>
    <cellStyle name="Pattern 3 3 20" xfId="9933" xr:uid="{DD34A9A1-BDF0-43C5-B906-0B2FDE53EB0D}"/>
    <cellStyle name="Pattern 3 3 21" xfId="10364" xr:uid="{381978DE-D2D6-4207-A617-E010966E8928}"/>
    <cellStyle name="Pattern 3 3 22" xfId="10403" xr:uid="{0BDD4901-8161-4378-8A59-6DC50EDD15AC}"/>
    <cellStyle name="Pattern 3 3 23" xfId="11162" xr:uid="{1FBC389E-38D2-4049-904F-4AE4A2BEF002}"/>
    <cellStyle name="Pattern 3 3 24" xfId="11872" xr:uid="{4617DA1C-2B62-4406-BDDC-53C8129BF296}"/>
    <cellStyle name="Pattern 3 3 25" xfId="12345" xr:uid="{AC94D67B-E680-4D29-A453-BCDE63A9FA0E}"/>
    <cellStyle name="Pattern 3 3 26" xfId="12779" xr:uid="{9E9060C6-A58B-45A0-97DB-D0EF10FBDB00}"/>
    <cellStyle name="Pattern 3 3 27" xfId="13216" xr:uid="{3B1E8656-491F-45C6-99C0-EF5AC53C80B6}"/>
    <cellStyle name="Pattern 3 3 28" xfId="13890" xr:uid="{88707D23-7ABC-4F43-894C-F57733B82110}"/>
    <cellStyle name="Pattern 3 3 29" xfId="14356" xr:uid="{853E4613-59C1-4E6B-A026-5591A2B691B8}"/>
    <cellStyle name="Pattern 3 3 3" xfId="1002" xr:uid="{BE847B21-6492-4BD8-9670-B5EAC015839B}"/>
    <cellStyle name="Pattern 3 3 30" xfId="14676" xr:uid="{E8C8D3E8-C997-4B16-AF39-8D8896EF35A1}"/>
    <cellStyle name="Pattern 3 3 31" xfId="15289" xr:uid="{87E4D969-8F01-4781-A1DA-14D277B4F583}"/>
    <cellStyle name="Pattern 3 3 32" xfId="12051" xr:uid="{7889BD4D-B53F-4AA8-B43F-679C9A9E5C7A}"/>
    <cellStyle name="Pattern 3 3 33" xfId="15819" xr:uid="{F70A9AD2-C2BB-4731-95DE-1C88B1E2F1E2}"/>
    <cellStyle name="Pattern 3 3 34" xfId="16564" xr:uid="{B3C3D485-342D-4D5E-8BCA-830FD56479FA}"/>
    <cellStyle name="Pattern 3 3 35" xfId="17047" xr:uid="{0B1A36C9-C00E-487D-9175-52B69CD8B6B8}"/>
    <cellStyle name="Pattern 3 3 36" xfId="17494" xr:uid="{C0823F99-A828-449B-AEFE-35F85E6C5979}"/>
    <cellStyle name="Pattern 3 3 37" xfId="17862" xr:uid="{7558FEC2-9474-4134-87F2-A38DEE17A374}"/>
    <cellStyle name="Pattern 3 3 38" xfId="18382" xr:uid="{77ABAC29-3DF1-4F17-B011-D7BFA7ECA799}"/>
    <cellStyle name="Pattern 3 3 39" xfId="17636" xr:uid="{BEAB829C-8514-41AA-A812-6F57A570D463}"/>
    <cellStyle name="Pattern 3 3 4" xfId="1619" xr:uid="{F5B11F07-B612-420E-9A84-00FF13C4A4E7}"/>
    <cellStyle name="Pattern 3 3 40" xfId="19226" xr:uid="{05AF824B-BAD6-4F6E-A592-015B8EBAC4C6}"/>
    <cellStyle name="Pattern 3 3 41" xfId="19901" xr:uid="{CB4F0E6C-01CD-4E1E-987D-5947E58BBCDE}"/>
    <cellStyle name="Pattern 3 3 42" xfId="20399" xr:uid="{8DEB4618-4F3E-498E-A870-D00AA26D67EB}"/>
    <cellStyle name="Pattern 3 3 43" xfId="20852" xr:uid="{A7B7A86D-D02C-4F4D-9B3F-E10597B52AA4}"/>
    <cellStyle name="Pattern 3 3 44" xfId="20592" xr:uid="{AD419D3C-8898-48B1-A3EC-7DDBD95F3F84}"/>
    <cellStyle name="Pattern 3 3 45" xfId="21785" xr:uid="{D0C1E04A-A8C6-47B5-9534-9C7498DF2BD4}"/>
    <cellStyle name="Pattern 3 3 46" xfId="22222" xr:uid="{C13637A4-77EC-4C38-84D2-00F2DFFF95C7}"/>
    <cellStyle name="Pattern 3 3 47" xfId="22870" xr:uid="{628D7D79-DC6F-4953-97F2-69FA904ABD29}"/>
    <cellStyle name="Pattern 3 3 48" xfId="22821" xr:uid="{422D225B-BC5D-4908-B534-0C8B3E961DDB}"/>
    <cellStyle name="Pattern 3 3 49" xfId="23557" xr:uid="{2009CBD8-134A-475A-9411-9999084C45E3}"/>
    <cellStyle name="Pattern 3 3 5" xfId="2341" xr:uid="{21583FAA-E740-4B4A-9EC2-C20F10525D81}"/>
    <cellStyle name="Pattern 3 3 50" xfId="23710" xr:uid="{1DB19608-D1CF-4A69-80DC-5DB90CF73729}"/>
    <cellStyle name="Pattern 3 3 51" xfId="24609" xr:uid="{EE0094A5-4520-40BE-8C2F-A6A2F31A2A8B}"/>
    <cellStyle name="Pattern 3 3 52" xfId="25108" xr:uid="{EF1CBB88-7A49-4E3B-9CC2-9F1538703731}"/>
    <cellStyle name="Pattern 3 3 53" xfId="25527" xr:uid="{5F33F582-26D6-466D-8046-EFF61F489EF3}"/>
    <cellStyle name="Pattern 3 3 54" xfId="26176" xr:uid="{825628C8-39E7-4694-A1B1-3DFA01E98C43}"/>
    <cellStyle name="Pattern 3 3 55" xfId="25362" xr:uid="{A4AFDE46-5893-4E03-AB43-DAEE44CF4CB0}"/>
    <cellStyle name="Pattern 3 3 56" xfId="26817" xr:uid="{5A1F79F6-8502-48AC-8072-8FF97BF0DDE9}"/>
    <cellStyle name="Pattern 3 3 57" xfId="27236" xr:uid="{951D17CA-A1B2-4EC5-9D48-7116CC273412}"/>
    <cellStyle name="Pattern 3 3 58" xfId="27689" xr:uid="{6F1B85BA-EBC5-414C-91BC-D15D9E622A9E}"/>
    <cellStyle name="Pattern 3 3 59" xfId="28359" xr:uid="{235BAA96-2148-4E82-9450-1B1DE60374C2}"/>
    <cellStyle name="Pattern 3 3 6" xfId="3058" xr:uid="{4465535E-1588-4ADA-B7F9-7FE43933C22A}"/>
    <cellStyle name="Pattern 3 3 60" xfId="28827" xr:uid="{402C8706-6758-48E6-B48C-34A035DA3313}"/>
    <cellStyle name="Pattern 3 3 61" xfId="29263" xr:uid="{70B91C16-A3C6-48E2-91AE-51A130A04B2A}"/>
    <cellStyle name="Pattern 3 3 62" xfId="29617" xr:uid="{BB9E7C18-3B00-4DCF-A358-1CC7C6AE5D7D}"/>
    <cellStyle name="Pattern 3 3 63" xfId="30025" xr:uid="{6F7AAECA-CF75-4A71-9117-83AFB164E3F5}"/>
    <cellStyle name="Pattern 3 3 64" xfId="30439" xr:uid="{D0514548-4F31-4E7D-9752-C9B021D5DCED}"/>
    <cellStyle name="Pattern 3 3 65" xfId="31024" xr:uid="{51BD1665-7316-4BB5-A949-5D703EB9A58E}"/>
    <cellStyle name="Pattern 3 3 66" xfId="31063" xr:uid="{78F942DF-5226-484F-A829-EC35BF597F3D}"/>
    <cellStyle name="Pattern 3 3 67" xfId="31749" xr:uid="{B09F325E-D4D8-44CB-B1E1-688B243D7272}"/>
    <cellStyle name="Pattern 3 3 68" xfId="31703" xr:uid="{F6263629-1146-4A25-9656-5DDB4701C08F}"/>
    <cellStyle name="Pattern 3 3 7" xfId="3404" xr:uid="{1B6ED762-1142-4AFD-8A12-74089C953F32}"/>
    <cellStyle name="Pattern 3 3 8" xfId="3837" xr:uid="{6BBDCF34-4299-4DE3-98E2-2EE08A5FC87A}"/>
    <cellStyle name="Pattern 3 3 9" xfId="4275" xr:uid="{47CD59DC-222C-4A9F-B278-A363FA701B28}"/>
    <cellStyle name="Pattern 3 30" xfId="12277" xr:uid="{0B1B751B-64F3-4458-A87E-69A8DEBDAC5A}"/>
    <cellStyle name="Pattern 3 31" xfId="12734" xr:uid="{7994D1E7-B044-4F06-A5C4-14FA2A00135E}"/>
    <cellStyle name="Pattern 3 32" xfId="14424" xr:uid="{B87617A1-8029-4462-A35D-36E4D85F1C82}"/>
    <cellStyle name="Pattern 3 33" xfId="13170" xr:uid="{905BEE16-B18C-4A37-B1B4-8B3D92A4A744}"/>
    <cellStyle name="Pattern 3 34" xfId="15701" xr:uid="{024F00F5-0BCE-4144-95C3-1DE88C50630C}"/>
    <cellStyle name="Pattern 3 35" xfId="15286" xr:uid="{B5F63A5D-C7F9-4910-A684-B1365F9FD3AB}"/>
    <cellStyle name="Pattern 3 36" xfId="16334" xr:uid="{23C85AA2-6CBA-4AF0-9196-7C3E00B27A3B}"/>
    <cellStyle name="Pattern 3 37" xfId="16963" xr:uid="{BEFB939F-792D-45FB-BB48-B4315727A50F}"/>
    <cellStyle name="Pattern 3 38" xfId="16501" xr:uid="{D53DD7CD-AA4E-40A5-8E9F-F1C44EBAEF37}"/>
    <cellStyle name="Pattern 3 39" xfId="18201" xr:uid="{BE9CA194-C20F-4C6B-84F7-278186750CE1}"/>
    <cellStyle name="Pattern 3 4" xfId="633" xr:uid="{D4D8FBC0-B757-4787-A75D-CF8D80B18774}"/>
    <cellStyle name="Pattern 3 4 10" xfId="4230" xr:uid="{0C963BD1-80E3-4FA7-88EF-C1490237C4B0}"/>
    <cellStyle name="Pattern 3 4 11" xfId="5281" xr:uid="{9E0DCF85-552D-41CC-8C50-ED90908A4E03}"/>
    <cellStyle name="Pattern 3 4 12" xfId="4797" xr:uid="{483B3D0C-D83B-4676-A236-9D037790A993}"/>
    <cellStyle name="Pattern 3 4 13" xfId="6157" xr:uid="{71726292-BB7B-4A29-B0E1-2B48AA87D294}"/>
    <cellStyle name="Pattern 3 4 14" xfId="6549" xr:uid="{CBB27EB7-0826-437B-854E-9F82180C4892}"/>
    <cellStyle name="Pattern 3 4 15" xfId="7353" xr:uid="{3F2A571C-4A2B-4A25-ADA0-F5925F29B022}"/>
    <cellStyle name="Pattern 3 4 16" xfId="7979" xr:uid="{437C5818-511F-42DE-A93D-B560F678EFEA}"/>
    <cellStyle name="Pattern 3 4 17" xfId="7717" xr:uid="{C9EDEB49-06CB-4012-B1D4-AF6A06ABB2DD}"/>
    <cellStyle name="Pattern 3 4 18" xfId="7699" xr:uid="{7D4D34EC-787D-478B-9F26-674302E081D2}"/>
    <cellStyle name="Pattern 3 4 19" xfId="9567" xr:uid="{06965069-D131-4922-A4E6-4D8939ECB906}"/>
    <cellStyle name="Pattern 3 4 2" xfId="848" xr:uid="{4A280688-D9FE-4798-8FF8-F3CC04CFC5A2}"/>
    <cellStyle name="Pattern 3 4 2 10" xfId="5496" xr:uid="{455353C2-C645-4831-8FCD-A90D6C4AED97}"/>
    <cellStyle name="Pattern 3 4 2 11" xfId="5037" xr:uid="{A0038670-8675-49BC-95C5-F723BD69D60F}"/>
    <cellStyle name="Pattern 3 4 2 12" xfId="6048" xr:uid="{F1C71351-2BD6-4F18-A013-9A3197681398}"/>
    <cellStyle name="Pattern 3 4 2 13" xfId="6062" xr:uid="{1907F837-B856-4DBA-B63D-88988C8E43E0}"/>
    <cellStyle name="Pattern 3 4 2 14" xfId="7568" xr:uid="{4FA4CAA3-CECB-485B-A0C2-DC4089A86A62}"/>
    <cellStyle name="Pattern 3 4 2 15" xfId="7145" xr:uid="{5D0EF2DB-951F-4242-BB56-D2C1EC928529}"/>
    <cellStyle name="Pattern 3 4 2 16" xfId="8259" xr:uid="{03B5F7E7-ACD1-4684-878C-2BCFCB36EA20}"/>
    <cellStyle name="Pattern 3 4 2 17" xfId="8354" xr:uid="{7E19FDB3-B8A9-46C4-BB20-02D0E0D3D487}"/>
    <cellStyle name="Pattern 3 4 2 18" xfId="9782" xr:uid="{9D956036-1244-4D7B-B59C-63D00C059A62}"/>
    <cellStyle name="Pattern 3 4 2 19" xfId="9360" xr:uid="{17A45F3C-5C6C-4076-9B53-2619C282C6A4}"/>
    <cellStyle name="Pattern 3 4 2 2" xfId="1322" xr:uid="{37FC5582-076D-45C1-A998-14C7835AC0CF}"/>
    <cellStyle name="Pattern 3 4 2 20" xfId="10050" xr:uid="{AFF7194B-2349-417E-9A51-BD731F0B668C}"/>
    <cellStyle name="Pattern 3 4 2 21" xfId="10701" xr:uid="{9FEA34B5-CDEE-4BEF-9781-B5BF926D5A8C}"/>
    <cellStyle name="Pattern 3 4 2 22" xfId="10801" xr:uid="{F1C83AEB-364F-4971-8692-75E028BDA5F9}"/>
    <cellStyle name="Pattern 3 4 2 23" xfId="12201" xr:uid="{73887302-EBA5-4A05-8321-CF1C23B36E77}"/>
    <cellStyle name="Pattern 3 4 2 24" xfId="12674" xr:uid="{5AAF0E12-DEEA-45EE-B2A5-8C24634C7BAE}"/>
    <cellStyle name="Pattern 3 4 2 25" xfId="13108" xr:uid="{38E78808-2D27-4E36-9E8E-E6CEA70DD995}"/>
    <cellStyle name="Pattern 3 4 2 26" xfId="13545" xr:uid="{21C826AD-7C00-41A4-B4B1-6C9AD581329B}"/>
    <cellStyle name="Pattern 3 4 2 27" xfId="13618" xr:uid="{DBAA5751-7E09-4A36-95F5-C1B20BA34A51}"/>
    <cellStyle name="Pattern 3 4 2 28" xfId="13884" xr:uid="{26301C20-595F-40A2-AAD1-039BDE9B060F}"/>
    <cellStyle name="Pattern 3 4 2 29" xfId="14115" xr:uid="{AB93E55D-90CC-4DBE-8132-AE477FF611F3}"/>
    <cellStyle name="Pattern 3 4 2 3" xfId="1771" xr:uid="{A2892F87-BF44-4CA0-BDE2-84459D24A4FB}"/>
    <cellStyle name="Pattern 3 4 2 30" xfId="15043" xr:uid="{A35621E5-B5FD-433F-AAC5-FA193BF651D9}"/>
    <cellStyle name="Pattern 3 4 2 31" xfId="15721" xr:uid="{9751B0A2-ABD0-49E4-A706-CA364FDB417E}"/>
    <cellStyle name="Pattern 3 4 2 32" xfId="14813" xr:uid="{25225D32-D7E5-463A-A70F-D1D384D56C14}"/>
    <cellStyle name="Pattern 3 4 2 33" xfId="16893" xr:uid="{99369434-5191-4DD6-ACB6-C38EA6772443}"/>
    <cellStyle name="Pattern 3 4 2 34" xfId="16467" xr:uid="{A263AA9F-1BB1-4063-AFBA-CEAB1E85CBA6}"/>
    <cellStyle name="Pattern 3 4 2 35" xfId="17168" xr:uid="{99FBBB5F-6BAC-44EB-9B9C-86BE09CC7A94}"/>
    <cellStyle name="Pattern 3 4 2 36" xfId="16948" xr:uid="{7B461169-1A73-4EC0-9E89-21260F0B8918}"/>
    <cellStyle name="Pattern 3 4 2 37" xfId="18711" xr:uid="{F656C0C4-346E-4295-80A1-D293AF312062}"/>
    <cellStyle name="Pattern 3 4 2 38" xfId="19039" xr:uid="{5A13A43C-6EAE-48C4-B66F-5E3939F5ADC9}"/>
    <cellStyle name="Pattern 3 4 2 39" xfId="19174" xr:uid="{F91DB748-4B30-4F65-AE80-1413247ABB3D}"/>
    <cellStyle name="Pattern 3 4 2 4" xfId="2670" xr:uid="{25DC6370-3B9F-4C42-AB89-BF333195E563}"/>
    <cellStyle name="Pattern 3 4 2 40" xfId="20230" xr:uid="{E7ACAD23-3600-40C7-93A9-15B5FCE04934}"/>
    <cellStyle name="Pattern 3 4 2 41" xfId="19803" xr:uid="{5E16674F-B28B-4A3D-A79D-9B0AE4D9E294}"/>
    <cellStyle name="Pattern 3 4 2 42" xfId="20737" xr:uid="{48C50978-AEC2-4BB1-AFA8-E80EBBBE3B0B}"/>
    <cellStyle name="Pattern 3 4 2 43" xfId="21545" xr:uid="{C260ACBE-FF6A-4125-9496-8C5A5E28EB4E}"/>
    <cellStyle name="Pattern 3 4 2 44" xfId="21674" xr:uid="{A42F0593-591D-4FBF-B162-FE5238FF5549}"/>
    <cellStyle name="Pattern 3 4 2 45" xfId="22112" xr:uid="{4194E312-F79C-4AC5-9844-3EA77BC543A6}"/>
    <cellStyle name="Pattern 3 4 2 46" xfId="22627" xr:uid="{3AB823E8-07DA-4254-93F3-08FA9B9646C5}"/>
    <cellStyle name="Pattern 3 4 2 47" xfId="23316" xr:uid="{25F51D80-C51F-4E85-BCDF-55BCBE3D7FBE}"/>
    <cellStyle name="Pattern 3 4 2 48" xfId="23443" xr:uid="{2DDE23DF-F555-4D88-B173-E6A681D639D0}"/>
    <cellStyle name="Pattern 3 4 2 49" xfId="24030" xr:uid="{4D3845B4-FD01-444A-B80F-8B5F1E28F2C0}"/>
    <cellStyle name="Pattern 3 4 2 5" xfId="2785" xr:uid="{840E37A0-5BF8-4A59-9B33-32042E5670A6}"/>
    <cellStyle name="Pattern 3 4 2 50" xfId="24938" xr:uid="{105AD3D6-00A4-4EFB-B99B-F71B80C7752D}"/>
    <cellStyle name="Pattern 3 4 2 51" xfId="24442" xr:uid="{A7D0ECE9-44D8-4FCD-BD3D-209E5C5F89F5}"/>
    <cellStyle name="Pattern 3 4 2 52" xfId="25854" xr:uid="{BAD60452-C9F5-4F1B-A43D-A78A5F036B63}"/>
    <cellStyle name="Pattern 3 4 2 53" xfId="24473" xr:uid="{FD25CD6F-03FA-4211-B46E-0BC590A99BD4}"/>
    <cellStyle name="Pattern 3 4 2 54" xfId="26519" xr:uid="{4EA807D1-2636-4A06-9E27-E3820F7FDAF4}"/>
    <cellStyle name="Pattern 3 4 2 55" xfId="27142" xr:uid="{20D1D9A8-9473-4D2C-8E41-1685A1880D95}"/>
    <cellStyle name="Pattern 3 4 2 56" xfId="27561" xr:uid="{D787B3E9-711C-4E55-BDBE-B88EF0282010}"/>
    <cellStyle name="Pattern 3 4 2 57" xfId="26644" xr:uid="{98B7F960-19D0-42D9-9383-9137C4399594}"/>
    <cellStyle name="Pattern 3 4 2 58" xfId="28688" xr:uid="{FFCD4A6E-97EC-46B5-A730-601F71679162}"/>
    <cellStyle name="Pattern 3 4 2 59" xfId="29155" xr:uid="{AF7AF105-EB7C-4ADB-B817-C8C4B977031A}"/>
    <cellStyle name="Pattern 3 4 2 6" xfId="3337" xr:uid="{1681B2CA-31B3-4369-8558-E92621778FCB}"/>
    <cellStyle name="Pattern 3 4 2 60" xfId="28082" xr:uid="{AC3DE506-B7A5-4E4D-B849-81C6FF2BCF0D}"/>
    <cellStyle name="Pattern 3 4 2 61" xfId="29944" xr:uid="{569BE16F-CD0F-4EEE-8A20-38188AD8B236}"/>
    <cellStyle name="Pattern 3 4 2 62" xfId="30350" xr:uid="{30852E33-38BC-440B-8268-64F13B69C8E8}"/>
    <cellStyle name="Pattern 3 4 2 63" xfId="30767" xr:uid="{CDD4F08D-419E-4978-9F3A-15C9F70EDC37}"/>
    <cellStyle name="Pattern 3 4 2 64" xfId="28044" xr:uid="{DC5997B2-5992-46AF-888A-B25819E33C69}"/>
    <cellStyle name="Pattern 3 4 2 65" xfId="31383" xr:uid="{A05601EF-1695-4E20-852F-7F69639DA5F0}"/>
    <cellStyle name="Pattern 3 4 2 66" xfId="32074" xr:uid="{7E09D055-A113-40BB-B04D-A799894A6625}"/>
    <cellStyle name="Pattern 3 4 2 67" xfId="32269" xr:uid="{318E583B-500E-4E08-8783-CA5DC4AD56A3}"/>
    <cellStyle name="Pattern 3 4 2 7" xfId="4166" xr:uid="{55EB7A40-F9A5-44BF-BBA4-C4E6579645ED}"/>
    <cellStyle name="Pattern 3 4 2 8" xfId="4603" xr:uid="{C1395CDD-3BD2-4482-9B34-27D12215CDC0}"/>
    <cellStyle name="Pattern 3 4 2 9" xfId="3207" xr:uid="{5CB8F5E4-513C-4E00-AE2C-91279D119CB8}"/>
    <cellStyle name="Pattern 3 4 20" xfId="10195" xr:uid="{1DDEF20A-DE1D-4728-894F-AEA564BB56A9}"/>
    <cellStyle name="Pattern 3 4 21" xfId="10599" xr:uid="{2A73608D-5927-4A2C-8318-F87E01820466}"/>
    <cellStyle name="Pattern 3 4 22" xfId="9155" xr:uid="{AEDD5EEA-18CA-4623-8C7B-E1F4609EAD41}"/>
    <cellStyle name="Pattern 3 4 23" xfId="11222" xr:uid="{3B3140A3-E7FE-4697-9A89-3E107011D16F}"/>
    <cellStyle name="Pattern 3 4 24" xfId="11986" xr:uid="{55CFD4DC-D989-4F08-BD9B-B0F82ADAB88B}"/>
    <cellStyle name="Pattern 3 4 25" xfId="12459" xr:uid="{ED5A1B94-A68B-46F7-A2EB-3FC5F0F46BC6}"/>
    <cellStyle name="Pattern 3 4 26" xfId="12893" xr:uid="{CA41FA77-DDBE-44FC-A57B-970BDF6E9AD3}"/>
    <cellStyle name="Pattern 3 4 27" xfId="13330" xr:uid="{FEADCD2B-5666-477E-BEF8-C6EF05B86BA4}"/>
    <cellStyle name="Pattern 3 4 28" xfId="11576" xr:uid="{AEB044A4-AFC8-4865-BF67-03F9488E1867}"/>
    <cellStyle name="Pattern 3 4 29" xfId="11683" xr:uid="{45DA09FB-AF89-4B79-B1EB-9C85B4B04A0B}"/>
    <cellStyle name="Pattern 3 4 3" xfId="1116" xr:uid="{DEA36F18-F908-4B6D-BBF9-61263C26B28B}"/>
    <cellStyle name="Pattern 3 4 30" xfId="14082" xr:uid="{3E4526D6-CCB5-418D-9389-BF31BA83E943}"/>
    <cellStyle name="Pattern 3 4 31" xfId="15002" xr:uid="{E741E855-D4D0-414B-AFFA-4FDF94158C3A}"/>
    <cellStyle name="Pattern 3 4 32" xfId="13893" xr:uid="{2E534EE7-693E-4D90-9070-46EC1F6F041C}"/>
    <cellStyle name="Pattern 3 4 33" xfId="15958" xr:uid="{1F961009-DA86-46A7-AA7F-9051AD2C097C}"/>
    <cellStyle name="Pattern 3 4 34" xfId="16678" xr:uid="{86954631-2ACD-478E-A316-ACBCCCC1A49A}"/>
    <cellStyle name="Pattern 3 4 35" xfId="17316" xr:uid="{92F11274-DD01-4832-82E1-C7C49D3C8FE7}"/>
    <cellStyle name="Pattern 3 4 36" xfId="17759" xr:uid="{A8D570E3-0988-4F26-B436-1A3A8FEB5306}"/>
    <cellStyle name="Pattern 3 4 37" xfId="17190" xr:uid="{25F4AFB9-33D8-47DA-81EB-BF5F5B7961DB}"/>
    <cellStyle name="Pattern 3 4 38" xfId="18496" xr:uid="{E57E5597-B4C5-4924-8FD5-0174CEE7565D}"/>
    <cellStyle name="Pattern 3 4 39" xfId="17955" xr:uid="{1DCCC027-DBB8-429F-A59F-529315DE52D6}"/>
    <cellStyle name="Pattern 3 4 4" xfId="1520" xr:uid="{F2710DF2-74E6-4E2E-BA08-B1DFB53BF273}"/>
    <cellStyle name="Pattern 3 4 40" xfId="19141" xr:uid="{BADBED18-CCDE-49AE-8215-2ADE87C01535}"/>
    <cellStyle name="Pattern 3 4 41" xfId="20015" xr:uid="{86EC2053-B7B5-43F9-9957-96B5C4D99979}"/>
    <cellStyle name="Pattern 3 4 42" xfId="20667" xr:uid="{B8F73E80-48F1-44C9-AD77-3FB2A2B9B7EF}"/>
    <cellStyle name="Pattern 3 4 43" xfId="21123" xr:uid="{1D8ABD1B-B99F-4A66-AE64-9ADF1095BC5D}"/>
    <cellStyle name="Pattern 3 4 44" xfId="21380" xr:uid="{1A550A66-6CF8-4171-8BB4-4675FCC1BE2D}"/>
    <cellStyle name="Pattern 3 4 45" xfId="22055" xr:uid="{172D6DEF-DC2A-4DCF-A09C-C5E9544063AE}"/>
    <cellStyle name="Pattern 3 4 46" xfId="22483" xr:uid="{792623BD-6556-4E3E-8B13-D1F64E469AAE}"/>
    <cellStyle name="Pattern 3 4 47" xfId="21563" xr:uid="{48564371-DB07-4085-9378-9BF8174F45FB}"/>
    <cellStyle name="Pattern 3 4 48" xfId="22629" xr:uid="{948182A7-72CE-4261-A403-739C9E51088E}"/>
    <cellStyle name="Pattern 3 4 49" xfId="22794" xr:uid="{9B7212A3-6414-4170-9594-3D0AB9BC7136}"/>
    <cellStyle name="Pattern 3 4 5" xfId="2455" xr:uid="{4010F75E-178F-4124-A258-71548F58A086}"/>
    <cellStyle name="Pattern 3 4 50" xfId="23824" xr:uid="{520BB48A-4A7C-40A9-9906-E5D01AE88167}"/>
    <cellStyle name="Pattern 3 4 51" xfId="24723" xr:uid="{4DAD604F-635F-4CB6-8C75-F58553F335E1}"/>
    <cellStyle name="Pattern 3 4 52" xfId="25370" xr:uid="{6D59FE67-0C30-4DA9-A3D1-E354E697219F}"/>
    <cellStyle name="Pattern 3 4 53" xfId="25641" xr:uid="{BADBA8DE-DE9C-4081-963F-CF0B0A0C3631}"/>
    <cellStyle name="Pattern 3 4 54" xfId="24540" xr:uid="{CD5FF0D5-6E2E-4E82-9C9D-144CA05CCDB9}"/>
    <cellStyle name="Pattern 3 4 55" xfId="26459" xr:uid="{DDFF0153-9061-4BC1-A0C0-47699172772C}"/>
    <cellStyle name="Pattern 3 4 56" xfId="26931" xr:uid="{FCA94D13-B56F-4BDF-B476-CB056B710D1F}"/>
    <cellStyle name="Pattern 3 4 57" xfId="27350" xr:uid="{169E7068-1B8F-429B-955B-DD15CACD7B7A}"/>
    <cellStyle name="Pattern 3 4 58" xfId="27775" xr:uid="{F8197381-6B36-4FD7-9E3C-977EE80D1422}"/>
    <cellStyle name="Pattern 3 4 59" xfId="28473" xr:uid="{68F949CA-6E94-418F-8815-21725D0DDA52}"/>
    <cellStyle name="Pattern 3 4 6" xfId="2292" xr:uid="{1A42E386-3B92-47E8-8DF9-1A51F6176E56}"/>
    <cellStyle name="Pattern 3 4 60" xfId="28941" xr:uid="{06A02E4B-84C7-4EC0-8200-73BF1E467CC4}"/>
    <cellStyle name="Pattern 3 4 61" xfId="29492" xr:uid="{56D74136-217C-4FEA-9194-BC1534B341F0}"/>
    <cellStyle name="Pattern 3 4 62" xfId="29731" xr:uid="{C396F9A3-7461-4514-AF7C-8878B4D2AD6C}"/>
    <cellStyle name="Pattern 3 4 63" xfId="30139" xr:uid="{96C77C5F-0157-4E03-8EF7-D96D710D2EAE}"/>
    <cellStyle name="Pattern 3 4 64" xfId="30553" xr:uid="{767A87D8-339E-4065-8CC9-6699C9ABF0E3}"/>
    <cellStyle name="Pattern 3 4 65" xfId="30871" xr:uid="{A66B4D3B-357A-45B2-9154-C7C4CC93CED2}"/>
    <cellStyle name="Pattern 3 4 66" xfId="31177" xr:uid="{2E1FF9DA-9540-4491-A3B0-B94D54F2E87A}"/>
    <cellStyle name="Pattern 3 4 67" xfId="31863" xr:uid="{B40FEAE7-6145-4B06-A7F0-AA154207497A}"/>
    <cellStyle name="Pattern 3 4 68" xfId="32212" xr:uid="{1B616909-5955-4987-B996-48D1F3056CC4}"/>
    <cellStyle name="Pattern 3 4 7" xfId="2199" xr:uid="{50DD4EB1-F16C-4B1B-ABC7-6816C628F8A4}"/>
    <cellStyle name="Pattern 3 4 8" xfId="3951" xr:uid="{63000D21-CA7E-4B16-831D-28AE2E2EAED5}"/>
    <cellStyle name="Pattern 3 4 9" xfId="4389" xr:uid="{6CBD404A-D860-4C26-9156-2C7B1B27B52A}"/>
    <cellStyle name="Pattern 3 40" xfId="16272" xr:uid="{A52ABEBD-92EF-4D30-9727-9BA9AE32B42B}"/>
    <cellStyle name="Pattern 3 41" xfId="18365" xr:uid="{A9F1AB1D-D07D-4EF7-9169-AB6E83DABD5B}"/>
    <cellStyle name="Pattern 3 42" xfId="19274" xr:uid="{C904C6F0-FF53-4B9E-A74D-C81BDC54BF1D}"/>
    <cellStyle name="Pattern 3 43" xfId="19667" xr:uid="{29BA1FA3-E606-4283-B712-25B166735884}"/>
    <cellStyle name="Pattern 3 44" xfId="20310" xr:uid="{5EBA7DCC-E8B4-449B-8EC4-7645364A863C}"/>
    <cellStyle name="Pattern 3 45" xfId="19781" xr:uid="{C27BC85E-9954-43A8-A135-4C2A428770E4}"/>
    <cellStyle name="Pattern 3 46" xfId="20820" xr:uid="{AB5736FB-E968-4D11-B53D-D462AC0C18C4}"/>
    <cellStyle name="Pattern 3 47" xfId="21392" xr:uid="{A3DD8164-4B06-42F5-A3CD-13F3A4C295B3}"/>
    <cellStyle name="Pattern 3 48" xfId="21735" xr:uid="{89FEA0C1-AA32-4C1C-B4E5-FC66A5D9D4EA}"/>
    <cellStyle name="Pattern 3 49" xfId="22507" xr:uid="{5EE46BFC-31FA-44CC-9B52-B9B401ECF5DC}"/>
    <cellStyle name="Pattern 3 5" xfId="958" xr:uid="{5D613BE5-53BE-4354-B5F1-9465314F12CF}"/>
    <cellStyle name="Pattern 3 50" xfId="22839" xr:uid="{B2B1AEA2-4E99-4C71-96F4-EAB38577A34E}"/>
    <cellStyle name="Pattern 3 51" xfId="23616" xr:uid="{EECB5F89-82D3-44AA-8E0C-767A68EAB929}"/>
    <cellStyle name="Pattern 3 52" xfId="23242" xr:uid="{CF636219-CB5B-483F-9A0B-47306E9C3088}"/>
    <cellStyle name="Pattern 3 53" xfId="24387" xr:uid="{6131783F-AA13-44C6-8EA6-A584E13BF56F}"/>
    <cellStyle name="Pattern 3 54" xfId="24322" xr:uid="{E0C6B378-2CD7-4A4D-B2E7-8454587F921D}"/>
    <cellStyle name="Pattern 3 55" xfId="25025" xr:uid="{1E95968A-6C80-47A2-A902-13732E7A8B3C}"/>
    <cellStyle name="Pattern 3 56" xfId="25471" xr:uid="{9FAD77AE-97CC-4A34-A015-E5815A274CD4}"/>
    <cellStyle name="Pattern 3 57" xfId="26279" xr:uid="{9086FC0B-AE6F-4E6D-A821-F76C0F460F8D}"/>
    <cellStyle name="Pattern 3 58" xfId="26693" xr:uid="{7EF182DF-76C8-4149-A697-25E2AE30A488}"/>
    <cellStyle name="Pattern 3 59" xfId="26574" xr:uid="{E3B5FEA7-EA18-402D-8255-EEF9D2484D45}"/>
    <cellStyle name="Pattern 3 6" xfId="1384" xr:uid="{9D206C02-CF61-4E4A-8F8D-B1B90B358BAA}"/>
    <cellStyle name="Pattern 3 60" xfId="26796" xr:uid="{79E25753-2E61-4522-A119-C45D7A67AD85}"/>
    <cellStyle name="Pattern 3 61" xfId="28158" xr:uid="{4A15663F-96F2-4589-994C-FD22E3BA239B}"/>
    <cellStyle name="Pattern 3 62" xfId="27903" xr:uid="{FB494055-B460-42E3-88B3-937F264CFD56}"/>
    <cellStyle name="Pattern 3 63" xfId="27905" xr:uid="{5EA269A8-1A4E-4004-8950-A10958FA4FAA}"/>
    <cellStyle name="Pattern 3 64" xfId="29480" xr:uid="{81F8F131-AA37-40CB-92E8-DA78178C5DB3}"/>
    <cellStyle name="Pattern 3 65" xfId="29302" xr:uid="{0890E351-CB8E-452D-A279-CE6DC249CE91}"/>
    <cellStyle name="Pattern 3 66" xfId="28804" xr:uid="{2DB1F09D-C28D-43C9-904D-3333F6AAB906}"/>
    <cellStyle name="Pattern 3 67" xfId="29593" xr:uid="{0AC70B20-D5EF-4213-BBD8-66AEC163617B}"/>
    <cellStyle name="Pattern 3 68" xfId="28121" xr:uid="{CC03236F-A221-4FB3-8DF5-E4326D665A9E}"/>
    <cellStyle name="Pattern 3 69" xfId="31610" xr:uid="{5631447F-C084-4F9F-A1A6-6CFFA5EECDCB}"/>
    <cellStyle name="Pattern 3 7" xfId="2107" xr:uid="{9C26256E-4F82-49A0-A680-617A8A86BD21}"/>
    <cellStyle name="Pattern 3 70" xfId="32156" xr:uid="{556BB73E-CC50-4A76-A57A-45FD8949ECD5}"/>
    <cellStyle name="Pattern 3 8" xfId="1889" xr:uid="{9E0B53A7-67B0-438D-ADBA-27581B9AC043}"/>
    <cellStyle name="Pattern 3 9" xfId="2869" xr:uid="{B13DE4BB-F19C-4E19-9FF8-424469EA5078}"/>
    <cellStyle name="Percent 2" xfId="175" xr:uid="{5743DA0F-FD0A-4792-A1D8-702270D51E3A}"/>
    <cellStyle name="Percent 2 2" xfId="435" xr:uid="{9898A8BF-9052-4EE4-8718-F167827272E7}"/>
    <cellStyle name="Percent 2 2 2" xfId="2257" xr:uid="{7C01D562-FA6D-4D52-9E2C-90B262FA18B6}"/>
    <cellStyle name="Percent 2 3" xfId="2002" xr:uid="{D1147FC1-4E6A-45E5-8F4C-D9A2FDB19B21}"/>
    <cellStyle name="RowLevel_1 2" xfId="78" xr:uid="{32D02178-2ABF-40CB-8BFF-70A017243365}"/>
    <cellStyle name="Schlecht" xfId="176" xr:uid="{C538C48A-AC38-4EDB-BC2F-3D853080F0EE}"/>
    <cellStyle name="Shade" xfId="23" xr:uid="{E849B8D0-F8A7-44FE-ACC3-0642C34264C7}"/>
    <cellStyle name="Shade 2" xfId="177" xr:uid="{D0628454-8EAA-4B99-915A-B1E53E243572}"/>
    <cellStyle name="Shade 2 2" xfId="437" xr:uid="{70935452-8F65-48B8-AC4B-3A6DCB6B4AC6}"/>
    <cellStyle name="Shade 2 2 2" xfId="522" xr:uid="{0B819C83-97BE-49A0-AD1E-1A6C19D3D3CE}"/>
    <cellStyle name="Shade 2 2 2 10" xfId="4934" xr:uid="{45C01A22-DB36-415A-8D92-B22BCD40EE6F}"/>
    <cellStyle name="Shade 2 2 2 11" xfId="5170" xr:uid="{E69CFFAF-A6DE-4AE5-8088-95654525AA52}"/>
    <cellStyle name="Shade 2 2 2 12" xfId="5889" xr:uid="{673B81A9-705A-41E1-9AEF-794C63C28F14}"/>
    <cellStyle name="Shade 2 2 2 13" xfId="6171" xr:uid="{84ADB26C-935A-4076-90EF-6CC90648AA46}"/>
    <cellStyle name="Shade 2 2 2 14" xfId="6308" xr:uid="{D41C2D7F-4FBC-4616-8996-5135D670C91E}"/>
    <cellStyle name="Shade 2 2 2 15" xfId="7242" xr:uid="{19733E4A-FE26-4AA0-BBCA-BD11E35A178A}"/>
    <cellStyle name="Shade 2 2 2 16" xfId="7935" xr:uid="{92294D3B-89AD-4341-9054-96F004A0AD56}"/>
    <cellStyle name="Shade 2 2 2 17" xfId="7018" xr:uid="{E39CD652-F9ED-4F1A-9E92-A513B7885648}"/>
    <cellStyle name="Shade 2 2 2 18" xfId="8261" xr:uid="{D172AEA3-76D3-4D48-A1D8-3260766B0504}"/>
    <cellStyle name="Shade 2 2 2 19" xfId="9456" xr:uid="{24FE00FD-20EA-4D5F-9C06-76C01E919DAA}"/>
    <cellStyle name="Shade 2 2 2 2" xfId="737" xr:uid="{32C5B6C7-8F5C-4A75-82BD-F2AC474600CF}"/>
    <cellStyle name="Shade 2 2 2 2 10" xfId="5385" xr:uid="{53FF9DD0-D5CE-4820-B327-5F44608055CB}"/>
    <cellStyle name="Shade 2 2 2 2 11" xfId="4864" xr:uid="{9ED4A25F-8632-44CB-8DB5-49E67141BCBC}"/>
    <cellStyle name="Shade 2 2 2 2 12" xfId="5682" xr:uid="{90BBAC15-C338-47CD-9182-5ED72FFE1F15}"/>
    <cellStyle name="Shade 2 2 2 2 13" xfId="6299" xr:uid="{4C5EEB94-6824-4611-A156-BEC819AB2E22}"/>
    <cellStyle name="Shade 2 2 2 2 14" xfId="7457" xr:uid="{42E81123-AC29-426A-A543-6568F647037D}"/>
    <cellStyle name="Shade 2 2 2 2 15" xfId="6777" xr:uid="{B9C26ECE-79AC-4842-8468-BAE2BF5814B6}"/>
    <cellStyle name="Shade 2 2 2 2 16" xfId="8291" xr:uid="{E47E8C0F-C847-4317-9AF3-75BCDF69F5B2}"/>
    <cellStyle name="Shade 2 2 2 2 17" xfId="8749" xr:uid="{9EDE4590-96D5-43F5-88B5-6F52DC882B74}"/>
    <cellStyle name="Shade 2 2 2 2 18" xfId="9671" xr:uid="{A8091E99-1A55-4A42-A902-DA50420352D3}"/>
    <cellStyle name="Shade 2 2 2 2 19" xfId="8989" xr:uid="{803352BB-F7E5-402A-9219-F338604A5D59}"/>
    <cellStyle name="Shade 2 2 2 2 2" xfId="1211" xr:uid="{823AD568-E753-4F70-AB34-0D283B4979B4}"/>
    <cellStyle name="Shade 2 2 2 2 20" xfId="9970" xr:uid="{1B0AC6EC-68A1-460A-98D3-14FB479D1698}"/>
    <cellStyle name="Shade 2 2 2 2 21" xfId="9341" xr:uid="{AF448713-9443-4CF0-8F86-3C56F454213C}"/>
    <cellStyle name="Shade 2 2 2 2 22" xfId="10893" xr:uid="{55C259B7-4933-41CE-98F5-C818CB1065F8}"/>
    <cellStyle name="Shade 2 2 2 2 23" xfId="12090" xr:uid="{1E63E739-6BAE-4469-8B29-B560780A111B}"/>
    <cellStyle name="Shade 2 2 2 2 24" xfId="12563" xr:uid="{2F4878CD-E363-4A9C-A35E-1EB2767B3A02}"/>
    <cellStyle name="Shade 2 2 2 2 25" xfId="12997" xr:uid="{A24B469B-2C42-47CF-9AC0-1DF09519266B}"/>
    <cellStyle name="Shade 2 2 2 2 26" xfId="13434" xr:uid="{0D168154-0056-448C-A114-73CADA52EA15}"/>
    <cellStyle name="Shade 2 2 2 2 27" xfId="11768" xr:uid="{00111D1E-EC19-4D98-80A7-7B56DC21FBBE}"/>
    <cellStyle name="Shade 2 2 2 2 28" xfId="11838" xr:uid="{DAA87F2F-A5BA-46D3-A05A-9D489C4A97D1}"/>
    <cellStyle name="Shade 2 2 2 2 29" xfId="13975" xr:uid="{E106FD70-77E2-4D8B-8B83-5E2C5B6677E6}"/>
    <cellStyle name="Shade 2 2 2 2 3" xfId="1438" xr:uid="{735706EC-6C0D-4F7C-9FC7-5402C0799FAF}"/>
    <cellStyle name="Shade 2 2 2 2 30" xfId="14685" xr:uid="{38CED65A-6280-45A3-866C-5A53E4F10DF6}"/>
    <cellStyle name="Shade 2 2 2 2 31" xfId="15077" xr:uid="{973EF699-E936-4D50-8C52-D598F1DD1CD0}"/>
    <cellStyle name="Shade 2 2 2 2 32" xfId="15040" xr:uid="{D215B7F5-FF9A-4DD1-B217-573567237BC8}"/>
    <cellStyle name="Shade 2 2 2 2 33" xfId="16782" xr:uid="{67DB1B99-FE85-45D1-AC48-A6C8E45E7713}"/>
    <cellStyle name="Shade 2 2 2 2 34" xfId="16086" xr:uid="{DB9D39F1-40B2-48EF-B29A-A14849694AB3}"/>
    <cellStyle name="Shade 2 2 2 2 35" xfId="17086" xr:uid="{59FFFDE8-70C8-417A-A726-F5ACD816BEEF}"/>
    <cellStyle name="Shade 2 2 2 2 36" xfId="17705" xr:uid="{8C351C5C-4366-4E57-A075-038C4335B255}"/>
    <cellStyle name="Shade 2 2 2 2 37" xfId="18600" xr:uid="{1ECF0031-41F9-41BA-BA66-50E20FD4A081}"/>
    <cellStyle name="Shade 2 2 2 2 38" xfId="18847" xr:uid="{2E882217-CB84-4DFE-AC71-FF0A344E3247}"/>
    <cellStyle name="Shade 2 2 2 2 39" xfId="17749" xr:uid="{BB15FE80-B3F1-4A08-B245-9FC98FF2480F}"/>
    <cellStyle name="Shade 2 2 2 2 4" xfId="2559" xr:uid="{997DC743-2B4D-4DD9-A562-4504ED241546}"/>
    <cellStyle name="Shade 2 2 2 2 40" xfId="20119" xr:uid="{ABE40BF6-86AB-4050-87FE-3A03A1BE6394}"/>
    <cellStyle name="Shade 2 2 2 2 41" xfId="19419" xr:uid="{8E7C8C79-7995-4AD7-9D0C-A3EB4A6046F3}"/>
    <cellStyle name="Shade 2 2 2 2 42" xfId="19788" xr:uid="{85563389-ED4B-4AAF-A8E2-1F9799C7CBDF}"/>
    <cellStyle name="Shade 2 2 2 2 43" xfId="21109" xr:uid="{224720E3-F066-490F-9A2E-463D9FE0540F}"/>
    <cellStyle name="Shade 2 2 2 2 44" xfId="20940" xr:uid="{CD3699DF-5E0E-4EC5-BF03-1A7B6A69063B}"/>
    <cellStyle name="Shade 2 2 2 2 45" xfId="21823" xr:uid="{6C903667-78C2-4D15-B07A-0F37F516BB29}"/>
    <cellStyle name="Shade 2 2 2 2 46" xfId="21769" xr:uid="{9325D3B8-18E2-4B0E-BA8A-FA6895ECA5F0}"/>
    <cellStyle name="Shade 2 2 2 2 47" xfId="23123" xr:uid="{AE70593D-8169-4C89-897B-4293C061DEAE}"/>
    <cellStyle name="Shade 2 2 2 2 48" xfId="20904" xr:uid="{8DB1D398-9F3A-45AB-B46A-A1861AE6AB3F}"/>
    <cellStyle name="Shade 2 2 2 2 49" xfId="23919" xr:uid="{FE903D9A-5F47-4C57-A937-A39061DF934F}"/>
    <cellStyle name="Shade 2 2 2 2 5" xfId="2165" xr:uid="{FB24C879-0317-4767-800D-5B6E34C309B9}"/>
    <cellStyle name="Shade 2 2 2 2 50" xfId="24827" xr:uid="{8EA0B86E-985B-45CD-B8A8-506A9811CBC6}"/>
    <cellStyle name="Shade 2 2 2 2 51" xfId="24143" xr:uid="{1144A1F2-0616-41CB-918E-4E50DB2EADB7}"/>
    <cellStyle name="Shade 2 2 2 2 52" xfId="25743" xr:uid="{30E2FE8A-14CA-47EE-BF0F-E8C1168981B2}"/>
    <cellStyle name="Shade 2 2 2 2 53" xfId="24450" xr:uid="{1DEE39DD-9D6F-4AD4-BB14-2DC2EBF04808}"/>
    <cellStyle name="Shade 2 2 2 2 54" xfId="24525" xr:uid="{EFDECE70-273B-4A8A-8BF2-606DB3440AE2}"/>
    <cellStyle name="Shade 2 2 2 2 55" xfId="27031" xr:uid="{05D1A550-45D0-4359-8430-37B499503A4A}"/>
    <cellStyle name="Shade 2 2 2 2 56" xfId="27450" xr:uid="{F18C433D-0297-4AC0-A3F7-0C5B0A930EFE}"/>
    <cellStyle name="Shade 2 2 2 2 57" xfId="27647" xr:uid="{0F0BF782-EB21-48AF-9E8F-1B326A0DDA0B}"/>
    <cellStyle name="Shade 2 2 2 2 58" xfId="28577" xr:uid="{459AF642-0DAF-4C15-8215-C0EF32FBA67B}"/>
    <cellStyle name="Shade 2 2 2 2 59" xfId="29044" xr:uid="{2B7A86C7-6AD0-432C-A57F-492E76382F52}"/>
    <cellStyle name="Shade 2 2 2 2 6" xfId="3424" xr:uid="{51517E79-92C8-4999-A55C-022CC6FC4A95}"/>
    <cellStyle name="Shade 2 2 2 2 60" xfId="28207" xr:uid="{5F6D5984-BE03-435B-BA75-3701A662B67D}"/>
    <cellStyle name="Shade 2 2 2 2 61" xfId="29833" xr:uid="{351C86C5-2CBE-4053-B213-30798BFF81FE}"/>
    <cellStyle name="Shade 2 2 2 2 62" xfId="30239" xr:uid="{3972FC75-BA4D-465E-A346-D9584356AE90}"/>
    <cellStyle name="Shade 2 2 2 2 63" xfId="30656" xr:uid="{403A5CFE-D619-4E43-B7DB-F0F07843096D}"/>
    <cellStyle name="Shade 2 2 2 2 64" xfId="28763" xr:uid="{9A2F796C-32BB-457D-8656-9C2FD018A90D}"/>
    <cellStyle name="Shade 2 2 2 2 65" xfId="31272" xr:uid="{FDA7755E-5B2E-484B-B352-BCCACE42E7FD}"/>
    <cellStyle name="Shade 2 2 2 2 66" xfId="31963" xr:uid="{C6214808-1CE9-4B20-8093-8FCA9EFF62C5}"/>
    <cellStyle name="Shade 2 2 2 2 67" xfId="31637" xr:uid="{FCCF5DE8-3A4F-433E-96B4-EBD49EA2ED02}"/>
    <cellStyle name="Shade 2 2 2 2 7" xfId="4055" xr:uid="{20C350F3-A6E9-4545-B013-3ED4D6036660}"/>
    <cellStyle name="Shade 2 2 2 2 8" xfId="4492" xr:uid="{EF5DFFF5-7905-4308-B46A-6468E72C064E}"/>
    <cellStyle name="Shade 2 2 2 2 9" xfId="3603" xr:uid="{9B681C4C-E351-438F-8F1C-E1A627A12A52}"/>
    <cellStyle name="Shade 2 2 2 20" xfId="10148" xr:uid="{D5685A5A-7D28-45FD-9635-8164B2953711}"/>
    <cellStyle name="Shade 2 2 2 21" xfId="10558" xr:uid="{6BC328FD-BFF8-436B-8F03-EEEDEAA1127C}"/>
    <cellStyle name="Shade 2 2 2 22" xfId="10363" xr:uid="{62F2E97F-E545-450C-8C45-2CAED9DE55EA}"/>
    <cellStyle name="Shade 2 2 2 23" xfId="11258" xr:uid="{1E469C33-CC17-45F9-B1F8-0A6BC4AB2DB8}"/>
    <cellStyle name="Shade 2 2 2 24" xfId="11875" xr:uid="{21BEC675-B8EA-4EAD-8541-6B12A67923E7}"/>
    <cellStyle name="Shade 2 2 2 25" xfId="12348" xr:uid="{B7540CB0-FFC4-42AD-BA67-CDCC030D87BB}"/>
    <cellStyle name="Shade 2 2 2 26" xfId="12782" xr:uid="{CB1DA998-32BA-49D2-8E0B-A856C283489D}"/>
    <cellStyle name="Shade 2 2 2 27" xfId="13219" xr:uid="{013273A7-1DB6-425A-A0BF-D704F3399BCB}"/>
    <cellStyle name="Shade 2 2 2 28" xfId="12736" xr:uid="{6044157B-046E-4587-8209-CC09BCF5A4D4}"/>
    <cellStyle name="Shade 2 2 2 29" xfId="14149" xr:uid="{5AF15689-6B52-4D5D-924B-6083AF11782E}"/>
    <cellStyle name="Shade 2 2 2 3" xfId="1005" xr:uid="{3F94DDC7-9DBE-4922-ABC3-000480373E63}"/>
    <cellStyle name="Shade 2 2 2 30" xfId="13971" xr:uid="{5255E5DC-DDF0-4126-B1B8-8113F44AA09D}"/>
    <cellStyle name="Shade 2 2 2 31" xfId="14619" xr:uid="{56A01D62-4E89-40ED-A3DD-422FF1FF8374}"/>
    <cellStyle name="Shade 2 2 2 32" xfId="14842" xr:uid="{10C32813-34BC-4B90-A966-6421ECF2EBAD}"/>
    <cellStyle name="Shade 2 2 2 33" xfId="15937" xr:uid="{85088D96-2E0D-40A3-A438-86B88199E93D}"/>
    <cellStyle name="Shade 2 2 2 34" xfId="16567" xr:uid="{A9E53572-B394-421F-85AE-F0D1B75EFD6C}"/>
    <cellStyle name="Shade 2 2 2 35" xfId="17268" xr:uid="{1A53C6FC-7792-4CF7-81B2-E98F8A6D9C08}"/>
    <cellStyle name="Shade 2 2 2 36" xfId="17712" xr:uid="{2237C856-3207-484C-B028-D3E720EF3C70}"/>
    <cellStyle name="Shade 2 2 2 37" xfId="18118" xr:uid="{AD034AF0-8213-421A-88F8-352B59F4149F}"/>
    <cellStyle name="Shade 2 2 2 38" xfId="18385" xr:uid="{5EC8F5C2-D27E-4C41-BAF1-4E516D98E483}"/>
    <cellStyle name="Shade 2 2 2 39" xfId="18182" xr:uid="{8B9E61C1-5C97-4DC1-9142-0527F0927ABB}"/>
    <cellStyle name="Shade 2 2 2 4" xfId="1747" xr:uid="{F52CBB5B-9513-4964-B6D3-10CA62DEDD63}"/>
    <cellStyle name="Shade 2 2 2 40" xfId="16947" xr:uid="{51B936C7-4758-4A4C-B792-39A111927327}"/>
    <cellStyle name="Shade 2 2 2 41" xfId="19904" xr:uid="{2A8A072C-E796-4EC3-B35C-7701E781C70A}"/>
    <cellStyle name="Shade 2 2 2 42" xfId="20618" xr:uid="{32E80FC3-F528-4155-80D9-B6E1476EFF67}"/>
    <cellStyle name="Shade 2 2 2 43" xfId="21073" xr:uid="{D24B17B0-0838-480A-B832-8FC7931A220C}"/>
    <cellStyle name="Shade 2 2 2 44" xfId="20643" xr:uid="{539F2F7E-C811-495D-81D6-A25BED1BA064}"/>
    <cellStyle name="Shade 2 2 2 45" xfId="22004" xr:uid="{A2896130-D99B-4177-8366-57A66F10D36D}"/>
    <cellStyle name="Shade 2 2 2 46" xfId="22435" xr:uid="{2B33AC72-1C2A-4E91-A2AA-812D2BE662A4}"/>
    <cellStyle name="Shade 2 2 2 47" xfId="21733" xr:uid="{C55FDA42-D1A7-40BB-B7B6-5240A13B3C24}"/>
    <cellStyle name="Shade 2 2 2 48" xfId="22875" xr:uid="{7B590065-4845-4AD1-9928-760B58DA52A9}"/>
    <cellStyle name="Shade 2 2 2 49" xfId="23045" xr:uid="{1EB018C5-A324-4E3E-BB20-3116BCD06F60}"/>
    <cellStyle name="Shade 2 2 2 5" xfId="2344" xr:uid="{33AAF958-78E1-4365-B354-719BA38A913D}"/>
    <cellStyle name="Shade 2 2 2 50" xfId="23713" xr:uid="{A7B0B4C6-F28A-499D-9E5D-7CC8E057F501}"/>
    <cellStyle name="Shade 2 2 2 51" xfId="24612" xr:uid="{DCB14B7A-187B-4420-ACE1-C303C47DE974}"/>
    <cellStyle name="Shade 2 2 2 52" xfId="25324" xr:uid="{69032EFD-56C7-476F-B75D-27F2E7D24D96}"/>
    <cellStyle name="Shade 2 2 2 53" xfId="25530" xr:uid="{385D4AAD-43FC-4C86-87F9-CB83DE703979}"/>
    <cellStyle name="Shade 2 2 2 54" xfId="25017" xr:uid="{00039FF4-6DE4-484E-9906-885A629EBF3A}"/>
    <cellStyle name="Shade 2 2 2 55" xfId="25258" xr:uid="{A06579C6-DA0B-49A8-B8AB-230D5539B28E}"/>
    <cellStyle name="Shade 2 2 2 56" xfId="26820" xr:uid="{FA633365-3A76-4C3E-A88B-50EF9A9D0B3F}"/>
    <cellStyle name="Shade 2 2 2 57" xfId="27239" xr:uid="{40F5E43F-DA0E-4097-A7A4-E9EE8EC98E59}"/>
    <cellStyle name="Shade 2 2 2 58" xfId="27771" xr:uid="{C307AA65-B366-4951-B566-293EEF5C6F26}"/>
    <cellStyle name="Shade 2 2 2 59" xfId="28362" xr:uid="{4665B3E7-145E-4D31-B407-43274C8B2823}"/>
    <cellStyle name="Shade 2 2 2 6" xfId="2223" xr:uid="{F53AA942-2334-4F38-9151-632227041AF0}"/>
    <cellStyle name="Shade 2 2 2 60" xfId="28830" xr:uid="{E756AAC8-536B-4178-BCD0-0C4C0D46EC02}"/>
    <cellStyle name="Shade 2 2 2 61" xfId="29447" xr:uid="{DA33DD1A-F523-4ECC-BE5A-929B0EE5CD79}"/>
    <cellStyle name="Shade 2 2 2 62" xfId="29620" xr:uid="{19B9292A-071F-4871-9654-7F9713290969}"/>
    <cellStyle name="Shade 2 2 2 63" xfId="30028" xr:uid="{B25D9F72-7B28-43EC-9127-0C1BA6D2D92F}"/>
    <cellStyle name="Shade 2 2 2 64" xfId="30442" xr:uid="{543462B5-2355-447A-9C79-912CD86F10C9}"/>
    <cellStyle name="Shade 2 2 2 65" xfId="30899" xr:uid="{D714DCDC-C0A5-4B21-B96D-496A71FF97C3}"/>
    <cellStyle name="Shade 2 2 2 66" xfId="31066" xr:uid="{AF9F7F26-4D08-422D-9FE1-A3C13BB30465}"/>
    <cellStyle name="Shade 2 2 2 67" xfId="31752" xr:uid="{94824C78-B236-419B-B3A3-8B9A461C87E7}"/>
    <cellStyle name="Shade 2 2 2 68" xfId="32315" xr:uid="{088AC607-182F-423A-A224-18E9A2F9FEEB}"/>
    <cellStyle name="Shade 2 2 2 7" xfId="3205" xr:uid="{4AE1AEA1-9A1C-4FA9-958A-3216E15FFB0C}"/>
    <cellStyle name="Shade 2 2 2 8" xfId="3840" xr:uid="{8512E6A8-98EB-4D38-ACDF-860A412738FD}"/>
    <cellStyle name="Shade 2 2 2 9" xfId="4278" xr:uid="{05ABBA2A-8A53-49B8-ADC2-EBE4DB07F956}"/>
    <cellStyle name="Shade 2 2 3" xfId="725" xr:uid="{E5236990-8CE1-465B-92BB-6236E274B5D3}"/>
    <cellStyle name="Shade 2 2 3 10" xfId="5373" xr:uid="{017193EC-DE31-429D-B332-03A3A37CE1B8}"/>
    <cellStyle name="Shade 2 2 3 11" xfId="5669" xr:uid="{E9C2E64C-B5BD-4CF6-8B5D-CCA6A7772F82}"/>
    <cellStyle name="Shade 2 2 3 12" xfId="5991" xr:uid="{D008472F-492F-434F-A02B-5EAF66AE28E0}"/>
    <cellStyle name="Shade 2 2 3 13" xfId="5895" xr:uid="{3E298C1F-A17E-4B99-B3AC-3988788AE605}"/>
    <cellStyle name="Shade 2 2 3 14" xfId="7445" xr:uid="{D1772CB6-B5F7-43E8-8C28-B4F24685A76B}"/>
    <cellStyle name="Shade 2 2 3 15" xfId="7780" xr:uid="{1C550313-2165-4D70-A97B-E7A544479166}"/>
    <cellStyle name="Shade 2 2 3 16" xfId="8583" xr:uid="{6763E3D8-32BE-4559-B457-E7B48534D2EE}"/>
    <cellStyle name="Shade 2 2 3 17" xfId="8731" xr:uid="{9D774F12-60B6-435F-A04E-B5A7777907DD}"/>
    <cellStyle name="Shade 2 2 3 18" xfId="9659" xr:uid="{90780A45-6A0B-4006-B01C-E91318B1256A}"/>
    <cellStyle name="Shade 2 2 3 19" xfId="9993" xr:uid="{CC14B75D-C686-44D0-A8AA-2922F1C99B97}"/>
    <cellStyle name="Shade 2 2 3 2" xfId="1199" xr:uid="{39404AB0-5B6B-4E18-AB7E-26ACAC84A92B}"/>
    <cellStyle name="Shade 2 2 3 20" xfId="10418" xr:uid="{1F01FB29-7B64-4EA7-B80A-0FA1CFAEF77A}"/>
    <cellStyle name="Shade 2 2 3 21" xfId="10919" xr:uid="{286AB448-2F2A-436F-8E15-CC557CB8AB61}"/>
    <cellStyle name="Shade 2 2 3 22" xfId="10774" xr:uid="{04738168-4E4F-4393-9BE1-4A789303A7AF}"/>
    <cellStyle name="Shade 2 2 3 23" xfId="12078" xr:uid="{DA101CD3-9D33-4277-BD52-80B08BF620F7}"/>
    <cellStyle name="Shade 2 2 3 24" xfId="12551" xr:uid="{BA8D399E-2B38-4A67-A790-E32BE367D141}"/>
    <cellStyle name="Shade 2 2 3 25" xfId="12985" xr:uid="{BD22AA7D-EFBC-439E-AE6D-C9E8ECC7719F}"/>
    <cellStyle name="Shade 2 2 3 26" xfId="13422" xr:uid="{17867912-C7A8-4257-BCFB-CD2594D3D9DE}"/>
    <cellStyle name="Shade 2 2 3 27" xfId="11698" xr:uid="{301DBC5D-65C8-49BF-8D50-8426DABC00C3}"/>
    <cellStyle name="Shade 2 2 3 28" xfId="13922" xr:uid="{ED27E95D-0863-4381-91F5-B328FDD4ABD8}"/>
    <cellStyle name="Shade 2 2 3 29" xfId="14647" xr:uid="{B0E90201-208F-4897-AB8A-C0E800A34A98}"/>
    <cellStyle name="Shade 2 2 3 3" xfId="1544" xr:uid="{F2036736-214C-479F-82EB-4400E1486042}"/>
    <cellStyle name="Shade 2 2 3 30" xfId="14611" xr:uid="{D614449F-374F-44FF-8430-CB89995FC2E7}"/>
    <cellStyle name="Shade 2 2 3 31" xfId="15660" xr:uid="{3F30E9A2-6B2F-4428-8026-072DA44FB5FB}"/>
    <cellStyle name="Shade 2 2 3 32" xfId="15849" xr:uid="{5137A40C-2608-48CE-86B1-EA6247579FD9}"/>
    <cellStyle name="Shade 2 2 3 33" xfId="16770" xr:uid="{250A0DEF-93E4-4341-9119-028D13AE0F2F}"/>
    <cellStyle name="Shade 2 2 3 34" xfId="17109" xr:uid="{8F0BBE45-D687-48C7-B42F-885EAE29AECE}"/>
    <cellStyle name="Shade 2 2 3 35" xfId="17556" xr:uid="{7EBC9F68-796B-400B-A752-FCCE5C7CF9E5}"/>
    <cellStyle name="Shade 2 2 3 36" xfId="17994" xr:uid="{46353925-6CE3-47A1-9407-C185A54B689E}"/>
    <cellStyle name="Shade 2 2 3 37" xfId="18588" xr:uid="{6D3AF8D6-09F7-48BB-9C26-0F907952703A}"/>
    <cellStyle name="Shade 2 2 3 38" xfId="18822" xr:uid="{649B586E-CD12-4C1F-94DA-E1446852CEE5}"/>
    <cellStyle name="Shade 2 2 3 39" xfId="19297" xr:uid="{D31303C8-E79E-4DAB-AA06-EC1125C3F63F}"/>
    <cellStyle name="Shade 2 2 3 4" xfId="2547" xr:uid="{78C4A236-7A9E-48B5-8B26-25C87343BBB4}"/>
    <cellStyle name="Shade 2 2 3 40" xfId="20107" xr:uid="{32C9ADDE-B0F3-4859-BAF8-837021FB25B1}"/>
    <cellStyle name="Shade 2 2 3 41" xfId="20462" xr:uid="{95D1D113-EBD4-47BC-AB77-E1E8E42BF98B}"/>
    <cellStyle name="Shade 2 2 3 42" xfId="20915" xr:uid="{8094E6C8-E354-4016-9081-31655BCD780E}"/>
    <cellStyle name="Shade 2 2 3 43" xfId="21548" xr:uid="{1A2A0FAF-A359-4E19-8499-5958A7FD1038}"/>
    <cellStyle name="Shade 2 2 3 44" xfId="21844" xr:uid="{16BE582F-6B26-486F-BDC6-E39A976FD135}"/>
    <cellStyle name="Shade 2 2 3 45" xfId="22281" xr:uid="{AF7724D4-7840-46C0-B8F4-3C52710D74A7}"/>
    <cellStyle name="Shade 2 2 3 46" xfId="22448" xr:uid="{D098945C-3BE9-41BF-A35D-45DC4FB0B525}"/>
    <cellStyle name="Shade 2 2 3 47" xfId="23093" xr:uid="{605F8A0A-30B9-446B-ABFC-774E3F481B25}"/>
    <cellStyle name="Shade 2 2 3 48" xfId="23487" xr:uid="{6EBB08D3-84F7-4665-A932-777E0EB70472}"/>
    <cellStyle name="Shade 2 2 3 49" xfId="23907" xr:uid="{50325F4F-F76F-4888-8BCE-B60F027D4E2A}"/>
    <cellStyle name="Shade 2 2 3 5" xfId="2286" xr:uid="{CD41FF8C-D585-4915-9BF5-D3656B5F2C7B}"/>
    <cellStyle name="Shade 2 2 3 50" xfId="24815" xr:uid="{0A8611BF-BAF4-4B31-A723-E349DFEB69F5}"/>
    <cellStyle name="Shade 2 2 3 51" xfId="25170" xr:uid="{6BCE4908-45BB-4430-B9D9-F803BFAA2FBC}"/>
    <cellStyle name="Shade 2 2 3 52" xfId="25731" xr:uid="{E37471FD-4AFB-4855-B103-2055CBA0087F}"/>
    <cellStyle name="Shade 2 2 3 53" xfId="24279" xr:uid="{3CB21167-B38D-445E-B3B2-D4A27CD36F44}"/>
    <cellStyle name="Shade 2 2 3 54" xfId="26380" xr:uid="{81801E8D-C699-4670-85D6-198080647A26}"/>
    <cellStyle name="Shade 2 2 3 55" xfId="27019" xr:uid="{E1307520-72C0-4398-B752-B8EFEB258EE3}"/>
    <cellStyle name="Shade 2 2 3 56" xfId="27438" xr:uid="{B9F25FA2-1DA0-4BCB-97B0-195B58A68698}"/>
    <cellStyle name="Shade 2 2 3 57" xfId="27744" xr:uid="{314A288C-ED02-4A9E-82EA-725564F506B9}"/>
    <cellStyle name="Shade 2 2 3 58" xfId="28565" xr:uid="{71F18B47-1788-49BA-8B6B-25BACF4C5003}"/>
    <cellStyle name="Shade 2 2 3 59" xfId="29032" xr:uid="{6BC3477F-4734-401B-B2EA-5A34A9FD4028}"/>
    <cellStyle name="Shade 2 2 3 6" xfId="3478" xr:uid="{CCFD3A29-9B65-4863-8D47-667516C9F206}"/>
    <cellStyle name="Shade 2 2 3 60" xfId="29317" xr:uid="{09EE45B2-5A4F-495E-9DD6-CF8658DB30F9}"/>
    <cellStyle name="Shade 2 2 3 61" xfId="29821" xr:uid="{723CD109-DD53-4B14-BF1E-6CFFEA56C9C6}"/>
    <cellStyle name="Shade 2 2 3 62" xfId="30227" xr:uid="{8961245D-6BCC-4C1B-914B-5A2E01048653}"/>
    <cellStyle name="Shade 2 2 3 63" xfId="30644" xr:uid="{8C6636DE-D6EB-42D3-8BBD-9371395920A6}"/>
    <cellStyle name="Shade 2 2 3 64" xfId="29285" xr:uid="{5C6256A0-C2F4-4EDD-A093-13E79A8F1EA5}"/>
    <cellStyle name="Shade 2 2 3 65" xfId="31260" xr:uid="{68BF8960-403C-4790-BCB0-8BD69ADA2A13}"/>
    <cellStyle name="Shade 2 2 3 66" xfId="31951" xr:uid="{2522357E-6ADE-4AF4-BF6D-8859235D14B6}"/>
    <cellStyle name="Shade 2 2 3 67" xfId="32200" xr:uid="{F3B325F1-2B18-4FD7-8CD5-6D36CC4EE0A4}"/>
    <cellStyle name="Shade 2 2 3 7" xfId="4043" xr:uid="{1E410E40-D679-4EA5-BF34-09B494304832}"/>
    <cellStyle name="Shade 2 2 3 8" xfId="4480" xr:uid="{2477F1A1-3D8D-4836-8077-2AF35DBD7985}"/>
    <cellStyle name="Shade 2 2 3 9" xfId="3284" xr:uid="{D4B34946-6C6C-4E00-8E38-D4E7D5FB1E8E}"/>
    <cellStyle name="Shade 2 3" xfId="285" xr:uid="{E4062FAF-8378-44C3-B78C-03F0AFE5A677}"/>
    <cellStyle name="Shade 2 3 10" xfId="3739" xr:uid="{23986F67-F369-43EC-AE63-4BABC46BE305}"/>
    <cellStyle name="Shade 2 3 11" xfId="3762" xr:uid="{E06705AF-FCCF-4BAC-8FF8-8647271A909C}"/>
    <cellStyle name="Shade 2 3 12" xfId="3434" xr:uid="{CBFD3317-595D-4B21-BA37-F27DA7B0140D}"/>
    <cellStyle name="Shade 2 3 13" xfId="4247" xr:uid="{586A4D05-5360-44BB-8EA1-A0AD009E158E}"/>
    <cellStyle name="Shade 2 3 14" xfId="5963" xr:uid="{094C67DB-AFD6-4F84-92E4-5132F92FC268}"/>
    <cellStyle name="Shade 2 3 15" xfId="4996" xr:uid="{F3FA7159-6695-4EDE-8C24-92D2649F41C5}"/>
    <cellStyle name="Shade 2 3 16" xfId="6196" xr:uid="{A30A2372-34DD-4714-8B05-AB1E84142B2E}"/>
    <cellStyle name="Shade 2 3 17" xfId="7015" xr:uid="{70F1DA26-A30C-423F-8562-30F02E43B9EA}"/>
    <cellStyle name="Shade 2 3 18" xfId="7635" xr:uid="{17E84D31-AF38-49A6-A502-B24932B8DB15}"/>
    <cellStyle name="Shade 2 3 19" xfId="7962" xr:uid="{739C091C-FEE7-43A6-AB0F-A4250A832A52}"/>
    <cellStyle name="Shade 2 3 2" xfId="622" xr:uid="{EF1E13FE-E389-47EA-9494-E6C9757FFF12}"/>
    <cellStyle name="Shade 2 3 2 10" xfId="5045" xr:uid="{F50E2DBF-83E9-4A0F-A100-A158F3D1047B}"/>
    <cellStyle name="Shade 2 3 2 11" xfId="5270" xr:uid="{29BF830D-2E2C-4457-B207-7685DFC2236D}"/>
    <cellStyle name="Shade 2 3 2 12" xfId="4703" xr:uid="{7124BE0C-AC74-4CF6-9EF9-A52A86644565}"/>
    <cellStyle name="Shade 2 3 2 13" xfId="6107" xr:uid="{618592A0-A6FF-4F10-A18F-E8A484EA6F97}"/>
    <cellStyle name="Shade 2 3 2 14" xfId="6403" xr:uid="{86E8B37A-CDF9-4834-B249-9D8DD6B9DAA1}"/>
    <cellStyle name="Shade 2 3 2 15" xfId="7342" xr:uid="{71FF9588-01F5-442C-BF13-A2CCF5081DFA}"/>
    <cellStyle name="Shade 2 3 2 16" xfId="7161" xr:uid="{34955ABE-4904-467A-8EBE-DC35B61D5BB8}"/>
    <cellStyle name="Shade 2 3 2 17" xfId="8488" xr:uid="{E98A6324-03F3-4406-AAF6-8A4EE7829185}"/>
    <cellStyle name="Shade 2 3 2 18" xfId="8734" xr:uid="{4636F438-943A-4832-9AAA-D86E0321710F}"/>
    <cellStyle name="Shade 2 3 2 19" xfId="9556" xr:uid="{9D5E75A3-293C-4D3C-B767-1B9CF74C0FDB}"/>
    <cellStyle name="Shade 2 3 2 2" xfId="837" xr:uid="{28646B67-6634-4A8B-A55C-A7760EA577E6}"/>
    <cellStyle name="Shade 2 3 2 2 10" xfId="5485" xr:uid="{3537BF07-AA32-4E7E-BA4C-B72D8713653D}"/>
    <cellStyle name="Shade 2 3 2 2 11" xfId="4961" xr:uid="{E3F3978A-E865-49FB-AA5B-762D0CCEB26A}"/>
    <cellStyle name="Shade 2 3 2 2 12" xfId="2030" xr:uid="{23C55846-E657-4A60-84DD-042092A56204}"/>
    <cellStyle name="Shade 2 3 2 2 13" xfId="6338" xr:uid="{A6EEE4E5-7DE1-457E-866A-95B1553AF5FF}"/>
    <cellStyle name="Shade 2 3 2 2 14" xfId="7557" xr:uid="{1A14B601-80E8-41D8-BCE6-43E3E9F967FA}"/>
    <cellStyle name="Shade 2 3 2 2 15" xfId="7919" xr:uid="{34D0AB4A-E55D-48AE-B2F9-3A737EC40E0D}"/>
    <cellStyle name="Shade 2 3 2 2 16" xfId="7852" xr:uid="{DB4A1877-20A7-4430-8B56-58C75FDA42E2}"/>
    <cellStyle name="Shade 2 3 2 2 17" xfId="6910" xr:uid="{395C020E-69DB-476A-8931-FDB2A5D99523}"/>
    <cellStyle name="Shade 2 3 2 2 18" xfId="9771" xr:uid="{C0521A90-2F27-46B4-B63F-63B4A02E0599}"/>
    <cellStyle name="Shade 2 3 2 2 19" xfId="10133" xr:uid="{CCF52CC8-F920-41C5-8767-6F55AE416937}"/>
    <cellStyle name="Shade 2 3 2 2 2" xfId="1311" xr:uid="{6A6C3661-8D77-454E-A425-09DE937FC7CE}"/>
    <cellStyle name="Shade 2 3 2 2 20" xfId="10543" xr:uid="{F730244D-2030-4CB2-BA6E-CBA0B7D26ED2}"/>
    <cellStyle name="Shade 2 3 2 2 21" xfId="10326" xr:uid="{30FD75CF-2D0F-40E0-9AC1-E6143FE717A2}"/>
    <cellStyle name="Shade 2 3 2 2 22" xfId="11271" xr:uid="{23DF7B5F-AF5E-4AB4-BD5B-D43B50CC54E0}"/>
    <cellStyle name="Shade 2 3 2 2 23" xfId="12190" xr:uid="{509A2132-DCAF-46E6-8E1E-BAA7D68775C9}"/>
    <cellStyle name="Shade 2 3 2 2 24" xfId="12663" xr:uid="{71A86105-DE42-4BE3-9C35-045D4253758B}"/>
    <cellStyle name="Shade 2 3 2 2 25" xfId="13097" xr:uid="{167E9FF3-587A-4809-91C0-D0CF1FA7F022}"/>
    <cellStyle name="Shade 2 3 2 2 26" xfId="13534" xr:uid="{1F149B54-806B-4362-9675-A7D5767067C0}"/>
    <cellStyle name="Shade 2 3 2 2 27" xfId="13175" xr:uid="{595B5FD5-2FF8-40A8-BA6B-4273E1E76EE8}"/>
    <cellStyle name="Shade 2 3 2 2 28" xfId="13729" xr:uid="{A02FE319-C514-45A9-BDC3-7282290DE9D4}"/>
    <cellStyle name="Shade 2 3 2 2 29" xfId="14782" xr:uid="{198EAE70-64D4-4744-83AD-02E7C66F0F89}"/>
    <cellStyle name="Shade 2 3 2 2 3" xfId="1760" xr:uid="{AF7D528D-2843-458F-83A9-D7027448F74D}"/>
    <cellStyle name="Shade 2 3 2 2 30" xfId="15021" xr:uid="{E911ED63-7D91-4DE3-9472-ECD906440001}"/>
    <cellStyle name="Shade 2 3 2 2 31" xfId="14625" xr:uid="{D34BF55B-F651-460D-811F-685D28D56EB1}"/>
    <cellStyle name="Shade 2 3 2 2 32" xfId="15927" xr:uid="{B2CA03AC-3DEC-4D1C-9F50-3BD28FF93E6B}"/>
    <cellStyle name="Shade 2 3 2 2 33" xfId="16882" xr:uid="{1AFDB904-C806-478B-A802-B46FADD4001D}"/>
    <cellStyle name="Shade 2 3 2 2 34" xfId="17252" xr:uid="{AD44AFE2-3EDE-49CD-BF30-DE1D6CC1FDBC}"/>
    <cellStyle name="Shade 2 3 2 2 35" xfId="17696" xr:uid="{177EA29C-1E8A-4FE0-80AE-8E897CF9AB5F}"/>
    <cellStyle name="Shade 2 3 2 2 36" xfId="17893" xr:uid="{F3EB4DEC-C8CA-4A64-820E-CAD8798A7A60}"/>
    <cellStyle name="Shade 2 3 2 2 37" xfId="18700" xr:uid="{C9362E3A-6847-48D3-8B7A-8C4C830A8F58}"/>
    <cellStyle name="Shade 2 3 2 2 38" xfId="16478" xr:uid="{75CAD61D-7B23-4C79-8850-C9A17BC3AA84}"/>
    <cellStyle name="Shade 2 3 2 2 39" xfId="18230" xr:uid="{175F579E-3C0C-4D48-B48A-2227B0E1ED7C}"/>
    <cellStyle name="Shade 2 3 2 2 4" xfId="2659" xr:uid="{7F6A767B-0ED3-47EA-A53F-50DA3509190C}"/>
    <cellStyle name="Shade 2 3 2 2 40" xfId="20219" xr:uid="{4C1E7CF0-D56B-4803-A105-B2F1F342BAEE}"/>
    <cellStyle name="Shade 2 3 2 2 41" xfId="20602" xr:uid="{3C823705-E92D-427B-9236-D90727CEE92E}"/>
    <cellStyle name="Shade 2 3 2 2 42" xfId="21057" xr:uid="{7D2229C8-4B2B-4688-9236-DB154CE831D3}"/>
    <cellStyle name="Shade 2 3 2 2 43" xfId="21596" xr:uid="{265F2854-CAB1-4D8D-B4C6-E5A9A2B0A97E}"/>
    <cellStyle name="Shade 2 3 2 2 44" xfId="21988" xr:uid="{3ABBA959-DC13-42BD-9AC6-C450561890D6}"/>
    <cellStyle name="Shade 2 3 2 2 45" xfId="22419" xr:uid="{BBCD1F80-C6AD-4C07-BE3F-320B85375DAC}"/>
    <cellStyle name="Shade 2 3 2 2 46" xfId="22558" xr:uid="{553C5F6B-EE29-4247-A9D3-CD55304C8DBB}"/>
    <cellStyle name="Shade 2 3 2 2 47" xfId="22559" xr:uid="{4863DF1E-F67D-48F0-9D48-84F99BD3C978}"/>
    <cellStyle name="Shade 2 3 2 2 48" xfId="22640" xr:uid="{8224B6E6-19A8-433A-9D71-0BE745BC361C}"/>
    <cellStyle name="Shade 2 3 2 2 49" xfId="24019" xr:uid="{6D0BA4DC-1ACD-4176-80C2-352422F89C11}"/>
    <cellStyle name="Shade 2 3 2 2 5" xfId="2288" xr:uid="{9B79973E-F6E3-4825-8E60-9FB03A44AFE3}"/>
    <cellStyle name="Shade 2 3 2 2 50" xfId="24927" xr:uid="{15244D0E-329A-4471-9370-6D3C18F80DA4}"/>
    <cellStyle name="Shade 2 3 2 2 51" xfId="25311" xr:uid="{589E7453-358B-4C90-A153-A2C7733EA839}"/>
    <cellStyle name="Shade 2 3 2 2 52" xfId="25843" xr:uid="{0F455744-30D6-4259-B614-EF80D73288EF}"/>
    <cellStyle name="Shade 2 3 2 2 53" xfId="25165" xr:uid="{247DB421-0A9C-4536-B0C8-1B600B6F3B13}"/>
    <cellStyle name="Shade 2 3 2 2 54" xfId="26666" xr:uid="{59BDC81C-748E-4B1C-9C61-9A3EA32A70FA}"/>
    <cellStyle name="Shade 2 3 2 2 55" xfId="27131" xr:uid="{609DE480-3B77-44EE-A5A2-F944EF0E4C29}"/>
    <cellStyle name="Shade 2 3 2 2 56" xfId="27550" xr:uid="{943E7C21-3772-4B3E-ADA1-EB4AE4BABD86}"/>
    <cellStyle name="Shade 2 3 2 2 57" xfId="27748" xr:uid="{CBC64449-1E42-4D82-AB37-5CA2A434FFA4}"/>
    <cellStyle name="Shade 2 3 2 2 58" xfId="28677" xr:uid="{1F12F5D2-B7CB-4235-8F22-DAB78186A3AA}"/>
    <cellStyle name="Shade 2 3 2 2 59" xfId="29144" xr:uid="{D0FC9B40-DBEE-4F54-B30E-5735B708185D}"/>
    <cellStyle name="Shade 2 3 2 2 6" xfId="3445" xr:uid="{8B4C38D8-4C92-4A0F-8FF8-313D090798FF}"/>
    <cellStyle name="Shade 2 3 2 2 60" xfId="29433" xr:uid="{6F66BDE1-FB7E-43B7-BA6C-3E0B24447874}"/>
    <cellStyle name="Shade 2 3 2 2 61" xfId="29933" xr:uid="{29268408-35E3-408C-B148-B3E9102E87FE}"/>
    <cellStyle name="Shade 2 3 2 2 62" xfId="30339" xr:uid="{E7E30221-4B98-402E-AE00-612865C73245}"/>
    <cellStyle name="Shade 2 3 2 2 63" xfId="30756" xr:uid="{B4374C03-53A7-41F5-A05C-F3707ACA8335}"/>
    <cellStyle name="Shade 2 3 2 2 64" xfId="28042" xr:uid="{9B3FEA4A-91D3-456A-8FA9-1E0BA32FFE82}"/>
    <cellStyle name="Shade 2 3 2 2 65" xfId="31372" xr:uid="{A8E6E9B2-751B-4DE1-A289-D4753C0E9EC8}"/>
    <cellStyle name="Shade 2 3 2 2 66" xfId="32063" xr:uid="{29D69024-0F79-4628-A333-8566608EF62B}"/>
    <cellStyle name="Shade 2 3 2 2 67" xfId="32304" xr:uid="{36EDA002-6FC8-44C9-A7AB-00895E5367D1}"/>
    <cellStyle name="Shade 2 3 2 2 7" xfId="4155" xr:uid="{6FF3E70A-6A4F-44D9-A236-95CDD5BB0D68}"/>
    <cellStyle name="Shade 2 3 2 2 8" xfId="4592" xr:uid="{15FD348E-CA85-4E53-85FB-25DD06A71DF1}"/>
    <cellStyle name="Shade 2 3 2 2 9" xfId="3076" xr:uid="{709D92AA-DA7F-4DCC-A0D2-9212CC9D8FC2}"/>
    <cellStyle name="Shade 2 3 2 20" xfId="9376" xr:uid="{6E7C4C51-652E-4800-8AAB-A85947FBBDE2}"/>
    <cellStyle name="Shade 2 3 2 21" xfId="10072" xr:uid="{F36199CC-D04B-4BBF-9C3D-A521148C7AC4}"/>
    <cellStyle name="Shade 2 3 2 22" xfId="10852" xr:uid="{71D6D19C-46DC-4F9A-AE32-57BAE252F7CA}"/>
    <cellStyle name="Shade 2 3 2 23" xfId="10952" xr:uid="{CC64666B-08F2-4485-B3C7-F37AFEADF8B1}"/>
    <cellStyle name="Shade 2 3 2 24" xfId="11975" xr:uid="{886A1286-7E8B-4CB2-B2BA-FD74F8E04CBA}"/>
    <cellStyle name="Shade 2 3 2 25" xfId="12448" xr:uid="{177AEE3D-256A-45E9-B8B5-EC6D5FB67EBF}"/>
    <cellStyle name="Shade 2 3 2 26" xfId="12882" xr:uid="{5910BDF9-245C-4BE2-B9D6-7C8EC1DCE376}"/>
    <cellStyle name="Shade 2 3 2 27" xfId="13319" xr:uid="{42C74A4D-FC63-454B-8998-B516C0E78491}"/>
    <cellStyle name="Shade 2 3 2 28" xfId="13686" xr:uid="{EC513BBC-4A41-401A-8858-FE605568D1D8}"/>
    <cellStyle name="Shade 2 3 2 29" xfId="14258" xr:uid="{84341C01-1242-4463-BA74-D56903DDC54E}"/>
    <cellStyle name="Shade 2 3 2 3" xfId="1105" xr:uid="{05507614-A412-4B9C-8D74-80EF66FE76B0}"/>
    <cellStyle name="Shade 2 3 2 30" xfId="13673" xr:uid="{F32030F5-1E9D-4996-8AFB-88719C23FCA3}"/>
    <cellStyle name="Shade 2 3 2 31" xfId="15227" xr:uid="{A5B554CB-119A-4F83-B770-FC2BD25352BF}"/>
    <cellStyle name="Shade 2 3 2 32" xfId="15445" xr:uid="{B7490865-84FB-48A1-95A1-E9089ED852C9}"/>
    <cellStyle name="Shade 2 3 2 33" xfId="13744" xr:uid="{A063AB38-5A7A-4AE2-9642-F1740A2F550D}"/>
    <cellStyle name="Shade 2 3 2 34" xfId="16667" xr:uid="{853219A4-FDF6-4447-8CD2-817E50F28357}"/>
    <cellStyle name="Shade 2 3 2 35" xfId="16482" xr:uid="{90CCDF43-0BE4-4B13-A9C2-AFD799713DF7}"/>
    <cellStyle name="Shade 2 3 2 36" xfId="17189" xr:uid="{AFA65B5B-3329-46FE-ADBE-6C1F6770DB86}"/>
    <cellStyle name="Shade 2 3 2 37" xfId="17987" xr:uid="{6F0D6EA6-B2E8-4A60-A5A8-88FC471DEC97}"/>
    <cellStyle name="Shade 2 3 2 38" xfId="18485" xr:uid="{5E94D871-EFEE-4E21-8EEF-8100AE5AD208}"/>
    <cellStyle name="Shade 2 3 2 39" xfId="18911" xr:uid="{D6ED6D11-E192-4D97-84E8-B07181EEB20E}"/>
    <cellStyle name="Shade 2 3 2 4" xfId="1579" xr:uid="{4C65000B-ED8F-488E-AD7D-F135B3D1DD4C}"/>
    <cellStyle name="Shade 2 3 2 40" xfId="19198" xr:uid="{E723E5E1-9849-4B23-BF4E-229F1F9826EC}"/>
    <cellStyle name="Shade 2 3 2 41" xfId="20004" xr:uid="{A40F446D-AC8D-4C02-96C2-7F3C7A139578}"/>
    <cellStyle name="Shade 2 3 2 42" xfId="19818" xr:uid="{73F8848B-A163-4FA0-A208-0605A3CFE549}"/>
    <cellStyle name="Shade 2 3 2 43" xfId="20273" xr:uid="{9ABEFE18-6C25-4C0D-88A7-0F9285F09077}"/>
    <cellStyle name="Shade 2 3 2 44" xfId="21295" xr:uid="{4A3C88DD-53D2-4BE2-BE48-4EF732610E68}"/>
    <cellStyle name="Shade 2 3 2 45" xfId="21497" xr:uid="{09619F65-0058-4519-9EC8-00ADC1F6FD9B}"/>
    <cellStyle name="Shade 2 3 2 46" xfId="20293" xr:uid="{42827B55-8BD8-4B85-BF85-5E9B25BD2162}"/>
    <cellStyle name="Shade 2 3 2 47" xfId="22685" xr:uid="{EF287DFF-FC17-442B-880E-7BCFA4871C8B}"/>
    <cellStyle name="Shade 2 3 2 48" xfId="23190" xr:uid="{18F189C2-7CD2-40C9-BCB1-78FA29F1277C}"/>
    <cellStyle name="Shade 2 3 2 49" xfId="23570" xr:uid="{5C74620F-2560-42C1-A979-38ED70E64F48}"/>
    <cellStyle name="Shade 2 3 2 5" xfId="2444" xr:uid="{8956678E-71A6-4EEE-88A9-AB301689A628}"/>
    <cellStyle name="Shade 2 3 2 50" xfId="23813" xr:uid="{97602776-9011-4028-8A4C-DDCEC4B7DBAF}"/>
    <cellStyle name="Shade 2 3 2 51" xfId="24712" xr:uid="{1A42A8D7-06CE-4A07-B6B9-FC288F03F185}"/>
    <cellStyle name="Shade 2 3 2 52" xfId="24529" xr:uid="{8769D418-14FE-4512-96EB-4D08390F6264}"/>
    <cellStyle name="Shade 2 3 2 53" xfId="25630" xr:uid="{A0A5E435-8B59-4B32-89C0-10914D9A3CE0}"/>
    <cellStyle name="Shade 2 3 2 54" xfId="25989" xr:uid="{C22BA31C-94AE-4581-BB51-44FEBEE5CE15}"/>
    <cellStyle name="Shade 2 3 2 55" xfId="26720" xr:uid="{322F32F4-3DF6-47AC-BE68-40B746CA304F}"/>
    <cellStyle name="Shade 2 3 2 56" xfId="26920" xr:uid="{50D0C3CD-624B-487F-9F72-25CDFB9F3951}"/>
    <cellStyle name="Shade 2 3 2 57" xfId="27339" xr:uid="{733EA8D5-959D-4BE7-875F-9E60BA1D9D08}"/>
    <cellStyle name="Shade 2 3 2 58" xfId="27644" xr:uid="{D3FBB0A1-B016-4426-879E-6D102B2CBDEB}"/>
    <cellStyle name="Shade 2 3 2 59" xfId="28462" xr:uid="{03671EF8-E95F-4621-909D-1B0AAB9A630D}"/>
    <cellStyle name="Shade 2 3 2 6" xfId="2851" xr:uid="{39ADFE2C-F747-4A4E-9E26-E2464B0E0D7D}"/>
    <cellStyle name="Shade 2 3 2 60" xfId="28930" xr:uid="{BA455F23-7ED4-4B2F-8D02-065FA55D98BE}"/>
    <cellStyle name="Shade 2 3 2 61" xfId="28083" xr:uid="{DC625661-B59A-4DE9-B22A-7C3A89917EBE}"/>
    <cellStyle name="Shade 2 3 2 62" xfId="29720" xr:uid="{B4C557BE-2E9D-4FD5-A1B6-7ABDAF4A4277}"/>
    <cellStyle name="Shade 2 3 2 63" xfId="30128" xr:uid="{D2D65601-BD01-4A27-B9B0-AFDF72E57517}"/>
    <cellStyle name="Shade 2 3 2 64" xfId="30542" xr:uid="{BC3317C0-6221-43B1-B11D-96B9693DF1D0}"/>
    <cellStyle name="Shade 2 3 2 65" xfId="30870" xr:uid="{8F6FA02F-D4BC-40AC-A460-2739D530A7DC}"/>
    <cellStyle name="Shade 2 3 2 66" xfId="31166" xr:uid="{0BC9D78B-83D0-4C90-B959-05B37240EF54}"/>
    <cellStyle name="Shade 2 3 2 67" xfId="31852" xr:uid="{D8D9CE67-CF3D-4EF4-845B-0C71A3944C13}"/>
    <cellStyle name="Shade 2 3 2 68" xfId="31694" xr:uid="{663A14E1-58B6-4C15-8F28-BDC4453316BA}"/>
    <cellStyle name="Shade 2 3 2 7" xfId="2917" xr:uid="{C6BA2DCF-A9B6-4A2F-9E0D-59E88D4C9AFD}"/>
    <cellStyle name="Shade 2 3 2 8" xfId="3940" xr:uid="{9F40FB5A-B69D-4A1E-9C47-D3EBF95AD019}"/>
    <cellStyle name="Shade 2 3 2 9" xfId="4378" xr:uid="{9523FA40-7E03-4151-86D0-F72ACCB8BA97}"/>
    <cellStyle name="Shade 2 3 20" xfId="7734" xr:uid="{D8A4CFEB-B2D6-47A7-AB95-B0BCB6E04046}"/>
    <cellStyle name="Shade 2 3 21" xfId="9228" xr:uid="{6880A94A-9590-4B1A-8730-7AC6AF900C6D}"/>
    <cellStyle name="Shade 2 3 22" xfId="9845" xr:uid="{A965F54F-FC98-43C8-8C18-98202F7C439C}"/>
    <cellStyle name="Shade 2 3 23" xfId="9865" xr:uid="{5E32F40C-BB2E-40BA-BFDB-EE63E18437CA}"/>
    <cellStyle name="Shade 2 3 24" xfId="10863" xr:uid="{37646244-9B27-494B-BCD6-318E3E83693D}"/>
    <cellStyle name="Shade 2 3 25" xfId="11228" xr:uid="{676B99D0-F0C2-4453-B8EA-B4D83FEF6697}"/>
    <cellStyle name="Shade 2 3 26" xfId="11641" xr:uid="{C9C820D3-F88D-4524-A290-9EBBD568D91A}"/>
    <cellStyle name="Shade 2 3 27" xfId="11762" xr:uid="{94AD3DFA-E8D6-453E-B8B9-F937E0AEBFAD}"/>
    <cellStyle name="Shade 2 3 28" xfId="11661" xr:uid="{B4067898-F0FC-43A3-903A-F0403BBBE18B}"/>
    <cellStyle name="Shade 2 3 29" xfId="11549" xr:uid="{258E2C99-E87B-42DF-B67E-BC9AC951F04F}"/>
    <cellStyle name="Shade 2 3 3" xfId="651" xr:uid="{982CB720-0FA0-41A8-B92A-1551991AFA19}"/>
    <cellStyle name="Shade 2 3 3 10" xfId="5026" xr:uid="{9DDA6819-AFC5-4639-A921-80248E6FDC43}"/>
    <cellStyle name="Shade 2 3 3 11" xfId="5299" xr:uid="{7C2506F4-8DD9-43B8-98A3-DC20B912CDC4}"/>
    <cellStyle name="Shade 2 3 3 12" xfId="5771" xr:uid="{B3A801AC-811F-4F13-9EC9-F321D97B9727}"/>
    <cellStyle name="Shade 2 3 3 13" xfId="6207" xr:uid="{4EE068DD-61D6-466D-AB1A-F53938CDB62E}"/>
    <cellStyle name="Shade 2 3 3 14" xfId="6655" xr:uid="{084C2F2B-C83A-4DB3-A4D8-6E23CB6CBBE1}"/>
    <cellStyle name="Shade 2 3 3 15" xfId="7371" xr:uid="{93DB6B90-9F30-4724-A41D-82CBC5FE86A0}"/>
    <cellStyle name="Shade 2 3 3 16" xfId="6751" xr:uid="{FE3F43B6-14F1-4D58-879B-FC421BFFB737}"/>
    <cellStyle name="Shade 2 3 3 17" xfId="8350" xr:uid="{A989AF69-6BA3-4677-9CD8-82546972B28D}"/>
    <cellStyle name="Shade 2 3 3 18" xfId="8692" xr:uid="{1361AC0E-6CC3-4E81-9A75-F1A765F4B8BC}"/>
    <cellStyle name="Shade 2 3 3 19" xfId="9585" xr:uid="{D0BC01A7-5DCC-45C4-8CA1-C260AE36557F}"/>
    <cellStyle name="Shade 2 3 3 2" xfId="866" xr:uid="{F3644CB4-BCA6-4575-B09D-DEF74D7C7D9C}"/>
    <cellStyle name="Shade 2 3 3 2 10" xfId="5514" xr:uid="{09311B18-8FB7-46F9-AD60-C7348A632FBB}"/>
    <cellStyle name="Shade 2 3 3 2 11" xfId="5835" xr:uid="{CC90B0B3-3EA2-4C00-9CFE-E3B93A42CDE4}"/>
    <cellStyle name="Shade 2 3 3 2 12" xfId="5692" xr:uid="{370011C8-270F-40D6-B7E1-057F546297D0}"/>
    <cellStyle name="Shade 2 3 3 2 13" xfId="6442" xr:uid="{0FD60850-F009-48F8-A7FE-35B3E2B2FEF3}"/>
    <cellStyle name="Shade 2 3 3 2 14" xfId="7586" xr:uid="{0A848DFB-325F-458C-9CC4-7171CDB20ABC}"/>
    <cellStyle name="Shade 2 3 3 2 15" xfId="7229" xr:uid="{E4C34EBF-7A82-40AD-ACAF-2F604900E999}"/>
    <cellStyle name="Shade 2 3 3 2 16" xfId="8542" xr:uid="{70ABF9C9-4CB9-47AD-B9F6-D7A03818F0F3}"/>
    <cellStyle name="Shade 2 3 3 2 17" xfId="6870" xr:uid="{4B7760DF-84CD-4BE3-9215-960B2B9F9D1B}"/>
    <cellStyle name="Shade 2 3 3 2 18" xfId="9800" xr:uid="{96F4A5E5-445C-43AE-B43C-139690B5359B}"/>
    <cellStyle name="Shade 2 3 3 2 19" xfId="9825" xr:uid="{EAD28E43-7925-4922-AC0A-991C9A6D6B82}"/>
    <cellStyle name="Shade 2 3 3 2 2" xfId="1340" xr:uid="{1958CF68-551C-4600-8F83-B08071B275C6}"/>
    <cellStyle name="Shade 2 3 3 2 20" xfId="9260" xr:uid="{6BA843BA-662F-4150-B312-E84896AFA5CE}"/>
    <cellStyle name="Shade 2 3 3 2 21" xfId="10303" xr:uid="{7C02DF72-20BE-4C6D-9239-283EA24A3968}"/>
    <cellStyle name="Shade 2 3 3 2 22" xfId="11238" xr:uid="{EB3B67CB-F978-496F-ACA2-1C419BC5060F}"/>
    <cellStyle name="Shade 2 3 3 2 23" xfId="12219" xr:uid="{CA9D40F8-72F7-4A3E-90D3-D7BFCD88DE7C}"/>
    <cellStyle name="Shade 2 3 3 2 24" xfId="12692" xr:uid="{064C7A35-7ACF-4ECF-ACA1-523B30DC0808}"/>
    <cellStyle name="Shade 2 3 3 2 25" xfId="13126" xr:uid="{B521349B-F7F0-47A5-B6D0-A4313774981F}"/>
    <cellStyle name="Shade 2 3 3 2 26" xfId="13563" xr:uid="{17116129-9DA2-40DA-91B0-140A445A0A4E}"/>
    <cellStyle name="Shade 2 3 3 2 27" xfId="11556" xr:uid="{26213D1D-7519-42EB-9142-80787B6CF39B}"/>
    <cellStyle name="Shade 2 3 3 2 28" xfId="14482" xr:uid="{0643D310-C6D6-4286-8A50-C47F8BF0DB99}"/>
    <cellStyle name="Shade 2 3 3 2 29" xfId="14139" xr:uid="{573A44EC-19DB-496A-BCCA-BBC9CBFED29A}"/>
    <cellStyle name="Shade 2 3 3 2 3" xfId="1789" xr:uid="{657FE14C-CA52-4217-8971-CB19630D9734}"/>
    <cellStyle name="Shade 2 3 3 2 30" xfId="14370" xr:uid="{E993C955-1DAF-4DD2-B01F-34A0DD37778F}"/>
    <cellStyle name="Shade 2 3 3 2 31" xfId="15576" xr:uid="{C6CE989B-A37C-491B-BF88-82AEA8B9B895}"/>
    <cellStyle name="Shade 2 3 3 2 32" xfId="15130" xr:uid="{630F235B-13A8-42A9-96B4-958F0BF22BBB}"/>
    <cellStyle name="Shade 2 3 3 2 33" xfId="16911" xr:uid="{78BCBABB-5D7E-40A6-9E83-20FD2A7A38B6}"/>
    <cellStyle name="Shade 2 3 3 2 34" xfId="16554" xr:uid="{10FCC35A-D509-469D-B9DC-05CAFE3C64A4}"/>
    <cellStyle name="Shade 2 3 3 2 35" xfId="16369" xr:uid="{105A9D8D-9215-4FF4-A327-A5F25F8E300B}"/>
    <cellStyle name="Shade 2 3 3 2 36" xfId="16349" xr:uid="{0D31FBD1-406D-41A7-8809-003E83197E06}"/>
    <cellStyle name="Shade 2 3 3 2 37" xfId="18729" xr:uid="{72A4C2BE-3067-42DC-91AA-FDD1594CDFCA}"/>
    <cellStyle name="Shade 2 3 3 2 38" xfId="17583" xr:uid="{C9428899-8B4B-4012-BFE1-BDF047A30B36}"/>
    <cellStyle name="Shade 2 3 3 2 39" xfId="19005" xr:uid="{86AAAA5B-537E-4B65-9FAB-30ED1A9C152D}"/>
    <cellStyle name="Shade 2 3 3 2 4" xfId="2688" xr:uid="{18DF15BB-7C7B-4BDC-9AF8-CB31C3F91A41}"/>
    <cellStyle name="Shade 2 3 3 2 40" xfId="20248" xr:uid="{0E8415C2-9A56-4905-9FAE-16895BE15CA0}"/>
    <cellStyle name="Shade 2 3 3 2 41" xfId="19799" xr:uid="{3367554A-7F3B-4BCC-8A78-C041F06394CF}"/>
    <cellStyle name="Shade 2 3 3 2 42" xfId="19840" xr:uid="{A5B34CDB-04CC-41A7-945E-E0CBE2E0ED0C}"/>
    <cellStyle name="Shade 2 3 3 2 43" xfId="21267" xr:uid="{D2EB8056-9FC2-4180-9006-5740359970D7}"/>
    <cellStyle name="Shade 2 3 3 2 44" xfId="20697" xr:uid="{37AD8E58-C6E1-478F-A655-30EC6FB7ADC8}"/>
    <cellStyle name="Shade 2 3 3 2 45" xfId="21723" xr:uid="{6E246E66-B096-4452-B2C3-939B6C76E6FC}"/>
    <cellStyle name="Shade 2 3 3 2 46" xfId="20997" xr:uid="{535AC995-0505-40A1-AECF-19357C11E7F6}"/>
    <cellStyle name="Shade 2 3 3 2 47" xfId="22303" xr:uid="{E5514E2B-3777-4ADB-A786-418EF483C5F3}"/>
    <cellStyle name="Shade 2 3 3 2 48" xfId="20834" xr:uid="{89819D7F-8F7D-4B0B-9873-8A591905F072}"/>
    <cellStyle name="Shade 2 3 3 2 49" xfId="24048" xr:uid="{36587724-C03D-49A2-B2AD-151A4F682CF1}"/>
    <cellStyle name="Shade 2 3 3 2 5" xfId="1937" xr:uid="{FD4A21FB-7458-4BFB-AAE5-5D67EA9354B3}"/>
    <cellStyle name="Shade 2 3 3 2 50" xfId="24956" xr:uid="{51584260-0A6F-40AD-9584-6319891D691F}"/>
    <cellStyle name="Shade 2 3 3 2 51" xfId="24236" xr:uid="{5E288F09-0C6C-4396-AE67-CB867CD26CCE}"/>
    <cellStyle name="Shade 2 3 3 2 52" xfId="25872" xr:uid="{5DAD4F57-6488-4141-8892-71380538406F}"/>
    <cellStyle name="Shade 2 3 3 2 53" xfId="25908" xr:uid="{151940D0-B1C9-42CC-9F97-8A6DA591A435}"/>
    <cellStyle name="Shade 2 3 3 2 54" xfId="26739" xr:uid="{7FBA8101-441B-4541-AF7D-9171DF222C2D}"/>
    <cellStyle name="Shade 2 3 3 2 55" xfId="27160" xr:uid="{D8D030E0-61D8-487B-A8AE-A80D7AF06AE0}"/>
    <cellStyle name="Shade 2 3 3 2 56" xfId="27579" xr:uid="{6430B6A3-8209-4F37-947D-B0597F6D5DFA}"/>
    <cellStyle name="Shade 2 3 3 2 57" xfId="26018" xr:uid="{37F632B3-A72B-407F-B1CB-E6D0DDC28F35}"/>
    <cellStyle name="Shade 2 3 3 2 58" xfId="28706" xr:uid="{DE7EF70E-57E0-4DB4-801B-6C8C85CD93D7}"/>
    <cellStyle name="Shade 2 3 3 2 59" xfId="29173" xr:uid="{75D13378-7C51-4AAC-B09D-96346D555D78}"/>
    <cellStyle name="Shade 2 3 3 2 6" xfId="3173" xr:uid="{0AB03DE1-6D95-4FB1-B503-F861BB872610}"/>
    <cellStyle name="Shade 2 3 3 2 60" xfId="28306" xr:uid="{FD1BC1BD-2FBA-47B2-A0E1-89E9AD82B244}"/>
    <cellStyle name="Shade 2 3 3 2 61" xfId="29962" xr:uid="{D8676FD4-DE10-46B7-8E23-946F204378EB}"/>
    <cellStyle name="Shade 2 3 3 2 62" xfId="30368" xr:uid="{1446439C-0B2B-4310-B323-65F95DF6CE65}"/>
    <cellStyle name="Shade 2 3 3 2 63" xfId="30785" xr:uid="{88219DC6-4922-4923-8D72-34752AD7A57E}"/>
    <cellStyle name="Shade 2 3 3 2 64" xfId="31030" xr:uid="{C28C8153-BD6C-4194-9341-2D39DAE79AA7}"/>
    <cellStyle name="Shade 2 3 3 2 65" xfId="31401" xr:uid="{1CD70EED-ED62-418C-BB96-D7846ED16C31}"/>
    <cellStyle name="Shade 2 3 3 2 66" xfId="32092" xr:uid="{43110A1F-0EA7-4F11-9336-429A04CA34A3}"/>
    <cellStyle name="Shade 2 3 3 2 67" xfId="31922" xr:uid="{32E87403-F989-4821-9B8E-3229C7CE8731}"/>
    <cellStyle name="Shade 2 3 3 2 7" xfId="4184" xr:uid="{C4961D40-BB0C-4392-985D-2F963A32018A}"/>
    <cellStyle name="Shade 2 3 3 2 8" xfId="4621" xr:uid="{7E55FE11-1109-4E3E-A3F8-943E67CB3B8D}"/>
    <cellStyle name="Shade 2 3 3 2 9" xfId="5067" xr:uid="{7D027CA6-3D79-44CA-B7BA-9FF198A4BAC6}"/>
    <cellStyle name="Shade 2 3 3 20" xfId="8963" xr:uid="{52CEEB9D-830C-4D08-9276-2BE663B1A630}"/>
    <cellStyle name="Shade 2 3 3 21" xfId="10075" xr:uid="{5E7EFB77-5C97-467B-8089-2C3D020979DC}"/>
    <cellStyle name="Shade 2 3 3 22" xfId="10962" xr:uid="{43963713-BC59-4B14-925F-46C8D8FBCF66}"/>
    <cellStyle name="Shade 2 3 3 23" xfId="11100" xr:uid="{EF688F23-409C-4CB9-869C-CFF837E7311D}"/>
    <cellStyle name="Shade 2 3 3 24" xfId="12004" xr:uid="{F2812323-7D78-44DB-A96E-8C999CA8D217}"/>
    <cellStyle name="Shade 2 3 3 25" xfId="12477" xr:uid="{01B7F197-F377-4C74-A24C-7C65F4C91840}"/>
    <cellStyle name="Shade 2 3 3 26" xfId="12911" xr:uid="{9ADF66E4-A29C-45C7-B7E0-FC6553015064}"/>
    <cellStyle name="Shade 2 3 3 27" xfId="13348" xr:uid="{E4AAEACB-4902-4A68-B569-57CD66392971}"/>
    <cellStyle name="Shade 2 3 3 28" xfId="11786" xr:uid="{AD756CB6-B15E-437A-9602-D49225C38357}"/>
    <cellStyle name="Shade 2 3 3 29" xfId="14240" xr:uid="{1E06C265-7114-4BCB-9C4D-71FDB8D8D456}"/>
    <cellStyle name="Shade 2 3 3 3" xfId="1134" xr:uid="{3C606E92-9A0D-4161-92C2-3B9DA0F90AC8}"/>
    <cellStyle name="Shade 2 3 3 30" xfId="13708" xr:uid="{E9BB4291-526E-4B08-87E8-EE87C348375C}"/>
    <cellStyle name="Shade 2 3 3 31" xfId="14602" xr:uid="{25F986E6-779E-4682-8165-22C9B7F7B787}"/>
    <cellStyle name="Shade 2 3 3 32" xfId="14537" xr:uid="{B79EC5F5-4A8F-4A40-AC4E-E2DDE176DAD4}"/>
    <cellStyle name="Shade 2 3 3 33" xfId="15598" xr:uid="{28C1A6CB-4724-44D7-94F4-31C7175AEEB7}"/>
    <cellStyle name="Shade 2 3 3 34" xfId="16696" xr:uid="{B5ED0C12-589C-4C8A-9FCF-AEE493BD245E}"/>
    <cellStyle name="Shade 2 3 3 35" xfId="16060" xr:uid="{040608E4-81FE-4AA1-BC30-5811832E1B06}"/>
    <cellStyle name="Shade 2 3 3 36" xfId="17192" xr:uid="{FB6AFE08-6572-492C-85B7-AC873538560C}"/>
    <cellStyle name="Shade 2 3 3 37" xfId="17996" xr:uid="{9A7064F2-7A6F-4A93-A219-FFBB6AC36CDD}"/>
    <cellStyle name="Shade 2 3 3 38" xfId="18514" xr:uid="{E95F482A-0FDD-43A0-B589-1445DCCC729C}"/>
    <cellStyle name="Shade 2 3 3 39" xfId="18766" xr:uid="{21311E7F-B760-4452-BC53-300074D955BE}"/>
    <cellStyle name="Shade 2 3 3 4" xfId="1412" xr:uid="{5E5FA7AF-4B2E-469B-86D0-09DD5D5BBB7F}"/>
    <cellStyle name="Shade 2 3 3 40" xfId="18838" xr:uid="{A94159D8-62B2-48A5-B126-95202E5C41A3}"/>
    <cellStyle name="Shade 2 3 3 41" xfId="20033" xr:uid="{D50EA19A-A501-4B2A-B0E9-103284C5EEC2}"/>
    <cellStyle name="Shade 2 3 3 42" xfId="19393" xr:uid="{97C1025C-7BC9-4FBD-A647-B82FBAE76BEC}"/>
    <cellStyle name="Shade 2 3 3 43" xfId="20685" xr:uid="{3C6B10B9-4A50-4190-B15A-62D30CF8F1D4}"/>
    <cellStyle name="Shade 2 3 3 44" xfId="20379" xr:uid="{F943CDF3-8B69-4B71-8672-DAF17B30CC4F}"/>
    <cellStyle name="Shade 2 3 3 45" xfId="19473" xr:uid="{F9C44BA3-C017-4559-8E1A-247CA84BCAF2}"/>
    <cellStyle name="Shade 2 3 3 46" xfId="22107" xr:uid="{83BF6F2D-9743-42B2-8EE6-355265A7E8AA}"/>
    <cellStyle name="Shade 2 3 3 47" xfId="22163" xr:uid="{91823C1C-2EEA-4AB7-9077-E02156F58132}"/>
    <cellStyle name="Shade 2 3 3 48" xfId="23034" xr:uid="{E46FFA5A-4ADF-4D69-9D44-302E2263349F}"/>
    <cellStyle name="Shade 2 3 3 49" xfId="23520" xr:uid="{7C9A2BA8-A61D-445F-AC0B-97985490F067}"/>
    <cellStyle name="Shade 2 3 3 5" xfId="2473" xr:uid="{42EE0231-1914-4427-9573-00FDEF462906}"/>
    <cellStyle name="Shade 2 3 3 50" xfId="23842" xr:uid="{2C2D513A-0395-4C07-9A6F-5421C7CCDD88}"/>
    <cellStyle name="Shade 2 3 3 51" xfId="24741" xr:uid="{7089846B-D441-4C1E-84E3-A53A8E007729}"/>
    <cellStyle name="Shade 2 3 3 52" xfId="24118" xr:uid="{454461D5-64FF-4208-B651-0FFBF6EDEA25}"/>
    <cellStyle name="Shade 2 3 3 53" xfId="25659" xr:uid="{4D0B2E17-0848-4E71-86A4-EC3D76ACED12}"/>
    <cellStyle name="Shade 2 3 3 54" xfId="25112" xr:uid="{B98796A1-0518-4A75-B250-E82CE82BBB08}"/>
    <cellStyle name="Shade 2 3 3 55" xfId="24316" xr:uid="{53F928A4-2605-4737-A95B-D8AA746D2F6E}"/>
    <cellStyle name="Shade 2 3 3 56" xfId="26949" xr:uid="{48DB9754-D86C-44BD-A603-58852AFE438F}"/>
    <cellStyle name="Shade 2 3 3 57" xfId="27368" xr:uid="{F6D1E083-8F1A-4B72-A1D1-35926073D723}"/>
    <cellStyle name="Shade 2 3 3 58" xfId="27730" xr:uid="{424424DF-491D-41E3-8D22-AF7DDCCE12AC}"/>
    <cellStyle name="Shade 2 3 3 59" xfId="28491" xr:uid="{A424CEC8-8F95-452F-A038-0ABB7E9BCCC0}"/>
    <cellStyle name="Shade 2 3 3 6" xfId="1832" xr:uid="{2ECE47D1-A697-4D4B-A589-EBF991B984E8}"/>
    <cellStyle name="Shade 2 3 3 60" xfId="28959" xr:uid="{06E7B6D5-D50B-479C-9564-3BBDFE3DEA7A}"/>
    <cellStyle name="Shade 2 3 3 61" xfId="28255" xr:uid="{C9D4A643-6342-4A10-88B9-A9FFA02854CD}"/>
    <cellStyle name="Shade 2 3 3 62" xfId="29749" xr:uid="{29C689EA-3C94-4E3D-85B5-C28990C45115}"/>
    <cellStyle name="Shade 2 3 3 63" xfId="30157" xr:uid="{0C279E9A-9072-406A-BF78-6A3BDD4E08E0}"/>
    <cellStyle name="Shade 2 3 3 64" xfId="30571" xr:uid="{9E8F3D5B-3423-4BA6-ABFB-70EC83FA62A5}"/>
    <cellStyle name="Shade 2 3 3 65" xfId="30974" xr:uid="{522EB48A-17DB-4655-9A25-19AA898F7A18}"/>
    <cellStyle name="Shade 2 3 3 66" xfId="31195" xr:uid="{E96206DC-7235-43B4-83BE-07B4D5E4B256}"/>
    <cellStyle name="Shade 2 3 3 67" xfId="31881" xr:uid="{A2442D7B-3927-4715-8D67-AFB03D932552}"/>
    <cellStyle name="Shade 2 3 3 68" xfId="32267" xr:uid="{A8129941-02DF-4279-807D-AA52215182D7}"/>
    <cellStyle name="Shade 2 3 3 7" xfId="3539" xr:uid="{3DC69D64-DA24-4A57-88A1-64DF841A1E8B}"/>
    <cellStyle name="Shade 2 3 3 8" xfId="3969" xr:uid="{B783866C-31D9-4586-AABD-CA088796147D}"/>
    <cellStyle name="Shade 2 3 3 9" xfId="4407" xr:uid="{6AB338F7-57C2-4D0B-B0E6-BA6EDE855FBD}"/>
    <cellStyle name="Shade 2 3 30" xfId="11489" xr:uid="{49859C4A-1C89-4FCD-BB3F-FFB7A4C52019}"/>
    <cellStyle name="Shade 2 3 31" xfId="12299" xr:uid="{44C7A5B5-9027-44DF-A36F-59024FF8E335}"/>
    <cellStyle name="Shade 2 3 32" xfId="13883" xr:uid="{F90CF10F-F486-4F41-9D35-E5BBBE77BB5F}"/>
    <cellStyle name="Shade 2 3 33" xfId="15263" xr:uid="{A43D79A8-308D-4F0A-AD07-B9B9A4D79FA5}"/>
    <cellStyle name="Shade 2 3 34" xfId="15193" xr:uid="{DC8C038B-D51D-4344-9FE0-4FDAA084CB0A}"/>
    <cellStyle name="Shade 2 3 35" xfId="15459" xr:uid="{9DE85D12-9017-4791-A978-D450F5D6D719}"/>
    <cellStyle name="Shade 2 3 36" xfId="16336" xr:uid="{7E970F9A-845D-4558-AB34-6705C7E1165C}"/>
    <cellStyle name="Shade 2 3 37" xfId="16961" xr:uid="{5CD75274-8FEA-48EE-BB31-E2B5FE50375D}"/>
    <cellStyle name="Shade 2 3 38" xfId="16477" xr:uid="{EB7287FF-7D8B-4686-B7E8-A835E6D58BFA}"/>
    <cellStyle name="Shade 2 3 39" xfId="17783" xr:uid="{27B81730-F940-4380-BB00-F1719F444167}"/>
    <cellStyle name="Shade 2 3 4" xfId="565" xr:uid="{5A8B2FB8-2F84-46F7-BD32-24F7C26E37F8}"/>
    <cellStyle name="Shade 2 3 4 10" xfId="4840" xr:uid="{4277A89B-FCA9-4819-92C2-0A932EE84278}"/>
    <cellStyle name="Shade 2 3 4 11" xfId="5213" xr:uid="{7128DB0D-2A12-4D79-BFF6-EE92305DA5ED}"/>
    <cellStyle name="Shade 2 3 4 12" xfId="5696" xr:uid="{9208023C-9A54-444E-8014-7709CEB30F98}"/>
    <cellStyle name="Shade 2 3 4 13" xfId="5693" xr:uid="{AB5F36A1-36A5-40C5-8F81-ED6AA8F9F0FD}"/>
    <cellStyle name="Shade 2 3 4 14" xfId="6642" xr:uid="{1A827535-5717-4139-A2F3-A69798DC000F}"/>
    <cellStyle name="Shade 2 3 4 15" xfId="7285" xr:uid="{4D482FDC-DD5D-4044-BC00-712403B8EA48}"/>
    <cellStyle name="Shade 2 3 4 16" xfId="7715" xr:uid="{146C442B-A04D-4FD8-B5D5-21442986ECF3}"/>
    <cellStyle name="Shade 2 3 4 17" xfId="8318" xr:uid="{421AF245-8BA5-421F-9F0C-7EF2509B37EA}"/>
    <cellStyle name="Shade 2 3 4 18" xfId="8888" xr:uid="{6002307F-2FB4-4DDE-BDB6-79A9757C496E}"/>
    <cellStyle name="Shade 2 3 4 19" xfId="9499" xr:uid="{8602BF91-1803-441F-B0C4-678F85F8111E}"/>
    <cellStyle name="Shade 2 3 4 2" xfId="780" xr:uid="{870FAF4E-36B6-4876-BE56-6A7EAC43A0E2}"/>
    <cellStyle name="Shade 2 3 4 2 10" xfId="5428" xr:uid="{1DB39061-99C8-40DC-B9F6-0B2071F310D0}"/>
    <cellStyle name="Shade 2 3 4 2 11" xfId="4929" xr:uid="{DFD8AEF8-A137-4074-A5A3-BC5B00E95F6D}"/>
    <cellStyle name="Shade 2 3 4 2 12" xfId="5969" xr:uid="{A7D4623C-370D-4B27-8169-CF75807E6101}"/>
    <cellStyle name="Shade 2 3 4 2 13" xfId="6498" xr:uid="{0B9117DB-FCD6-47EE-9A25-7CB9DB2BE092}"/>
    <cellStyle name="Shade 2 3 4 2 14" xfId="7500" xr:uid="{84636A19-53AC-40BE-B8E4-E26CEAB23C87}"/>
    <cellStyle name="Shade 2 3 4 2 15" xfId="6824" xr:uid="{672578F5-00C1-494C-914B-B104183F9A9E}"/>
    <cellStyle name="Shade 2 3 4 2 16" xfId="7625" xr:uid="{39A80E1D-0201-4A96-8CB4-AC11654A355C}"/>
    <cellStyle name="Shade 2 3 4 2 17" xfId="7690" xr:uid="{3B425D0B-95CE-419F-A719-1F1261279D20}"/>
    <cellStyle name="Shade 2 3 4 2 18" xfId="9714" xr:uid="{CC98B172-1B3B-4A22-ADD8-A661F3166D4F}"/>
    <cellStyle name="Shade 2 3 4 2 19" xfId="9041" xr:uid="{8FD0B812-1DED-44CF-AE41-13D8715E4506}"/>
    <cellStyle name="Shade 2 3 4 2 2" xfId="1254" xr:uid="{6C1CDF9E-4352-45E2-8AA2-EF138E2C2D75}"/>
    <cellStyle name="Shade 2 3 4 2 20" xfId="9262" xr:uid="{8DE856E8-0A73-4344-83C0-DA3EC7BC8EA2}"/>
    <cellStyle name="Shade 2 3 4 2 21" xfId="10384" xr:uid="{26F802ED-5EC5-42AC-B24F-4F32E20F60D1}"/>
    <cellStyle name="Shade 2 3 4 2 22" xfId="10516" xr:uid="{8DB1C291-E1FE-4CAA-8D1B-601AC2729952}"/>
    <cellStyle name="Shade 2 3 4 2 23" xfId="12133" xr:uid="{73094645-30EB-4FC1-B675-137FB45D1B5F}"/>
    <cellStyle name="Shade 2 3 4 2 24" xfId="12606" xr:uid="{D70D4723-6838-4B4D-91DD-A4C738C17E89}"/>
    <cellStyle name="Shade 2 3 4 2 25" xfId="13040" xr:uid="{D6E0504C-D83D-4A5B-98FA-61D56BBC77C3}"/>
    <cellStyle name="Shade 2 3 4 2 26" xfId="13477" xr:uid="{57C27D53-A597-4D0A-86FE-102072355B3D}"/>
    <cellStyle name="Shade 2 3 4 2 27" xfId="12252" xr:uid="{EB6CD522-4872-4733-B008-68BA159CA924}"/>
    <cellStyle name="Shade 2 3 4 2 28" xfId="14380" xr:uid="{83D7EB52-9CB5-4E53-B3F1-2B6A73FF91E7}"/>
    <cellStyle name="Shade 2 3 4 2 29" xfId="14223" xr:uid="{D8F953BB-80A4-46AD-889D-4CDB93355FAC}"/>
    <cellStyle name="Shade 2 3 4 2 3" xfId="1480" xr:uid="{CF3EE04B-6E20-48A2-B5D3-B8B604738BD4}"/>
    <cellStyle name="Shade 2 3 4 2 30" xfId="14981" xr:uid="{218555A2-167D-4B83-B5FD-5D4EF2FE9AF8}"/>
    <cellStyle name="Shade 2 3 4 2 31" xfId="15411" xr:uid="{87D5491F-8F1A-4E0F-8E48-D3F5CF6CBE2D}"/>
    <cellStyle name="Shade 2 3 4 2 32" xfId="15591" xr:uid="{30ACC83B-82C6-4EFE-A431-39B11594F50A}"/>
    <cellStyle name="Shade 2 3 4 2 33" xfId="16825" xr:uid="{6B545623-0B95-4287-A12D-844E9E8CBEA5}"/>
    <cellStyle name="Shade 2 3 4 2 34" xfId="16137" xr:uid="{DCCE0CE2-C41F-4334-A66B-D10DB52152E8}"/>
    <cellStyle name="Shade 2 3 4 2 35" xfId="17005" xr:uid="{70A2640A-EA7B-4A48-A9A1-56E992686F14}"/>
    <cellStyle name="Shade 2 3 4 2 36" xfId="18241" xr:uid="{0D5DBF8F-8ED0-4190-99FE-3385574778E7}"/>
    <cellStyle name="Shade 2 3 4 2 37" xfId="18643" xr:uid="{EB26B2FA-A5C6-412D-991C-20D55FB0C29A}"/>
    <cellStyle name="Shade 2 3 4 2 38" xfId="17233" xr:uid="{AAF02BA2-B9D9-4E76-919A-24F850198873}"/>
    <cellStyle name="Shade 2 3 4 2 39" xfId="18285" xr:uid="{C3659044-B03D-4C02-A7F4-D5910A5423D9}"/>
    <cellStyle name="Shade 2 3 4 2 4" xfId="2602" xr:uid="{3043096F-EC7F-427D-AAA3-8B474074CF27}"/>
    <cellStyle name="Shade 2 3 4 2 40" xfId="20162" xr:uid="{8B3CE92A-F548-4698-BDBB-81DE35B9A5C2}"/>
    <cellStyle name="Shade 2 3 4 2 41" xfId="19586" xr:uid="{90BFB515-A2C7-429D-8417-CC898AEF3964}"/>
    <cellStyle name="Shade 2 3 4 2 42" xfId="20633" xr:uid="{EBDAF8E5-444E-4178-8228-5EFA6B8E17C5}"/>
    <cellStyle name="Shade 2 3 4 2 43" xfId="21288" xr:uid="{2E304140-EC67-4D52-B254-1076F719547A}"/>
    <cellStyle name="Shade 2 3 4 2 44" xfId="20850" xr:uid="{D7F9B010-798B-444C-AC1C-2656297BABD4}"/>
    <cellStyle name="Shade 2 3 4 2 45" xfId="21622" xr:uid="{DF3E522C-53AE-41E8-81BE-1DFE07D06708}"/>
    <cellStyle name="Shade 2 3 4 2 46" xfId="22116" xr:uid="{92ED4101-4F5E-4D6A-BC0B-36BA283DA5D9}"/>
    <cellStyle name="Shade 2 3 4 2 47" xfId="21767" xr:uid="{926F3B22-CD7F-4D27-8C33-5169ABFBD5AA}"/>
    <cellStyle name="Shade 2 3 4 2 48" xfId="23148" xr:uid="{21BD6ABF-4391-44CA-AD00-D32F7836318D}"/>
    <cellStyle name="Shade 2 3 4 2 49" xfId="23962" xr:uid="{526EC1C8-4575-41A6-BE4C-18721862D712}"/>
    <cellStyle name="Shade 2 3 4 2 5" xfId="2036" xr:uid="{9242CB2C-DF5A-4EE3-8FB2-68257B53D4A2}"/>
    <cellStyle name="Shade 2 3 4 2 50" xfId="24870" xr:uid="{35F77D16-5C36-4F11-B956-B5528D977F4A}"/>
    <cellStyle name="Shade 2 3 4 2 51" xfId="24351" xr:uid="{65FB7C5A-23E0-4419-AD06-8C356FA5F163}"/>
    <cellStyle name="Shade 2 3 4 2 52" xfId="25786" xr:uid="{6D7433A1-8EA8-4018-BB8B-2D22B8D71BE3}"/>
    <cellStyle name="Shade 2 3 4 2 53" xfId="24140" xr:uid="{958E7682-AFBF-4308-AF05-3E9B0555F943}"/>
    <cellStyle name="Shade 2 3 4 2 54" xfId="26477" xr:uid="{DC4E8A8C-D54B-43BB-A341-928BDF536014}"/>
    <cellStyle name="Shade 2 3 4 2 55" xfId="27074" xr:uid="{100A65AD-9F80-4496-A29D-851A9EBCB33C}"/>
    <cellStyle name="Shade 2 3 4 2 56" xfId="27493" xr:uid="{669A91F4-9B15-4821-88EE-F9B6BFB03933}"/>
    <cellStyle name="Shade 2 3 4 2 57" xfId="24319" xr:uid="{CB938337-B0A9-4B8E-A6A3-53DF57FED098}"/>
    <cellStyle name="Shade 2 3 4 2 58" xfId="28620" xr:uid="{7DFFB996-29D7-4646-B50C-E8FEFA87782F}"/>
    <cellStyle name="Shade 2 3 4 2 59" xfId="29087" xr:uid="{B4FD5AE6-472D-4B67-9F94-A75A99F917E8}"/>
    <cellStyle name="Shade 2 3 4 2 6" xfId="2175" xr:uid="{2A361E28-EF2A-4025-99DA-5F1E578681F9}"/>
    <cellStyle name="Shade 2 3 4 2 60" xfId="27983" xr:uid="{FEF3A10F-E82F-444F-ABD0-F3A8C6FF42A0}"/>
    <cellStyle name="Shade 2 3 4 2 61" xfId="29876" xr:uid="{16515823-FED4-4B2F-9A8B-90E77B70F4D2}"/>
    <cellStyle name="Shade 2 3 4 2 62" xfId="30282" xr:uid="{2AD73F55-D0E2-4D5D-A584-41CE419D1632}"/>
    <cellStyle name="Shade 2 3 4 2 63" xfId="30699" xr:uid="{239FDF23-8661-4C0F-93F6-4C71D9762EBC}"/>
    <cellStyle name="Shade 2 3 4 2 64" xfId="29231" xr:uid="{C2358405-5D2A-42FA-9478-DAB79987083D}"/>
    <cellStyle name="Shade 2 3 4 2 65" xfId="31315" xr:uid="{2961C81B-0C47-48FB-A4E6-DE3209466852}"/>
    <cellStyle name="Shade 2 3 4 2 66" xfId="32006" xr:uid="{7821A8F8-53F6-48FF-92B6-0FED8DE09E07}"/>
    <cellStyle name="Shade 2 3 4 2 67" xfId="32123" xr:uid="{D5135DE7-417C-45D8-A3D3-1C41D835AF17}"/>
    <cellStyle name="Shade 2 3 4 2 7" xfId="4098" xr:uid="{F8E1A905-F531-4597-8378-1B68EFF02B70}"/>
    <cellStyle name="Shade 2 3 4 2 8" xfId="4535" xr:uid="{84D749A0-F3B9-4CD0-A99A-DD3C46C164E2}"/>
    <cellStyle name="Shade 2 3 4 2 9" xfId="4844" xr:uid="{02637EF9-DB56-49BE-8192-5D3EB9FCD422}"/>
    <cellStyle name="Shade 2 3 4 20" xfId="9929" xr:uid="{59F7DA1F-220F-4326-8BDE-9856F93CE820}"/>
    <cellStyle name="Shade 2 3 4 21" xfId="10360" xr:uid="{07B7BBCB-7375-4ED0-B447-97F3EAA6F71E}"/>
    <cellStyle name="Shade 2 3 4 22" xfId="10902" xr:uid="{DEF84164-7858-4246-BBBF-0697DEB48589}"/>
    <cellStyle name="Shade 2 3 4 23" xfId="10692" xr:uid="{897AE345-2BB9-475A-ABF3-975434DC46C3}"/>
    <cellStyle name="Shade 2 3 4 24" xfId="11918" xr:uid="{D739BC11-AC32-472D-B350-7259176E028B}"/>
    <cellStyle name="Shade 2 3 4 25" xfId="12391" xr:uid="{1A85A9D8-616C-427E-8397-B16B2B4442DF}"/>
    <cellStyle name="Shade 2 3 4 26" xfId="12825" xr:uid="{DD1A1357-B092-42D1-8E3B-9D2572C46D30}"/>
    <cellStyle name="Shade 2 3 4 27" xfId="13262" xr:uid="{0B4392F4-BDDC-4B36-9000-263E25501CF2}"/>
    <cellStyle name="Shade 2 3 4 28" xfId="13676" xr:uid="{8855D66D-F99A-4844-82F0-F7BC99E8CE44}"/>
    <cellStyle name="Shade 2 3 4 29" xfId="14437" xr:uid="{1F51FB7C-2A23-487E-ABB0-90B7BEC7E1F6}"/>
    <cellStyle name="Shade 2 3 4 3" xfId="1048" xr:uid="{F4CE9589-D9D7-48FC-9F36-8C8A2E1AC04F}"/>
    <cellStyle name="Shade 2 3 4 30" xfId="14692" xr:uid="{0E6C511A-3A15-4207-A545-27F79A4045FB}"/>
    <cellStyle name="Shade 2 3 4 31" xfId="14510" xr:uid="{7B665F45-9F45-468F-ACA2-70CD7AE0B5BF}"/>
    <cellStyle name="Shade 2 3 4 32" xfId="15633" xr:uid="{F5B98895-3D31-4D21-8382-CD072E5F652D}"/>
    <cellStyle name="Shade 2 3 4 33" xfId="15817" xr:uid="{B77290B3-9EBD-4C76-9232-12EEF864E459}"/>
    <cellStyle name="Shade 2 3 4 34" xfId="16610" xr:uid="{9F9D6A8B-C2AE-4834-BCA8-484EC6D2BC42}"/>
    <cellStyle name="Shade 2 3 4 35" xfId="17043" xr:uid="{316D808B-C411-46B7-A32C-675B58F8D84B}"/>
    <cellStyle name="Shade 2 3 4 36" xfId="17491" xr:uid="{CDCE776E-3157-45EF-A7CE-72DFB5B1AB76}"/>
    <cellStyle name="Shade 2 3 4 37" xfId="18161" xr:uid="{75348A59-6BEE-49DF-841F-F99322C9D2D2}"/>
    <cellStyle name="Shade 2 3 4 38" xfId="18428" xr:uid="{780B5F11-9F26-43A3-96DA-9953C3460028}"/>
    <cellStyle name="Shade 2 3 4 39" xfId="18954" xr:uid="{7988C0C5-D870-4139-9D6E-37F14F948DAA}"/>
    <cellStyle name="Shade 2 3 4 4" xfId="1675" xr:uid="{42AF38EB-045A-44A4-829C-D5C3ADDA29C7}"/>
    <cellStyle name="Shade 2 3 4 40" xfId="19200" xr:uid="{2288A35A-D107-4C83-861A-10B2FDB1EB42}"/>
    <cellStyle name="Shade 2 3 4 41" xfId="19947" xr:uid="{68445B78-78C7-4B0F-A771-B5FE5D880E58}"/>
    <cellStyle name="Shade 2 3 4 42" xfId="20395" xr:uid="{2B015ADA-AFA0-4833-9E3B-9860CEB4ACBD}"/>
    <cellStyle name="Shade 2 3 4 43" xfId="20848" xr:uid="{3A26D685-2515-4883-9F84-8B44414DCA58}"/>
    <cellStyle name="Shade 2 3 4 44" xfId="19887" xr:uid="{78EFFC85-2E5D-4A06-AEE7-794FA0430522}"/>
    <cellStyle name="Shade 2 3 4 45" xfId="21781" xr:uid="{45EDAF64-BF93-4C9D-905D-BA45A40F5298}"/>
    <cellStyle name="Shade 2 3 4 46" xfId="22218" xr:uid="{8CBD42F3-B5C1-4868-AE23-FE51B21A2786}"/>
    <cellStyle name="Shade 2 3 4 47" xfId="22677" xr:uid="{6527A9BC-02EB-482E-8E1A-2B6897F7699D}"/>
    <cellStyle name="Shade 2 3 4 48" xfId="23241" xr:uid="{D8AFB7D8-547A-4522-AA31-7511FA06CCC9}"/>
    <cellStyle name="Shade 2 3 4 49" xfId="23470" xr:uid="{F4D22A40-77BF-4F86-9EA8-A82788CA7820}"/>
    <cellStyle name="Shade 2 3 4 5" xfId="2387" xr:uid="{20FD4BD6-D2F5-427C-BFB1-F11F41F21C3E}"/>
    <cellStyle name="Shade 2 3 4 50" xfId="23756" xr:uid="{F2FCF3DB-441F-4D81-9FD0-3DFB0472C162}"/>
    <cellStyle name="Shade 2 3 4 51" xfId="24655" xr:uid="{4B0DB60C-3760-4309-8EE1-1E312B1F852C}"/>
    <cellStyle name="Shade 2 3 4 52" xfId="25105" xr:uid="{3553BD47-C34E-43EF-87D6-E43C26783F23}"/>
    <cellStyle name="Shade 2 3 4 53" xfId="25573" xr:uid="{8ECD0321-D6FD-46DD-9F85-2EB980E5485E}"/>
    <cellStyle name="Shade 2 3 4 54" xfId="25981" xr:uid="{CA0B0AD7-A110-4657-9672-3D8FA3E853BD}"/>
    <cellStyle name="Shade 2 3 4 55" xfId="25980" xr:uid="{88212B34-AE0F-4637-8A8C-3425293188E4}"/>
    <cellStyle name="Shade 2 3 4 56" xfId="26863" xr:uid="{2A78A5D8-0B95-4971-A6D8-33F81CB48776}"/>
    <cellStyle name="Shade 2 3 4 57" xfId="27282" xr:uid="{345D2BDA-E021-4897-B7E1-6BBD85FE4049}"/>
    <cellStyle name="Shade 2 3 4 58" xfId="27718" xr:uid="{BCB123E5-C7CF-468F-B2AD-77838991C4A0}"/>
    <cellStyle name="Shade 2 3 4 59" xfId="28405" xr:uid="{0BBA6D5A-7BCC-476A-962E-CE557AD57312}"/>
    <cellStyle name="Shade 2 3 4 6" xfId="2842" xr:uid="{7E6452D3-8B53-408C-883D-365A48471880}"/>
    <cellStyle name="Shade 2 3 4 60" xfId="28873" xr:uid="{590865C0-D953-41DA-90A4-E774B9094E47}"/>
    <cellStyle name="Shade 2 3 4 61" xfId="29259" xr:uid="{37A8715A-AC24-4049-872A-79F2370E3F23}"/>
    <cellStyle name="Shade 2 3 4 62" xfId="29663" xr:uid="{C5FEB0EA-324D-4629-8CA3-0972CF736C90}"/>
    <cellStyle name="Shade 2 3 4 63" xfId="30071" xr:uid="{72B67996-4EA5-491A-8FFF-A6B207F36AE7}"/>
    <cellStyle name="Shade 2 3 4 64" xfId="30485" xr:uid="{ECD3373C-042B-481A-87BF-8E4188A8AE07}"/>
    <cellStyle name="Shade 2 3 4 65" xfId="28231" xr:uid="{00E58418-9616-4C90-86F8-20A9A82520AE}"/>
    <cellStyle name="Shade 2 3 4 66" xfId="31109" xr:uid="{D1F8D95D-BC29-4BE8-9456-CD192B70EDC2}"/>
    <cellStyle name="Shade 2 3 4 67" xfId="31795" xr:uid="{6FFFF6E5-325A-47D8-90F9-14888CC1CBA1}"/>
    <cellStyle name="Shade 2 3 4 68" xfId="31491" xr:uid="{2ECA797F-697D-4E7F-BC08-FC01B94266B1}"/>
    <cellStyle name="Shade 2 3 4 7" xfId="3665" xr:uid="{6D6270EC-74AA-4576-AD44-AC76826385AC}"/>
    <cellStyle name="Shade 2 3 4 8" xfId="3883" xr:uid="{ADD5416F-45D3-4FB6-A9F0-B8F9B58E58FC}"/>
    <cellStyle name="Shade 2 3 4 9" xfId="4321" xr:uid="{039CBABE-A42A-4846-B447-9D9A8FEE251B}"/>
    <cellStyle name="Shade 2 3 40" xfId="18279" xr:uid="{BC3E1BDA-0B03-431B-B8B9-B8FE3EC3E4ED}"/>
    <cellStyle name="Shade 2 3 41" xfId="18903" xr:uid="{1039C000-7C16-4C75-A51A-2E7EDA9F548C}"/>
    <cellStyle name="Shade 2 3 42" xfId="18225" xr:uid="{3A8D21ED-0E05-4C49-8585-6C5A60DF8C6A}"/>
    <cellStyle name="Shade 2 3 43" xfId="19669" xr:uid="{7F790987-205A-4D66-BBCC-3CC7E822F2FC}"/>
    <cellStyle name="Shade 2 3 44" xfId="20308" xr:uid="{E15BE6F5-CC9C-4054-A41A-7696DFDF04FC}"/>
    <cellStyle name="Shade 2 3 45" xfId="19402" xr:uid="{41B5B9AA-9848-4444-8A67-4EA0B07FF883}"/>
    <cellStyle name="Shade 2 3 46" xfId="21436" xr:uid="{FC1FAA29-2DD0-4D71-8822-E10893C14D66}"/>
    <cellStyle name="Shade 2 3 47" xfId="21386" xr:uid="{EEB72B02-57A0-4B18-9BD9-8CD07869AC45}"/>
    <cellStyle name="Shade 2 3 48" xfId="21641" xr:uid="{6EF6AC49-56F9-4089-920F-24E3FC3386AB}"/>
    <cellStyle name="Shade 2 3 49" xfId="22174" xr:uid="{83775FA3-D260-4C17-8D73-9766D39E6641}"/>
    <cellStyle name="Shade 2 3 5" xfId="960" xr:uid="{5D5C02C2-1E4E-4CAE-9F41-DE8FA474D230}"/>
    <cellStyle name="Shade 2 3 50" xfId="23179" xr:uid="{088BCD10-5EC3-4211-BF86-5B9FBD5769E2}"/>
    <cellStyle name="Shade 2 3 51" xfId="23571" xr:uid="{3703EC1C-4C58-4490-8F89-FD30EDA1DB2B}"/>
    <cellStyle name="Shade 2 3 52" xfId="23455" xr:uid="{8B1C69DE-ABAE-4C78-B756-B6DA6808B22F}"/>
    <cellStyle name="Shade 2 3 53" xfId="24389" xr:uid="{C818301F-83AE-4C8A-AE56-267A0F211B52}"/>
    <cellStyle name="Shade 2 3 54" xfId="25024" xr:uid="{383FB266-C9B7-4993-B9A1-4AE5C2C41EC3}"/>
    <cellStyle name="Shade 2 3 55" xfId="25010" xr:uid="{A60F5284-E438-42A3-BBCF-A178B82BA75B}"/>
    <cellStyle name="Shade 2 3 56" xfId="25333" xr:uid="{7067AF0D-4F26-4601-AA16-129353D9A189}"/>
    <cellStyle name="Shade 2 3 57" xfId="25163" xr:uid="{3649B2D7-71CD-496C-BD98-ACE612EC2AF5}"/>
    <cellStyle name="Shade 2 3 58" xfId="26725" xr:uid="{163922B7-1163-424F-8B20-BF70DF9147C7}"/>
    <cellStyle name="Shade 2 3 59" xfId="26664" xr:uid="{97F85446-8D6E-46FD-A4EB-50D5602E0CC2}"/>
    <cellStyle name="Shade 2 3 6" xfId="1382" xr:uid="{5B00B547-BEBE-4FB1-B8C3-26C45BCA7292}"/>
    <cellStyle name="Shade 2 3 60" xfId="26294" xr:uid="{280C824B-8BCD-46A3-86F6-AC1116625423}"/>
    <cellStyle name="Shade 2 3 61" xfId="28160" xr:uid="{372E44F3-B84D-4AD2-87DA-11BEF928203E}"/>
    <cellStyle name="Shade 2 3 62" xfId="28261" xr:uid="{DA3B1FAE-43CC-47AB-8D1E-FA8F8EA45254}"/>
    <cellStyle name="Shade 2 3 63" xfId="28538" xr:uid="{106FEAFE-A7F3-4DE0-8335-4697718C744D}"/>
    <cellStyle name="Shade 2 3 64" xfId="29211" xr:uid="{1E40A4D7-2910-4F21-890D-EC1A35D0EFB5}"/>
    <cellStyle name="Shade 2 3 65" xfId="28124" xr:uid="{105A97A9-C230-4360-A478-95BC81CB8DAF}"/>
    <cellStyle name="Shade 2 3 66" xfId="28061" xr:uid="{DBD72813-3C73-472E-8BC8-86905B3F8E4E}"/>
    <cellStyle name="Shade 2 3 67" xfId="29457" xr:uid="{379C2EEA-7FD7-4684-8485-D4B4C3B014E0}"/>
    <cellStyle name="Shade 2 3 68" xfId="29278" xr:uid="{40BB14CD-EAEC-4508-BED0-159E8600E419}"/>
    <cellStyle name="Shade 2 3 69" xfId="31612" xr:uid="{EE209FBF-255B-4FE8-AA3F-36E105C556B8}"/>
    <cellStyle name="Shade 2 3 7" xfId="2109" xr:uid="{4F567EF6-C0EC-48D9-B32E-3C2DEF83FE80}"/>
    <cellStyle name="Shade 2 3 70" xfId="32338" xr:uid="{0A275DEF-26B2-410C-9660-23DD0AE35BDC}"/>
    <cellStyle name="Shade 2 3 8" xfId="2720" xr:uid="{5A72BC90-F2CE-4C56-AE83-88A19B079522}"/>
    <cellStyle name="Shade 2 3 9" xfId="2817" xr:uid="{348284EE-934C-4AC0-AF2C-C8EC4530300A}"/>
    <cellStyle name="Shade 3" xfId="436" xr:uid="{87BE24B7-0321-4A02-AB38-CA18B087514C}"/>
    <cellStyle name="Shade 3 2" xfId="576" xr:uid="{DDB14559-3E82-49BF-891C-72DBB00BC8B7}"/>
    <cellStyle name="Shade 3 2 10" xfId="4952" xr:uid="{95EF7102-843B-4393-9B79-181EAC0A02E6}"/>
    <cellStyle name="Shade 3 2 11" xfId="5224" xr:uid="{F48DDC2B-7466-4684-8E14-EE1A32D0F7C2}"/>
    <cellStyle name="Shade 3 2 12" xfId="5998" xr:uid="{D4A3A9A2-9233-4DBB-8670-73683B5AD70E}"/>
    <cellStyle name="Shade 3 2 13" xfId="6360" xr:uid="{9EDAD72B-D79F-4153-88FC-1A028043111A}"/>
    <cellStyle name="Shade 3 2 14" xfId="6508" xr:uid="{CC279528-95D9-41AF-A21F-C205540ECAD8}"/>
    <cellStyle name="Shade 3 2 15" xfId="7296" xr:uid="{7DE3EAE1-09AB-469D-BC3D-37AAAACC8364}"/>
    <cellStyle name="Shade 3 2 16" xfId="7020" xr:uid="{21DEAD37-1A0F-4AD2-911E-0FB3FFE5EBAF}"/>
    <cellStyle name="Shade 3 2 17" xfId="6942" xr:uid="{4AC4A7FF-13DF-4996-A017-D2D34FEFB645}"/>
    <cellStyle name="Shade 3 2 18" xfId="8642" xr:uid="{DE037509-A117-4E97-BF21-AC66725C5E0E}"/>
    <cellStyle name="Shade 3 2 19" xfId="9510" xr:uid="{E1E345BC-4376-45EE-81A1-6B3321F6145C}"/>
    <cellStyle name="Shade 3 2 2" xfId="791" xr:uid="{55347467-3273-4DBC-83C9-6C60A62C7A11}"/>
    <cellStyle name="Shade 3 2 2 10" xfId="5439" xr:uid="{4B93ABF1-72A7-4FA6-BB31-CFD6E0C2F2B7}"/>
    <cellStyle name="Shade 3 2 2 11" xfId="2984" xr:uid="{5DEFC5B8-E759-45EE-BA1B-1BE6C8B7CF02}"/>
    <cellStyle name="Shade 3 2 2 12" xfId="5987" xr:uid="{1414B203-5D90-4520-8F24-52AD4237E2F3}"/>
    <cellStyle name="Shade 3 2 2 13" xfId="6680" xr:uid="{79264452-37A5-4910-8154-9B6A0A62D0AC}"/>
    <cellStyle name="Shade 3 2 2 14" xfId="7511" xr:uid="{AFB63B15-72A0-46FB-927C-8447447E1F5E}"/>
    <cellStyle name="Shade 3 2 2 15" xfId="6730" xr:uid="{96D0C4AF-AC70-4079-8F15-176CFD50686D}"/>
    <cellStyle name="Shade 3 2 2 16" xfId="8570" xr:uid="{536FAE66-D75D-4343-AAF7-24DEF7F49063}"/>
    <cellStyle name="Shade 3 2 2 17" xfId="8784" xr:uid="{40E2E19D-658D-4AFD-A857-72BD7079588E}"/>
    <cellStyle name="Shade 3 2 2 18" xfId="9725" xr:uid="{E222934B-5BC5-4597-99FB-E0E62A48F198}"/>
    <cellStyle name="Shade 3 2 2 19" xfId="8943" xr:uid="{6E479F2A-046C-4414-BE20-455500EEB39C}"/>
    <cellStyle name="Shade 3 2 2 2" xfId="1265" xr:uid="{9AFF9EDB-6737-48EC-92AA-0B461191F339}"/>
    <cellStyle name="Shade 3 2 2 20" xfId="10115" xr:uid="{185E0D2D-021A-49B0-AD5F-5B4E7579669C}"/>
    <cellStyle name="Shade 3 2 2 21" xfId="10584" xr:uid="{9EE96438-94A5-4837-8E55-A78480AF1880}"/>
    <cellStyle name="Shade 3 2 2 22" xfId="11297" xr:uid="{23779ACF-97F7-430D-95A6-56CFE3ECDBBE}"/>
    <cellStyle name="Shade 3 2 2 23" xfId="12144" xr:uid="{7643536F-4B8F-49F8-80C1-9D286D1F93D1}"/>
    <cellStyle name="Shade 3 2 2 24" xfId="12617" xr:uid="{8065D4D8-C782-4DD3-B141-A5419962C325}"/>
    <cellStyle name="Shade 3 2 2 25" xfId="13051" xr:uid="{C3C06BD1-16A6-4D5E-B1BD-F59158D967AA}"/>
    <cellStyle name="Shade 3 2 2 26" xfId="13488" xr:uid="{FE48C984-808D-4477-964A-AFCF0DC7EEC7}"/>
    <cellStyle name="Shade 3 2 2 27" xfId="13624" xr:uid="{726BFB7D-E01F-4EF8-9760-5DBE962624B0}"/>
    <cellStyle name="Shade 3 2 2 28" xfId="13979" xr:uid="{8B4217C5-0559-4264-A1A8-8098247ADCBE}"/>
    <cellStyle name="Shade 3 2 2 29" xfId="14212" xr:uid="{1CB13259-03DA-4902-A0B4-B208A2516C69}"/>
    <cellStyle name="Shade 3 2 2 3" xfId="1559" xr:uid="{844C4E62-5B04-45F0-88C1-E2C50043CB2F}"/>
    <cellStyle name="Shade 3 2 2 30" xfId="14608" xr:uid="{614C4E2E-48FF-4934-96F5-9558F6FF6412}"/>
    <cellStyle name="Shade 3 2 2 31" xfId="15732" xr:uid="{F279B000-27FA-4C89-AEEE-FE1A3AE24392}"/>
    <cellStyle name="Shade 3 2 2 32" xfId="15739" xr:uid="{3637B170-3D50-416D-84F0-8530D76F75AD}"/>
    <cellStyle name="Shade 3 2 2 33" xfId="16836" xr:uid="{9D7D4D93-8B65-4548-BF7A-024444A3BB4B}"/>
    <cellStyle name="Shade 3 2 2 34" xfId="16038" xr:uid="{99E8A92F-167C-43EA-94E7-C3FE5251DE7E}"/>
    <cellStyle name="Shade 3 2 2 35" xfId="17234" xr:uid="{4ED229B9-0E29-48F3-B315-031E131B60E4}"/>
    <cellStyle name="Shade 3 2 2 36" xfId="17096" xr:uid="{44A3CAA1-9031-4AF5-AD65-0A8857C1E87B}"/>
    <cellStyle name="Shade 3 2 2 37" xfId="18654" xr:uid="{9C87BAC9-8DCC-4291-8FFA-0689FFE8E48A}"/>
    <cellStyle name="Shade 3 2 2 38" xfId="18846" xr:uid="{0D003BA0-9985-4FD4-AE17-4F8F5E6BE7CE}"/>
    <cellStyle name="Shade 3 2 2 39" xfId="19176" xr:uid="{33F7AE12-E25D-439C-860D-1252748B0C08}"/>
    <cellStyle name="Shade 3 2 2 4" xfId="2613" xr:uid="{F5C20AD6-FC16-4238-8CAB-D2B06082EDC8}"/>
    <cellStyle name="Shade 3 2 2 40" xfId="20173" xr:uid="{80FE053F-3DF7-4222-8334-DC4C2F0654BF}"/>
    <cellStyle name="Shade 3 2 2 41" xfId="19371" xr:uid="{DD2C53A8-F6E1-448E-83DE-43F764B245FD}"/>
    <cellStyle name="Shade 3 2 2 42" xfId="20584" xr:uid="{890CFC77-83A8-4935-9544-A543B39FCFFC}"/>
    <cellStyle name="Shade 3 2 2 43" xfId="21265" xr:uid="{D7892A76-4A54-40AF-A996-69261AF6B11B}"/>
    <cellStyle name="Shade 3 2 2 44" xfId="21557" xr:uid="{B1EA4E82-2C42-47E4-9BBC-A3DD73CCEF9D}"/>
    <cellStyle name="Shade 3 2 2 45" xfId="21663" xr:uid="{0C432727-302D-44E5-B338-0C5C654EC44E}"/>
    <cellStyle name="Shade 3 2 2 46" xfId="22632" xr:uid="{F483DD3E-B668-4A3D-9476-B9D1C28E471F}"/>
    <cellStyle name="Shade 3 2 2 47" xfId="23122" xr:uid="{E11544FD-902D-4C68-802F-620A41E08BD6}"/>
    <cellStyle name="Shade 3 2 2 48" xfId="20801" xr:uid="{367B13AE-9CC6-4532-80DB-7B6437F39BA2}"/>
    <cellStyle name="Shade 3 2 2 49" xfId="23973" xr:uid="{56465FFF-0826-4D00-8825-15A25BB9B89E}"/>
    <cellStyle name="Shade 3 2 2 5" xfId="2791" xr:uid="{25D69121-6AD9-4588-AFE6-3DD4294D67C2}"/>
    <cellStyle name="Shade 3 2 2 50" xfId="24881" xr:uid="{8CB772D4-5422-4B2B-A213-D7D43C409E5A}"/>
    <cellStyle name="Shade 3 2 2 51" xfId="24251" xr:uid="{076A2F43-5FD7-44B1-9D50-8911EA20CFB2}"/>
    <cellStyle name="Shade 3 2 2 52" xfId="25797" xr:uid="{A7FC71CC-BE61-425E-B710-095A3CBF3104}"/>
    <cellStyle name="Shade 3 2 2 53" xfId="25935" xr:uid="{132FE540-B330-4A70-9392-BC528EEC90C7}"/>
    <cellStyle name="Shade 3 2 2 54" xfId="26421" xr:uid="{3FE738FD-31B4-4395-8BC8-B1511B15E29D}"/>
    <cellStyle name="Shade 3 2 2 55" xfId="27085" xr:uid="{FE9A3487-13E6-4819-B86B-2A3AE0699944}"/>
    <cellStyle name="Shade 3 2 2 56" xfId="27504" xr:uid="{F2E107C6-C236-47C3-A2CF-3FCFB0DF4D0C}"/>
    <cellStyle name="Shade 3 2 2 57" xfId="26034" xr:uid="{EE4F1876-45A7-4C54-9BBC-B04B91D42C93}"/>
    <cellStyle name="Shade 3 2 2 58" xfId="28631" xr:uid="{A10AE747-813A-41CF-977C-FAA20A94685F}"/>
    <cellStyle name="Shade 3 2 2 59" xfId="29098" xr:uid="{B548B2FB-EDA8-4A4A-B6D5-C59C4EED4C75}"/>
    <cellStyle name="Shade 3 2 2 6" xfId="3666" xr:uid="{5F0B1F21-0373-4E0E-AE75-E2EA123113A2}"/>
    <cellStyle name="Shade 3 2 2 60" xfId="28299" xr:uid="{02F853EF-98A6-405F-AA30-0ACDB5DD4AEC}"/>
    <cellStyle name="Shade 3 2 2 61" xfId="29887" xr:uid="{FFFD09DB-FE15-4B17-889B-CEEE0A4B44DD}"/>
    <cellStyle name="Shade 3 2 2 62" xfId="30293" xr:uid="{EBFAB79C-4BAA-40F3-945F-2DF8675340F5}"/>
    <cellStyle name="Shade 3 2 2 63" xfId="30710" xr:uid="{60AFBA38-928F-4B97-9DB6-76F61BE2FB5A}"/>
    <cellStyle name="Shade 3 2 2 64" xfId="29208" xr:uid="{8016DBFF-67B1-444E-A4C3-B3D34BA16957}"/>
    <cellStyle name="Shade 3 2 2 65" xfId="31326" xr:uid="{537CAE0C-3250-4DF2-9630-41F77045E38A}"/>
    <cellStyle name="Shade 3 2 2 66" xfId="32017" xr:uid="{4435B570-936C-4D63-997F-13860766B3A5}"/>
    <cellStyle name="Shade 3 2 2 67" xfId="32364" xr:uid="{2B28B8BF-E89C-4A8C-AAC5-3F08B0267AD4}"/>
    <cellStyle name="Shade 3 2 2 7" xfId="4109" xr:uid="{F4489A3E-DFE3-4232-8F14-3C6CEBFD8BD1}"/>
    <cellStyle name="Shade 3 2 2 8" xfId="4546" xr:uid="{1E1531EC-9B99-4FEC-9A4E-91CFFFCF8B8A}"/>
    <cellStyle name="Shade 3 2 2 9" xfId="3502" xr:uid="{94354236-1602-4687-A08E-5FA416967F1E}"/>
    <cellStyle name="Shade 3 2 20" xfId="9234" xr:uid="{234696F3-2BA2-4635-8FE8-B7DFA0C98835}"/>
    <cellStyle name="Shade 3 2 21" xfId="10268" xr:uid="{7F5F8AFB-1108-44F1-BFEF-69F5E8B97670}"/>
    <cellStyle name="Shade 3 2 22" xfId="10940" xr:uid="{AA90C19C-B03B-4C26-A87D-68ABB206FE97}"/>
    <cellStyle name="Shade 3 2 23" xfId="11192" xr:uid="{303EE91C-CE27-47DE-BC25-8B2FEDCA8263}"/>
    <cellStyle name="Shade 3 2 24" xfId="11929" xr:uid="{440698FB-8743-4C3E-93D4-5336D6D2E266}"/>
    <cellStyle name="Shade 3 2 25" xfId="12402" xr:uid="{404181B0-DFAD-4D4A-A9A8-271395C2BB4A}"/>
    <cellStyle name="Shade 3 2 26" xfId="12836" xr:uid="{85E44956-D6BA-4660-90A9-9F943D38C1E3}"/>
    <cellStyle name="Shade 3 2 27" xfId="13273" xr:uid="{72721C17-1522-4CD3-9550-B78211D09C6C}"/>
    <cellStyle name="Shade 3 2 28" xfId="13906" xr:uid="{C6CD7B38-8487-4002-9A89-9E732725A1B2}"/>
    <cellStyle name="Shade 3 2 29" xfId="14167" xr:uid="{D5AF5217-D968-49F4-A6D1-62E4BC00A593}"/>
    <cellStyle name="Shade 3 2 3" xfId="1059" xr:uid="{C1B64970-6266-4011-B6AB-F95BE057A5B0}"/>
    <cellStyle name="Shade 3 2 30" xfId="14905" xr:uid="{7223E762-F12E-4C11-B765-D7E82C50293D}"/>
    <cellStyle name="Shade 3 2 31" xfId="15376" xr:uid="{E4E0BC75-9F48-4F59-B46D-A10681E2FECA}"/>
    <cellStyle name="Shade 3 2 32" xfId="15637" xr:uid="{FB1F4DB4-9DC6-4C6B-AA42-4C8A9475DB11}"/>
    <cellStyle name="Shade 3 2 33" xfId="14531" xr:uid="{1954CCC5-D9DF-428E-9F1B-E1FF921E3711}"/>
    <cellStyle name="Shade 3 2 34" xfId="16621" xr:uid="{B7B46CAB-BE74-47D0-AF0B-4DDDBCD48E92}"/>
    <cellStyle name="Shade 3 2 35" xfId="16342" xr:uid="{2CEC43F1-9C15-4921-B147-AB07E2A8B1D2}"/>
    <cellStyle name="Shade 3 2 36" xfId="17391" xr:uid="{7337903E-F2FF-4DDE-8EE4-2E42F42E5B8B}"/>
    <cellStyle name="Shade 3 2 37" xfId="17949" xr:uid="{02788026-21B6-4A25-BC0D-57D510EDE746}"/>
    <cellStyle name="Shade 3 2 38" xfId="18439" xr:uid="{AA4C213A-C2E6-4FAC-8499-6513552C2CC6}"/>
    <cellStyle name="Shade 3 2 39" xfId="18138" xr:uid="{0B9FCB26-5D4F-4EC1-8EA0-E551F71C3BE5}"/>
    <cellStyle name="Shade 3 2 4" xfId="1455" xr:uid="{9B147769-AE27-4652-8E4B-ED218AB81C69}"/>
    <cellStyle name="Shade 3 2 40" xfId="19293" xr:uid="{295BA6F0-24F3-4215-8FC8-B0E215A62BD5}"/>
    <cellStyle name="Shade 3 2 41" xfId="19958" xr:uid="{908AB942-A340-4697-AF41-505BD0A10242}"/>
    <cellStyle name="Shade 3 2 42" xfId="19675" xr:uid="{75BB6A3E-E5C1-4768-8FE6-C74C6B366460}"/>
    <cellStyle name="Shade 3 2 43" xfId="20578" xr:uid="{C96D187C-1EF4-44AD-8D40-8B5932319366}"/>
    <cellStyle name="Shade 3 2 44" xfId="19685" xr:uid="{01F302EF-0E9E-4CA8-BF9A-E3E7BA94B07C}"/>
    <cellStyle name="Shade 3 2 45" xfId="21637" xr:uid="{842E74B8-6282-49C2-B2BF-975A0AA67E89}"/>
    <cellStyle name="Shade 3 2 46" xfId="19583" xr:uid="{53836D90-6AC2-49DF-8DF1-DF85D5F67278}"/>
    <cellStyle name="Shade 3 2 47" xfId="22886" xr:uid="{5261DC8E-4298-4F66-A22D-D0BAA0DE2CA4}"/>
    <cellStyle name="Shade 3 2 48" xfId="21439" xr:uid="{CDC3A184-C807-46E9-96D1-312191C2360A}"/>
    <cellStyle name="Shade 3 2 49" xfId="23501" xr:uid="{CED3906F-09D7-4BBC-961A-8AFA2309B1C3}"/>
    <cellStyle name="Shade 3 2 5" xfId="2398" xr:uid="{870B2590-F09D-473B-B6F8-7C9CDA5EB4ED}"/>
    <cellStyle name="Shade 3 2 50" xfId="23767" xr:uid="{F4D497E1-863C-4217-92A1-063EE9328E12}"/>
    <cellStyle name="Shade 3 2 51" xfId="24666" xr:uid="{90A6390D-24BD-45DB-BCAA-A0AD1EF303A1}"/>
    <cellStyle name="Shade 3 2 52" xfId="24574" xr:uid="{9F1902CF-6413-46F7-B76F-A011631D2C74}"/>
    <cellStyle name="Shade 3 2 53" xfId="25584" xr:uid="{01519D4B-680F-495C-8031-FF8EAC3A85F2}"/>
    <cellStyle name="Shade 3 2 54" xfId="26190" xr:uid="{0120E99C-9E59-4A55-B14A-24D113B3A58B}"/>
    <cellStyle name="Shade 3 2 55" xfId="26337" xr:uid="{34D80C28-03A5-4E70-A89F-C002D758E371}"/>
    <cellStyle name="Shade 3 2 56" xfId="26874" xr:uid="{03651FDB-AB55-4021-B06D-A1E6780070D8}"/>
    <cellStyle name="Shade 3 2 57" xfId="27293" xr:uid="{0A62F280-B6F1-4762-9B63-6AC65C73BEF7}"/>
    <cellStyle name="Shade 3 2 58" xfId="26655" xr:uid="{3F24F53A-8B8D-4007-B400-D93E097F343B}"/>
    <cellStyle name="Shade 3 2 59" xfId="28416" xr:uid="{98F6F324-2CCE-45BA-8A25-C5BFC9E0E4CC}"/>
    <cellStyle name="Shade 3 2 6" xfId="3074" xr:uid="{ECA2879A-D8BE-4660-B206-37E99E155F57}"/>
    <cellStyle name="Shade 3 2 60" xfId="28884" xr:uid="{CD50CD84-21E4-4F6B-8048-4368B33C73D7}"/>
    <cellStyle name="Shade 3 2 61" xfId="28805" xr:uid="{FF01A8EA-51D8-43D6-8319-2E74602C82B6}"/>
    <cellStyle name="Shade 3 2 62" xfId="29674" xr:uid="{E5AA6545-3CD2-4218-998A-A2ACAF9EB1D7}"/>
    <cellStyle name="Shade 3 2 63" xfId="30082" xr:uid="{B5A59FCB-42BC-43D7-ABF8-59E5018FFD25}"/>
    <cellStyle name="Shade 3 2 64" xfId="30496" xr:uid="{2794BBB1-0B46-46B6-BD23-3F28798D9D2B}"/>
    <cellStyle name="Shade 3 2 65" xfId="29994" xr:uid="{0A8DCD1B-1A73-41E9-A194-E2BC22733512}"/>
    <cellStyle name="Shade 3 2 66" xfId="31120" xr:uid="{D96B4C82-D33F-4E0E-A0EC-CE89A1E6AC1F}"/>
    <cellStyle name="Shade 3 2 67" xfId="31806" xr:uid="{CFA94C3D-0B3C-44C8-AE78-1CC59ACABF9B}"/>
    <cellStyle name="Shade 3 2 68" xfId="32303" xr:uid="{515644B3-418F-4BCE-9AEC-0D5866D1B126}"/>
    <cellStyle name="Shade 3 2 7" xfId="3532" xr:uid="{99D09C22-9BD1-4EC9-AD7C-DB9CC8F881DA}"/>
    <cellStyle name="Shade 3 2 8" xfId="3894" xr:uid="{561BE044-2457-4D4C-8A8D-90D92A1A3916}"/>
    <cellStyle name="Shade 3 2 9" xfId="4332" xr:uid="{1A5024F0-4E8A-4FD6-A441-2152C5A5D9EC}"/>
    <cellStyle name="Shade 3 3" xfId="724" xr:uid="{483FA3A6-9F4C-4201-9FF7-CAAA5C5BF2AF}"/>
    <cellStyle name="Shade 3 3 10" xfId="5372" xr:uid="{442AB807-D00F-4E67-966C-0A9B84F1764B}"/>
    <cellStyle name="Shade 3 3 11" xfId="5775" xr:uid="{AB6DFB7B-80A0-4F09-8987-A3A4C1CAD4FC}"/>
    <cellStyle name="Shade 3 3 12" xfId="5989" xr:uid="{9EC26ECC-2763-46F5-96E3-86F96B7C7F9D}"/>
    <cellStyle name="Shade 3 3 13" xfId="6419" xr:uid="{48BE044A-DF1C-4AE0-A38A-7050267DD597}"/>
    <cellStyle name="Shade 3 3 14" xfId="7444" xr:uid="{CEB665DC-2736-4DDE-8675-5175E53313BE}"/>
    <cellStyle name="Shade 3 3 15" xfId="7982" xr:uid="{088AD41D-A0E3-4890-A4A3-73F82C55A45C}"/>
    <cellStyle name="Shade 3 3 16" xfId="7744" xr:uid="{7F149B40-0823-43AE-AA37-9D8AB20DCC1F}"/>
    <cellStyle name="Shade 3 3 17" xfId="8324" xr:uid="{58B43B77-3A30-415F-BC02-6E444C7ED632}"/>
    <cellStyle name="Shade 3 3 18" xfId="9658" xr:uid="{D6FC20AB-397C-44DA-8B68-A513E5912556}"/>
    <cellStyle name="Shade 3 3 19" xfId="10198" xr:uid="{972BB261-8447-44C1-81DE-69434999AF39}"/>
    <cellStyle name="Shade 3 3 2" xfId="1198" xr:uid="{254138AC-5EB2-4B1A-A4B2-66E018A05AC2}"/>
    <cellStyle name="Shade 3 3 20" xfId="10602" xr:uid="{CC9A3EBD-95B7-4185-9554-FEBAAE241892}"/>
    <cellStyle name="Shade 3 3 21" xfId="10524" xr:uid="{CF8F2F11-9DDB-4737-8901-55BF76AD7F9D}"/>
    <cellStyle name="Shade 3 3 22" xfId="11267" xr:uid="{494648AB-0710-4FCD-A38F-A7825CF32470}"/>
    <cellStyle name="Shade 3 3 23" xfId="12077" xr:uid="{E0D1B83B-73A2-45ED-A013-B2D26D25A9FE}"/>
    <cellStyle name="Shade 3 3 24" xfId="12550" xr:uid="{884F6518-C552-4DD3-898B-435D0A99603E}"/>
    <cellStyle name="Shade 3 3 25" xfId="12984" xr:uid="{7D5F9FCD-B368-4115-897D-4D5F87373EA1}"/>
    <cellStyle name="Shade 3 3 26" xfId="13421" xr:uid="{86D8C395-1FD6-414C-80FB-61097B8BCF63}"/>
    <cellStyle name="Shade 3 3 27" xfId="12719" xr:uid="{0D8A80C5-4E24-446B-A53F-98139BEDF4CF}"/>
    <cellStyle name="Shade 3 3 28" xfId="11861" xr:uid="{02398953-F06E-4557-B8BD-C9CF25A3A8E0}"/>
    <cellStyle name="Shade 3 3 29" xfId="14848" xr:uid="{8D97E815-BB3A-4021-8339-9BC307F26395}"/>
    <cellStyle name="Shade 3 3 3" xfId="1443" xr:uid="{F4EA68AF-55E7-47B5-95E2-110DCEF2758B}"/>
    <cellStyle name="Shade 3 3 30" xfId="15215" xr:uid="{68F3FFD1-16D4-43BF-929E-879AC1771D13}"/>
    <cellStyle name="Shade 3 3 31" xfId="15641" xr:uid="{6E359799-0B68-40AC-9997-E66E0370DE33}"/>
    <cellStyle name="Shade 3 3 32" xfId="15961" xr:uid="{51D81CA2-0056-41D8-93CE-DBB0F3B16AA6}"/>
    <cellStyle name="Shade 3 3 33" xfId="16769" xr:uid="{2BA48DBE-2B02-4E25-BB79-07098B2F70E0}"/>
    <cellStyle name="Shade 3 3 34" xfId="17319" xr:uid="{169235DC-62EC-4854-944F-C9BA0F7ED43F}"/>
    <cellStyle name="Shade 3 3 35" xfId="17762" xr:uid="{EAF9E010-6607-456C-8DC7-682BC57367F8}"/>
    <cellStyle name="Shade 3 3 36" xfId="16148" xr:uid="{0342A333-D3B5-4A5A-A3D2-57BA667D2524}"/>
    <cellStyle name="Shade 3 3 37" xfId="18587" xr:uid="{24604E26-CE27-4997-AC72-10821BADC3B4}"/>
    <cellStyle name="Shade 3 3 38" xfId="17286" xr:uid="{3D74F74C-DC5E-44BD-B606-95923D130C2B}"/>
    <cellStyle name="Shade 3 3 39" xfId="19054" xr:uid="{8FE809BA-4917-49EA-9001-E01B9F988E2F}"/>
    <cellStyle name="Shade 3 3 4" xfId="2546" xr:uid="{51CD38D4-AF88-48FE-BAB0-B6862D456047}"/>
    <cellStyle name="Shade 3 3 40" xfId="20106" xr:uid="{12207733-E8F1-4F82-8610-4A6AA95E9322}"/>
    <cellStyle name="Shade 3 3 41" xfId="20670" xr:uid="{4705AFD4-F1AA-4936-A210-D6A7A5BE4F9E}"/>
    <cellStyle name="Shade 3 3 42" xfId="21126" xr:uid="{EF5C7976-804F-4A3F-956E-73EAD6235825}"/>
    <cellStyle name="Shade 3 3 43" xfId="21236" xr:uid="{5B0DF5DF-0214-427A-927C-E40A9A13CE7C}"/>
    <cellStyle name="Shade 3 3 44" xfId="22058" xr:uid="{8D136212-069C-4291-985B-BF2EE8608032}"/>
    <cellStyle name="Shade 3 3 45" xfId="22486" xr:uid="{8B9ECD32-9C05-4548-9243-AACC1D6E0144}"/>
    <cellStyle name="Shade 3 3 46" xfId="22554" xr:uid="{74B70688-0B6F-4000-8FBB-8DC78A8D431F}"/>
    <cellStyle name="Shade 3 3 47" xfId="22030" xr:uid="{96188231-925D-4257-826B-D9D204254D67}"/>
    <cellStyle name="Shade 3 3 48" xfId="23239" xr:uid="{9142D996-AD1C-4FD4-9418-9D2F3C1B96D9}"/>
    <cellStyle name="Shade 3 3 49" xfId="23906" xr:uid="{DE9B82A7-C7E6-4F82-887E-5A62FDE5BC83}"/>
    <cellStyle name="Shade 3 3 5" xfId="1854" xr:uid="{3B24FB9E-B652-49D6-8C70-30144B34BB85}"/>
    <cellStyle name="Shade 3 3 50" xfId="24814" xr:uid="{14DBB53B-C54D-4ED7-BB06-FC2D4102F8A4}"/>
    <cellStyle name="Shade 3 3 51" xfId="25373" xr:uid="{D4C0F232-CF0C-4989-ADFA-34F9784A6D63}"/>
    <cellStyle name="Shade 3 3 52" xfId="25730" xr:uid="{AED6969C-F419-44FB-BCBA-7F4C08104135}"/>
    <cellStyle name="Shade 3 3 53" xfId="24981" xr:uid="{AA61FFFB-76FF-481E-AC42-43B6A85DD58F}"/>
    <cellStyle name="Shade 3 3 54" xfId="26544" xr:uid="{80FA0646-F4A5-47CA-9BDE-DCF40DDDCFB5}"/>
    <cellStyle name="Shade 3 3 55" xfId="27018" xr:uid="{9D96CCCA-024F-4159-BAA2-77542E60BEBD}"/>
    <cellStyle name="Shade 3 3 56" xfId="27437" xr:uid="{89272FD3-9D51-45CE-8151-938D8C1B7784}"/>
    <cellStyle name="Shade 3 3 57" xfId="27723" xr:uid="{15894A74-11AC-4039-936E-2F930550F93A}"/>
    <cellStyle name="Shade 3 3 58" xfId="28564" xr:uid="{698F09B8-5B1A-4B79-AF57-F06D8E84CB6A}"/>
    <cellStyle name="Shade 3 3 59" xfId="29031" xr:uid="{0CD73C02-7618-449B-8AF1-416EEB1C97A5}"/>
    <cellStyle name="Shade 3 3 6" xfId="3052" xr:uid="{8D9CB19B-12F9-4264-B1E3-6803E0E89AFB}"/>
    <cellStyle name="Shade 3 3 60" xfId="29495" xr:uid="{85EA004D-FE14-42AE-9980-C5475F2BD3CB}"/>
    <cellStyle name="Shade 3 3 61" xfId="29820" xr:uid="{FF18E9B8-707C-4619-BDD5-6AB7B51BE940}"/>
    <cellStyle name="Shade 3 3 62" xfId="30226" xr:uid="{DA304FED-9A2C-4987-A31B-BC0859B7DBEF}"/>
    <cellStyle name="Shade 3 3 63" xfId="30643" xr:uid="{1AC9D9FA-ADB2-4744-A7C4-CCCE25822BA4}"/>
    <cellStyle name="Shade 3 3 64" xfId="28229" xr:uid="{CFE71886-70AD-4E2D-ADF0-3CEF2DAB65F2}"/>
    <cellStyle name="Shade 3 3 65" xfId="31259" xr:uid="{CBC011C1-7BB9-46EA-A972-354F7BE4717F}"/>
    <cellStyle name="Shade 3 3 66" xfId="31950" xr:uid="{CA7C632B-F77E-4995-84D5-39F75318C737}"/>
    <cellStyle name="Shade 3 3 67" xfId="32289" xr:uid="{D7DE9DEB-6A22-4348-B80D-6E13F7D7C6E7}"/>
    <cellStyle name="Shade 3 3 7" xfId="4042" xr:uid="{68701958-9394-4732-B18A-60653CD4B152}"/>
    <cellStyle name="Shade 3 3 8" xfId="4479" xr:uid="{78BEC5FA-DBF5-4ECA-89DB-657BB02F3084}"/>
    <cellStyle name="Shade 3 3 9" xfId="3506" xr:uid="{3850C191-0D26-46DF-A264-33B01CE9E7DD}"/>
    <cellStyle name="Shade 4" xfId="284" xr:uid="{EB953D36-BF66-46E0-9596-5EF1795598C9}"/>
    <cellStyle name="Shade 4 10" xfId="3748" xr:uid="{312F175C-A1AE-42ED-B22A-3DCE65822502}"/>
    <cellStyle name="Shade 4 11" xfId="3687" xr:uid="{225AD2B5-1BC7-49FB-A3CA-3DBBF5374F9D}"/>
    <cellStyle name="Shade 4 12" xfId="3791" xr:uid="{EE6F9DEC-B717-495A-923B-C18905A9B6FB}"/>
    <cellStyle name="Shade 4 13" xfId="5050" xr:uid="{FD4BCEAB-C887-43CE-AC34-9D075227C93E}"/>
    <cellStyle name="Shade 4 14" xfId="5778" xr:uid="{9262E16C-6317-4B62-895E-C2DB0D8FA4C4}"/>
    <cellStyle name="Shade 4 15" xfId="3259" xr:uid="{5BBF55B9-E284-44A1-BA24-90C145D38032}"/>
    <cellStyle name="Shade 4 16" xfId="6424" xr:uid="{70F21858-5849-49D1-BDA3-92B43C460C0D}"/>
    <cellStyle name="Shade 4 17" xfId="7014" xr:uid="{5CEAB489-2D97-4081-B60D-E51B66A1398C}"/>
    <cellStyle name="Shade 4 18" xfId="6845" xr:uid="{F9292197-4B13-4670-9679-B1F59EB605FA}"/>
    <cellStyle name="Shade 4 19" xfId="8145" xr:uid="{2E636E04-5F20-480D-A7A5-6B5ED1AF932F}"/>
    <cellStyle name="Shade 4 2" xfId="43" xr:uid="{9BA786C0-DCF8-4424-A8B5-A1224CE3CE50}"/>
    <cellStyle name="Shade 4 2 2" xfId="621" xr:uid="{41EE2806-4D0E-4391-925A-DFD5DC735976}"/>
    <cellStyle name="Shade 4 2 2 10" xfId="5269" xr:uid="{3F82ED4D-A415-4089-9100-BA0FC3D3B58C}"/>
    <cellStyle name="Shade 4 2 2 11" xfId="4216" xr:uid="{0B0299CC-59BD-478A-BEFB-F90A3DBFFAAE}"/>
    <cellStyle name="Shade 4 2 2 12" xfId="6260" xr:uid="{57A272EA-A205-48D5-B704-DBE9917CEFD2}"/>
    <cellStyle name="Shade 4 2 2 13" xfId="6475" xr:uid="{9481C88E-10B4-47BA-B7C9-38F41E7A346B}"/>
    <cellStyle name="Shade 4 2 2 14" xfId="7341" xr:uid="{02D85AF5-412E-4AD0-929F-CA825F536E3C}"/>
    <cellStyle name="Shade 4 2 2 15" xfId="7033" xr:uid="{03091A81-884F-4D8B-98CA-0169609C0ADB}"/>
    <cellStyle name="Shade 4 2 2 16" xfId="7079" xr:uid="{06AA3DE8-85BB-4E85-83FB-9D93692BC688}"/>
    <cellStyle name="Shade 4 2 2 17" xfId="8010" xr:uid="{2B4C47D5-046A-4446-BBA8-DF057C549F72}"/>
    <cellStyle name="Shade 4 2 2 18" xfId="9555" xr:uid="{C430BD75-FE9F-4D47-ACCE-8BC50F89BF04}"/>
    <cellStyle name="Shade 4 2 2 19" xfId="9246" xr:uid="{899A50A5-DF98-4498-9DFA-A1AC91D85C9A}"/>
    <cellStyle name="Shade 4 2 2 2" xfId="1104" xr:uid="{9828058A-9925-475C-A18E-4B3245466EBD}"/>
    <cellStyle name="Shade 4 2 2 20" xfId="10118" xr:uid="{5DBE881A-4F3E-42B7-919A-5B0BBCA1E876}"/>
    <cellStyle name="Shade 4 2 2 21" xfId="10395" xr:uid="{176CE437-79B6-4E16-B5A5-CCE24CBBD451}"/>
    <cellStyle name="Shade 4 2 2 22" xfId="11091" xr:uid="{7F05505D-787B-4476-910E-778BBE002975}"/>
    <cellStyle name="Shade 4 2 2 23" xfId="11974" xr:uid="{F3B7BBFB-62EF-48E3-BBED-8623D32FEEE1}"/>
    <cellStyle name="Shade 4 2 2 24" xfId="12447" xr:uid="{BF88DDBD-8803-44F4-8820-12BAA80BD540}"/>
    <cellStyle name="Shade 4 2 2 25" xfId="12881" xr:uid="{F55D34BB-F045-4530-8297-70E18C80D9E7}"/>
    <cellStyle name="Shade 4 2 2 26" xfId="13318" xr:uid="{97E60C9E-570B-4CDD-AEA0-61527E96E3A5}"/>
    <cellStyle name="Shade 4 2 2 27" xfId="13882" xr:uid="{C17C2990-C536-47CC-9D82-05EAD180F00B}"/>
    <cellStyle name="Shade 4 2 2 28" xfId="14459" xr:uid="{5B8ABEE3-C572-4BE3-BBD5-BCE0192E5BAC}"/>
    <cellStyle name="Shade 4 2 2 29" xfId="11533" xr:uid="{8DD9BA85-D0E1-4531-B254-F500560BD433}"/>
    <cellStyle name="Shade 4 2 2 3" xfId="1653" xr:uid="{D92F6C7F-6807-4032-8662-180CC9CDE512}"/>
    <cellStyle name="Shade 4 2 2 30" xfId="14320" xr:uid="{5C81BF3A-8A51-4811-A6A2-09F4502BCA73}"/>
    <cellStyle name="Shade 4 2 2 31" xfId="15574" xr:uid="{61CA88CC-777C-49C5-8A10-6979F46F3D8C}"/>
    <cellStyle name="Shade 4 2 2 32" xfId="15455" xr:uid="{BC045BA0-54F3-45F3-B045-DC9956EF4583}"/>
    <cellStyle name="Shade 4 2 2 33" xfId="16666" xr:uid="{DF578482-85CC-491F-889E-599C47C7CDD5}"/>
    <cellStyle name="Shade 4 2 2 34" xfId="16356" xr:uid="{71CE64B0-D578-4C38-89A2-B96A04E0A48A}"/>
    <cellStyle name="Shade 4 2 2 35" xfId="17237" xr:uid="{4E2D0750-4611-4191-8D3E-7BE7F07D1A47}"/>
    <cellStyle name="Shade 4 2 2 36" xfId="17359" xr:uid="{BAB238FE-49F5-46C0-A357-209DD6C043E9}"/>
    <cellStyle name="Shade 4 2 2 37" xfId="18484" xr:uid="{4F6F1073-7280-40AD-BF55-C262A2AFE196}"/>
    <cellStyle name="Shade 4 2 2 38" xfId="18347" xr:uid="{531BFB3F-9E83-4385-A9E1-7EF20E1A53FC}"/>
    <cellStyle name="Shade 4 2 2 39" xfId="19282" xr:uid="{9F39ECBF-7749-4AC9-A64A-24EBB2F7A8A2}"/>
    <cellStyle name="Shade 4 2 2 4" xfId="2443" xr:uid="{1A919CD3-0C3F-44F2-8D82-A1C3124C77BA}"/>
    <cellStyle name="Shade 4 2 2 40" xfId="20003" xr:uid="{909553FE-7284-4674-8D63-BEB43F2F7845}"/>
    <cellStyle name="Shade 4 2 2 41" xfId="19689" xr:uid="{DE4F9310-F71E-48F3-BFE9-2F8A8F3FD131}"/>
    <cellStyle name="Shade 4 2 2 42" xfId="20698" xr:uid="{AAC14C46-8DB6-409B-8AF6-C3B759EF9855}"/>
    <cellStyle name="Shade 4 2 2 43" xfId="19550" xr:uid="{E1179BB8-AD6F-4DF6-8E74-632BC284F5DB}"/>
    <cellStyle name="Shade 4 2 2 44" xfId="21692" xr:uid="{96093811-335C-4661-84BE-33C306D1D69E}"/>
    <cellStyle name="Shade 4 2 2 45" xfId="22131" xr:uid="{DE30E4FC-5AA3-422A-B345-6209AD674CDB}"/>
    <cellStyle name="Shade 4 2 2 46" xfId="22864" xr:uid="{47570C76-94E3-4685-B50E-5EAC9E2B5335}"/>
    <cellStyle name="Shade 4 2 2 47" xfId="22182" xr:uid="{063E9135-530C-4D23-B6EA-8006184FD8DF}"/>
    <cellStyle name="Shade 4 2 2 48" xfId="23564" xr:uid="{0558A08E-060B-4604-B538-40905ED63648}"/>
    <cellStyle name="Shade 4 2 2 49" xfId="23812" xr:uid="{835001D6-D588-486A-8AF5-85BF0107F016}"/>
    <cellStyle name="Shade 4 2 2 5" xfId="3050" xr:uid="{A504AF00-9A01-423C-B568-18B2403BEB14}"/>
    <cellStyle name="Shade 4 2 2 50" xfId="24711" xr:uid="{CE127A83-5D92-4DC6-BB2E-E0841C91FA4F}"/>
    <cellStyle name="Shade 4 2 2 51" xfId="24400" xr:uid="{3A5F7BC6-2A35-49D6-8E82-83D604E1DC08}"/>
    <cellStyle name="Shade 4 2 2 52" xfId="25629" xr:uid="{91A198D1-0358-4744-BF74-2150CEF98B3C}"/>
    <cellStyle name="Shade 4 2 2 53" xfId="25976" xr:uid="{0DA7CEA2-3C1F-4716-8C15-C664DF664358}"/>
    <cellStyle name="Shade 4 2 2 54" xfId="26542" xr:uid="{237A8B9A-8B06-430A-9392-8A3ECB5B474F}"/>
    <cellStyle name="Shade 4 2 2 55" xfId="26919" xr:uid="{B9F9A494-E041-4D31-AF60-D0CEAE46C56C}"/>
    <cellStyle name="Shade 4 2 2 56" xfId="27338" xr:uid="{BE704801-DD62-4AC6-8B9B-433AA53006DD}"/>
    <cellStyle name="Shade 4 2 2 57" xfId="27766" xr:uid="{5AFF664A-3BF5-4A29-A82C-2BA8B1ADDF59}"/>
    <cellStyle name="Shade 4 2 2 58" xfId="28461" xr:uid="{C9185BE6-9E7C-4B97-BBB1-6037C9940BE1}"/>
    <cellStyle name="Shade 4 2 2 59" xfId="28929" xr:uid="{B6507EDD-887E-4829-A976-04F27BB6DB70}"/>
    <cellStyle name="Shade 4 2 2 6" xfId="2054" xr:uid="{38E19F98-8D61-4845-BAEC-DF04EC3735E4}"/>
    <cellStyle name="Shade 4 2 2 60" xfId="28781" xr:uid="{6E076EED-6505-45D0-A844-DE3A7D56BAA2}"/>
    <cellStyle name="Shade 4 2 2 61" xfId="29719" xr:uid="{41BFBF90-2699-402A-A50D-F741DFE3F6B5}"/>
    <cellStyle name="Shade 4 2 2 62" xfId="30127" xr:uid="{6091AA6E-CF25-453F-95BF-83BA2B7D063A}"/>
    <cellStyle name="Shade 4 2 2 63" xfId="30541" xr:uid="{CCF0AE29-51F1-4637-B2FF-4181D8D416E2}"/>
    <cellStyle name="Shade 4 2 2 64" xfId="30983" xr:uid="{FBCB2179-B2DD-4BAA-BE70-F5AB15AB5973}"/>
    <cellStyle name="Shade 4 2 2 65" xfId="31165" xr:uid="{B76C81D5-5511-4B80-9FFA-74C42DF6473A}"/>
    <cellStyle name="Shade 4 2 2 66" xfId="31851" xr:uid="{84C8EE33-35D9-496D-A299-2A7E8115F0C9}"/>
    <cellStyle name="Shade 4 2 2 67" xfId="31545" xr:uid="{84B3411A-3755-41B2-B8F1-69E9A1F844BF}"/>
    <cellStyle name="Shade 4 2 2 7" xfId="3939" xr:uid="{B31F0BE6-6656-41A6-B884-8C4496335560}"/>
    <cellStyle name="Shade 4 2 2 8" xfId="4377" xr:uid="{6AD95B14-B584-4341-A83C-A8233D05988D}"/>
    <cellStyle name="Shade 4 2 2 9" xfId="3742" xr:uid="{99AFA4CD-138D-4B57-838C-D57CE62CCDA1}"/>
    <cellStyle name="Shade 4 2 3" xfId="836" xr:uid="{65945B8D-A9C1-4D21-B472-DE84DF17E87D}"/>
    <cellStyle name="Shade 4 2 3 10" xfId="5484" xr:uid="{21A473AE-A5A5-4BD0-8E75-A0EEA752428E}"/>
    <cellStyle name="Shade 4 2 3 11" xfId="1819" xr:uid="{F2BE3ED5-26C1-4439-B6FD-21A4334905EF}"/>
    <cellStyle name="Shade 4 2 3 12" xfId="2218" xr:uid="{A39E7B14-72B8-4163-8F2B-6D68DE952A70}"/>
    <cellStyle name="Shade 4 2 3 13" xfId="6086" xr:uid="{9AD359E6-06AC-4D52-914E-9116193310EA}"/>
    <cellStyle name="Shade 4 2 3 14" xfId="7556" xr:uid="{8672F3C8-EF8E-4FF9-998B-742DDFFBF641}"/>
    <cellStyle name="Shade 4 2 3 15" xfId="7883" xr:uid="{49416BBE-E98A-4A24-B806-33D6D745CDEF}"/>
    <cellStyle name="Shade 4 2 3 16" xfId="8392" xr:uid="{A1434F88-AE97-4D71-8B61-5AE078076F90}"/>
    <cellStyle name="Shade 4 2 3 17" xfId="8859" xr:uid="{E3D846E8-870D-4BA1-9E6D-52223C679D76}"/>
    <cellStyle name="Shade 4 2 3 18" xfId="9770" xr:uid="{7D43F04F-530E-4E7D-BCFF-7FDD74A100E7}"/>
    <cellStyle name="Shade 4 2 3 19" xfId="10096" xr:uid="{E302C894-59A1-4C01-84D7-B36C45E2AB15}"/>
    <cellStyle name="Shade 4 2 3 2" xfId="1310" xr:uid="{69023C51-454B-44C5-BEE8-7962C8489024}"/>
    <cellStyle name="Shade 4 2 3 20" xfId="10512" xr:uid="{F1E688E3-375A-4CF6-A44A-7C4B4CAAF7F9}"/>
    <cellStyle name="Shade 4 2 3 21" xfId="10724" xr:uid="{51A21413-CEA0-4170-B6F7-0103B47482D6}"/>
    <cellStyle name="Shade 4 2 3 22" xfId="11140" xr:uid="{541A1B6F-0153-404B-B827-79D470074FBD}"/>
    <cellStyle name="Shade 4 2 3 23" xfId="12189" xr:uid="{9A52D54F-CBB4-4822-B764-505DAE21F5B3}"/>
    <cellStyle name="Shade 4 2 3 24" xfId="12662" xr:uid="{8238C481-72B1-460B-A673-417890EA3D8D}"/>
    <cellStyle name="Shade 4 2 3 25" xfId="13096" xr:uid="{E33F4CDC-6328-4334-97A3-6A581B7E13C0}"/>
    <cellStyle name="Shade 4 2 3 26" xfId="13533" xr:uid="{0CDFF2D0-3944-4500-986E-E5611DABAAE4}"/>
    <cellStyle name="Shade 4 2 3 27" xfId="11752" xr:uid="{BE522FA4-447C-43D1-8475-8F8BA332DB4E}"/>
    <cellStyle name="Shade 4 2 3 28" xfId="11522" xr:uid="{8D4EF0F0-3E80-4811-98F4-93DFEC021C55}"/>
    <cellStyle name="Shade 4 2 3 29" xfId="14746" xr:uid="{3CC802DD-F038-4FA4-B66D-9F6597C2758A}"/>
    <cellStyle name="Shade 4 2 3 3" xfId="1759" xr:uid="{8A129390-7252-4008-9D10-A20074FCE125}"/>
    <cellStyle name="Shade 4 2 3 30" xfId="15037" xr:uid="{9B8C0F5A-E6BA-41EF-A299-D5176BEC7719}"/>
    <cellStyle name="Shade 4 2 3 31" xfId="15655" xr:uid="{D699197C-6867-443B-8A34-FEB851A79C1B}"/>
    <cellStyle name="Shade 4 2 3 32" xfId="15907" xr:uid="{C33D8317-3F76-4195-8EA3-A25C5136D304}"/>
    <cellStyle name="Shade 4 2 3 33" xfId="16881" xr:uid="{9B519569-46B5-46FA-8C39-A606C13D9114}"/>
    <cellStyle name="Shade 4 2 3 34" xfId="17215" xr:uid="{4761E350-91B5-4468-BECD-68FC42F5EBD7}"/>
    <cellStyle name="Shade 4 2 3 35" xfId="17661" xr:uid="{DCF739D6-5987-4B0F-8A14-787A447DEFF1}"/>
    <cellStyle name="Shade 4 2 3 36" xfId="17568" xr:uid="{B3FCECC4-E0EC-4879-91DD-9304CF25C368}"/>
    <cellStyle name="Shade 4 2 3 37" xfId="18699" xr:uid="{3153EF37-B519-483E-995C-FEDAFA702266}"/>
    <cellStyle name="Shade 4 2 3 38" xfId="19022" xr:uid="{DF76A3C3-D965-4505-A4A4-EBCF37362DD2}"/>
    <cellStyle name="Shade 4 2 3 39" xfId="19222" xr:uid="{C57B4137-A6B1-47AD-AECE-E0364ECC2B19}"/>
    <cellStyle name="Shade 4 2 3 4" xfId="2658" xr:uid="{E958EB94-CA50-4D95-8D73-8C7A6194CBC2}"/>
    <cellStyle name="Shade 4 2 3 40" xfId="20218" xr:uid="{EB0EEAC6-132B-457B-9A7B-32AE97D4A5AE}"/>
    <cellStyle name="Shade 4 2 3 41" xfId="20568" xr:uid="{5894F2D7-2CCE-4D86-A99C-626B3555BD80}"/>
    <cellStyle name="Shade 4 2 3 42" xfId="21021" xr:uid="{EC49CBB0-92D7-470E-89D3-5ADAB4C5678C}"/>
    <cellStyle name="Shade 4 2 3 43" xfId="21319" xr:uid="{A8AACF7D-20DD-4B60-951F-8B75A8D084E3}"/>
    <cellStyle name="Shade 4 2 3 44" xfId="21952" xr:uid="{22ECDE7B-7C71-4C10-8C23-94F3243AE7E1}"/>
    <cellStyle name="Shade 4 2 3 45" xfId="22383" xr:uid="{50D5D662-0B39-4923-8A16-70B416047563}"/>
    <cellStyle name="Shade 4 2 3 46" xfId="22256" xr:uid="{69B91090-A8E3-4185-A603-7DB2D30410BA}"/>
    <cellStyle name="Shade 4 2 3 47" xfId="23301" xr:uid="{7CFF0582-CF09-428C-A12E-4D036025962D}"/>
    <cellStyle name="Shade 4 2 3 48" xfId="23621" xr:uid="{475D9355-6B9C-489D-A014-68F3585629D7}"/>
    <cellStyle name="Shade 4 2 3 49" xfId="24018" xr:uid="{21890C2B-2691-4FF3-8C7E-036BA54EA916}"/>
    <cellStyle name="Shade 4 2 3 5" xfId="2306" xr:uid="{42F78456-7D98-49AE-AD30-718B4833F9A5}"/>
    <cellStyle name="Shade 4 2 3 50" xfId="24926" xr:uid="{E1CCC6D0-7395-402C-B34F-045B8A95289C}"/>
    <cellStyle name="Shade 4 2 3 51" xfId="25276" xr:uid="{269B10A4-7631-4558-B6D9-E485B417DAA5}"/>
    <cellStyle name="Shade 4 2 3 52" xfId="25842" xr:uid="{46BFC6EC-10C5-4112-B791-6A5053A5CD7E}"/>
    <cellStyle name="Shade 4 2 3 53" xfId="25505" xr:uid="{0A445475-34B2-48A9-A2E5-EEA5A899A980}"/>
    <cellStyle name="Shade 4 2 3 54" xfId="26487" xr:uid="{FAE94F2F-F674-45BC-8618-72A3734954F1}"/>
    <cellStyle name="Shade 4 2 3 55" xfId="27130" xr:uid="{49985267-A2D8-422F-B514-FFD9E20A8103}"/>
    <cellStyle name="Shade 4 2 3 56" xfId="27549" xr:uid="{4B5FF456-BA02-46D9-94D0-9F778A7F9E63}"/>
    <cellStyle name="Shade 4 2 3 57" xfId="26724" xr:uid="{5A1E5652-8A77-411E-AED9-ECC93F8150B6}"/>
    <cellStyle name="Shade 4 2 3 58" xfId="28676" xr:uid="{BCC13533-A0CC-4A37-ADA2-F514A49E6701}"/>
    <cellStyle name="Shade 4 2 3 59" xfId="29143" xr:uid="{3CE9677F-A669-4E83-8D07-ADA671E8CED9}"/>
    <cellStyle name="Shade 4 2 3 6" xfId="1985" xr:uid="{3061383A-3A59-4B02-82B0-4468DF49165E}"/>
    <cellStyle name="Shade 4 2 3 60" xfId="29404" xr:uid="{58F2A357-57CB-468C-B91E-F4BED52AD81F}"/>
    <cellStyle name="Shade 4 2 3 61" xfId="29932" xr:uid="{78196A9A-BCE9-43FC-98AF-F1B639170E8E}"/>
    <cellStyle name="Shade 4 2 3 62" xfId="30338" xr:uid="{8C8BC864-DEDD-4FF1-B8BA-A3FE9E52CAFA}"/>
    <cellStyle name="Shade 4 2 3 63" xfId="30755" xr:uid="{F4100725-10B7-445E-ACBA-94DFDF89834F}"/>
    <cellStyle name="Shade 4 2 3 64" xfId="29267" xr:uid="{E398181D-0845-4D95-B818-850D074BD694}"/>
    <cellStyle name="Shade 4 2 3 65" xfId="31371" xr:uid="{24E75A5C-4A4E-4DF7-886F-6A63419DA2E7}"/>
    <cellStyle name="Shade 4 2 3 66" xfId="32062" xr:uid="{F890A252-59A2-417C-A674-2AC36F0ACEB1}"/>
    <cellStyle name="Shade 4 2 3 67" xfId="32119" xr:uid="{3C748CEE-A868-4994-B86A-E298F327FCD0}"/>
    <cellStyle name="Shade 4 2 3 7" xfId="4154" xr:uid="{EF83B197-AEAA-4795-A0A6-717F5270C8F4}"/>
    <cellStyle name="Shade 4 2 3 8" xfId="4591" xr:uid="{BF55BE41-B281-4AD6-9425-2BC6B9BAED5B}"/>
    <cellStyle name="Shade 4 2 3 9" xfId="3004" xr:uid="{AE7E9AAC-E148-4B7F-A4AA-C637C7DD83C6}"/>
    <cellStyle name="Shade 4 20" xfId="8814" xr:uid="{71E54DBA-1B3B-41FB-B876-E921F2DCEE79}"/>
    <cellStyle name="Shade 4 21" xfId="9227" xr:uid="{A63D6033-D487-40EB-888D-1453D4CBC455}"/>
    <cellStyle name="Shade 4 22" xfId="9167" xr:uid="{0753E33B-0BC6-485B-AAB8-6DAC30C382B0}"/>
    <cellStyle name="Shade 4 23" xfId="10255" xr:uid="{F47DFD76-9061-4329-9853-4E9A4F689A99}"/>
    <cellStyle name="Shade 4 24" xfId="9361" xr:uid="{7434759A-7659-4DBD-80C8-AFB1B61B512A}"/>
    <cellStyle name="Shade 4 25" xfId="10338" xr:uid="{A73C0262-8963-47CD-A45D-338A1E06B4BF}"/>
    <cellStyle name="Shade 4 26" xfId="11640" xr:uid="{C33882CF-F6E9-4EA1-BBD9-6F924063CA5C}"/>
    <cellStyle name="Shade 4 27" xfId="11761" xr:uid="{CB7AADF3-96A7-4FA7-8A43-301789FE1462}"/>
    <cellStyle name="Shade 4 28" xfId="11445" xr:uid="{FC605319-2860-47B0-B6B8-B310A03FFC10}"/>
    <cellStyle name="Shade 4 29" xfId="11756" xr:uid="{0CE155C9-714E-4C22-A8B1-E1DBE4524129}"/>
    <cellStyle name="Shade 4 3" xfId="650" xr:uid="{35E3DA42-9FA6-4C5F-9EC9-125225FA13A3}"/>
    <cellStyle name="Shade 4 3 10" xfId="4890" xr:uid="{67918929-C6B3-4C30-AA68-EE648D014BF9}"/>
    <cellStyle name="Shade 4 3 11" xfId="5298" xr:uid="{92FC0653-41D5-4280-851B-D88008E175DD}"/>
    <cellStyle name="Shade 4 3 12" xfId="3812" xr:uid="{646654FF-8654-463B-A3AC-E0D7DFFBC624}"/>
    <cellStyle name="Shade 4 3 13" xfId="5881" xr:uid="{8214913F-57A2-4C18-BF2D-D1D69461113F}"/>
    <cellStyle name="Shade 4 3 14" xfId="6636" xr:uid="{C9EC1CCD-370A-490D-8A46-6AA2CD7E7A26}"/>
    <cellStyle name="Shade 4 3 15" xfId="7370" xr:uid="{2EE3C698-CAF7-4108-9725-D5248CC9335C}"/>
    <cellStyle name="Shade 4 3 16" xfId="6911" xr:uid="{F4F63CB1-9AB2-4625-B349-AA97994AB472}"/>
    <cellStyle name="Shade 4 3 17" xfId="7616" xr:uid="{D2823FE7-979D-4B1A-B3AC-5A1AF43D22F4}"/>
    <cellStyle name="Shade 4 3 18" xfId="8752" xr:uid="{42BA480F-A170-484F-B9DB-8ED99763EB14}"/>
    <cellStyle name="Shade 4 3 19" xfId="9584" xr:uid="{94C32DE1-4CC4-4811-9252-DF4C8BCE7E9A}"/>
    <cellStyle name="Shade 4 3 2" xfId="865" xr:uid="{0CCCCB93-CAF1-4478-8FD7-485BB4FB1CB6}"/>
    <cellStyle name="Shade 4 3 2 10" xfId="5513" xr:uid="{C11BFA03-EBBA-4ED2-A09F-86A831331E2E}"/>
    <cellStyle name="Shade 4 3 2 11" xfId="5876" xr:uid="{3DA02EBB-0B5B-462D-8959-CE75199CEA5B}"/>
    <cellStyle name="Shade 4 3 2 12" xfId="5927" xr:uid="{C16C5B1F-641F-44C5-AEEF-D0D2E14F9E6D}"/>
    <cellStyle name="Shade 4 3 2 13" xfId="6687" xr:uid="{6A6E33FE-9EFD-483B-8CA5-0F9D5F4D3E72}"/>
    <cellStyle name="Shade 4 3 2 14" xfId="7585" xr:uid="{6CE79E90-16F9-4EB3-91A1-2BE8377F53D1}"/>
    <cellStyle name="Shade 4 3 2 15" xfId="6827" xr:uid="{0DAE1268-2B4D-4DA4-8AD6-9FC2A898B944}"/>
    <cellStyle name="Shade 4 3 2 16" xfId="8257" xr:uid="{11897CFB-FAA0-4C00-B399-3293B51B3906}"/>
    <cellStyle name="Shade 4 3 2 17" xfId="8614" xr:uid="{E4BBDC10-FA20-435D-86FB-37FC426D9F10}"/>
    <cellStyle name="Shade 4 3 2 18" xfId="9799" xr:uid="{A6C75011-CA08-4F2F-A3C8-C17137C26018}"/>
    <cellStyle name="Shade 4 3 2 19" xfId="9152" xr:uid="{5B30D071-5261-4A77-A1C3-0D3C1ABD886E}"/>
    <cellStyle name="Shade 4 3 2 2" xfId="1339" xr:uid="{DC736DF1-8C8E-4C44-9BCF-B9F9B52BA830}"/>
    <cellStyle name="Shade 4 3 2 20" xfId="8979" xr:uid="{07E73D7E-DA66-4A75-9083-D991BAB828A3}"/>
    <cellStyle name="Shade 4 3 2 21" xfId="10022" xr:uid="{E3440E3C-41A7-4C82-8472-5DC6EC6060D2}"/>
    <cellStyle name="Shade 4 3 2 22" xfId="11304" xr:uid="{BD35E1DD-B97E-43E5-A571-AD8D89C118B3}"/>
    <cellStyle name="Shade 4 3 2 23" xfId="12218" xr:uid="{59741CCA-EF39-440F-9C7A-88B266AA1D10}"/>
    <cellStyle name="Shade 4 3 2 24" xfId="12691" xr:uid="{255EFEB3-ABE3-4009-9B93-63FFDF415779}"/>
    <cellStyle name="Shade 4 3 2 25" xfId="13125" xr:uid="{49B7F14E-28DF-46DD-9FB8-D848EDCB6D28}"/>
    <cellStyle name="Shade 4 3 2 26" xfId="13562" xr:uid="{13A8F020-2233-413C-9DC4-847F989A1090}"/>
    <cellStyle name="Shade 4 3 2 27" xfId="13160" xr:uid="{0CAAED36-0614-46AF-ACA0-2636984E7942}"/>
    <cellStyle name="Shade 4 3 2 28" xfId="14481" xr:uid="{A960272B-EB26-427F-B6ED-9BC6D3153422}"/>
    <cellStyle name="Shade 4 3 2 29" xfId="13847" xr:uid="{6DF4AB7F-284C-488E-A529-6079C2C29D67}"/>
    <cellStyle name="Shade 4 3 2 3" xfId="1788" xr:uid="{995E9389-935C-426B-A07A-07C93A2B55EA}"/>
    <cellStyle name="Shade 4 3 2 30" xfId="15231" xr:uid="{DD11C862-5FD3-49E1-960A-94502C1F6143}"/>
    <cellStyle name="Shade 4 3 2 31" xfId="15752" xr:uid="{C635BE33-EABF-4344-ABE0-02DE23F4E4D9}"/>
    <cellStyle name="Shade 4 3 2 32" xfId="15460" xr:uid="{235C3762-5BF0-4675-AC4B-B2DBE385CBEC}"/>
    <cellStyle name="Shade 4 3 2 33" xfId="16910" xr:uid="{69F0025D-342F-490A-8579-8AFD050E3511}"/>
    <cellStyle name="Shade 4 3 2 34" xfId="16140" xr:uid="{E7A32548-CD25-4C77-B2A0-45BB006F7E0C}"/>
    <cellStyle name="Shade 4 3 2 35" xfId="16155" xr:uid="{2E68A3EE-B8D5-4677-92B8-AE2600D28637}"/>
    <cellStyle name="Shade 4 3 2 36" xfId="16215" xr:uid="{55D92701-1407-4030-AD49-6A4120ED545C}"/>
    <cellStyle name="Shade 4 3 2 37" xfId="18728" xr:uid="{67229941-1439-45DB-AF2D-0AFF7F087E32}"/>
    <cellStyle name="Shade 4 3 2 38" xfId="18014" xr:uid="{C9CA2B2E-3582-4195-9A58-FB106C79A100}"/>
    <cellStyle name="Shade 4 3 2 39" xfId="18351" xr:uid="{06569F2F-FC39-4CA1-AE54-FCCA42126623}"/>
    <cellStyle name="Shade 4 3 2 4" xfId="2687" xr:uid="{85CAE270-E899-461D-9AA7-6AAB8A9F50F9}"/>
    <cellStyle name="Shade 4 3 2 40" xfId="20247" xr:uid="{700006B8-E98D-410C-A488-2A1236693488}"/>
    <cellStyle name="Shade 4 3 2 41" xfId="19766" xr:uid="{754CD314-9660-45FE-9B95-7F62D53EC2F1}"/>
    <cellStyle name="Shade 4 3 2 42" xfId="20424" xr:uid="{F800B22E-0D4F-4B02-9F5A-D1E056D8EFB4}"/>
    <cellStyle name="Shade 4 3 2 43" xfId="21607" xr:uid="{5C66B3C6-C845-484F-A29A-194D98855797}"/>
    <cellStyle name="Shade 4 3 2 44" xfId="19827" xr:uid="{14CCAB55-ACB4-4C29-9C8D-E86A2FE89F76}"/>
    <cellStyle name="Shade 4 3 2 45" xfId="19729" xr:uid="{555CEAE1-B3E7-4ADA-9DFC-079F35858469}"/>
    <cellStyle name="Shade 4 3 2 46" xfId="22323" xr:uid="{D0A6C1ED-EC50-4F9E-A8A1-285F9FA9CB59}"/>
    <cellStyle name="Shade 4 3 2 47" xfId="22516" xr:uid="{316DF946-BD29-4412-9440-9EE6784DD690}"/>
    <cellStyle name="Shade 4 3 2 48" xfId="23191" xr:uid="{06543071-696F-4203-9F6B-F0CA04822AB0}"/>
    <cellStyle name="Shade 4 3 2 49" xfId="24047" xr:uid="{4A152B3A-CA5B-4987-967B-34F5D32E1B2D}"/>
    <cellStyle name="Shade 4 3 2 5" xfId="2144" xr:uid="{D2843F59-0E48-4EDA-92D7-0B22AB3026FC}"/>
    <cellStyle name="Shade 4 3 2 50" xfId="24955" xr:uid="{AE9A5F56-AEFC-4DD3-AA86-B06068A69E08}"/>
    <cellStyle name="Shade 4 3 2 51" xfId="24193" xr:uid="{39358BC1-41D5-4456-BAA4-1F25887DB8E4}"/>
    <cellStyle name="Shade 4 3 2 52" xfId="25871" xr:uid="{AD23FDF6-C2E2-4DAC-B0DE-D292BC690D44}"/>
    <cellStyle name="Shade 4 3 2 53" xfId="24599" xr:uid="{FA9091DC-E900-45C0-A5CF-F4CC57D4E3BE}"/>
    <cellStyle name="Shade 4 3 2 54" xfId="26738" xr:uid="{C7A3DC1B-85CE-4B7B-8058-DA07F6EC9294}"/>
    <cellStyle name="Shade 4 3 2 55" xfId="27159" xr:uid="{0C613AF9-4E20-4627-965B-86B55EA264F8}"/>
    <cellStyle name="Shade 4 3 2 56" xfId="27578" xr:uid="{8C29E558-6A3E-45CF-8295-BE9AFDFD28ED}"/>
    <cellStyle name="Shade 4 3 2 57" xfId="26670" xr:uid="{FB66BBC8-52C2-41B3-837F-10B761439B53}"/>
    <cellStyle name="Shade 4 3 2 58" xfId="28705" xr:uid="{3B8F439E-6C73-4086-B99E-9731E988A3AE}"/>
    <cellStyle name="Shade 4 3 2 59" xfId="29172" xr:uid="{BBB24D93-181F-4BE1-A4B8-461D10936A8C}"/>
    <cellStyle name="Shade 4 3 2 6" xfId="2731" xr:uid="{78C30A9F-50A6-4685-A177-CE568C6BC5D9}"/>
    <cellStyle name="Shade 4 3 2 60" xfId="28315" xr:uid="{B952AB14-D466-479E-BE55-8EB6C82C211F}"/>
    <cellStyle name="Shade 4 3 2 61" xfId="29961" xr:uid="{8E694370-79DF-4EEF-A513-A053E0827365}"/>
    <cellStyle name="Shade 4 3 2 62" xfId="30367" xr:uid="{A20FB3EF-A1D9-412A-969B-CAA3ACF038C7}"/>
    <cellStyle name="Shade 4 3 2 63" xfId="30784" xr:uid="{D868B9E9-F37C-4A19-B684-7B192210E0BE}"/>
    <cellStyle name="Shade 4 3 2 64" xfId="31029" xr:uid="{4D9CD63E-4E0A-461F-81EE-A125E5EEC50D}"/>
    <cellStyle name="Shade 4 3 2 65" xfId="31400" xr:uid="{1F6B8697-4622-4329-84BE-A5EDE57AAD84}"/>
    <cellStyle name="Shade 4 3 2 66" xfId="32091" xr:uid="{DE20A10A-9330-4CAA-9EBA-39BABF6CA46F}"/>
    <cellStyle name="Shade 4 3 2 67" xfId="31540" xr:uid="{55BCE106-0723-48A9-A0FC-A221328D959F}"/>
    <cellStyle name="Shade 4 3 2 7" xfId="4183" xr:uid="{8666076A-1369-4382-BA0D-478000E4F185}"/>
    <cellStyle name="Shade 4 3 2 8" xfId="4620" xr:uid="{42F24AC0-D4B2-492A-9DB1-1EE83E6765D3}"/>
    <cellStyle name="Shade 4 3 2 9" xfId="5066" xr:uid="{9F979730-AB62-45B5-8D79-94F9FD00F7FC}"/>
    <cellStyle name="Shade 4 3 20" xfId="9124" xr:uid="{FB7B25C5-62E0-435C-A83B-63E272B34B6B}"/>
    <cellStyle name="Shade 4 3 21" xfId="9066" xr:uid="{63C92A61-A338-4D1C-A5C1-16F7575B4019}"/>
    <cellStyle name="Shade 4 3 22" xfId="10726" xr:uid="{B142516E-360C-42EA-875E-F62141DDEADC}"/>
    <cellStyle name="Shade 4 3 23" xfId="11167" xr:uid="{812F3514-64B3-4A80-BAD1-5EAD1C890E69}"/>
    <cellStyle name="Shade 4 3 24" xfId="12003" xr:uid="{2C1C25B5-F469-4C10-9F14-3D0C22CD8458}"/>
    <cellStyle name="Shade 4 3 25" xfId="12476" xr:uid="{F6450C63-DA9C-4EE6-B878-9B932FF289A1}"/>
    <cellStyle name="Shade 4 3 26" xfId="12910" xr:uid="{7D10BC6B-4DBE-4027-8C07-B60CEE97F34F}"/>
    <cellStyle name="Shade 4 3 27" xfId="13347" xr:uid="{D7EE9EE6-DD0F-4EE5-B6C2-F3A7AC6DCA62}"/>
    <cellStyle name="Shade 4 3 28" xfId="13723" xr:uid="{F0A159EF-2A6D-42B8-8D32-C89FA81C93F5}"/>
    <cellStyle name="Shade 4 3 29" xfId="14441" xr:uid="{378A2BF9-1A67-4E49-A975-1CABDDEBE2A6}"/>
    <cellStyle name="Shade 4 3 3" xfId="1133" xr:uid="{BE455EAF-34CB-43E7-AD45-AC2C8DD619EB}"/>
    <cellStyle name="Shade 4 3 30" xfId="14362" xr:uid="{74895EF0-FAD6-4B9D-8AC2-B577005A26B8}"/>
    <cellStyle name="Shade 4 3 31" xfId="14899" xr:uid="{690430FE-6410-4772-B9F1-B62DE1EAFAF7}"/>
    <cellStyle name="Shade 4 3 32" xfId="11505" xr:uid="{680D0AA0-6DB1-4154-888B-2EEBD137817F}"/>
    <cellStyle name="Shade 4 3 33" xfId="15195" xr:uid="{35C69254-AEA7-4F96-BAF5-11C6E3537B5F}"/>
    <cellStyle name="Shade 4 3 34" xfId="16695" xr:uid="{47C9BE36-924A-4D8C-9F5A-3CF59EF22E4F}"/>
    <cellStyle name="Shade 4 3 35" xfId="16228" xr:uid="{BE20945A-3144-4D18-AD07-993C2C88CDC5}"/>
    <cellStyle name="Shade 4 3 36" xfId="16059" xr:uid="{09B62851-0681-40B8-88BB-42C18E0B1998}"/>
    <cellStyle name="Shade 4 3 37" xfId="16112" xr:uid="{32E77284-1DD8-4BD1-9C8A-EDFFC306B6CE}"/>
    <cellStyle name="Shade 4 3 38" xfId="18513" xr:uid="{C51BA409-3049-488E-AA43-49526F5A15F0}"/>
    <cellStyle name="Shade 4 3 39" xfId="18842" xr:uid="{D20D8D34-C063-4596-A9A0-42FF1F4A0C29}"/>
    <cellStyle name="Shade 4 3 4" xfId="1371" xr:uid="{E04B1BE2-227E-45E6-9CEA-A7C43EA8FCBD}"/>
    <cellStyle name="Shade 4 3 40" xfId="19216" xr:uid="{47E7C19F-E645-4823-B873-1D124664FF29}"/>
    <cellStyle name="Shade 4 3 41" xfId="20032" xr:uid="{7E89FB39-AA2E-4D75-B57F-1C1D891A98A4}"/>
    <cellStyle name="Shade 4 3 42" xfId="19561" xr:uid="{223F916E-E556-40C0-802B-9C718841A818}"/>
    <cellStyle name="Shade 4 3 43" xfId="20693" xr:uid="{64C46300-63DB-420B-A34E-7A9DE4E4838F}"/>
    <cellStyle name="Shade 4 3 44" xfId="21001" xr:uid="{8932C9D6-D641-4043-8A9C-3D98059CABC8}"/>
    <cellStyle name="Shade 4 3 45" xfId="21660" xr:uid="{53AF5D50-288F-40F6-8394-26A202D44BBC}"/>
    <cellStyle name="Shade 4 3 46" xfId="21926" xr:uid="{842F7485-93BC-4942-A0B8-FF7A4EC6D59F}"/>
    <cellStyle name="Shade 4 3 47" xfId="22719" xr:uid="{CD483033-2E71-4988-8A8D-787FD040950A}"/>
    <cellStyle name="Shade 4 3 48" xfId="23118" xr:uid="{4FC82E1D-A5BC-4934-A526-BDEC094E4D80}"/>
    <cellStyle name="Shade 4 3 49" xfId="23636" xr:uid="{FF8F9D38-0A7E-4F28-AD55-BCBAD79EC19E}"/>
    <cellStyle name="Shade 4 3 5" xfId="2472" xr:uid="{572D0112-B46D-4E2F-8681-0AE50E9D3108}"/>
    <cellStyle name="Shade 4 3 50" xfId="23841" xr:uid="{6135DB7A-971E-46DD-B5BA-1623CB2AE753}"/>
    <cellStyle name="Shade 4 3 51" xfId="24740" xr:uid="{474B054F-F635-4CEB-8852-B0C6BF65FD63}"/>
    <cellStyle name="Shade 4 3 52" xfId="24282" xr:uid="{2D61FC70-04EB-4E40-9AEF-023478A8EF20}"/>
    <cellStyle name="Shade 4 3 53" xfId="25658" xr:uid="{C8784F48-1F4C-432E-974E-7A73ED4EAC66}"/>
    <cellStyle name="Shade 4 3 54" xfId="26023" xr:uid="{8E7792FD-627A-4EA9-B842-A494E10AE46E}"/>
    <cellStyle name="Shade 4 3 55" xfId="25157" xr:uid="{D4D2F851-D2DA-4F31-A4BF-F0E4842236D4}"/>
    <cellStyle name="Shade 4 3 56" xfId="26948" xr:uid="{A3A60119-6605-4AAF-86C3-69434579632E}"/>
    <cellStyle name="Shade 4 3 57" xfId="27367" xr:uid="{02627232-5F19-4E12-BF18-12346A0AF70A}"/>
    <cellStyle name="Shade 4 3 58" xfId="26691" xr:uid="{361CF50E-B1C6-4BEA-8FD4-890C66AD9286}"/>
    <cellStyle name="Shade 4 3 59" xfId="28490" xr:uid="{D39FF9C5-2EF0-498D-9048-E24363BBE54E}"/>
    <cellStyle name="Shade 4 3 6" xfId="2888" xr:uid="{9C7CC9CA-FEFB-43B4-8E7F-1F3219CBE8DC}"/>
    <cellStyle name="Shade 4 3 60" xfId="28958" xr:uid="{0C89CF8D-EAFA-4511-887D-98EF317EE837}"/>
    <cellStyle name="Shade 4 3 61" xfId="27919" xr:uid="{6306B99E-3377-45FA-AC3D-0E254C60F765}"/>
    <cellStyle name="Shade 4 3 62" xfId="29748" xr:uid="{83586226-985C-4D63-80B5-736E798B74C2}"/>
    <cellStyle name="Shade 4 3 63" xfId="30156" xr:uid="{C5579C18-7542-4EC7-8E0F-4950C3251646}"/>
    <cellStyle name="Shade 4 3 64" xfId="30570" xr:uid="{449330D7-CD37-4325-9F43-7EEA8063C535}"/>
    <cellStyle name="Shade 4 3 65" xfId="30849" xr:uid="{BCA180F2-A488-4377-9B13-4247356C8641}"/>
    <cellStyle name="Shade 4 3 66" xfId="31194" xr:uid="{8289BB31-791B-455C-9B2A-4B274648F816}"/>
    <cellStyle name="Shade 4 3 67" xfId="31880" xr:uid="{81DB938F-B8BA-4CCE-88AD-64A67570EA75}"/>
    <cellStyle name="Shade 4 3 68" xfId="31508" xr:uid="{D94705A2-E98F-4BF8-A085-770CB13E3B4C}"/>
    <cellStyle name="Shade 4 3 7" xfId="3346" xr:uid="{7CF29484-94F4-452B-ACDA-924C162210CF}"/>
    <cellStyle name="Shade 4 3 8" xfId="3968" xr:uid="{B26C76F1-AD27-42BE-89AF-11B84EA5B6E3}"/>
    <cellStyle name="Shade 4 3 9" xfId="4406" xr:uid="{B6B717A6-4846-4808-8197-9C187E828FD9}"/>
    <cellStyle name="Shade 4 30" xfId="13156" xr:uid="{D5EBD92C-A5D4-4578-AF6D-CF0072922691}"/>
    <cellStyle name="Shade 4 31" xfId="13797" xr:uid="{2C2411D0-C438-47D8-BE70-E421599FCEEB}"/>
    <cellStyle name="Shade 4 32" xfId="13878" xr:uid="{F5884733-5A1D-4E23-ADC2-55E5A3E4B467}"/>
    <cellStyle name="Shade 4 33" xfId="15191" xr:uid="{8D050294-34C5-4EB9-97B5-E4C0B555BC11}"/>
    <cellStyle name="Shade 4 34" xfId="13644" xr:uid="{A3513CD6-6327-4D80-9CF0-5D3A7E3D2CA6}"/>
    <cellStyle name="Shade 4 35" xfId="15649" xr:uid="{E72CE880-D9AE-46D4-923B-70340C560BCB}"/>
    <cellStyle name="Shade 4 36" xfId="16335" xr:uid="{2875AD0D-DECD-4338-8BD6-3E35D011B6CF}"/>
    <cellStyle name="Shade 4 37" xfId="16160" xr:uid="{A910B2F7-147B-4BA1-A302-D3F68323943E}"/>
    <cellStyle name="Shade 4 38" xfId="17074" xr:uid="{249D451B-DE23-469D-92A6-0E9A2FB392A6}"/>
    <cellStyle name="Shade 4 39" xfId="18238" xr:uid="{AFAB4D21-6A8F-421F-A715-3B3300FEDD29}"/>
    <cellStyle name="Shade 4 4" xfId="512" xr:uid="{EACB4E6F-8335-4AEF-B50B-19AD6984E16F}"/>
    <cellStyle name="Shade 4 4 10" xfId="4856" xr:uid="{6F568B36-B8FE-4C5A-8CE6-33A2B7B9E68E}"/>
    <cellStyle name="Shade 4 4 11" xfId="5160" xr:uid="{C124A710-8195-4CAF-83D0-B4AD30C896FA}"/>
    <cellStyle name="Shade 4 4 12" xfId="5830" xr:uid="{CC1AE6C6-5CBD-41B1-9DDC-D4F2A5D57BCD}"/>
    <cellStyle name="Shade 4 4 13" xfId="4995" xr:uid="{27623A89-7562-40D8-9F4A-E9FE3EA11455}"/>
    <cellStyle name="Shade 4 4 14" xfId="6365" xr:uid="{53623837-D21E-49DC-BF38-957B07EEAD74}"/>
    <cellStyle name="Shade 4 4 15" xfId="7232" xr:uid="{53509CF4-3322-45FE-B99C-E8AA80E47B58}"/>
    <cellStyle name="Shade 4 4 16" xfId="7957" xr:uid="{EA371B5E-D1A7-4218-AA7D-210892321F8D}"/>
    <cellStyle name="Shade 4 4 17" xfId="8599" xr:uid="{06BA6FC3-8B2C-4195-B7DC-AE007A94E8F4}"/>
    <cellStyle name="Shade 4 4 18" xfId="8283" xr:uid="{7091AEC1-09CE-4ED1-8E0E-F1BE8DB5743B}"/>
    <cellStyle name="Shade 4 4 19" xfId="9446" xr:uid="{7A0E05FA-0395-4C95-AA45-7A387D351F7F}"/>
    <cellStyle name="Shade 4 4 2" xfId="727" xr:uid="{6FA1D84B-6641-48AB-8FC3-20AA1A7FCBE9}"/>
    <cellStyle name="Shade 4 4 2 10" xfId="5375" xr:uid="{0204DC99-2244-4C35-AA55-8C830965DD72}"/>
    <cellStyle name="Shade 4 4 2 11" xfId="5008" xr:uid="{3E43F943-576B-42E4-B03F-79623C79C5B4}"/>
    <cellStyle name="Shade 4 4 2 12" xfId="6165" xr:uid="{7080A055-9CAE-4ABD-99A2-C16A7DA0DF49}"/>
    <cellStyle name="Shade 4 4 2 13" xfId="6542" xr:uid="{69B5A0AD-215D-4056-BBEE-2D8AD4B76B45}"/>
    <cellStyle name="Shade 4 4 2 14" xfId="7447" xr:uid="{52EBFD5F-8E5B-4367-9422-18A615788219}"/>
    <cellStyle name="Shade 4 4 2 15" xfId="7885" xr:uid="{914CDCD9-6087-4BA8-895B-C768BAAD3100}"/>
    <cellStyle name="Shade 4 4 2 16" xfId="8596" xr:uid="{314F852B-DBDB-44F2-8CAC-22171629FB68}"/>
    <cellStyle name="Shade 4 4 2 17" xfId="8757" xr:uid="{851357B3-07DD-4E2E-97BE-5F8860041750}"/>
    <cellStyle name="Shade 4 4 2 18" xfId="9661" xr:uid="{00707515-C434-4E6F-80F3-044DDD358504}"/>
    <cellStyle name="Shade 4 4 2 19" xfId="10098" xr:uid="{D0A36FCF-024C-48C8-99BA-392A933CC9E2}"/>
    <cellStyle name="Shade 4 4 2 2" xfId="1201" xr:uid="{5978F244-2256-4389-9551-57BA091EAEFD}"/>
    <cellStyle name="Shade 4 4 2 20" xfId="10514" xr:uid="{76AA2C48-6FBF-431E-B1A1-DF6788EF7A2F}"/>
    <cellStyle name="Shade 4 4 2 21" xfId="10789" xr:uid="{B5A12FFB-B5EB-400E-8CAE-7CB3D1627356}"/>
    <cellStyle name="Shade 4 4 2 22" xfId="11087" xr:uid="{A2F0A546-4877-4A1F-811D-34A670A002E1}"/>
    <cellStyle name="Shade 4 4 2 23" xfId="12080" xr:uid="{59D826F3-0CAA-4AB9-A8F7-D89666368363}"/>
    <cellStyle name="Shade 4 4 2 24" xfId="12553" xr:uid="{EA3E7FB5-C638-4E3A-B20F-0107223FEDED}"/>
    <cellStyle name="Shade 4 4 2 25" xfId="12987" xr:uid="{A2DE66BC-1216-4160-B700-3AD2E0203338}"/>
    <cellStyle name="Shade 4 4 2 26" xfId="13424" xr:uid="{FBE0A126-2A72-4FE9-B281-09D1EFAADF02}"/>
    <cellStyle name="Shade 4 4 2 27" xfId="13762" xr:uid="{8497D0B7-6693-40B5-B456-0B471C523839}"/>
    <cellStyle name="Shade 4 4 2 28" xfId="13165" xr:uid="{2D66B497-921B-4B19-8AA4-327DBB9B2028}"/>
    <cellStyle name="Shade 4 4 2 29" xfId="14748" xr:uid="{EDACBB4D-68F0-4336-8177-26729A7139EB}"/>
    <cellStyle name="Shade 4 4 2 3" xfId="1442" xr:uid="{7D608337-71C9-4EFF-AEFD-D7BD58F2CA10}"/>
    <cellStyle name="Shade 4 4 2 30" xfId="15087" xr:uid="{89BF7108-F00E-4915-BC09-1196E60F9BA3}"/>
    <cellStyle name="Shade 4 4 2 31" xfId="15696" xr:uid="{B64A76E8-35E2-42D3-B336-F29EA21B8893}"/>
    <cellStyle name="Shade 4 4 2 32" xfId="15909" xr:uid="{76FA9F6F-D692-425B-8029-21C396A3A78B}"/>
    <cellStyle name="Shade 4 4 2 33" xfId="16772" xr:uid="{E26CC074-C1C8-4A15-AFF5-462983152345}"/>
    <cellStyle name="Shade 4 4 2 34" xfId="17217" xr:uid="{4BD0AD58-DF57-4F65-B55D-CB10E913F87E}"/>
    <cellStyle name="Shade 4 4 2 35" xfId="17663" xr:uid="{6AC5A65A-27CA-4501-A85A-6F38292FF372}"/>
    <cellStyle name="Shade 4 4 2 36" xfId="17377" xr:uid="{99444A67-E9D1-4886-ADB1-45965DED3A19}"/>
    <cellStyle name="Shade 4 4 2 37" xfId="18590" xr:uid="{E8363B37-78D3-4D88-8AAC-B309A86A3730}"/>
    <cellStyle name="Shade 4 4 2 38" xfId="18943" xr:uid="{44A0AEEB-D2E8-4F3E-AAAA-DDDCA8E47643}"/>
    <cellStyle name="Shade 4 4 2 39" xfId="19265" xr:uid="{496D1E11-E3B8-47DA-9E75-A11C0CCD58A8}"/>
    <cellStyle name="Shade 4 4 2 4" xfId="2549" xr:uid="{CA9A4DDE-6D3D-4FFB-A964-94945C05D861}"/>
    <cellStyle name="Shade 4 4 2 40" xfId="20109" xr:uid="{9FBFC84C-6454-43F2-B400-1AD355A05EE1}"/>
    <cellStyle name="Shade 4 4 2 41" xfId="20570" xr:uid="{5493E07F-633E-4917-BB74-154B7D7745B0}"/>
    <cellStyle name="Shade 4 4 2 42" xfId="21023" xr:uid="{40B83B6B-A78F-4159-A700-3233FBF02C10}"/>
    <cellStyle name="Shade 4 4 2 43" xfId="21421" xr:uid="{AF9708D3-B244-44B0-B983-8B27A758B73A}"/>
    <cellStyle name="Shade 4 4 2 44" xfId="21954" xr:uid="{8A7171AC-A921-4C7D-B33E-9DF6EF4CD2B0}"/>
    <cellStyle name="Shade 4 4 2 45" xfId="22385" xr:uid="{BDA9A071-F9A5-4D7A-BA30-A3F8EF51224C}"/>
    <cellStyle name="Shade 4 4 2 46" xfId="22757" xr:uid="{E004F09E-DEB5-4741-83BB-09B833EFEB4D}"/>
    <cellStyle name="Shade 4 4 2 47" xfId="23230" xr:uid="{C924DA92-3664-4C11-B8BF-5248C71CE1D6}"/>
    <cellStyle name="Shade 4 4 2 48" xfId="22966" xr:uid="{F664476E-142B-4603-A1BD-0B331086B83A}"/>
    <cellStyle name="Shade 4 4 2 49" xfId="23909" xr:uid="{08E47844-F584-4C77-A11C-DE9952B4C05D}"/>
    <cellStyle name="Shade 4 4 2 5" xfId="2929" xr:uid="{06FEC90E-830D-44A2-BAF1-0EC156AC2039}"/>
    <cellStyle name="Shade 4 4 2 50" xfId="24817" xr:uid="{4CDB3F84-1C20-4B6E-8850-4CDB7C7729A7}"/>
    <cellStyle name="Shade 4 4 2 51" xfId="25278" xr:uid="{3E8ACD48-3673-427C-B732-57834F3AE026}"/>
    <cellStyle name="Shade 4 4 2 52" xfId="25733" xr:uid="{0B7863DE-0CD7-4C2B-AD8F-E3EDEDA6D678}"/>
    <cellStyle name="Shade 4 4 2 53" xfId="26061" xr:uid="{094D6A29-4142-4089-9F41-CAAEC2887021}"/>
    <cellStyle name="Shade 4 4 2 54" xfId="26556" xr:uid="{49DCC8E3-127D-49AE-90ED-A69F4BDBFDB9}"/>
    <cellStyle name="Shade 4 4 2 55" xfId="27021" xr:uid="{EC3BC342-C8E6-4B4C-AD0E-CFEABED683A2}"/>
    <cellStyle name="Shade 4 4 2 56" xfId="27440" xr:uid="{490C02DB-8B09-47C3-841F-D58B3522A152}"/>
    <cellStyle name="Shade 4 4 2 57" xfId="26351" xr:uid="{8D2EA4A0-877F-45B4-9FE7-5D6DA4F521E2}"/>
    <cellStyle name="Shade 4 4 2 58" xfId="28567" xr:uid="{33EB7312-4E2E-45FF-AA38-521E3541A2C9}"/>
    <cellStyle name="Shade 4 4 2 59" xfId="29034" xr:uid="{731C9CA7-E7FD-48F0-B3AE-620A31E740FA}"/>
    <cellStyle name="Shade 4 4 2 6" xfId="3185" xr:uid="{DE49DD71-EFA2-4521-9A5A-375965798571}"/>
    <cellStyle name="Shade 4 4 2 60" xfId="29406" xr:uid="{4724AB9F-A99D-46F8-A0BB-78E4A26CD770}"/>
    <cellStyle name="Shade 4 4 2 61" xfId="29823" xr:uid="{1F458A5A-F697-4251-A2F6-BDF0654560FC}"/>
    <cellStyle name="Shade 4 4 2 62" xfId="30229" xr:uid="{46E2A1A6-6B65-4708-8860-C96AADC6486F}"/>
    <cellStyle name="Shade 4 4 2 63" xfId="30646" xr:uid="{B56094B6-4D19-4128-92BC-2AF451B3D2E6}"/>
    <cellStyle name="Shade 4 4 2 64" xfId="29988" xr:uid="{2044C727-06AB-4EEB-BD20-D2B7C21B6D99}"/>
    <cellStyle name="Shade 4 4 2 65" xfId="31262" xr:uid="{95C9D136-DFF8-4C80-9232-A8D85DB27D8A}"/>
    <cellStyle name="Shade 4 4 2 66" xfId="31953" xr:uid="{21D08BC1-EB4C-424B-A85A-36B4D3EC51D7}"/>
    <cellStyle name="Shade 4 4 2 67" xfId="32149" xr:uid="{7B95B58B-E946-4F47-BCAF-A7608AE777BA}"/>
    <cellStyle name="Shade 4 4 2 7" xfId="4045" xr:uid="{8353325F-E1A7-4FC5-A1E1-9DCA85B4D007}"/>
    <cellStyle name="Shade 4 4 2 8" xfId="4482" xr:uid="{DA70058F-DE84-4589-9491-CBA3D1AA7368}"/>
    <cellStyle name="Shade 4 4 2 9" xfId="3341" xr:uid="{7F241888-BDF8-4D34-8E5A-020DEB22B5B1}"/>
    <cellStyle name="Shade 4 4 20" xfId="10172" xr:uid="{E4A03427-68D8-4B98-B726-41B29DE944C1}"/>
    <cellStyle name="Shade 4 4 21" xfId="10579" xr:uid="{870DE78A-B4A0-4B10-9792-1F3EBE2D248E}"/>
    <cellStyle name="Shade 4 4 22" xfId="9604" xr:uid="{71C52B9F-CAD3-4352-B9A1-C89D34383F3B}"/>
    <cellStyle name="Shade 4 4 23" xfId="10901" xr:uid="{3B1E3C38-4A91-4BC0-8D72-8FDC155C517E}"/>
    <cellStyle name="Shade 4 4 24" xfId="11865" xr:uid="{5614564D-A157-4576-A319-67B5C020D974}"/>
    <cellStyle name="Shade 4 4 25" xfId="12338" xr:uid="{5D571594-B56E-449D-ADD1-6944CE4412C5}"/>
    <cellStyle name="Shade 4 4 26" xfId="12772" xr:uid="{C3585980-CBCC-454B-B99E-5954BE2748D7}"/>
    <cellStyle name="Shade 4 4 27" xfId="13209" xr:uid="{10F9A368-EC38-4564-BB04-F2059F9514F3}"/>
    <cellStyle name="Shade 4 4 28" xfId="11447" xr:uid="{8D35E297-C1B7-4F1D-850D-7B21CB2B7298}"/>
    <cellStyle name="Shade 4 4 29" xfId="14465" xr:uid="{925FA438-CB8B-48E2-9FC3-49FB6264E2D2}"/>
    <cellStyle name="Shade 4 4 3" xfId="995" xr:uid="{48F89D87-DBF7-4B90-A81A-D0A551A02E95}"/>
    <cellStyle name="Shade 4 4 30" xfId="14834" xr:uid="{E2192E05-AB41-4EC1-B537-69437846C244}"/>
    <cellStyle name="Shade 4 4 31" xfId="13998" xr:uid="{D26E2C93-8433-486F-A61D-CF31EE58F19D}"/>
    <cellStyle name="Shade 4 4 32" xfId="15118" xr:uid="{BB26888D-5D67-4FFB-81BD-FED39252873C}"/>
    <cellStyle name="Shade 4 4 33" xfId="15947" xr:uid="{37853763-FCCE-48C9-B5A0-DFD61EC6B3AF}"/>
    <cellStyle name="Shade 4 4 34" xfId="16557" xr:uid="{11694736-BD4E-459F-9725-4F969ADFB149}"/>
    <cellStyle name="Shade 4 4 35" xfId="17292" xr:uid="{50A7C753-9A8C-4CBE-9B13-6CD3FCADC267}"/>
    <cellStyle name="Shade 4 4 36" xfId="17735" xr:uid="{6F4EB638-F65C-4894-A438-023730000C3B}"/>
    <cellStyle name="Shade 4 4 37" xfId="17864" xr:uid="{9DCEB1C5-0BF1-4B53-A544-AE89E6EEA9ED}"/>
    <cellStyle name="Shade 4 4 38" xfId="18375" xr:uid="{113E85D2-1101-49C9-A21F-7AA1ECB2E67C}"/>
    <cellStyle name="Shade 4 4 39" xfId="18091" xr:uid="{39B3C5EB-3E79-49DB-97DF-CFDF6E87E1A3}"/>
    <cellStyle name="Shade 4 4 4" xfId="1702" xr:uid="{08D7F4D4-A0D3-47C5-B9C9-89ADFD6E45A6}"/>
    <cellStyle name="Shade 4 4 40" xfId="19333" xr:uid="{B4921B6F-526C-4C3B-9B61-7A2E61306250}"/>
    <cellStyle name="Shade 4 4 41" xfId="19894" xr:uid="{D14ABBFC-81B5-4E7F-8044-5E97252C8E84}"/>
    <cellStyle name="Shade 4 4 42" xfId="20642" xr:uid="{7AC3DE03-8577-4097-9DEB-D8A5FED466A8}"/>
    <cellStyle name="Shade 4 4 43" xfId="21098" xr:uid="{291D084B-F8C9-4C45-BA6D-CFC6C77F252F}"/>
    <cellStyle name="Shade 4 4 44" xfId="21139" xr:uid="{6D9602FA-D745-4204-A110-0BAC0705840E}"/>
    <cellStyle name="Shade 4 4 45" xfId="22029" xr:uid="{B9106203-9C93-4998-B305-56BF8C3E23BE}"/>
    <cellStyle name="Shade 4 4 46" xfId="22459" xr:uid="{5DEAFFA1-CFB2-4E7D-81A7-ACE2BCE70CB0}"/>
    <cellStyle name="Shade 4 4 47" xfId="22021" xr:uid="{00F13E63-3CCA-46FD-B5CA-E0D063008C97}"/>
    <cellStyle name="Shade 4 4 48" xfId="22268" xr:uid="{3ED2A451-4D45-404A-A60E-7A7884C90AC6}"/>
    <cellStyle name="Shade 4 4 49" xfId="22361" xr:uid="{FD3980F3-64D6-44E7-8225-D8A339DA3EAE}"/>
    <cellStyle name="Shade 4 4 5" xfId="2334" xr:uid="{286F625A-283A-4BF1-8E13-BF29915A3339}"/>
    <cellStyle name="Shade 4 4 50" xfId="23703" xr:uid="{E5FCD946-F069-4794-A080-2D318F3E62AA}"/>
    <cellStyle name="Shade 4 4 51" xfId="24602" xr:uid="{B965515A-F970-4464-A981-ABCED279B01B}"/>
    <cellStyle name="Shade 4 4 52" xfId="25346" xr:uid="{CE412CC2-A273-4616-ABE6-A53D9176103D}"/>
    <cellStyle name="Shade 4 4 53" xfId="25520" xr:uid="{EAA765A2-06EF-4A6C-9DFE-9E6827E661D4}"/>
    <cellStyle name="Shade 4 4 54" xfId="24592" xr:uid="{966DD009-CAD6-49EB-8A52-2790E8EBBB3A}"/>
    <cellStyle name="Shade 4 4 55" xfId="26472" xr:uid="{6AE877BA-6669-434B-B80E-927825C8007C}"/>
    <cellStyle name="Shade 4 4 56" xfId="26810" xr:uid="{328CE53D-C5E2-467F-A66A-A7E53417FDA2}"/>
    <cellStyle name="Shade 4 4 57" xfId="27229" xr:uid="{3A69DACB-B567-47F4-873E-FB12572DA8D8}"/>
    <cellStyle name="Shade 4 4 58" xfId="27190" xr:uid="{DF37CB0C-DD94-47B9-8224-3AE2C0BAE0EF}"/>
    <cellStyle name="Shade 4 4 59" xfId="28352" xr:uid="{38D8DA97-947D-471B-8FDF-6C223AD0AA6E}"/>
    <cellStyle name="Shade 4 4 6" xfId="2029" xr:uid="{BDA39B1E-B2EE-471E-A4CE-7E63CA5BF5FC}"/>
    <cellStyle name="Shade 4 4 60" xfId="28820" xr:uid="{3B496BE7-484C-48B6-83BB-C46951CB7FA6}"/>
    <cellStyle name="Shade 4 4 61" xfId="29470" xr:uid="{01D60ACE-E128-4FCA-9900-749DC61098C7}"/>
    <cellStyle name="Shade 4 4 62" xfId="29610" xr:uid="{734BB8B5-EB31-4C98-822D-3D6420153542}"/>
    <cellStyle name="Shade 4 4 63" xfId="30018" xr:uid="{5B9934DA-A2B2-4390-9B6A-B94FFDCF4312}"/>
    <cellStyle name="Shade 4 4 64" xfId="30432" xr:uid="{529A5EDD-8468-4215-8A0B-7F5A44D1634B}"/>
    <cellStyle name="Shade 4 4 65" xfId="30997" xr:uid="{D43C997E-65FF-4EEF-84EA-8D4B4F9A71E4}"/>
    <cellStyle name="Shade 4 4 66" xfId="31056" xr:uid="{96AE2DF3-276B-4BC8-A598-4399DC0EB1A9}"/>
    <cellStyle name="Shade 4 4 67" xfId="31742" xr:uid="{80A77011-55D9-4BBF-8151-F67EFA4BEAC4}"/>
    <cellStyle name="Shade 4 4 68" xfId="32350" xr:uid="{5D80C750-278D-4BA7-AD78-ED61E02BAD7E}"/>
    <cellStyle name="Shade 4 4 7" xfId="2873" xr:uid="{E4DEFE04-C305-4CD8-983E-34DFAAB24D6F}"/>
    <cellStyle name="Shade 4 4 8" xfId="3830" xr:uid="{3E0C832A-0335-4921-AAE6-FA065E2A294C}"/>
    <cellStyle name="Shade 4 4 9" xfId="4268" xr:uid="{9EF527C5-FBE1-4BA0-9CDE-01A586F3E6C0}"/>
    <cellStyle name="Shade 4 40" xfId="17951" xr:uid="{BCC5339F-7F70-4102-8259-04328A64B301}"/>
    <cellStyle name="Shade 4 41" xfId="18947" xr:uid="{B53DDF14-34BC-4A25-81E2-2EFAE1F47DBE}"/>
    <cellStyle name="Shade 4 42" xfId="18862" xr:uid="{F2076EEA-AA08-4709-B916-ADA4AE0F8A9A}"/>
    <cellStyle name="Shade 4 43" xfId="19668" xr:uid="{7F2BB7BA-6178-4CD2-97C6-978E9B482FB0}"/>
    <cellStyle name="Shade 4 44" xfId="19491" xr:uid="{29D4D271-DAC8-43EA-ADFC-40EA0F2FE716}"/>
    <cellStyle name="Shade 4 45" xfId="19569" xr:uid="{E9122F4C-8B57-4D4D-A301-27CD0B4DC2F2}"/>
    <cellStyle name="Shade 4 46" xfId="21140" xr:uid="{BA69E8D6-85F8-48A6-9443-C3C3590550AB}"/>
    <cellStyle name="Shade 4 47" xfId="21274" xr:uid="{9B81B9DE-D891-464A-AB85-9421077B3AB9}"/>
    <cellStyle name="Shade 4 48" xfId="20812" xr:uid="{F53B1A6D-8E5A-4363-B63D-E6A80B581D27}"/>
    <cellStyle name="Shade 4 49" xfId="22471" xr:uid="{0A96D936-2481-49FF-BA86-885BBC3113B9}"/>
    <cellStyle name="Shade 4 5" xfId="959" xr:uid="{67C6BB43-907F-4F4F-84E8-F76C1BCB441D}"/>
    <cellStyle name="Shade 4 50" xfId="23233" xr:uid="{95BA9A69-D51A-4A8D-B56F-B09E89B2CDFF}"/>
    <cellStyle name="Shade 4 51" xfId="23136" xr:uid="{65BCA11E-EB84-4C44-86AC-D58A33B72FFA}"/>
    <cellStyle name="Shade 4 52" xfId="23579" xr:uid="{90E2DEB9-C88E-48D4-A38E-809919AC5D5F}"/>
    <cellStyle name="Shade 4 53" xfId="24388" xr:uid="{3ADF4C04-46DD-4AD4-B9A4-279E69D6C3B4}"/>
    <cellStyle name="Shade 4 54" xfId="25023" xr:uid="{52943B52-4CEB-4B32-9A40-5E6590F38500}"/>
    <cellStyle name="Shade 4 55" xfId="24099" xr:uid="{EE0E3220-FE50-43AA-BAD5-4BA6168C5E85}"/>
    <cellStyle name="Shade 4 56" xfId="24449" xr:uid="{67C8BE7A-8E61-404C-92FF-43E1933CB020}"/>
    <cellStyle name="Shade 4 57" xfId="25517" xr:uid="{187E8340-C88B-47BE-8D56-EF666DC9C1EB}"/>
    <cellStyle name="Shade 4 58" xfId="26367" xr:uid="{B26F2802-9A85-459D-88D6-CDE3BB729639}"/>
    <cellStyle name="Shade 4 59" xfId="26523" xr:uid="{CC3FBA29-95F4-4274-8794-D4E5B23023BF}"/>
    <cellStyle name="Shade 4 6" xfId="1465" xr:uid="{8623A203-C212-4F8C-BDEB-AF0792FEC145}"/>
    <cellStyle name="Shade 4 60" xfId="27410" xr:uid="{F11EA8F7-9045-4A78-80DC-AD6CB8437603}"/>
    <cellStyle name="Shade 4 61" xfId="28159" xr:uid="{4CA55B9F-418A-4458-966D-A48F1106966B}"/>
    <cellStyle name="Shade 4 62" xfId="27914" xr:uid="{81E52ABD-8918-456D-83D1-12863B8135E6}"/>
    <cellStyle name="Shade 4 63" xfId="28068" xr:uid="{2FC33AD6-8870-4581-BBEF-BDA77D3B67A4}"/>
    <cellStyle name="Shade 4 64" xfId="29378" xr:uid="{5DFD26A2-D9BF-423B-B367-ADF5457339CF}"/>
    <cellStyle name="Shade 4 65" xfId="28116" xr:uid="{CC256D8A-FF23-4B6A-85D8-D619F2156B5E}"/>
    <cellStyle name="Shade 4 66" xfId="29262" xr:uid="{011CEB29-FC0C-4090-B74E-E2E9ABD56452}"/>
    <cellStyle name="Shade 4 67" xfId="28095" xr:uid="{CC37D0FD-6886-4C41-A2A2-F594B5609709}"/>
    <cellStyle name="Shade 4 68" xfId="28544" xr:uid="{21517C43-8519-4776-9465-01E7257B2BD4}"/>
    <cellStyle name="Shade 4 69" xfId="31611" xr:uid="{2F08CEFC-0D7E-4784-ACA5-522D7FF8BF6F}"/>
    <cellStyle name="Shade 4 7" xfId="2108" xr:uid="{648ACE98-D545-421B-B6CC-8B6FD47EFEE3}"/>
    <cellStyle name="Shade 4 70" xfId="32283" xr:uid="{B835DF8C-73F8-4317-AB21-C8C4523D7CFF}"/>
    <cellStyle name="Shade 4 8" xfId="2270" xr:uid="{FA4DE2CA-C839-4F9D-BF86-DF5C3B18CC24}"/>
    <cellStyle name="Shade 4 9" xfId="2725" xr:uid="{213EA30E-4E13-48E3-9D4E-CA6F3F78CF31}"/>
    <cellStyle name="Shade 5" xfId="75" xr:uid="{C52D3909-D38A-4AC5-9ABF-A5762043ACEF}"/>
    <cellStyle name="Shade 5 10" xfId="16127" xr:uid="{512AAB64-0BBC-4E9D-94F2-CC5B63D4C5B0}"/>
    <cellStyle name="Shade 5 11" xfId="17477" xr:uid="{0DFF2709-993D-4F69-A384-BBDBD292AC1A}"/>
    <cellStyle name="Shade 5 12" xfId="19460" xr:uid="{51D6DABB-F737-4516-A8D1-5AE0B6C10EAE}"/>
    <cellStyle name="Shade 5 13" xfId="22362" xr:uid="{FF4CA43C-1056-48F0-A76C-2AB8760D7480}"/>
    <cellStyle name="Shade 5 14" xfId="24181" xr:uid="{BEF88033-4141-464E-910A-AF898A6B5740}"/>
    <cellStyle name="Shade 5 15" xfId="26546" xr:uid="{E01D2E96-1299-4431-9602-506E0EFEFB20}"/>
    <cellStyle name="Shade 5 16" xfId="27974" xr:uid="{72C96585-7C96-4487-84A9-0C58FCED6B70}"/>
    <cellStyle name="Shade 5 17" xfId="31488" xr:uid="{49E57D73-4E8A-44B3-8357-637657C9A514}"/>
    <cellStyle name="Shade 5 2" xfId="920" xr:uid="{AC4EF047-763D-4137-9A63-A0E766BC5E70}"/>
    <cellStyle name="Shade 5 3" xfId="1903" xr:uid="{B15993F0-BE38-47D5-8A29-294A04FEF190}"/>
    <cellStyle name="Shade 5 4" xfId="3464" xr:uid="{B371F18D-3665-460B-8800-709D285718B7}"/>
    <cellStyle name="Shade 5 5" xfId="5005" xr:uid="{0EFCAC07-166D-489F-89F2-057C564D38C9}"/>
    <cellStyle name="Shade 5 6" xfId="6816" xr:uid="{9678EF00-9229-4C59-9695-8BA88FEE181C}"/>
    <cellStyle name="Shade 5 7" xfId="8498" xr:uid="{988BF1E2-2141-440C-987D-83A433938AE1}"/>
    <cellStyle name="Shade 5 8" xfId="9030" xr:uid="{7A717FC0-0A9D-443C-9200-FF4ABBE9FADF}"/>
    <cellStyle name="Shade 5 9" xfId="11435" xr:uid="{128E3306-B921-4A5F-ADBE-7B884DA5D063}"/>
    <cellStyle name="Shade_B_border2" xfId="178" xr:uid="{EF05CCC1-C37D-45E0-B76A-2514A5638CB6}"/>
    <cellStyle name="Standard 2" xfId="42" xr:uid="{AAA81EEA-7402-4FB3-9841-08327FA56724}"/>
    <cellStyle name="Standard 2 2" xfId="397" xr:uid="{57A2CDA7-66B5-4255-9743-25F3E8FDE23A}"/>
    <cellStyle name="Standard 2 2 2" xfId="507" xr:uid="{B5F12935-D178-4B19-89F0-95A18F0836E7}"/>
    <cellStyle name="Standard 2 3" xfId="506" xr:uid="{4F5A343C-0B7E-4BDF-B8D2-7BFC7AC5DD37}"/>
    <cellStyle name="Title 2" xfId="179" xr:uid="{5704595B-7444-4753-9E1F-52A605873FB0}"/>
    <cellStyle name="Title 3" xfId="238" xr:uid="{4B8C7DB6-DF57-47DC-8973-45CF622E7EC6}"/>
    <cellStyle name="Total 2" xfId="180" xr:uid="{B5199D64-A1DE-4414-A32B-1FB1A2B43ECD}"/>
    <cellStyle name="Total 2 10" xfId="3245" xr:uid="{FD2C67C0-301F-4EBF-87AE-11FF25D308AC}"/>
    <cellStyle name="Total 2 11" xfId="3432" xr:uid="{8296275E-3D09-4963-9C21-575CCD88560D}"/>
    <cellStyle name="Total 2 12" xfId="3370" xr:uid="{72C613F0-5F0C-4808-AE84-F21CC78D000F}"/>
    <cellStyle name="Total 2 13" xfId="5611" xr:uid="{1F4FD7C1-D74A-49A2-B785-487EA42A8DF4}"/>
    <cellStyle name="Total 2 14" xfId="6526" xr:uid="{5D333CBE-0268-48F0-A026-76B95B75D5C1}"/>
    <cellStyle name="Total 2 15" xfId="6914" xr:uid="{B37C89B5-1B29-487B-A84B-46D99F81711B}"/>
    <cellStyle name="Total 2 16" xfId="7682" xr:uid="{49350BAA-DFD5-4F98-8197-7ABD644FC6C3}"/>
    <cellStyle name="Total 2 17" xfId="8453" xr:uid="{E664FBDD-26CC-4731-A5AE-2E1152FC96B0}"/>
    <cellStyle name="Total 2 18" xfId="8728" xr:uid="{087DE9E1-4366-44F0-B89F-8FADA341E81C}"/>
    <cellStyle name="Total 2 19" xfId="9127" xr:uid="{8A461FC3-BA37-4246-8910-836866F38C15}"/>
    <cellStyle name="Total 2 2" xfId="567" xr:uid="{11F850FE-A31C-4215-9B5C-041055D3C315}"/>
    <cellStyle name="Total 2 2 10" xfId="4820" xr:uid="{76335A08-DA6E-4085-B8DB-F60018761783}"/>
    <cellStyle name="Total 2 2 11" xfId="5215" xr:uid="{38464B9C-F10F-4B75-9FB8-F45020319A82}"/>
    <cellStyle name="Total 2 2 12" xfId="3810" xr:uid="{7C7DBD99-1DD1-4565-AE25-523F10D67B8E}"/>
    <cellStyle name="Total 2 2 13" xfId="6280" xr:uid="{C9D80D41-D76B-4D4E-AF29-7EA6C0FDB0F0}"/>
    <cellStyle name="Total 2 2 14" xfId="6188" xr:uid="{9E70635D-31CC-41DB-A03B-A415EA0FF394}"/>
    <cellStyle name="Total 2 2 15" xfId="7287" xr:uid="{53732305-BBE3-47E9-9C06-C614B6FDC23A}"/>
    <cellStyle name="Total 2 2 16" xfId="7825" xr:uid="{6DFB2610-DA1E-401E-ADD1-963AB83C554F}"/>
    <cellStyle name="Total 2 2 17" xfId="8104" xr:uid="{64DC6F36-BD14-4CD4-A470-B6D4F4B8482F}"/>
    <cellStyle name="Total 2 2 18" xfId="8770" xr:uid="{29F0374F-AD10-4CC8-8967-1A14B79ADBD1}"/>
    <cellStyle name="Total 2 2 19" xfId="9501" xr:uid="{EA1CEE5B-F563-43F3-AB48-E6BF0DDAD7D9}"/>
    <cellStyle name="Total 2 2 2" xfId="782" xr:uid="{7CF3FD12-B4A7-48C8-9BA7-F70F94097C4F}"/>
    <cellStyle name="Total 2 2 2 10" xfId="5430" xr:uid="{EDBA5DB6-818D-48D9-894A-5E0E73BB45D0}"/>
    <cellStyle name="Total 2 2 2 11" xfId="5544" xr:uid="{AD2FE41B-26DD-46CF-9DE3-A35207D9862B}"/>
    <cellStyle name="Total 2 2 2 12" xfId="4650" xr:uid="{6054D6D4-F9FE-430E-AC3C-6DFCE1203356}"/>
    <cellStyle name="Total 2 2 2 13" xfId="6328" xr:uid="{86890A97-F3D5-4C50-BB64-B0B4C26536A0}"/>
    <cellStyle name="Total 2 2 2 14" xfId="7502" xr:uid="{C0735E92-B54D-4896-98E0-9BED1540FA93}"/>
    <cellStyle name="Total 2 2 2 15" xfId="6825" xr:uid="{FA60F3EE-53FF-4FE1-BDD2-15CA3217FB75}"/>
    <cellStyle name="Total 2 2 2 16" xfId="6872" xr:uid="{44BCD0E5-0005-4AB3-A646-E60C4D22EEF0}"/>
    <cellStyle name="Total 2 2 2 17" xfId="8723" xr:uid="{9E2304C8-135C-4027-BF37-436EA61D88AC}"/>
    <cellStyle name="Total 2 2 2 18" xfId="9716" xr:uid="{22A03DD5-62FB-49B7-90A0-FE7CD5600C5E}"/>
    <cellStyle name="Total 2 2 2 19" xfId="9042" xr:uid="{AE3A7525-7F2B-40BE-98B7-71AAB2E51C1A}"/>
    <cellStyle name="Total 2 2 2 2" xfId="1256" xr:uid="{9A1E9790-373B-4B62-B6C7-321F5464400C}"/>
    <cellStyle name="Total 2 2 2 20" xfId="9832" xr:uid="{206C6AE4-6EE5-4F51-843D-1E5C74642675}"/>
    <cellStyle name="Total 2 2 2 21" xfId="9291" xr:uid="{22BFBD72-6BCD-42B4-969B-C5ED4B38CAE1}"/>
    <cellStyle name="Total 2 2 2 22" xfId="10665" xr:uid="{054D92DC-C0D3-4211-8C8B-9DD7870093DF}"/>
    <cellStyle name="Total 2 2 2 23" xfId="12135" xr:uid="{8F051DF7-2BA5-4FEB-B399-D20A00600A29}"/>
    <cellStyle name="Total 2 2 2 24" xfId="12608" xr:uid="{572F837E-2C78-4378-9D47-4A1DFEE4E688}"/>
    <cellStyle name="Total 2 2 2 25" xfId="13042" xr:uid="{2D636716-EFC7-47B3-B694-841DC7917D7C}"/>
    <cellStyle name="Total 2 2 2 26" xfId="13479" xr:uid="{2237D697-D7F1-46F4-B26F-A547FDB0047A}"/>
    <cellStyle name="Total 2 2 2 27" xfId="11753" xr:uid="{878882AC-F028-473D-801D-77BEB156FC1B}"/>
    <cellStyle name="Total 2 2 2 28" xfId="14431" xr:uid="{8A7CB6F4-77EE-4378-BDD3-02C741423BCB}"/>
    <cellStyle name="Total 2 2 2 29" xfId="11472" xr:uid="{8A6449D3-1F9B-4E7A-AA28-38F6F05092CA}"/>
    <cellStyle name="Total 2 2 2 3" xfId="1479" xr:uid="{750BE100-B453-4353-9432-522643BE59E2}"/>
    <cellStyle name="Total 2 2 2 30" xfId="14391" xr:uid="{DC250F13-60C2-4C5D-BA4F-9AD8D8709601}"/>
    <cellStyle name="Total 2 2 2 31" xfId="15615" xr:uid="{A7121EDC-2B13-4F0F-B9B3-3BFC5873959D}"/>
    <cellStyle name="Total 2 2 2 32" xfId="14714" xr:uid="{F7DB9C3D-8CE9-4B76-9658-E74CEE8A14D2}"/>
    <cellStyle name="Total 2 2 2 33" xfId="16827" xr:uid="{2674E469-310F-4F38-8D95-6571990BC192}"/>
    <cellStyle name="Total 2 2 2 34" xfId="16138" xr:uid="{3FEF62B4-C832-411A-B9C4-8C0AB4B69F69}"/>
    <cellStyle name="Total 2 2 2 35" xfId="16371" xr:uid="{ACC3F4C1-89D5-4AAF-B65D-0DC21DC26C19}"/>
    <cellStyle name="Total 2 2 2 36" xfId="17934" xr:uid="{B52D928A-6A5F-47B5-B554-35C56FBD48A0}"/>
    <cellStyle name="Total 2 2 2 37" xfId="18645" xr:uid="{FC6482D9-A40C-417E-9977-1F8C6F8884FB}"/>
    <cellStyle name="Total 2 2 2 38" xfId="18808" xr:uid="{1AA380C6-C1B5-46CA-82C0-DF3B61B6783A}"/>
    <cellStyle name="Total 2 2 2 39" xfId="18074" xr:uid="{76DA129F-A865-4CCA-933B-DD3B25D563FA}"/>
    <cellStyle name="Total 2 2 2 4" xfId="2604" xr:uid="{88488676-44D0-41CE-B607-475DA33ECA99}"/>
    <cellStyle name="Total 2 2 2 40" xfId="20164" xr:uid="{894A2C50-F0CA-4F49-AD47-14171C28270C}"/>
    <cellStyle name="Total 2 2 2 41" xfId="19468" xr:uid="{04705C3A-ECC4-483C-81A2-477DC673C0D6}"/>
    <cellStyle name="Total 2 2 2 42" xfId="20488" xr:uid="{4CF7E5FF-7A02-4203-9270-DBAC93E90828}"/>
    <cellStyle name="Total 2 2 2 43" xfId="19889" xr:uid="{BA371724-098B-4E9F-8FE5-48ADE8BEABB1}"/>
    <cellStyle name="Total 2 2 2 44" xfId="20560" xr:uid="{0552A86E-2851-459B-A042-51C82BC5DAF4}"/>
    <cellStyle name="Total 2 2 2 45" xfId="21729" xr:uid="{D4551ED8-7131-4226-ADDB-E5A736FC2998}"/>
    <cellStyle name="Total 2 2 2 46" xfId="21920" xr:uid="{212DF309-8245-4C76-9798-30EEED1D9D2A}"/>
    <cellStyle name="Total 2 2 2 47" xfId="23082" xr:uid="{BA24B601-2175-46BD-8D5D-1099E3B7DE93}"/>
    <cellStyle name="Total 2 2 2 48" xfId="23166" xr:uid="{6B883456-7407-4A9C-855C-D75EF102CD6C}"/>
    <cellStyle name="Total 2 2 2 49" xfId="23964" xr:uid="{C47036F8-CD78-4CEA-A5B0-EF95168DDA19}"/>
    <cellStyle name="Total 2 2 2 5" xfId="2274" xr:uid="{4D91D4A9-37F0-492A-9728-5AF74F3C0F9A}"/>
    <cellStyle name="Total 2 2 2 50" xfId="24872" xr:uid="{09E4293D-628B-42C9-8A26-E6C56706082E}"/>
    <cellStyle name="Total 2 2 2 51" xfId="24185" xr:uid="{8464FF0F-93F2-4620-B5B6-0ED5BB51E4D0}"/>
    <cellStyle name="Total 2 2 2 52" xfId="25788" xr:uid="{028B915E-E854-450D-AF86-09FD477D8148}"/>
    <cellStyle name="Total 2 2 2 53" xfId="25347" xr:uid="{CA3B764B-1D2B-4771-B4D0-63992AD8CDF8}"/>
    <cellStyle name="Total 2 2 2 54" xfId="26606" xr:uid="{A33D78DA-FF8E-431E-856E-DA32C8121225}"/>
    <cellStyle name="Total 2 2 2 55" xfId="27076" xr:uid="{A9FC1A1D-A7B7-471B-938F-DC6633A4C2A8}"/>
    <cellStyle name="Total 2 2 2 56" xfId="27495" xr:uid="{2B619788-130C-4021-8ADC-983360F00199}"/>
    <cellStyle name="Total 2 2 2 57" xfId="26501" xr:uid="{986C0BF0-08A3-45AF-A618-0533908C99FA}"/>
    <cellStyle name="Total 2 2 2 58" xfId="28622" xr:uid="{A2A06EA7-BC38-4A60-9F95-97C47E9D1249}"/>
    <cellStyle name="Total 2 2 2 59" xfId="29089" xr:uid="{5D8EC92D-EF1E-4F32-9F4D-822A6B462386}"/>
    <cellStyle name="Total 2 2 2 6" xfId="3169" xr:uid="{2A1FA3EE-2F8B-42B6-A183-F7912B0EF78E}"/>
    <cellStyle name="Total 2 2 2 60" xfId="28024" xr:uid="{D845B127-226A-4BFE-BACB-B7B24FBE1AA6}"/>
    <cellStyle name="Total 2 2 2 61" xfId="29878" xr:uid="{97DF1791-7797-4BC2-9A24-CBD65E22FEFC}"/>
    <cellStyle name="Total 2 2 2 62" xfId="30284" xr:uid="{3070092C-6D63-4E1C-A7FF-BE3AE350C969}"/>
    <cellStyle name="Total 2 2 2 63" xfId="30701" xr:uid="{11BF4765-20A2-4345-AF29-90ADDCF1B03D}"/>
    <cellStyle name="Total 2 2 2 64" xfId="28100" xr:uid="{36D8575C-EE2B-410A-9667-7F241E6D7228}"/>
    <cellStyle name="Total 2 2 2 65" xfId="31317" xr:uid="{4CD34FB0-0642-48A9-835E-2B1CD895780A}"/>
    <cellStyle name="Total 2 2 2 66" xfId="32008" xr:uid="{C93B8195-7A92-48AA-8662-5C6ABA6063DF}"/>
    <cellStyle name="Total 2 2 2 67" xfId="32278" xr:uid="{FAA14C75-7B2F-4749-8195-062B7CBEEDFC}"/>
    <cellStyle name="Total 2 2 2 7" xfId="4100" xr:uid="{AF38203F-9906-4F88-AB48-23430BC1769D}"/>
    <cellStyle name="Total 2 2 2 8" xfId="4537" xr:uid="{7E0E7711-F551-434E-B0C7-060643BC5126}"/>
    <cellStyle name="Total 2 2 2 9" xfId="4764" xr:uid="{38355323-4EFF-44D2-84AA-1C9A90E482F6}"/>
    <cellStyle name="Total 2 2 20" xfId="10037" xr:uid="{20D6C965-4DFF-4367-A28B-52634DFE4C72}"/>
    <cellStyle name="Total 2 2 21" xfId="10458" xr:uid="{2FE28BD2-C710-45DF-A8B6-5056E100AA06}"/>
    <cellStyle name="Total 2 2 22" xfId="10641" xr:uid="{E3AF32D4-4394-4700-B02C-8C8782E620DF}"/>
    <cellStyle name="Total 2 2 23" xfId="11104" xr:uid="{CC5EFC3C-120A-42E5-8E4F-13E59E6A6C1F}"/>
    <cellStyle name="Total 2 2 24" xfId="11920" xr:uid="{229AB70C-B4D7-4558-B362-1A8A181CBDF0}"/>
    <cellStyle name="Total 2 2 25" xfId="12393" xr:uid="{4BCAE458-D051-4984-9A53-F0E819C263E4}"/>
    <cellStyle name="Total 2 2 26" xfId="12827" xr:uid="{8A562398-D478-49CF-8C7C-AAA0CCFB6F5C}"/>
    <cellStyle name="Total 2 2 27" xfId="13264" xr:uid="{0FAFCB5A-C808-4C6F-8CF9-91BD13305F3E}"/>
    <cellStyle name="Total 2 2 28" xfId="13171" xr:uid="{5F89C70E-5334-4B88-8D71-3147ECEF66F4}"/>
    <cellStyle name="Total 2 2 29" xfId="14405" xr:uid="{6C07731F-3674-471F-9F5E-63D98A42F078}"/>
    <cellStyle name="Total 2 2 3" xfId="1050" xr:uid="{CC0FA44A-027C-45E8-868C-F9B16EB3CE38}"/>
    <cellStyle name="Total 2 2 30" xfId="13191" xr:uid="{50BDE9D4-C573-40BC-866B-F4FAEEC8E89C}"/>
    <cellStyle name="Total 2 2 31" xfId="15307" xr:uid="{60844AE6-27B5-44FD-A83C-700648043CEC}"/>
    <cellStyle name="Total 2 2 32" xfId="15693" xr:uid="{3ED929CF-92B2-4654-856F-CA0061FC0275}"/>
    <cellStyle name="Total 2 2 33" xfId="15872" xr:uid="{0DD166C8-7905-40B2-BB49-05278F2B5500}"/>
    <cellStyle name="Total 2 2 34" xfId="16612" xr:uid="{C634EB7C-D115-42CB-BFD6-9082558301CC}"/>
    <cellStyle name="Total 2 2 35" xfId="17155" xr:uid="{553C7C2D-3D88-4FDB-A57B-E929FF894109}"/>
    <cellStyle name="Total 2 2 36" xfId="17600" xr:uid="{E599AF75-9133-4F0C-9381-4D7771614E68}"/>
    <cellStyle name="Total 2 2 37" xfId="17980" xr:uid="{D72BA07A-46E7-4F65-9E32-554C4F2D32DF}"/>
    <cellStyle name="Total 2 2 38" xfId="18430" xr:uid="{B8BCBC03-54FD-43EA-ADE1-8CDAF1F1F24C}"/>
    <cellStyle name="Total 2 2 39" xfId="18885" xr:uid="{81E4FB0A-3036-4D24-AB2A-F568F396D420}"/>
    <cellStyle name="Total 2 2 4" xfId="1618" xr:uid="{C961372A-9D7A-4058-BD62-F0883F872B5C}"/>
    <cellStyle name="Total 2 2 40" xfId="18358" xr:uid="{E3B09C36-14AA-4016-AD14-AE6972CEF94B}"/>
    <cellStyle name="Total 2 2 41" xfId="19949" xr:uid="{99E15CC0-6956-46E5-9B02-1FF8524B5ADA}"/>
    <cellStyle name="Total 2 2 42" xfId="20507" xr:uid="{C2BE7123-1AEC-4C74-9AEC-1A4A0CE8C111}"/>
    <cellStyle name="Total 2 2 43" xfId="20961" xr:uid="{970CD7CA-BDAA-41AB-B5CC-F9EFEC4AD195}"/>
    <cellStyle name="Total 2 2 44" xfId="20887" xr:uid="{6658435C-01D0-4500-BE05-9F56C70ADB7A}"/>
    <cellStyle name="Total 2 2 45" xfId="21891" xr:uid="{C8F76ED9-D53C-45E5-A8B6-47AC3527C337}"/>
    <cellStyle name="Total 2 2 46" xfId="22327" xr:uid="{D371EA5D-F160-441E-852B-D02F5932C8E4}"/>
    <cellStyle name="Total 2 2 47" xfId="21970" xr:uid="{D7BBB383-9DD6-4D4D-A5C0-49F125A0AFF8}"/>
    <cellStyle name="Total 2 2 48" xfId="23160" xr:uid="{B463004E-BD56-4570-A78E-DCC9CA62C782}"/>
    <cellStyle name="Total 2 2 49" xfId="23234" xr:uid="{2732A30B-A361-437A-9ACB-883E59A700B1}"/>
    <cellStyle name="Total 2 2 5" xfId="2389" xr:uid="{7043A4F4-1C20-49F4-B06E-6AA2866AE405}"/>
    <cellStyle name="Total 2 2 50" xfId="23758" xr:uid="{F89591D0-A934-465A-B63E-221BA5F6E239}"/>
    <cellStyle name="Total 2 2 51" xfId="24657" xr:uid="{762D90D8-ED94-434A-9973-5DAFAAD3309B}"/>
    <cellStyle name="Total 2 2 52" xfId="25216" xr:uid="{EF77A6BD-97D7-4744-8F5C-90B5641B4FDB}"/>
    <cellStyle name="Total 2 2 53" xfId="25575" xr:uid="{03E0C424-D2C6-492B-8CB1-073C52C357CA}"/>
    <cellStyle name="Total 2 2 54" xfId="24466" xr:uid="{BF02C62F-22F3-4BB1-992F-51E73C6A4B46}"/>
    <cellStyle name="Total 2 2 55" xfId="25109" xr:uid="{70A7A833-5E1D-4787-A00E-5652E3360D7D}"/>
    <cellStyle name="Total 2 2 56" xfId="26865" xr:uid="{744326D1-DAE1-43AF-A43F-C36E3B67312B}"/>
    <cellStyle name="Total 2 2 57" xfId="27284" xr:uid="{2E4A79FA-5477-4F60-97AA-23076ADD59AF}"/>
    <cellStyle name="Total 2 2 58" xfId="27627" xr:uid="{9E985EBA-4CA0-417F-9A20-1785F01F09F7}"/>
    <cellStyle name="Total 2 2 59" xfId="28407" xr:uid="{27915C52-E408-40E0-9F66-6D5EF8CA5019}"/>
    <cellStyle name="Total 2 2 6" xfId="2148" xr:uid="{66DF7DF1-4A43-4EE7-8F89-324F08320307}"/>
    <cellStyle name="Total 2 2 60" xfId="28875" xr:uid="{04B52A9C-D736-4F66-AAAA-B6A1F6F549DE}"/>
    <cellStyle name="Total 2 2 61" xfId="29357" xr:uid="{56ED2809-5A9C-434B-9A95-B23B28EE22D2}"/>
    <cellStyle name="Total 2 2 62" xfId="29665" xr:uid="{69697DC8-B90B-4B91-9EB7-6A7FE537EA5A}"/>
    <cellStyle name="Total 2 2 63" xfId="30073" xr:uid="{D944ECB5-0BC5-4E12-AA43-38CE8447EAD9}"/>
    <cellStyle name="Total 2 2 64" xfId="30487" xr:uid="{3A1E7A4E-CE52-4390-A950-DDCC3BD65DE1}"/>
    <cellStyle name="Total 2 2 65" xfId="28243" xr:uid="{B50775BA-E631-43A4-B1D2-8747662E362C}"/>
    <cellStyle name="Total 2 2 66" xfId="31111" xr:uid="{928E9A53-7108-46E6-8799-28EB76795711}"/>
    <cellStyle name="Total 2 2 67" xfId="31797" xr:uid="{E86EB0D9-FFC4-4335-9E89-0EFFAA74280C}"/>
    <cellStyle name="Total 2 2 68" xfId="31585" xr:uid="{8FD59418-80A4-422D-9323-7C72D4DD269C}"/>
    <cellStyle name="Total 2 2 7" xfId="2113" xr:uid="{975222BC-A909-46FF-9E4A-FF77E09BC036}"/>
    <cellStyle name="Total 2 2 8" xfId="3885" xr:uid="{28F4346D-E341-4F91-9A2E-D810D80871A9}"/>
    <cellStyle name="Total 2 2 9" xfId="4323" xr:uid="{F5B70E05-B3AD-45E7-B566-F80505F2C860}"/>
    <cellStyle name="Total 2 20" xfId="9897" xr:uid="{FD9AAC66-3814-47D5-91DE-F32312373C05}"/>
    <cellStyle name="Total 2 21" xfId="10816" xr:uid="{5061EA96-5B72-459C-934F-A51741F9CC99}"/>
    <cellStyle name="Total 2 22" xfId="11538" xr:uid="{1C26C276-A6BD-41C5-B56A-CF4043207D7F}"/>
    <cellStyle name="Total 2 23" xfId="11774" xr:uid="{C08685BB-1FC4-4B0A-8255-4D3339526B12}"/>
    <cellStyle name="Total 2 24" xfId="11759" xr:uid="{DF53615A-7F4B-4EAF-BE01-EFABC10B4981}"/>
    <cellStyle name="Total 2 25" xfId="11607" xr:uid="{CAB7016F-5137-4EDE-BCD9-57BD88F2F7CF}"/>
    <cellStyle name="Total 2 26" xfId="11830" xr:uid="{6294296E-35E1-45CC-AB2B-E339A9580BEE}"/>
    <cellStyle name="Total 2 27" xfId="14547" xr:uid="{10BC865C-D7B0-4AEA-BCA5-470E8175859B}"/>
    <cellStyle name="Total 2 28" xfId="15747" xr:uid="{9683F253-D075-4F93-B092-92A38BE56D7E}"/>
    <cellStyle name="Total 2 29" xfId="16231" xr:uid="{B0A058C2-E01B-40C8-9851-0AFD80AD900C}"/>
    <cellStyle name="Total 2 3" xfId="628" xr:uid="{55627257-95DF-4655-8818-32227CDA6267}"/>
    <cellStyle name="Total 2 3 10" xfId="3190" xr:uid="{997F4E36-0DAF-4A1F-AE97-9AE771C8132C}"/>
    <cellStyle name="Total 2 3 11" xfId="5276" xr:uid="{239D5D7D-99C9-4A88-B239-653F0BCF87F4}"/>
    <cellStyle name="Total 2 3 12" xfId="5680" xr:uid="{46B6B023-2B25-490D-8DCA-AFB161BCD1DA}"/>
    <cellStyle name="Total 2 3 13" xfId="6097" xr:uid="{3823DBF0-8004-4CAA-B6A1-66FB7D9892FE}"/>
    <cellStyle name="Total 2 3 14" xfId="6345" xr:uid="{97330C7B-F456-478D-AF45-3E7D0284061E}"/>
    <cellStyle name="Total 2 3 15" xfId="7348" xr:uid="{CF406EDC-D4E5-401C-9B0B-414176698FD6}"/>
    <cellStyle name="Total 2 3 16" xfId="7733" xr:uid="{0E05D693-F8A8-471C-9818-1721A92C10E3}"/>
    <cellStyle name="Total 2 3 17" xfId="8491" xr:uid="{236B47A8-678C-4017-8D7C-5EFE04BAA32B}"/>
    <cellStyle name="Total 2 3 18" xfId="8470" xr:uid="{7766D2C4-7521-4304-A492-25265843BD8F}"/>
    <cellStyle name="Total 2 3 19" xfId="9562" xr:uid="{7238C7A4-9A3C-47E4-B2D8-87552BC730C2}"/>
    <cellStyle name="Total 2 3 2" xfId="843" xr:uid="{3AEE1952-3493-4EAA-A8A1-5A85E5226B74}"/>
    <cellStyle name="Total 2 3 2 10" xfId="5491" xr:uid="{B88685AC-1E89-4579-BD7A-D25EFEEE410A}"/>
    <cellStyle name="Total 2 3 2 11" xfId="5000" xr:uid="{B665F21D-338D-4B05-AE5F-00B9DE85FE6D}"/>
    <cellStyle name="Total 2 3 2 12" xfId="5691" xr:uid="{26E1B275-30A9-489F-A4E0-08AA40179261}"/>
    <cellStyle name="Total 2 3 2 13" xfId="6323" xr:uid="{AB54177A-5B47-44C9-A31A-D9351F41E7E8}"/>
    <cellStyle name="Total 2 3 2 14" xfId="7563" xr:uid="{DD0265C6-02DD-426C-8EB5-A86352A28AA7}"/>
    <cellStyle name="Total 2 3 2 15" xfId="6778" xr:uid="{E0D33466-0292-4DB8-8827-1D85B469A23E}"/>
    <cellStyle name="Total 2 3 2 16" xfId="8528" xr:uid="{3EF71EBD-BC0C-4FD7-83FC-1744A6138560}"/>
    <cellStyle name="Total 2 3 2 17" xfId="8750" xr:uid="{AB4A8C81-6C2C-4650-997B-45B9ACAE337E}"/>
    <cellStyle name="Total 2 3 2 18" xfId="9777" xr:uid="{01638B97-9667-40D5-9F9D-AE0C2E53713E}"/>
    <cellStyle name="Total 2 3 2 19" xfId="8990" xr:uid="{5B5F6B16-3CBD-48D6-941C-005E8D63E73A}"/>
    <cellStyle name="Total 2 3 2 2" xfId="1317" xr:uid="{EE40DB1A-7A77-420D-B629-5DB19ABFE657}"/>
    <cellStyle name="Total 2 3 2 20" xfId="9971" xr:uid="{B920BE48-9608-4CF0-A9F9-DF189D91F555}"/>
    <cellStyle name="Total 2 3 2 21" xfId="9347" xr:uid="{44D4786E-D711-418B-B43A-D428B3835861}"/>
    <cellStyle name="Total 2 3 2 22" xfId="10964" xr:uid="{D224F06B-BEB7-4342-886B-80F5601610DD}"/>
    <cellStyle name="Total 2 3 2 23" xfId="12196" xr:uid="{3446FB54-D3A7-46A4-84DA-9BE6D751475D}"/>
    <cellStyle name="Total 2 3 2 24" xfId="12669" xr:uid="{9AF3D0A6-794C-4CD6-A745-31C2001F4EC0}"/>
    <cellStyle name="Total 2 3 2 25" xfId="13103" xr:uid="{A5FD8799-D2E4-4544-A738-E55C9DB35A71}"/>
    <cellStyle name="Total 2 3 2 26" xfId="13540" xr:uid="{ABE49C2B-5098-4749-9616-658F63253B43}"/>
    <cellStyle name="Total 2 3 2 27" xfId="11769" xr:uid="{FCB3D333-B620-408B-85C6-04733104FD17}"/>
    <cellStyle name="Total 2 3 2 28" xfId="13795" xr:uid="{60C8B148-AEFA-4BD4-B6D2-90ED34730B17}"/>
    <cellStyle name="Total 2 3 2 29" xfId="14122" xr:uid="{4DADF266-48A1-4DF6-A5E8-F03B16C10075}"/>
    <cellStyle name="Total 2 3 2 3" xfId="1766" xr:uid="{32A26998-C8EA-4E0C-9ED9-2C192C7F8564}"/>
    <cellStyle name="Total 2 3 2 30" xfId="14821" xr:uid="{C8D48920-8DAE-4039-BDE6-10A2A62D2ACA}"/>
    <cellStyle name="Total 2 3 2 31" xfId="15079" xr:uid="{647C3EB1-4A73-4F84-97E1-7DC2D1E3E909}"/>
    <cellStyle name="Total 2 3 2 32" xfId="15049" xr:uid="{ABE55917-6EDB-4838-A79C-05CC549DE9F8}"/>
    <cellStyle name="Total 2 3 2 33" xfId="16888" xr:uid="{E96E0A62-6A70-490B-8ABB-122760D11F6C}"/>
    <cellStyle name="Total 2 3 2 34" xfId="16087" xr:uid="{E6178DB3-F363-4063-8E7B-66328E5C3F11}"/>
    <cellStyle name="Total 2 3 2 35" xfId="17087" xr:uid="{6FEAC58C-410D-47A1-B78B-A32715B96DE0}"/>
    <cellStyle name="Total 2 3 2 36" xfId="17786" xr:uid="{D3953827-FEE0-4C97-B7D6-DA39EAAFE7DE}"/>
    <cellStyle name="Total 2 3 2 37" xfId="18706" xr:uid="{093F3224-F98B-4660-B89F-1423B6A36028}"/>
    <cellStyle name="Total 2 3 2 38" xfId="18848" xr:uid="{27806761-9FC3-4DEE-877D-305D9DFEC185}"/>
    <cellStyle name="Total 2 3 2 39" xfId="17819" xr:uid="{1C4D19F9-0C92-4C06-8DBB-FB35B795E881}"/>
    <cellStyle name="Total 2 3 2 4" xfId="2665" xr:uid="{7418554C-B518-493D-94FF-0CC517211439}"/>
    <cellStyle name="Total 2 3 2 40" xfId="20225" xr:uid="{DAA62B43-A5C7-4E3B-9516-AEB5750D10F2}"/>
    <cellStyle name="Total 2 3 2 41" xfId="19420" xr:uid="{3F005F7D-0C4D-4DA5-97D0-1ECD41A1B5AC}"/>
    <cellStyle name="Total 2 3 2 42" xfId="19800" xr:uid="{9FF45B4E-91A6-4F8F-A01D-757357D84005}"/>
    <cellStyle name="Total 2 3 2 43" xfId="21279" xr:uid="{ECC4C417-F304-4E9F-BF1B-7EAD403D0C0D}"/>
    <cellStyle name="Total 2 3 2 44" xfId="20949" xr:uid="{8E285A5A-E1D8-40BB-9B41-C635F8F5ECF1}"/>
    <cellStyle name="Total 2 3 2 45" xfId="21824" xr:uid="{C45B0F21-3D04-44C3-8A7C-CF7720E725D2}"/>
    <cellStyle name="Total 2 3 2 46" xfId="21833" xr:uid="{B087719A-851F-48CA-96FD-F23FC14EF853}"/>
    <cellStyle name="Total 2 3 2 47" xfId="23124" xr:uid="{E5206F78-1952-4F9A-9AB2-FF35FEB4DACA}"/>
    <cellStyle name="Total 2 3 2 48" xfId="21345" xr:uid="{9085E71C-BE26-4B21-87B7-364D228EE7B6}"/>
    <cellStyle name="Total 2 3 2 49" xfId="24025" xr:uid="{C1815D9B-ACB5-4416-B241-1B760DB91251}"/>
    <cellStyle name="Total 2 3 2 5" xfId="2250" xr:uid="{F6E3C130-6309-4B84-9683-CF6A57F2C82F}"/>
    <cellStyle name="Total 2 3 2 50" xfId="24933" xr:uid="{015DFE38-1AFF-4F71-BA45-5E640EDA276D}"/>
    <cellStyle name="Total 2 3 2 51" xfId="24144" xr:uid="{E60A10C5-618B-4198-AF86-E25D9BC9AA80}"/>
    <cellStyle name="Total 2 3 2 52" xfId="25849" xr:uid="{9DA5C114-7087-4FFB-95F8-FC1E791680A9}"/>
    <cellStyle name="Total 2 3 2 53" xfId="24537" xr:uid="{16A4E8F4-675D-4A14-ACC6-C2515CE23D6E}"/>
    <cellStyle name="Total 2 3 2 54" xfId="25499" xr:uid="{FF297930-43C9-4CE6-BE35-6FD083ACCB1E}"/>
    <cellStyle name="Total 2 3 2 55" xfId="27137" xr:uid="{79BC0FA9-8468-4041-B238-D398CDAF5CAC}"/>
    <cellStyle name="Total 2 3 2 56" xfId="27556" xr:uid="{9FF31FFE-58EA-40B1-908C-E49F473D2FE2}"/>
    <cellStyle name="Total 2 3 2 57" xfId="26566" xr:uid="{7D7DB265-B5E6-436F-A9ED-879B07D9376C}"/>
    <cellStyle name="Total 2 3 2 58" xfId="28683" xr:uid="{0F884C04-913D-4D98-82E1-9D36BDFBBAC4}"/>
    <cellStyle name="Total 2 3 2 59" xfId="29150" xr:uid="{6FCDDC42-5950-46B5-9C7C-C03658894908}"/>
    <cellStyle name="Total 2 3 2 6" xfId="2992" xr:uid="{B13B0D94-E8B6-4D7C-AD98-7971BE41A6FD}"/>
    <cellStyle name="Total 2 3 2 60" xfId="28283" xr:uid="{7B315E77-13A9-42D9-941A-2A8D3D0C6BFE}"/>
    <cellStyle name="Total 2 3 2 61" xfId="29939" xr:uid="{B0447862-0ED1-4558-917A-1DC1FEF5BFF5}"/>
    <cellStyle name="Total 2 3 2 62" xfId="30345" xr:uid="{645A06FA-1C66-4629-80E6-8C3AF55F037D}"/>
    <cellStyle name="Total 2 3 2 63" xfId="30762" xr:uid="{3F050B5A-E8DD-497E-AB68-2730D23FC4DB}"/>
    <cellStyle name="Total 2 3 2 64" xfId="29595" xr:uid="{C3F1688D-4B4A-457F-B749-6314FFD60A46}"/>
    <cellStyle name="Total 2 3 2 65" xfId="31378" xr:uid="{40A19C7E-C5C7-4BAB-B4D6-884655DA5235}"/>
    <cellStyle name="Total 2 3 2 66" xfId="32069" xr:uid="{783E6E9A-B430-416B-A6CE-DB51C2C90B84}"/>
    <cellStyle name="Total 2 3 2 67" xfId="31660" xr:uid="{4C5BB53A-3D1F-46B6-8621-6138765697A7}"/>
    <cellStyle name="Total 2 3 2 7" xfId="4161" xr:uid="{50082725-FC73-4629-A377-0E94CA30CF6A}"/>
    <cellStyle name="Total 2 3 2 8" xfId="4598" xr:uid="{8BB561EC-819B-4C30-A670-55206F600853}"/>
    <cellStyle name="Total 2 3 2 9" xfId="3248" xr:uid="{1714291C-D96D-4108-AF73-C819ECEEE59E}"/>
    <cellStyle name="Total 2 3 20" xfId="9947" xr:uid="{350C608B-95AA-4D0D-B549-EB6E8278CF37}"/>
    <cellStyle name="Total 2 3 21" xfId="10377" xr:uid="{64994DBB-2B7D-4275-B806-AC38D090C899}"/>
    <cellStyle name="Total 2 3 22" xfId="10833" xr:uid="{21B9E8C1-31BB-4FE3-8F21-7CD0A65A9F72}"/>
    <cellStyle name="Total 2 3 23" xfId="11151" xr:uid="{D9BF8DC4-B725-4C55-9198-004145760562}"/>
    <cellStyle name="Total 2 3 24" xfId="11981" xr:uid="{9D522476-DC7E-4ED1-812C-55CA22EBC8A9}"/>
    <cellStyle name="Total 2 3 25" xfId="12454" xr:uid="{68A1373B-6A90-4601-B08F-D98B4E09AE10}"/>
    <cellStyle name="Total 2 3 26" xfId="12888" xr:uid="{7B8F6F84-7558-410E-A64D-4AAC22FE056D}"/>
    <cellStyle name="Total 2 3 27" xfId="13325" xr:uid="{4508A67C-B4BA-4FEB-9531-3A125EFE919F}"/>
    <cellStyle name="Total 2 3 28" xfId="12262" xr:uid="{0C89CE38-6EF0-486B-AD48-2C95E2DC7A61}"/>
    <cellStyle name="Total 2 3 29" xfId="14305" xr:uid="{9234F12A-987B-401E-B883-ACDD5172A86B}"/>
    <cellStyle name="Total 2 3 3" xfId="1111" xr:uid="{93326FA8-275C-41B1-85F0-DE055EE7D437}"/>
    <cellStyle name="Total 2 3 30" xfId="14652" xr:uid="{D646BF51-AF93-485E-877F-4F15EB774603}"/>
    <cellStyle name="Total 2 3 31" xfId="12954" xr:uid="{A3C43288-D3D3-4CCE-9546-946DB6A9127F}"/>
    <cellStyle name="Total 2 3 32" xfId="14833" xr:uid="{41309BE4-E694-4487-8FC7-EA484E5561D7}"/>
    <cellStyle name="Total 2 3 33" xfId="15827" xr:uid="{D902DA2E-A9E0-426E-93B8-81636973C953}"/>
    <cellStyle name="Total 2 3 34" xfId="16673" xr:uid="{797ADC24-F77E-4883-BD8F-E0CDED0EAF4A}"/>
    <cellStyle name="Total 2 3 35" xfId="17061" xr:uid="{15B08220-35BB-4144-80BF-7642908D118E}"/>
    <cellStyle name="Total 2 3 36" xfId="17507" xr:uid="{3BC9FDC4-E0A3-4938-A083-9C878EA84E4A}"/>
    <cellStyle name="Total 2 3 37" xfId="17904" xr:uid="{87134410-9ADD-4EB2-8E70-ED6546FE6F49}"/>
    <cellStyle name="Total 2 3 38" xfId="18491" xr:uid="{93CE482A-597A-40DF-8492-5E6BADE12B78}"/>
    <cellStyle name="Total 2 3 39" xfId="18154" xr:uid="{D3099B5B-72F6-4FAB-A772-03AED232C804}"/>
    <cellStyle name="Total 2 3 4" xfId="1617" xr:uid="{B36758A2-917A-4EFA-A755-765207A21401}"/>
    <cellStyle name="Total 2 3 40" xfId="19329" xr:uid="{B1AC1576-D68E-484D-BF7D-020D2DE30D49}"/>
    <cellStyle name="Total 2 3 41" xfId="20010" xr:uid="{71C6272C-36B2-4D80-9D34-0B189A02E32C}"/>
    <cellStyle name="Total 2 3 42" xfId="20413" xr:uid="{F09E8640-9359-4677-8FEC-F2FC5E2F0631}"/>
    <cellStyle name="Total 2 3 43" xfId="20866" xr:uid="{64F72567-D9DD-4793-B1A4-BD93A95C8CEA}"/>
    <cellStyle name="Total 2 3 44" xfId="21230" xr:uid="{635411C6-CBFB-465D-B77B-1152BE4F3C3E}"/>
    <cellStyle name="Total 2 3 45" xfId="21798" xr:uid="{228D894F-AAE9-40FA-A4C3-2DE955CFC3D4}"/>
    <cellStyle name="Total 2 3 46" xfId="22235" xr:uid="{254837CD-C5B0-4E25-BB72-CBC38502FA2D}"/>
    <cellStyle name="Total 2 3 47" xfId="22360" xr:uid="{F0876ADD-B368-4A60-86CD-F253C6BEA318}"/>
    <cellStyle name="Total 2 3 48" xfId="21975" xr:uid="{07CB207C-1F81-4BB1-8356-5278BD6E72FD}"/>
    <cellStyle name="Total 2 3 49" xfId="23592" xr:uid="{BF2B955B-B5AF-4BD3-9028-DEAE95C4E2BF}"/>
    <cellStyle name="Total 2 3 5" xfId="2450" xr:uid="{B773F1B0-882C-448D-8C22-858B5281543B}"/>
    <cellStyle name="Total 2 3 50" xfId="23819" xr:uid="{E2749DA7-32D4-4866-B33F-475A036D4B25}"/>
    <cellStyle name="Total 2 3 51" xfId="24718" xr:uid="{FA7F0FCA-5D47-42E8-A9E9-6B07DC897399}"/>
    <cellStyle name="Total 2 3 52" xfId="25121" xr:uid="{A1949B01-93C7-4990-9E95-8FB8091F250A}"/>
    <cellStyle name="Total 2 3 53" xfId="25636" xr:uid="{29ED1D4E-A37A-47DB-96F1-85FA7AE3B0A1}"/>
    <cellStyle name="Total 2 3 54" xfId="24271" xr:uid="{2A5E5FA1-4324-4A52-AE9A-57E61B1B35C0}"/>
    <cellStyle name="Total 2 3 55" xfId="26045" xr:uid="{8868BE09-3035-47F2-8212-C3A01C02998D}"/>
    <cellStyle name="Total 2 3 56" xfId="26926" xr:uid="{DBA08B9B-4E76-4CB2-B793-6899147F26DA}"/>
    <cellStyle name="Total 2 3 57" xfId="27345" xr:uid="{3893F948-80F3-46F9-9099-BEB4BE4EE209}"/>
    <cellStyle name="Total 2 3 58" xfId="26791" xr:uid="{AA6B3313-7907-4111-B083-C2F84ACCCF51}"/>
    <cellStyle name="Total 2 3 59" xfId="28468" xr:uid="{B1AAA858-68CD-48D3-9896-69E173A70188}"/>
    <cellStyle name="Total 2 3 6" xfId="2051" xr:uid="{0DB7C6B1-8702-4A2F-A505-CFE74D653553}"/>
    <cellStyle name="Total 2 3 60" xfId="28936" xr:uid="{BCE38E1C-3A57-42C4-8237-BF319163972C}"/>
    <cellStyle name="Total 2 3 61" xfId="29276" xr:uid="{A4C2033A-F860-4945-8150-DDFF417C40BE}"/>
    <cellStyle name="Total 2 3 62" xfId="29726" xr:uid="{B1C9800B-3842-4F29-AAD3-A7B21661F8AD}"/>
    <cellStyle name="Total 2 3 63" xfId="30134" xr:uid="{741D9F97-6E15-45C4-9237-4882BDDACAE0}"/>
    <cellStyle name="Total 2 3 64" xfId="30548" xr:uid="{E0C94733-D7BC-46BE-AAD9-25B5C2A8BE6B}"/>
    <cellStyle name="Total 2 3 65" xfId="31020" xr:uid="{AA25BBEB-17B9-4D90-B685-F166616CC9A3}"/>
    <cellStyle name="Total 2 3 66" xfId="31172" xr:uid="{9994986A-F937-4159-A1DB-F3BB47A4F14C}"/>
    <cellStyle name="Total 2 3 67" xfId="31858" xr:uid="{53A20269-B8CA-48B8-809D-AD2CABDF5173}"/>
    <cellStyle name="Total 2 3 68" xfId="32331" xr:uid="{F4A16D28-D2CE-4B3A-B554-612E1134B94D}"/>
    <cellStyle name="Total 2 3 7" xfId="1924" xr:uid="{AF3F6FF6-E0FE-4DEB-A8C6-D3869FEE1534}"/>
    <cellStyle name="Total 2 3 8" xfId="3946" xr:uid="{6066546B-65C0-4A6D-BF44-ED5C2FCDE941}"/>
    <cellStyle name="Total 2 3 9" xfId="4384" xr:uid="{DE0927A6-332F-4A9C-B70F-04F204AA5B39}"/>
    <cellStyle name="Total 2 30" xfId="17011" xr:uid="{5DDBF5D2-6032-490B-9454-1D863513A304}"/>
    <cellStyle name="Total 2 31" xfId="18112" xr:uid="{DE7C974D-6655-41C8-9EED-BE35BA7207C7}"/>
    <cellStyle name="Total 2 32" xfId="17214" xr:uid="{950A4F02-AEA4-48C7-BA2D-2F8040A14832}"/>
    <cellStyle name="Total 2 33" xfId="18945" xr:uid="{481D06D3-DFFE-46C9-98E9-7E83B7338E01}"/>
    <cellStyle name="Total 2 34" xfId="19564" xr:uid="{6D95ECE3-ECBA-45F9-8B07-B84DE41967D4}"/>
    <cellStyle name="Total 2 35" xfId="20360" xr:uid="{CE97D4B9-5F28-4670-AE27-5E323D6485C6}"/>
    <cellStyle name="Total 2 36" xfId="22185" xr:uid="{E57667C5-BBFE-4678-AD40-7D8EEE36AF40}"/>
    <cellStyle name="Total 2 37" xfId="19518" xr:uid="{3E55C539-8F7B-4A9C-8D4F-CAAEABEE8291}"/>
    <cellStyle name="Total 2 38" xfId="23647" xr:uid="{C0B469DA-902C-497D-ABC0-76CA028ED299}"/>
    <cellStyle name="Total 2 39" xfId="24285" xr:uid="{6F3E0C53-E166-4817-A0DC-ED2D1FEF36A1}"/>
    <cellStyle name="Total 2 4" xfId="516" xr:uid="{0B73846E-22CE-476B-B20B-D050F8EAE4E3}"/>
    <cellStyle name="Total 2 4 10" xfId="4838" xr:uid="{A9950C48-E8A5-4270-AC3C-6353113DBC62}"/>
    <cellStyle name="Total 2 4 11" xfId="5164" xr:uid="{5356B8CE-D9C2-4E7A-956C-3EAD0F99B11A}"/>
    <cellStyle name="Total 2 4 12" xfId="3049" xr:uid="{D40BACDB-5175-4928-9EF7-11F86298C790}"/>
    <cellStyle name="Total 2 4 13" xfId="2068" xr:uid="{406EF8F3-49B9-4FBC-B006-8E878E8BFA68}"/>
    <cellStyle name="Total 2 4 14" xfId="6457" xr:uid="{9A60C5E7-BD2D-44C8-A039-FA87FE3438D4}"/>
    <cellStyle name="Total 2 4 15" xfId="7236" xr:uid="{7B1CD1BC-1C0B-4530-B689-464350A39F3E}"/>
    <cellStyle name="Total 2 4 16" xfId="6874" xr:uid="{C25A479C-BF77-4B3F-8EFB-9CD92E8E2C49}"/>
    <cellStyle name="Total 2 4 17" xfId="7816" xr:uid="{A1F91BCF-FA43-48AB-851C-D5D99931C626}"/>
    <cellStyle name="Total 2 4 18" xfId="8620" xr:uid="{BB0E4881-242B-496A-AA2E-6211E3894297}"/>
    <cellStyle name="Total 2 4 19" xfId="9450" xr:uid="{9EB7EBC4-700A-48A9-A614-034CFC3AC90D}"/>
    <cellStyle name="Total 2 4 2" xfId="731" xr:uid="{A45BEE70-BC05-4004-B43B-56651BC1E1F7}"/>
    <cellStyle name="Total 2 4 2 10" xfId="5379" xr:uid="{9F7648E5-C8DF-4B8F-987F-61C2090A0BFF}"/>
    <cellStyle name="Total 2 4 2 11" xfId="4795" xr:uid="{47B9436D-8195-4DA9-A208-D18D2B280F40}"/>
    <cellStyle name="Total 2 4 2 12" xfId="6091" xr:uid="{FECDEEDF-B894-4F2A-8D30-118D4821CD08}"/>
    <cellStyle name="Total 2 4 2 13" xfId="4780" xr:uid="{3D567DC5-EFEC-4AB7-8D8B-32D04DA17330}"/>
    <cellStyle name="Total 2 4 2 14" xfId="7451" xr:uid="{ED5E52D4-8B90-4CE8-890B-E78E8ED2D7FD}"/>
    <cellStyle name="Total 2 4 2 15" xfId="7051" xr:uid="{296BC25A-280B-40EE-91BE-317E5EE7F7B9}"/>
    <cellStyle name="Total 2 4 2 16" xfId="8341" xr:uid="{675210F7-721F-4DF5-BCD1-59A66A3FBE3C}"/>
    <cellStyle name="Total 2 4 2 17" xfId="7722" xr:uid="{2B6E0371-A061-47DD-9E9D-1C8A35179449}"/>
    <cellStyle name="Total 2 4 2 18" xfId="9665" xr:uid="{34532AC9-18D3-4DA2-8F05-31BDB0EFF6DC}"/>
    <cellStyle name="Total 2 4 2 19" xfId="9264" xr:uid="{749D78C6-21A3-40B2-87A0-9D743A677835}"/>
    <cellStyle name="Total 2 4 2 2" xfId="1205" xr:uid="{7A6F08FA-1C09-406B-8DB7-2E4EBC038769}"/>
    <cellStyle name="Total 2 4 2 20" xfId="10269" xr:uid="{4AE21664-BB9E-4BF0-8573-670A7F379A97}"/>
    <cellStyle name="Total 2 4 2 21" xfId="10897" xr:uid="{43A85F8E-6A64-4239-A369-84F3660942F0}"/>
    <cellStyle name="Total 2 4 2 22" xfId="11155" xr:uid="{8B8EE085-AC97-43B1-8C07-FA04BF660A07}"/>
    <cellStyle name="Total 2 4 2 23" xfId="12084" xr:uid="{8CA13CC9-A704-40AC-B686-65735C1D551E}"/>
    <cellStyle name="Total 2 4 2 24" xfId="12557" xr:uid="{51FBF49E-D2AD-4902-9531-CA22A22A6C45}"/>
    <cellStyle name="Total 2 4 2 25" xfId="12991" xr:uid="{061FDB44-8BCB-4937-B9F9-D2672E89D7AB}"/>
    <cellStyle name="Total 2 4 2 26" xfId="13428" xr:uid="{6122F0EB-DF4C-43E9-8A6F-54D847C459F9}"/>
    <cellStyle name="Total 2 4 2 27" xfId="11396" xr:uid="{8F08238E-CEC6-423F-8356-68D6E0A29165}"/>
    <cellStyle name="Total 2 4 2 28" xfId="13666" xr:uid="{894A67AB-A629-40B8-8F38-81607E2F946D}"/>
    <cellStyle name="Total 2 4 2 29" xfId="14438" xr:uid="{A6AEE1FD-F0F1-4F29-8155-BD5F74A27BF2}"/>
    <cellStyle name="Total 2 4 2 3" xfId="1542" xr:uid="{DD64292E-6E0D-4210-8CA5-5238B8BB988D}"/>
    <cellStyle name="Total 2 4 2 30" xfId="14003" xr:uid="{0DDB5DC5-1F21-450D-AD76-A3297D90827B}"/>
    <cellStyle name="Total 2 4 2 31" xfId="15309" xr:uid="{2B60B4FC-C446-4EF9-83CE-1B1E81B79A00}"/>
    <cellStyle name="Total 2 4 2 32" xfId="15480" xr:uid="{83184F20-0BEE-4636-B3A5-C3FA4343F60E}"/>
    <cellStyle name="Total 2 4 2 33" xfId="16776" xr:uid="{348A290F-7A3A-4FAF-8C51-72B1AC9272B4}"/>
    <cellStyle name="Total 2 4 2 34" xfId="16373" xr:uid="{31D51507-57B8-436A-9172-623607994AF3}"/>
    <cellStyle name="Total 2 4 2 35" xfId="17392" xr:uid="{5B46CE07-824C-479F-A980-26C80CB4F7A3}"/>
    <cellStyle name="Total 2 4 2 36" xfId="17483" xr:uid="{0C0963A9-D945-443D-9DE3-82FFAD5D88E5}"/>
    <cellStyle name="Total 2 4 2 37" xfId="18594" xr:uid="{22AEF992-5EA1-467D-A744-DEE05EE021F0}"/>
    <cellStyle name="Total 2 4 2 38" xfId="17181" xr:uid="{566CEBE1-4EE3-40F0-BEB9-FB14B02C9360}"/>
    <cellStyle name="Total 2 4 2 39" xfId="17944" xr:uid="{9E059BBB-503F-4158-8D34-A43F8E06E323}"/>
    <cellStyle name="Total 2 4 2 4" xfId="2553" xr:uid="{3B5D82AD-686D-4ACB-A31D-12625ED2C8A6}"/>
    <cellStyle name="Total 2 4 2 40" xfId="20113" xr:uid="{72F98347-38EF-45D1-8581-D22C199848BA}"/>
    <cellStyle name="Total 2 4 2 41" xfId="19707" xr:uid="{7E28A9BB-99C0-4FB4-870F-06143C728833}"/>
    <cellStyle name="Total 2 4 2 42" xfId="19532" xr:uid="{0DF5D359-EDE4-4E21-8B71-B6B724704D5E}"/>
    <cellStyle name="Total 2 4 2 43" xfId="20626" xr:uid="{A57DABDE-5963-4F98-853F-389573A43570}"/>
    <cellStyle name="Total 2 4 2 44" xfId="21600" xr:uid="{454E99ED-0D8E-4E3B-A9C7-07EBDF226B5E}"/>
    <cellStyle name="Total 2 4 2 45" xfId="21758" xr:uid="{15294920-CEEE-419F-B3F9-B09CFCD807A7}"/>
    <cellStyle name="Total 2 4 2 46" xfId="21773" xr:uid="{A76C7BC6-F39C-49B6-ADF5-C460EBF241E7}"/>
    <cellStyle name="Total 2 4 2 47" xfId="22173" xr:uid="{A29C55FF-2CCA-4C27-B68E-E317BBB4AB33}"/>
    <cellStyle name="Total 2 4 2 48" xfId="23468" xr:uid="{AFCF4B13-6066-485C-892E-4697844BD18C}"/>
    <cellStyle name="Total 2 4 2 49" xfId="23913" xr:uid="{0409F393-59EA-4CB5-8979-79E9E81617D2}"/>
    <cellStyle name="Total 2 4 2 5" xfId="1859" xr:uid="{F516D0AE-DE8D-422F-A259-BD845E43BCE1}"/>
    <cellStyle name="Total 2 4 2 50" xfId="24821" xr:uid="{D6FCB5AD-34BB-4D7E-9DCF-91524B1CA71A}"/>
    <cellStyle name="Total 2 4 2 51" xfId="24553" xr:uid="{394DFD58-7CEB-44E8-BDE4-C54B70C9FD7A}"/>
    <cellStyle name="Total 2 4 2 52" xfId="25737" xr:uid="{EE2CE38A-7BE8-4DF7-8304-31296F35CDB6}"/>
    <cellStyle name="Total 2 4 2 53" xfId="25194" xr:uid="{BB825221-49D9-4905-A52F-2B55034DE556}"/>
    <cellStyle name="Total 2 4 2 54" xfId="26375" xr:uid="{376BE330-1958-45AB-9C73-05B9427E3C9B}"/>
    <cellStyle name="Total 2 4 2 55" xfId="27025" xr:uid="{13E62442-1CDC-4A42-A585-5D38D197ACF3}"/>
    <cellStyle name="Total 2 4 2 56" xfId="27444" xr:uid="{088E4B57-C2FA-455B-A4BD-71D8F166ED6D}"/>
    <cellStyle name="Total 2 4 2 57" xfId="27699" xr:uid="{E07D2EF8-E597-43E2-A586-E58FF21FE095}"/>
    <cellStyle name="Total 2 4 2 58" xfId="28571" xr:uid="{E3D8DFAE-7DDE-4F9E-87EB-DC42FD671978}"/>
    <cellStyle name="Total 2 4 2 59" xfId="29038" xr:uid="{242EE5FF-59E1-4774-8314-EE61C063B957}"/>
    <cellStyle name="Total 2 4 2 6" xfId="3628" xr:uid="{E7D7402E-F327-443A-B143-A38BAB97EDEF}"/>
    <cellStyle name="Total 2 4 2 60" xfId="28006" xr:uid="{322DF31F-64D4-4DDE-920A-D309B64BC6B9}"/>
    <cellStyle name="Total 2 4 2 61" xfId="29827" xr:uid="{7E85B487-2150-4AB0-BB7D-C21856E55EA1}"/>
    <cellStyle name="Total 2 4 2 62" xfId="30233" xr:uid="{D9E0B000-6195-4410-AFFB-AC4CD4FC29E1}"/>
    <cellStyle name="Total 2 4 2 63" xfId="30650" xr:uid="{0822518F-8B53-4ED7-B234-C98B0053B81C}"/>
    <cellStyle name="Total 2 4 2 64" xfId="29590" xr:uid="{A27B5F36-5F88-417D-9A63-F0F01A769CA8}"/>
    <cellStyle name="Total 2 4 2 65" xfId="31266" xr:uid="{07B16E86-ED32-44D5-8BA5-B5F277B845D0}"/>
    <cellStyle name="Total 2 4 2 66" xfId="31957" xr:uid="{641C1369-3C07-45E9-BE54-DA64D3398262}"/>
    <cellStyle name="Total 2 4 2 67" xfId="31519" xr:uid="{20BA9C92-56C5-441B-A43E-05D2562646E7}"/>
    <cellStyle name="Total 2 4 2 7" xfId="4049" xr:uid="{E6D3BC3B-CDA1-4DD9-8CE4-26686CEF1203}"/>
    <cellStyle name="Total 2 4 2 8" xfId="4486" xr:uid="{36713731-6E7C-40FD-B2AA-E1AC860DB988}"/>
    <cellStyle name="Total 2 4 2 9" xfId="2220" xr:uid="{CAAC032F-9397-40EC-BFD7-9D7B1ECF867F}"/>
    <cellStyle name="Total 2 4 20" xfId="9087" xr:uid="{7EFF3387-ABB3-467A-B85A-F67A12C74F7A}"/>
    <cellStyle name="Total 2 4 21" xfId="10264" xr:uid="{822C2AE6-2DA8-4697-8AAF-61F2B6D366D2}"/>
    <cellStyle name="Total 2 4 22" xfId="10691" xr:uid="{4100C793-B34F-4B2F-8947-EE38BF6985FC}"/>
    <cellStyle name="Total 2 4 23" xfId="11270" xr:uid="{7D1876CB-DD6D-4F4F-8431-2BD0B48B3869}"/>
    <cellStyle name="Total 2 4 24" xfId="11869" xr:uid="{4F640C4C-C80A-4DC7-853A-7FDDE68E8620}"/>
    <cellStyle name="Total 2 4 25" xfId="12342" xr:uid="{4307EF43-3B18-481D-AE1E-4D39B480C2B6}"/>
    <cellStyle name="Total 2 4 26" xfId="12776" xr:uid="{4364BC9E-7459-4C4B-A7B8-5FE93262B19C}"/>
    <cellStyle name="Total 2 4 27" xfId="13213" xr:uid="{05587FAC-A9A3-4801-BEAF-85DF1C681513}"/>
    <cellStyle name="Total 2 4 28" xfId="11834" xr:uid="{6BE9195D-E173-4D82-9C49-73B3ACFEE929}"/>
    <cellStyle name="Total 2 4 29" xfId="14343" xr:uid="{261672B8-00DC-4760-B156-D8CB5CA2E0C6}"/>
    <cellStyle name="Total 2 4 3" xfId="999" xr:uid="{5094BE0F-C131-4224-9A2A-203F58291804}"/>
    <cellStyle name="Total 2 4 30" xfId="14787" xr:uid="{5870CCE9-E2FD-41F5-A9E4-24C30F55518E}"/>
    <cellStyle name="Total 2 4 31" xfId="11835" xr:uid="{1F0EB60B-F48E-4275-AD4D-968FF4340F96}"/>
    <cellStyle name="Total 2 4 32" xfId="15522" xr:uid="{BCFF1897-0D83-4618-BB51-589C8863F742}"/>
    <cellStyle name="Total 2 4 33" xfId="14157" xr:uid="{D9164A24-5674-4787-BB42-404B76CE15CB}"/>
    <cellStyle name="Total 2 4 34" xfId="16561" xr:uid="{893C47FB-DA35-4F1B-AC88-35888CCB12FC}"/>
    <cellStyle name="Total 2 4 35" xfId="16190" xr:uid="{2BF8C71D-7010-4F15-AA6B-1F2BE745E1EB}"/>
    <cellStyle name="Total 2 4 36" xfId="17386" xr:uid="{BE15501B-F5BA-419A-BF3D-3A78D57E023F}"/>
    <cellStyle name="Total 2 4 37" xfId="18160" xr:uid="{1B10DCA6-5A4C-4B23-A4D1-147660A231E7}"/>
    <cellStyle name="Total 2 4 38" xfId="18379" xr:uid="{44613CAD-9972-4CB7-BC3C-47117837A580}"/>
    <cellStyle name="Total 2 4 39" xfId="17000" xr:uid="{D6AE22D2-22B0-4898-A963-950868349AAD}"/>
    <cellStyle name="Total 2 4 4" xfId="1528" xr:uid="{B1D24B1A-D937-425B-8087-48465D6E763B}"/>
    <cellStyle name="Total 2 4 40" xfId="19091" xr:uid="{6BD1C637-143B-477E-B103-22EB15E75E26}"/>
    <cellStyle name="Total 2 4 41" xfId="19898" xr:uid="{B0910309-6D31-4B63-AA9C-EF92ABEF4E04}"/>
    <cellStyle name="Total 2 4 42" xfId="19522" xr:uid="{2EF1CDFA-E828-4A24-BF3B-3102DC7A8E09}"/>
    <cellStyle name="Total 2 4 43" xfId="19739" xr:uid="{A202CC2B-7F06-45C6-8B2B-24AD58E75CA3}"/>
    <cellStyle name="Total 2 4 44" xfId="19813" xr:uid="{EC3B861D-37DB-40F0-B18A-2A3B7C07C1A4}"/>
    <cellStyle name="Total 2 4 45" xfId="21625" xr:uid="{F115D0B8-771D-4E6B-BCC9-342348AEA01E}"/>
    <cellStyle name="Total 2 4 46" xfId="21496" xr:uid="{5C67FDBC-5DCA-455D-8133-605CCBD0D9E5}"/>
    <cellStyle name="Total 2 4 47" xfId="22442" xr:uid="{16F68E93-FC9A-4863-9347-03810F022AF2}"/>
    <cellStyle name="Total 2 4 48" xfId="21523" xr:uid="{8A4B7B16-3C97-4A7A-A08B-9181A1907667}"/>
    <cellStyle name="Total 2 4 49" xfId="23433" xr:uid="{FC67957A-C07B-4A4A-BE36-C156EE4A46E9}"/>
    <cellStyle name="Total 2 4 5" xfId="2338" xr:uid="{CAFC3962-DE41-4CA1-932F-0DA4959612AE}"/>
    <cellStyle name="Total 2 4 50" xfId="23707" xr:uid="{F72DDFB2-B398-4977-AE45-38B3D245B091}"/>
    <cellStyle name="Total 2 4 51" xfId="24606" xr:uid="{BA6F6570-0029-4057-B3BF-9888F79E0BA4}"/>
    <cellStyle name="Total 2 4 52" xfId="24488" xr:uid="{82AA7D21-9573-46DD-9EB8-51BDEA27D608}"/>
    <cellStyle name="Total 2 4 53" xfId="25524" xr:uid="{A65A5FD9-F819-4299-83D6-14F04880961A}"/>
    <cellStyle name="Total 2 4 54" xfId="25916" xr:uid="{A5C6D55F-5B0E-4E82-988D-938A6E810376}"/>
    <cellStyle name="Total 2 4 55" xfId="26202" xr:uid="{03752D45-5F47-4DFC-99DA-161FFFC0E56B}"/>
    <cellStyle name="Total 2 4 56" xfId="26814" xr:uid="{9D794DA4-DE3D-4746-B338-03ECA87FF58D}"/>
    <cellStyle name="Total 2 4 57" xfId="27233" xr:uid="{482E7E4F-540A-4619-A145-9725C7782B9E}"/>
    <cellStyle name="Total 2 4 58" xfId="26402" xr:uid="{A0F2B635-919B-4969-9708-FAEF6AF63F8C}"/>
    <cellStyle name="Total 2 4 59" xfId="28356" xr:uid="{42AF2491-2A0E-477F-AD72-2BC43AA114AA}"/>
    <cellStyle name="Total 2 4 6" xfId="2178" xr:uid="{E2FF3403-F6F9-48BA-AF86-9E80D8A23CBE}"/>
    <cellStyle name="Total 2 4 60" xfId="28824" xr:uid="{310688A9-6DB5-413B-8F55-41A411C5CD42}"/>
    <cellStyle name="Total 2 4 61" xfId="28246" xr:uid="{04C4C9B4-014D-4760-95FD-78DEF192EC01}"/>
    <cellStyle name="Total 2 4 62" xfId="29614" xr:uid="{B94B53F4-E767-460C-95F5-24883A6EB492}"/>
    <cellStyle name="Total 2 4 63" xfId="30022" xr:uid="{46326CA2-1473-4389-8ABB-3B79399F2BFC}"/>
    <cellStyle name="Total 2 4 64" xfId="30436" xr:uid="{4C0EEC7A-6282-4559-A034-69DAA973523C}"/>
    <cellStyle name="Total 2 4 65" xfId="29228" xr:uid="{7F975753-2881-49AD-A976-6CCFFED541C2}"/>
    <cellStyle name="Total 2 4 66" xfId="31060" xr:uid="{332F391F-AEE1-40AE-AFCE-FFE1642181D8}"/>
    <cellStyle name="Total 2 4 67" xfId="31746" xr:uid="{597406BF-2506-4B26-9C5B-F1EB23C87A20}"/>
    <cellStyle name="Total 2 4 68" xfId="32198" xr:uid="{74EA7F3D-4B6A-4BCF-B707-E26A47C8D97F}"/>
    <cellStyle name="Total 2 4 7" xfId="3043" xr:uid="{033491EF-ECC0-4E9C-A4A4-18DEC801D910}"/>
    <cellStyle name="Total 2 4 8" xfId="3834" xr:uid="{2645B7A1-9E2C-4CC3-821C-6043087BC99C}"/>
    <cellStyle name="Total 2 4 9" xfId="4272" xr:uid="{A628DC69-DD94-456E-9C70-2814CFE88AF5}"/>
    <cellStyle name="Total 2 40" xfId="25005" xr:uid="{05753C5C-25BB-4A51-9226-00B8BA9FB336}"/>
    <cellStyle name="Total 2 41" xfId="25006" xr:uid="{BB584B4A-8083-400A-9036-E73FE361B852}"/>
    <cellStyle name="Total 2 42" xfId="26058" xr:uid="{872C5264-8A74-4FC3-9C92-37574A69D343}"/>
    <cellStyle name="Total 2 43" xfId="26417" xr:uid="{6BFBC712-CEC4-4B15-B812-6BDB2DAC2558}"/>
    <cellStyle name="Total 2 44" xfId="25478" xr:uid="{F26B4F4C-E2E8-42F3-8E0A-44BA1E4E3061}"/>
    <cellStyle name="Total 2 45" xfId="26440" xr:uid="{D7A90A73-9C29-4D30-BD49-BA8AFC1E3E10}"/>
    <cellStyle name="Total 2 46" xfId="28065" xr:uid="{F3471B69-0953-4D5D-955F-3EDEADAD9B0E}"/>
    <cellStyle name="Total 2 47" xfId="28276" xr:uid="{64DDBE84-0285-4F04-86CC-EEDE5C5D502A}"/>
    <cellStyle name="Total 2 48" xfId="27924" xr:uid="{66D915B3-CB46-4FA9-8BB8-D9CDABB5BA7D}"/>
    <cellStyle name="Total 2 49" xfId="29460" xr:uid="{144DB8DE-DDEE-4EC1-9E3A-5A774AAEA646}"/>
    <cellStyle name="Total 2 5" xfId="687" xr:uid="{0B1DB48D-FB38-4812-B642-6A272B45395A}"/>
    <cellStyle name="Total 2 5 10" xfId="5335" xr:uid="{65C6E20C-726F-4510-A1F4-09447C194FD9}"/>
    <cellStyle name="Total 2 5 11" xfId="3437" xr:uid="{3BAA2A7D-4A17-4454-9E17-4F7FAEF151CD}"/>
    <cellStyle name="Total 2 5 12" xfId="6211" xr:uid="{6652B0FA-0253-443B-AC77-2B6AEF366AB9}"/>
    <cellStyle name="Total 2 5 13" xfId="6543" xr:uid="{90A16031-EEC6-4C0A-8F36-615BF49FBCBA}"/>
    <cellStyle name="Total 2 5 14" xfId="7407" xr:uid="{BD7C49BB-2F6A-437D-B487-C273CA88C50E}"/>
    <cellStyle name="Total 2 5 15" xfId="7781" xr:uid="{A0BDCEAC-C9C9-4735-945A-35C3F80B6E65}"/>
    <cellStyle name="Total 2 5 16" xfId="7048" xr:uid="{5C610424-2B47-4C2F-8D21-6CDF71DEB47D}"/>
    <cellStyle name="Total 2 5 17" xfId="7420" xr:uid="{3D8CFE1A-B794-40F8-B8D6-EB597EFFFCC2}"/>
    <cellStyle name="Total 2 5 18" xfId="9621" xr:uid="{D0244560-AE5F-4EE7-80BE-997E6B85EEEE}"/>
    <cellStyle name="Total 2 5 19" xfId="9994" xr:uid="{74BA464C-556B-4119-AB76-1150B043387D}"/>
    <cellStyle name="Total 2 5 2" xfId="1169" xr:uid="{0104783A-720B-41CB-B5D5-B8D3BE293D6D}"/>
    <cellStyle name="Total 2 5 20" xfId="10419" xr:uid="{2D5FD17A-3A11-4726-83AD-D4413C482A2F}"/>
    <cellStyle name="Total 2 5 21" xfId="10765" xr:uid="{FEBA90E5-2A64-4558-A8A5-43A8864BAB6E}"/>
    <cellStyle name="Total 2 5 22" xfId="10890" xr:uid="{00A62048-2A11-4248-B1D8-F0BE52AB1E7F}"/>
    <cellStyle name="Total 2 5 23" xfId="12040" xr:uid="{681460C0-F891-4C21-956A-650093961AD3}"/>
    <cellStyle name="Total 2 5 24" xfId="12513" xr:uid="{F95DC00A-7122-4C0D-9B6F-86C6BD25AB72}"/>
    <cellStyle name="Total 2 5 25" xfId="12947" xr:uid="{04565E78-A030-403D-B262-F71B663F4C50}"/>
    <cellStyle name="Total 2 5 26" xfId="13384" xr:uid="{E7ED8B32-E477-438B-8F61-56F555FDF0C5}"/>
    <cellStyle name="Total 2 5 27" xfId="12307" xr:uid="{1949D1D5-2221-4A9A-8FAD-4AD5E32A92C6}"/>
    <cellStyle name="Total 2 5 28" xfId="14196" xr:uid="{CDBD4A3E-25D5-4BEE-AF94-B571A9CF55CA}"/>
    <cellStyle name="Total 2 5 29" xfId="14648" xr:uid="{3C2FA8EA-D76C-4B84-A5CE-65A680A4AF48}"/>
    <cellStyle name="Total 2 5 3" xfId="1604" xr:uid="{757C771F-3B8A-4BF3-8B44-3C12F448CD63}"/>
    <cellStyle name="Total 2 5 30" xfId="15258" xr:uid="{161F468C-D170-4E24-BECA-DA41239DD588}"/>
    <cellStyle name="Total 2 5 31" xfId="15537" xr:uid="{8C46B859-EFA8-4AD2-B713-C496BEF6B2D5}"/>
    <cellStyle name="Total 2 5 32" xfId="15850" xr:uid="{16EDA3D9-DA3A-48FA-9E52-99D9B4378E22}"/>
    <cellStyle name="Total 2 5 33" xfId="16732" xr:uid="{10746585-26E9-4843-8C67-D38CCA335479}"/>
    <cellStyle name="Total 2 5 34" xfId="17110" xr:uid="{028C85EA-9EBD-47DD-B3B3-7EA5B9025C02}"/>
    <cellStyle name="Total 2 5 35" xfId="17557" xr:uid="{C1508B29-C06F-4AB3-9DAC-31ED1A3413A3}"/>
    <cellStyle name="Total 2 5 36" xfId="18148" xr:uid="{0EFB2A4F-BC94-43D4-9AA6-2C8C3FDCD2B5}"/>
    <cellStyle name="Total 2 5 37" xfId="18550" xr:uid="{FAABD177-BBD0-42B8-A4F2-82512508D96E}"/>
    <cellStyle name="Total 2 5 38" xfId="17872" xr:uid="{0BA70812-BCB4-4E90-ACFE-D909FBB3123E}"/>
    <cellStyle name="Total 2 5 39" xfId="19206" xr:uid="{79AA0679-46B7-45A0-96AF-31B261AEF425}"/>
    <cellStyle name="Total 2 5 4" xfId="2509" xr:uid="{141A9DC0-A0E3-40B0-B112-B87D379BD019}"/>
    <cellStyle name="Total 2 5 40" xfId="20069" xr:uid="{1BDB0A59-E63D-4233-95A9-1978231B7C43}"/>
    <cellStyle name="Total 2 5 41" xfId="20463" xr:uid="{B89D17FA-2959-45CB-B322-8A9135E7535F}"/>
    <cellStyle name="Total 2 5 42" xfId="20916" xr:uid="{55F4A54E-2FD2-4898-97BE-A317B9352086}"/>
    <cellStyle name="Total 2 5 43" xfId="19401" xr:uid="{2F2AF4C9-858E-4A2C-AFA8-C9169CAFE67A}"/>
    <cellStyle name="Total 2 5 44" xfId="21845" xr:uid="{71326C3E-4DC0-49D4-BF71-819FC8053F65}"/>
    <cellStyle name="Total 2 5 45" xfId="22282" xr:uid="{199B4FAF-AC4C-461B-9343-C8D585A12A1F}"/>
    <cellStyle name="Total 2 5 46" xfId="22455" xr:uid="{57D424B6-6AA3-4DB5-BA74-50D0EB302456}"/>
    <cellStyle name="Total 2 5 47" xfId="22967" xr:uid="{99F3D466-8CF2-46E7-A4E4-948E4FA4491C}"/>
    <cellStyle name="Total 2 5 48" xfId="23596" xr:uid="{207CD69E-BC0B-4A98-8517-22E076F3CF83}"/>
    <cellStyle name="Total 2 5 49" xfId="23877" xr:uid="{5459DCC6-C743-4877-8253-B87304040C4F}"/>
    <cellStyle name="Total 2 5 5" xfId="2015" xr:uid="{A50EE938-2E26-4FFD-B2EF-2003AE5836D6}"/>
    <cellStyle name="Total 2 5 50" xfId="24777" xr:uid="{F87894E4-5A6D-49B9-8FEB-4100BC0276D3}"/>
    <cellStyle name="Total 2 5 51" xfId="25171" xr:uid="{414E5E5E-C265-49B9-94FC-4DFAF9A8E5BF}"/>
    <cellStyle name="Total 2 5 52" xfId="25695" xr:uid="{B2B35FC0-7395-43FF-9EA6-D7CA31E9F5DF}"/>
    <cellStyle name="Total 2 5 53" xfId="24323" xr:uid="{330FF1F0-1092-4042-B074-F0FFCDBECADC}"/>
    <cellStyle name="Total 2 5 54" xfId="26356" xr:uid="{1A179F4E-63DE-4C3B-92CB-B5E44CE5F9DC}"/>
    <cellStyle name="Total 2 5 55" xfId="26985" xr:uid="{C45A6938-DCF2-493D-8BFF-E0F094C9EC79}"/>
    <cellStyle name="Total 2 5 56" xfId="27404" xr:uid="{99607CDD-430F-402C-B7D2-25C0CF4B50FA}"/>
    <cellStyle name="Total 2 5 57" xfId="27194" xr:uid="{1AF3B359-DE8C-425C-AB45-EA174EEFA574}"/>
    <cellStyle name="Total 2 5 58" xfId="28527" xr:uid="{A6BD4F62-C87C-4CFC-8DCE-FC3B88134F43}"/>
    <cellStyle name="Total 2 5 59" xfId="28995" xr:uid="{BB0BD69E-6535-43BA-8BE6-75105954A7A3}"/>
    <cellStyle name="Total 2 5 6" xfId="3678" xr:uid="{3AC6BA99-2F7B-4EEE-93B1-F06E7F759131}"/>
    <cellStyle name="Total 2 5 60" xfId="29318" xr:uid="{F72B440B-20B2-453B-A3E2-5AF4AF0974EF}"/>
    <cellStyle name="Total 2 5 61" xfId="29785" xr:uid="{F79C866F-002C-4BD7-99CE-3C8A581BB509}"/>
    <cellStyle name="Total 2 5 62" xfId="30192" xr:uid="{3D5B50AB-171E-4E05-B1EA-50041FBCF75A}"/>
    <cellStyle name="Total 2 5 63" xfId="30607" xr:uid="{C7FF3AFB-FDBF-4DE8-81F0-92CD1D452D82}"/>
    <cellStyle name="Total 2 5 64" xfId="30960" xr:uid="{DE0FD36E-2D54-4A68-8708-90224582BE4F}"/>
    <cellStyle name="Total 2 5 65" xfId="31230" xr:uid="{C7B3EA42-7528-48CB-AE01-1D3354059DE7}"/>
    <cellStyle name="Total 2 5 66" xfId="31916" xr:uid="{665D9E7E-CB4A-48F0-9096-18236A50B3A8}"/>
    <cellStyle name="Total 2 5 67" xfId="31569" xr:uid="{184311CF-0023-4D20-B8DC-CF05142ACAC2}"/>
    <cellStyle name="Total 2 5 7" xfId="4005" xr:uid="{1C816ECA-F0CC-478D-AC1D-08E0311CEC85}"/>
    <cellStyle name="Total 2 5 8" xfId="4443" xr:uid="{B5789140-E2FA-432B-9CB6-EC570E1C8C2E}"/>
    <cellStyle name="Total 2 5 9" xfId="4981" xr:uid="{15503655-B7AC-4186-92D8-BB4BBD67FCF7}"/>
    <cellStyle name="Total 2 50" xfId="30818" xr:uid="{7DD77FF1-3864-42D3-8514-34D29BFFCD7A}"/>
    <cellStyle name="Total 2 51" xfId="29214" xr:uid="{8D66BFF2-B2C1-444C-8E56-FB0F492F005F}"/>
    <cellStyle name="Total 2 52" xfId="31544" xr:uid="{DFE75D6A-F121-4987-91A9-ED93BE76BEF0}"/>
    <cellStyle name="Total 2 53" xfId="32294" xr:uid="{CEA7A9CF-2349-4333-9CEE-EECDEC80B497}"/>
    <cellStyle name="Total 2 6" xfId="930" xr:uid="{FEA7B1B0-8A3D-4CE7-9858-5C462516956F}"/>
    <cellStyle name="Total 2 7" xfId="2006" xr:uid="{1C78EB04-CA12-4A06-BB00-0DA23322F562}"/>
    <cellStyle name="Total 2 8" xfId="2739" xr:uid="{19B13732-3A55-4291-B861-FECA6B68A06B}"/>
    <cellStyle name="Total 2 9" xfId="3306" xr:uid="{3CF265B3-F305-41AC-AF00-205A3B8C693E}"/>
    <cellStyle name="Total 3" xfId="239" xr:uid="{6BC0AED2-07F3-4E40-9F94-744FF2FF4947}"/>
    <cellStyle name="Total 3 10" xfId="3401" xr:uid="{DAA2DB8A-C0AD-4E4B-8AC6-C1F00D07B838}"/>
    <cellStyle name="Total 3 11" xfId="4655" xr:uid="{559AF4F9-27C6-4EB2-9E1D-8FBC68C03CE5}"/>
    <cellStyle name="Total 3 12" xfId="4257" xr:uid="{B7CFDB75-F8D1-4C7D-896D-599D05DAD6B8}"/>
    <cellStyle name="Total 3 13" xfId="5806" xr:uid="{799D7600-1A87-4EA9-879C-3B2523A86212}"/>
    <cellStyle name="Total 3 14" xfId="6676" xr:uid="{A2291093-B8A8-4A1B-9AF3-2BC066D236DC}"/>
    <cellStyle name="Total 3 15" xfId="6970" xr:uid="{55FEE8EC-0FB7-419A-A593-BE47FD5AE885}"/>
    <cellStyle name="Total 3 16" xfId="7655" xr:uid="{370F216A-2C1A-47EE-8B1E-1946EC917313}"/>
    <cellStyle name="Total 3 17" xfId="8217" xr:uid="{93E0F0C8-2255-4719-80D2-063722F21913}"/>
    <cellStyle name="Total 3 18" xfId="8839" xr:uid="{65FE7F73-68AF-491F-9CAA-AC3127CDFFB4}"/>
    <cellStyle name="Total 3 19" xfId="9183" xr:uid="{50A2C434-0118-4E97-BC5A-962B355CC0A3}"/>
    <cellStyle name="Total 3 2" xfId="591" xr:uid="{64A6C80E-0A2F-4261-A8AD-E8E579DF4556}"/>
    <cellStyle name="Total 3 2 10" xfId="4753" xr:uid="{71B20635-3018-48FC-8EFB-B5EBFF382A14}"/>
    <cellStyle name="Total 3 2 11" xfId="5239" xr:uid="{3E46ADE6-1DE8-4507-B5D8-101E43ACF12A}"/>
    <cellStyle name="Total 3 2 12" xfId="4965" xr:uid="{F302148C-E955-447C-86C2-4717683CCF87}"/>
    <cellStyle name="Total 3 2 13" xfId="5103" xr:uid="{171E4D6B-9BF6-4698-8254-B06264F8B0B2}"/>
    <cellStyle name="Total 3 2 14" xfId="6659" xr:uid="{478B2135-8A83-4BB6-8867-7D73AEC5E8F1}"/>
    <cellStyle name="Total 3 2 15" xfId="7311" xr:uid="{9E854F80-E3E6-4F53-B733-AA4A45C971FB}"/>
    <cellStyle name="Total 3 2 16" xfId="7749" xr:uid="{A0B55884-FAD8-47C1-9EB3-67E756298A35}"/>
    <cellStyle name="Total 3 2 17" xfId="6773" xr:uid="{CC897D9F-6228-4A1A-A980-855271B5D6DE}"/>
    <cellStyle name="Total 3 2 18" xfId="7720" xr:uid="{94865785-AC0E-4497-B3C9-3E8D4DA0A0B5}"/>
    <cellStyle name="Total 3 2 19" xfId="9525" xr:uid="{6DB3F0CA-645B-4D1D-8333-3AD4C6544AA5}"/>
    <cellStyle name="Total 3 2 2" xfId="806" xr:uid="{C2536416-E382-410A-9BA5-D478EFE80796}"/>
    <cellStyle name="Total 3 2 2 10" xfId="5454" xr:uid="{B7A3638E-E63F-413E-9A6F-7E20C9305243}"/>
    <cellStyle name="Total 3 2 2 11" xfId="5793" xr:uid="{F5656D89-7FE6-4111-98C6-604FF7267544}"/>
    <cellStyle name="Total 3 2 2 12" xfId="5782" xr:uid="{F223F095-3AF0-4DBF-BFF9-AF0DEFA0C26B}"/>
    <cellStyle name="Total 3 2 2 13" xfId="5926" xr:uid="{F10EAAA4-15EF-409E-89CB-CCE3820E8390}"/>
    <cellStyle name="Total 3 2 2 14" xfId="7526" xr:uid="{D7A885F2-E7CD-4155-8712-0C6673B25774}"/>
    <cellStyle name="Total 3 2 2 15" xfId="7023" xr:uid="{391E37BB-8CDF-4A86-A284-E73D7913B7F3}"/>
    <cellStyle name="Total 3 2 2 16" xfId="8142" xr:uid="{5414B607-420E-4301-A317-FDC0C42D9548}"/>
    <cellStyle name="Total 3 2 2 17" xfId="8837" xr:uid="{F28729B6-59C3-4785-B7C3-161475EE91F1}"/>
    <cellStyle name="Total 3 2 2 18" xfId="9740" xr:uid="{BE5D597B-7797-4DEC-87A0-4A6CD42014BE}"/>
    <cellStyle name="Total 3 2 2 19" xfId="9236" xr:uid="{3836D482-32CA-4B7A-964D-7950E9695311}"/>
    <cellStyle name="Total 3 2 2 2" xfId="1280" xr:uid="{A774F0C9-CA06-4B98-829F-B42115081F85}"/>
    <cellStyle name="Total 3 2 2 20" xfId="9244" xr:uid="{6B1027CC-2BD3-4FEA-B8FD-173389F7F164}"/>
    <cellStyle name="Total 3 2 2 21" xfId="10758" xr:uid="{E9403012-301C-48B7-9716-FC4226E1B5F9}"/>
    <cellStyle name="Total 3 2 2 22" xfId="11106" xr:uid="{DE461F0B-B054-4957-855A-845151979A54}"/>
    <cellStyle name="Total 3 2 2 23" xfId="12159" xr:uid="{303BCF47-E75C-475A-A2C7-D3E7774F72D3}"/>
    <cellStyle name="Total 3 2 2 24" xfId="12632" xr:uid="{EE2E411E-4D4F-45A3-BA2F-7ABBB727D9DA}"/>
    <cellStyle name="Total 3 2 2 25" xfId="13066" xr:uid="{11621E5D-2202-4D07-98CD-EFDE2B209270}"/>
    <cellStyle name="Total 3 2 2 26" xfId="13503" xr:uid="{EE3A7FD4-52A1-4C7D-B9C6-A0B2D104AA15}"/>
    <cellStyle name="Total 3 2 2 27" xfId="13653" xr:uid="{4F048F07-8363-406F-B7E8-5213F6637CCB}"/>
    <cellStyle name="Total 3 2 2 28" xfId="13626" xr:uid="{F3975A27-DA69-4E45-902D-D1C82EFED7FA}"/>
    <cellStyle name="Total 3 2 2 29" xfId="14308" xr:uid="{D3BDB401-9877-4F47-BBCF-65AAEBBBE737}"/>
    <cellStyle name="Total 3 2 2 3" xfId="1571" xr:uid="{761A849E-05FB-4457-8577-07703DB0A09D}"/>
    <cellStyle name="Total 3 2 2 30" xfId="14250" xr:uid="{BA2CE7C2-8023-4539-9C4E-5C10A0A62294}"/>
    <cellStyle name="Total 3 2 2 31" xfId="15720" xr:uid="{E1D0AF8E-6F13-4703-9586-28B3D5AC0CFA}"/>
    <cellStyle name="Total 3 2 2 32" xfId="15090" xr:uid="{5858C131-69D4-4F5F-8E7C-C6E4BE4C7F1D}"/>
    <cellStyle name="Total 3 2 2 33" xfId="16851" xr:uid="{637670D1-9D43-41F6-9BE0-F19AB68B2E93}"/>
    <cellStyle name="Total 3 2 2 34" xfId="16345" xr:uid="{DAE0DB99-A1EC-4A9C-BE03-695374AC20A3}"/>
    <cellStyle name="Total 3 2 2 35" xfId="16354" xr:uid="{21C9EB06-9C71-4E4F-BE15-A7AA878FAB62}"/>
    <cellStyle name="Total 3 2 2 36" xfId="17817" xr:uid="{BD7AE072-94BE-4CA7-9F6D-700E1392A831}"/>
    <cellStyle name="Total 3 2 2 37" xfId="18669" xr:uid="{B3147DAC-78B6-49CA-BAF3-812779B99BE7}"/>
    <cellStyle name="Total 3 2 2 38" xfId="19055" xr:uid="{DF2E3E67-A230-4AA8-88EF-8304F904C9D1}"/>
    <cellStyle name="Total 3 2 2 39" xfId="19186" xr:uid="{A7AC848A-116E-4334-808F-96BDA72996C2}"/>
    <cellStyle name="Total 3 2 2 4" xfId="2628" xr:uid="{F4174B44-1772-4B12-80C7-EAF776D7C616}"/>
    <cellStyle name="Total 3 2 2 40" xfId="20188" xr:uid="{A4C05BB1-7458-4D85-BDC1-5218CAFFBBF2}"/>
    <cellStyle name="Total 3 2 2 41" xfId="19678" xr:uid="{36264A9E-C3E1-4558-A34C-7485B2E06C10}"/>
    <cellStyle name="Total 3 2 2 42" xfId="20630" xr:uid="{B90A6FB6-021A-4963-9212-17D349CAD998}"/>
    <cellStyle name="Total 3 2 2 43" xfId="20990" xr:uid="{577E6D62-A189-4256-BA4E-4D3B6FA372F7}"/>
    <cellStyle name="Total 3 2 2 44" xfId="21369" xr:uid="{83583B2E-067B-45AB-BB85-6609A1069B91}"/>
    <cellStyle name="Total 3 2 2 45" xfId="21151" xr:uid="{CD2FA147-8274-4AB1-9B12-72FD8523F171}"/>
    <cellStyle name="Total 3 2 2 46" xfId="22657" xr:uid="{E9AC4365-EC72-44E8-9A58-E266EC4E1C7E}"/>
    <cellStyle name="Total 3 2 2 47" xfId="23332" xr:uid="{18F25DD7-841E-4B9F-A2B8-371B9B7A4C58}"/>
    <cellStyle name="Total 3 2 2 48" xfId="23076" xr:uid="{BE7B7E01-E7E6-4B64-9C94-28E6D2FC1919}"/>
    <cellStyle name="Total 3 2 2 49" xfId="23988" xr:uid="{86FCAA82-8F6C-4A6C-807C-7398EB34D680}"/>
    <cellStyle name="Total 3 2 2 5" xfId="2819" xr:uid="{53545898-969A-4389-8868-5DD861C30088}"/>
    <cellStyle name="Total 3 2 2 50" xfId="24896" xr:uid="{4C608327-7173-4502-BDCF-5B52B2A3A3C2}"/>
    <cellStyle name="Total 3 2 2 51" xfId="24561" xr:uid="{AB5C6227-86B1-4E78-A81A-7C247131DFD1}"/>
    <cellStyle name="Total 3 2 2 52" xfId="25812" xr:uid="{70A234F1-3BC0-4996-81EB-695B8911EF11}"/>
    <cellStyle name="Total 3 2 2 53" xfId="24298" xr:uid="{EA9D4568-6AD9-48A2-AE19-65D9170704B2}"/>
    <cellStyle name="Total 3 2 2 54" xfId="26513" xr:uid="{0C9F6F8E-F000-4699-BDA1-01AFE2213FEF}"/>
    <cellStyle name="Total 3 2 2 55" xfId="27100" xr:uid="{469D39CF-A8AB-4C48-AA77-3A9A4582F3E3}"/>
    <cellStyle name="Total 3 2 2 56" xfId="27519" xr:uid="{D2B50DF4-C561-455A-B00B-9C276B179578}"/>
    <cellStyle name="Total 3 2 2 57" xfId="27678" xr:uid="{63CC021E-E9A9-4098-9ED6-19FB04B0E7EA}"/>
    <cellStyle name="Total 3 2 2 58" xfId="28646" xr:uid="{39BE47FA-6806-46AB-8423-4101CCEA6452}"/>
    <cellStyle name="Total 3 2 2 59" xfId="29113" xr:uid="{10D95E58-3A87-4CC0-A1EC-CCD41BD667E2}"/>
    <cellStyle name="Total 3 2 2 6" xfId="3001" xr:uid="{9452C334-95B8-4AF3-9921-F435203C8AC7}"/>
    <cellStyle name="Total 3 2 2 60" xfId="27900" xr:uid="{22D031F3-8684-4FE0-BE94-06E770970070}"/>
    <cellStyle name="Total 3 2 2 61" xfId="29902" xr:uid="{4D2192B3-9F9D-4394-8649-E358CB84D067}"/>
    <cellStyle name="Total 3 2 2 62" xfId="30308" xr:uid="{452B0211-FE14-456B-AF46-DBBA97C00255}"/>
    <cellStyle name="Total 3 2 2 63" xfId="30725" xr:uid="{A53C443F-62AE-4CA8-8F25-CC58DBBD59D5}"/>
    <cellStyle name="Total 3 2 2 64" xfId="28101" xr:uid="{EBB2A018-5A45-49A6-88E5-9405B7B83B92}"/>
    <cellStyle name="Total 3 2 2 65" xfId="31341" xr:uid="{BC028A79-C952-4BFB-BB6D-C4B159E6237F}"/>
    <cellStyle name="Total 3 2 2 66" xfId="32032" xr:uid="{B778696F-E192-4046-A60D-2CC162DEBD3E}"/>
    <cellStyle name="Total 3 2 2 67" xfId="31645" xr:uid="{AD68C135-E1C4-4A3D-AE2C-981B18F41B2C}"/>
    <cellStyle name="Total 3 2 2 7" xfId="4124" xr:uid="{85212B84-2629-4771-92A8-521C333FB5BD}"/>
    <cellStyle name="Total 3 2 2 8" xfId="4561" xr:uid="{38278366-6237-4797-AAE2-F3581556BB92}"/>
    <cellStyle name="Total 3 2 2 9" xfId="3559" xr:uid="{28255AFA-C756-46B3-B54E-A7BCA63FC2C4}"/>
    <cellStyle name="Total 3 2 20" xfId="9963" xr:uid="{BBCFF09D-BA10-4AA9-823A-E255A6479795}"/>
    <cellStyle name="Total 3 2 21" xfId="10391" xr:uid="{3913F46A-630E-4255-8F6A-F998DCC9BACA}"/>
    <cellStyle name="Total 3 2 22" xfId="10529" xr:uid="{E6B1B418-1004-4A82-9841-DF0181158F13}"/>
    <cellStyle name="Total 3 2 23" xfId="10348" xr:uid="{673A7D2C-83A1-4B8D-960D-13E7442D8550}"/>
    <cellStyle name="Total 3 2 24" xfId="11944" xr:uid="{65D6852D-D629-4940-B4B9-2BB1C73D800B}"/>
    <cellStyle name="Total 3 2 25" xfId="12417" xr:uid="{4B81866E-697A-4FAE-8BE5-1D6996899C2A}"/>
    <cellStyle name="Total 3 2 26" xfId="12851" xr:uid="{F5760094-0CCA-44CF-B2BE-8B12FAA9069E}"/>
    <cellStyle name="Total 3 2 27" xfId="13288" xr:uid="{ABDD382E-999E-4B15-9C99-B7D01D6ACCF9}"/>
    <cellStyle name="Total 3 2 28" xfId="11487" xr:uid="{9405EC78-B1D7-4DD4-9BF5-3DD277FDE15F}"/>
    <cellStyle name="Total 3 2 29" xfId="14348" xr:uid="{A2F70033-F7E5-4CAA-A487-1D46C8776F73}"/>
    <cellStyle name="Total 3 2 3" xfId="1074" xr:uid="{6129BA8D-8F01-46E1-8512-5F57C5574C90}"/>
    <cellStyle name="Total 3 2 30" xfId="14633" xr:uid="{37FACB6B-6BC7-4C6C-B780-77F4D43A19E5}"/>
    <cellStyle name="Total 3 2 31" xfId="15052" xr:uid="{9E6899B2-6DED-4BC4-B682-295AD97C7FFB}"/>
    <cellStyle name="Total 3 2 32" xfId="14279" xr:uid="{C015FB4F-1134-4539-810C-49C15CEF08DC}"/>
    <cellStyle name="Total 3 2 33" xfId="15833" xr:uid="{CC2BE090-442D-4E9E-828A-7EA2D62A8DFC}"/>
    <cellStyle name="Total 3 2 34" xfId="16636" xr:uid="{D2F07EB1-FF7B-45C2-8F0F-A310BE05C950}"/>
    <cellStyle name="Total 3 2 35" xfId="17078" xr:uid="{86DFB1D9-AC2F-4818-8A63-F6DCEB85A7B3}"/>
    <cellStyle name="Total 3 2 36" xfId="17525" xr:uid="{CFB8252A-BA59-4DFD-8A63-63DE92A29C8C}"/>
    <cellStyle name="Total 3 2 37" xfId="17682" xr:uid="{07AF0AF0-ED1B-4A09-8BBE-1ECD336923B5}"/>
    <cellStyle name="Total 3 2 38" xfId="18454" xr:uid="{03D3551B-2AD5-486F-B022-AAB9E2EDAD9A}"/>
    <cellStyle name="Total 3 2 39" xfId="16263" xr:uid="{2F242D60-7ACF-420C-90AA-10C854A074E0}"/>
    <cellStyle name="Total 3 2 4" xfId="1703" xr:uid="{F887EE7B-F249-4D80-B080-492C991A5D4D}"/>
    <cellStyle name="Total 3 2 40" xfId="16204" xr:uid="{BC7F5E67-ED59-47E6-9162-1A22CF0FB1E1}"/>
    <cellStyle name="Total 3 2 41" xfId="19973" xr:uid="{175B0318-EDD5-4A17-9157-5FF530BA7FBE}"/>
    <cellStyle name="Total 3 2 42" xfId="20431" xr:uid="{210A3DA6-D5CB-4DDD-8F26-9C76895BAB56}"/>
    <cellStyle name="Total 3 2 43" xfId="20883" xr:uid="{F3330F85-4F11-46A0-B8B2-EE5E885D4C1A}"/>
    <cellStyle name="Total 3 2 44" xfId="20876" xr:uid="{D0AD0322-F72A-467B-8A13-26244FA761D8}"/>
    <cellStyle name="Total 3 2 45" xfId="21815" xr:uid="{67D50A49-661F-4035-8B48-E59F51AF2580}"/>
    <cellStyle name="Total 3 2 46" xfId="22249" xr:uid="{9DA5F331-C840-4F9F-AB37-853136763944}"/>
    <cellStyle name="Total 3 2 47" xfId="22172" xr:uid="{BDDE62C5-E956-4088-AD8F-D006B65B3043}"/>
    <cellStyle name="Total 3 2 48" xfId="22694" xr:uid="{6D3B221A-C6DC-4F38-9225-51228154E26F}"/>
    <cellStyle name="Total 3 2 49" xfId="23345" xr:uid="{EA4688CD-A1B3-4B0A-A0ED-C6C769AF3B52}"/>
    <cellStyle name="Total 3 2 5" xfId="2413" xr:uid="{3CE45BE1-CF29-49B2-9026-B83657018FB3}"/>
    <cellStyle name="Total 3 2 50" xfId="23782" xr:uid="{DB01030F-E7AA-4C6F-AF4E-34BF48AA5715}"/>
    <cellStyle name="Total 3 2 51" xfId="24681" xr:uid="{A7218360-CF1F-4137-9F85-6848E74ED5F8}"/>
    <cellStyle name="Total 3 2 52" xfId="25138" xr:uid="{19D9025A-2E1D-4204-B3B2-AFECAF70D61A}"/>
    <cellStyle name="Total 3 2 53" xfId="25599" xr:uid="{50827E15-7F72-48E7-9FB9-9532912ACFDD}"/>
    <cellStyle name="Total 3 2 54" xfId="24523" xr:uid="{0682E136-BE72-43AF-8E69-A71E3011CDA6}"/>
    <cellStyle name="Total 3 2 55" xfId="26420" xr:uid="{E583E548-0394-42C0-B8D2-212255C3B3ED}"/>
    <cellStyle name="Total 3 2 56" xfId="26889" xr:uid="{D5F3661A-D7CC-434F-81EC-194FCAEF8AA0}"/>
    <cellStyle name="Total 3 2 57" xfId="27308" xr:uid="{DB6A2DFE-0CB0-4C87-83AE-1F44D54191BC}"/>
    <cellStyle name="Total 3 2 58" xfId="27666" xr:uid="{839BBC19-F8E9-49B3-972E-26F0D8C44064}"/>
    <cellStyle name="Total 3 2 59" xfId="28431" xr:uid="{7FAD004D-8EFC-4BAE-BEDE-05FCC3E7B524}"/>
    <cellStyle name="Total 3 2 6" xfId="2027" xr:uid="{30EB2E25-5D03-4058-8D74-9543F2114020}"/>
    <cellStyle name="Total 3 2 60" xfId="28899" xr:uid="{29697648-63B2-4D98-926B-814320181E75}"/>
    <cellStyle name="Total 3 2 61" xfId="29290" xr:uid="{72D3443E-C781-44C1-9556-EE17CAF30E32}"/>
    <cellStyle name="Total 3 2 62" xfId="29689" xr:uid="{29FFEBA7-1144-46DB-AB22-B4E02E9ACB9A}"/>
    <cellStyle name="Total 3 2 63" xfId="30097" xr:uid="{6D4E8169-5B91-4E06-A934-D2D5EF8ECDC3}"/>
    <cellStyle name="Total 3 2 64" xfId="30511" xr:uid="{78A2DA4B-E92D-4F62-A1C5-FC0A08C305D4}"/>
    <cellStyle name="Total 3 2 65" xfId="28066" xr:uid="{29B9F082-480A-49AF-A56D-2A7605769396}"/>
    <cellStyle name="Total 3 2 66" xfId="31135" xr:uid="{45EE6E58-7151-4E67-9C38-D9AFD892C059}"/>
    <cellStyle name="Total 3 2 67" xfId="31821" xr:uid="{19F600D2-4104-4F7E-9ECC-59895454054E}"/>
    <cellStyle name="Total 3 2 68" xfId="32182" xr:uid="{D00ADD73-51E0-43D1-AB52-36E622043C8F}"/>
    <cellStyle name="Total 3 2 7" xfId="2019" xr:uid="{DC8BCE0D-26E7-4E62-92A8-076FE22EC7FD}"/>
    <cellStyle name="Total 3 2 8" xfId="3909" xr:uid="{891CC114-8EE3-4938-A312-5C8BCDAC912C}"/>
    <cellStyle name="Total 3 2 9" xfId="4347" xr:uid="{3125498E-C693-4B00-94BD-D89735CBCEFE}"/>
    <cellStyle name="Total 3 20" xfId="9866" xr:uid="{C5082B45-2FBD-4C91-AA11-99EACC7A7EA8}"/>
    <cellStyle name="Total 3 21" xfId="11293" xr:uid="{3773F564-31AF-4E7F-9FC4-25A8606A7835}"/>
    <cellStyle name="Total 3 22" xfId="11595" xr:uid="{8790E60E-4E0E-4B9E-86BE-D8C4A616F036}"/>
    <cellStyle name="Total 3 23" xfId="11494" xr:uid="{C655D645-E4C2-4BB5-8A63-7ACC1035D619}"/>
    <cellStyle name="Total 3 24" xfId="11676" xr:uid="{BF9455A9-F51E-403F-825B-D5286A51F7CA}"/>
    <cellStyle name="Total 3 25" xfId="11567" xr:uid="{DD62EE18-79EE-4323-ADA3-6F4C6926EA4C}"/>
    <cellStyle name="Total 3 26" xfId="13745" xr:uid="{F5A66C51-1B60-44DA-AFDB-A9F980DD6F93}"/>
    <cellStyle name="Total 3 27" xfId="14519" xr:uid="{EC9312F2-46B5-4272-BB6C-E48C48F3823F}"/>
    <cellStyle name="Total 3 28" xfId="15347" xr:uid="{1D3E6541-C866-42B2-845F-CC4A5269544C}"/>
    <cellStyle name="Total 3 29" xfId="16290" xr:uid="{FF338407-050D-4ADE-959D-F1496F7A2B10}"/>
    <cellStyle name="Total 3 3" xfId="554" xr:uid="{49907836-BD15-40CC-BC43-94553BD3BC8D}"/>
    <cellStyle name="Total 3 3 10" xfId="3621" xr:uid="{74DF7AAA-8DAE-4C76-825A-0C5653469CCB}"/>
    <cellStyle name="Total 3 3 11" xfId="5202" xr:uid="{96D5C11D-228E-433C-857B-372F3356F395}"/>
    <cellStyle name="Total 3 3 12" xfId="3451" xr:uid="{AE321FDF-8EF9-4DE9-BC82-DCAF43B60909}"/>
    <cellStyle name="Total 3 3 13" xfId="6071" xr:uid="{64ACEFED-A990-40D8-960F-068EAFFC7B91}"/>
    <cellStyle name="Total 3 3 14" xfId="6421" xr:uid="{D8CA6522-1C81-4F55-9223-5FF33510DCE7}"/>
    <cellStyle name="Total 3 3 15" xfId="7274" xr:uid="{8299A56A-A8E5-4023-99A9-3FE48E3CE316}"/>
    <cellStyle name="Total 3 3 16" xfId="7840" xr:uid="{E291430C-FDD9-443F-A3EC-C6F897B4C631}"/>
    <cellStyle name="Total 3 3 17" xfId="8514" xr:uid="{7CC60C7C-7AD3-462A-9845-6ECEDC66B5AC}"/>
    <cellStyle name="Total 3 3 18" xfId="8748" xr:uid="{FCADF9D3-7022-440D-B5F5-D98C8E74DC37}"/>
    <cellStyle name="Total 3 3 19" xfId="9488" xr:uid="{23CA4B86-A570-4623-AFA1-657BFA7CAE88}"/>
    <cellStyle name="Total 3 3 2" xfId="769" xr:uid="{F8D360B9-369E-44C5-92D2-240D83ED0B97}"/>
    <cellStyle name="Total 3 3 2 10" xfId="5417" xr:uid="{ABA75E80-2DDB-4471-A13A-A335421D7382}"/>
    <cellStyle name="Total 3 3 2 11" xfId="4854" xr:uid="{E3236363-E4A5-4F98-97CF-B5620CAAF7C1}"/>
    <cellStyle name="Total 3 3 2 12" xfId="5911" xr:uid="{B09F04F5-4A89-4D7C-B5C8-7CD22A97EF7F}"/>
    <cellStyle name="Total 3 3 2 13" xfId="6667" xr:uid="{BC040E98-0C85-4946-B2F2-0D0E9C94F156}"/>
    <cellStyle name="Total 3 3 2 14" xfId="7489" xr:uid="{397299AE-E131-4F27-8B5D-5089C9557382}"/>
    <cellStyle name="Total 3 3 2 15" xfId="6877" xr:uid="{5675DE1E-D99F-4742-BE09-DBE7EA267C50}"/>
    <cellStyle name="Total 3 3 2 16" xfId="7970" xr:uid="{2C2DFE01-7ABB-4B15-822F-8491834556E7}"/>
    <cellStyle name="Total 3 3 2 17" xfId="8767" xr:uid="{AB0CC8F0-551E-48C0-B83B-A40AF4721442}"/>
    <cellStyle name="Total 3 3 2 18" xfId="9703" xr:uid="{F98195CD-132A-4BF8-8A69-AA6F578BD93F}"/>
    <cellStyle name="Total 3 3 2 19" xfId="9090" xr:uid="{964BCC4E-8346-463B-B475-7856C6A98E56}"/>
    <cellStyle name="Total 3 3 2 2" xfId="1243" xr:uid="{7BAE8E3C-9528-43BF-B556-D9791B77A9A3}"/>
    <cellStyle name="Total 3 3 2 20" xfId="9100" xr:uid="{873DBA5B-4259-4C0C-89BA-492C03E66FE6}"/>
    <cellStyle name="Total 3 3 2 21" xfId="10696" xr:uid="{C6C3A550-2BD4-497F-A009-4DEFE26CE096}"/>
    <cellStyle name="Total 3 3 2 22" xfId="11284" xr:uid="{DBFA2049-B4FB-45AA-90E2-F937BBEA51D7}"/>
    <cellStyle name="Total 3 3 2 23" xfId="12122" xr:uid="{CDBAB955-4CD1-40FC-96EC-DD574399F086}"/>
    <cellStyle name="Total 3 3 2 24" xfId="12595" xr:uid="{D0F94CF4-0F63-4FD8-AE78-582BA4D3AE28}"/>
    <cellStyle name="Total 3 3 2 25" xfId="13029" xr:uid="{EE23CE46-ABFF-4BF2-B7B6-7A78ACD64D6D}"/>
    <cellStyle name="Total 3 3 2 26" xfId="13466" xr:uid="{D13D505F-8996-4732-ABC4-65561FD3C301}"/>
    <cellStyle name="Total 3 3 2 27" xfId="11726" xr:uid="{831421F7-F64C-44C3-B80B-B82385A1EDB4}"/>
    <cellStyle name="Total 3 3 2 28" xfId="13931" xr:uid="{EE06633F-BF3F-4174-824E-4AC1062BAAE7}"/>
    <cellStyle name="Total 3 3 2 29" xfId="13162" xr:uid="{1BEDED38-613E-49A1-A640-CAFDD5F381BD}"/>
    <cellStyle name="Total 3 3 2 3" xfId="1432" xr:uid="{1B4E53DC-5CD5-4208-9C73-847F208D3902}"/>
    <cellStyle name="Total 3 3 2 30" xfId="15038" xr:uid="{B0F9FC10-37DD-4865-B231-549FAA40A3DF}"/>
    <cellStyle name="Total 3 3 2 31" xfId="15685" xr:uid="{FF8B9D5F-CAC5-4B29-B8DE-024EADA79DEA}"/>
    <cellStyle name="Total 3 3 2 32" xfId="14354" xr:uid="{E7E52CB7-4249-425B-908E-CF1036DFF564}"/>
    <cellStyle name="Total 3 3 2 33" xfId="16814" xr:uid="{01FA2FE6-25FC-466E-A146-3F8EA1A72A15}"/>
    <cellStyle name="Total 3 3 2 34" xfId="16193" xr:uid="{01F2C5A4-34C7-426A-AF66-8DCBB4D6FB75}"/>
    <cellStyle name="Total 3 3 2 35" xfId="16203" xr:uid="{E655723F-EEA7-4974-9B52-CED44CE5CC6C}"/>
    <cellStyle name="Total 3 3 2 36" xfId="18079" xr:uid="{82A71D45-890B-4BF1-84DE-3941A64B9D4B}"/>
    <cellStyle name="Total 3 3 2 37" xfId="18632" xr:uid="{CCB84E4F-6798-42D0-9D8C-4AC7EFDF0F0C}"/>
    <cellStyle name="Total 3 3 2 38" xfId="18823" xr:uid="{46DA3F1F-3D0B-4BE1-8362-37E8002819D7}"/>
    <cellStyle name="Total 3 3 2 39" xfId="18942" xr:uid="{24C7BA25-E66A-4AED-8E43-5F90F83DAD63}"/>
    <cellStyle name="Total 3 3 2 4" xfId="2591" xr:uid="{C14B90F7-5FD2-4240-B3C1-505074D9672E}"/>
    <cellStyle name="Total 3 3 2 40" xfId="20151" xr:uid="{38084CAD-EA1A-4B3B-9578-3F6D42F4910E}"/>
    <cellStyle name="Total 3 3 2 41" xfId="19525" xr:uid="{0DD6B691-71DF-4EB6-A9B2-030AA3BCD324}"/>
    <cellStyle name="Total 3 3 2 42" xfId="20528" xr:uid="{2BE6A417-083A-4E5D-A169-9518EE51C280}"/>
    <cellStyle name="Total 3 3 2 43" xfId="21494" xr:uid="{37B18F86-0875-47A8-B869-A93C81C6D36B}"/>
    <cellStyle name="Total 3 3 2 44" xfId="21593" xr:uid="{B4E8A084-B040-479E-9BBC-5338E2D5F9A9}"/>
    <cellStyle name="Total 3 3 2 45" xfId="21936" xr:uid="{846CEEA5-BE57-4465-A827-260ECAB19D61}"/>
    <cellStyle name="Total 3 3 2 46" xfId="22128" xr:uid="{0885EFD6-F51C-4D7D-BCF2-ABE9496BA1ED}"/>
    <cellStyle name="Total 3 3 2 47" xfId="23095" xr:uid="{17D53562-627C-41FF-9958-04D6B1EBA585}"/>
    <cellStyle name="Total 3 3 2 48" xfId="23152" xr:uid="{5BB00CE1-ECFC-45E7-ABCB-F1FFC6F71C8B}"/>
    <cellStyle name="Total 3 3 2 49" xfId="23951" xr:uid="{49B58383-D1A4-421B-9B56-DA54577BE9B9}"/>
    <cellStyle name="Total 3 3 2 5" xfId="1926" xr:uid="{16078CEE-7139-4044-A74B-784816CA2563}"/>
    <cellStyle name="Total 3 3 2 50" xfId="24859" xr:uid="{1862546E-1958-44C6-B82C-6D469FCEC4E6}"/>
    <cellStyle name="Total 3 3 2 51" xfId="24333" xr:uid="{EE3045FC-3B94-4705-9A2C-724AABAA2D52}"/>
    <cellStyle name="Total 3 3 2 52" xfId="25775" xr:uid="{9220B473-F12D-4508-BDAA-494C112E9635}"/>
    <cellStyle name="Total 3 3 2 53" xfId="24112" xr:uid="{3B8FE15C-EFF9-408A-970A-E084F9CAA2C5}"/>
    <cellStyle name="Total 3 3 2 54" xfId="26214" xr:uid="{612BB8B8-0915-4F0B-80B8-0D334ADB2F22}"/>
    <cellStyle name="Total 3 3 2 55" xfId="27063" xr:uid="{6B0D7380-90C0-4C20-A206-0B74E903CA46}"/>
    <cellStyle name="Total 3 3 2 56" xfId="27482" xr:uid="{9FFEBF3F-D1DF-4A8E-B969-0D60E27E38AE}"/>
    <cellStyle name="Total 3 3 2 57" xfId="24266" xr:uid="{A6FAFE49-19C0-47ED-BF3B-BFD4F839001C}"/>
    <cellStyle name="Total 3 3 2 58" xfId="28609" xr:uid="{362BB83D-77A3-435E-AD01-C658F23FB607}"/>
    <cellStyle name="Total 3 3 2 59" xfId="29076" xr:uid="{23417374-38BB-49CC-9928-E752A3481A06}"/>
    <cellStyle name="Total 3 3 2 6" xfId="3304" xr:uid="{01C6F55B-12F3-4052-821E-7A96B6C1051C}"/>
    <cellStyle name="Total 3 3 2 60" xfId="28191" xr:uid="{BFF0C85F-4F79-49F4-BBEE-F9C4D915E04D}"/>
    <cellStyle name="Total 3 3 2 61" xfId="29865" xr:uid="{FE92D7BC-0A3A-4A36-87CE-3163B6552B55}"/>
    <cellStyle name="Total 3 3 2 62" xfId="30271" xr:uid="{97CFD9A3-B829-40AA-BB9E-29F1409EA6C8}"/>
    <cellStyle name="Total 3 3 2 63" xfId="30688" xr:uid="{ED61E1EF-52D7-4734-ABCB-2510FACFC826}"/>
    <cellStyle name="Total 3 3 2 64" xfId="29350" xr:uid="{6D6AE777-342D-466C-BA66-78F44EA5D905}"/>
    <cellStyle name="Total 3 3 2 65" xfId="31304" xr:uid="{77936E7A-509F-4A58-BC12-FB1FE678D49A}"/>
    <cellStyle name="Total 3 3 2 66" xfId="31995" xr:uid="{3FD70649-C7D8-4E0C-8C95-A89D27CDA6DC}"/>
    <cellStyle name="Total 3 3 2 67" xfId="32193" xr:uid="{3494A76A-5BEA-4411-A376-829615F79DD8}"/>
    <cellStyle name="Total 3 3 2 7" xfId="4087" xr:uid="{1D5AB6E3-A3F7-40DB-89EC-CA3D6CF884D9}"/>
    <cellStyle name="Total 3 3 2 8" xfId="4524" xr:uid="{9E9A0672-9D8A-4180-BF44-43C7847962BB}"/>
    <cellStyle name="Total 3 3 2 9" xfId="3577" xr:uid="{4AE2801B-D678-4DD0-9EF4-9BD5F1EFB266}"/>
    <cellStyle name="Total 3 3 20" xfId="10052" xr:uid="{B83B83D9-544B-4315-805E-596F240DF833}"/>
    <cellStyle name="Total 3 3 21" xfId="10472" xr:uid="{ECD8803E-F6D5-4385-836C-56B88AAD72F6}"/>
    <cellStyle name="Total 3 3 22" xfId="10820" xr:uid="{17F0B149-7F74-421A-A094-6ACC303953FB}"/>
    <cellStyle name="Total 3 3 23" xfId="8985" xr:uid="{E38E9B5E-F2E5-4D87-ACE0-0EFAD6516FD4}"/>
    <cellStyle name="Total 3 3 24" xfId="11907" xr:uid="{FFF1F3DD-4D10-41F1-8D76-CA0317C6286D}"/>
    <cellStyle name="Total 3 3 25" xfId="12380" xr:uid="{22F297F8-E6BC-46D4-993A-B044B9B641BC}"/>
    <cellStyle name="Total 3 3 26" xfId="12814" xr:uid="{8769DAA2-06B6-4292-AF9C-FBCF7B829C46}"/>
    <cellStyle name="Total 3 3 27" xfId="13251" xr:uid="{37F51F96-DEF2-4B24-AE36-98EAFA23E7A6}"/>
    <cellStyle name="Total 3 3 28" xfId="13735" xr:uid="{0EB88E09-E031-4A8B-85A1-01B376A4397D}"/>
    <cellStyle name="Total 3 3 29" xfId="14037" xr:uid="{6DA03CBF-F73B-4343-86BC-482EAD31FC76}"/>
    <cellStyle name="Total 3 3 3" xfId="1037" xr:uid="{2564B4B0-C410-44F6-B3E3-D3565CD9E38A}"/>
    <cellStyle name="Total 3 3 30" xfId="14592" xr:uid="{AF6F8F10-B90E-4E7B-A090-F8AA851D73F8}"/>
    <cellStyle name="Total 3 3 31" xfId="14955" xr:uid="{12638C02-B474-43A9-86DD-C27148ECF9A2}"/>
    <cellStyle name="Total 3 3 32" xfId="14963" xr:uid="{FAD1FA97-E800-4EC8-96B2-768E4E00488F}"/>
    <cellStyle name="Total 3 3 33" xfId="15882" xr:uid="{4A9FBD8E-29B6-4580-A694-31D0C40ABA56}"/>
    <cellStyle name="Total 3 3 34" xfId="16599" xr:uid="{0656446A-ABFE-45B3-996F-94DDFB23D01D}"/>
    <cellStyle name="Total 3 3 35" xfId="17170" xr:uid="{F38B4194-9E23-456A-BA39-C5EC111110BD}"/>
    <cellStyle name="Total 3 3 36" xfId="17615" xr:uid="{39038DD8-62C9-49EF-8200-41E076C5EC3D}"/>
    <cellStyle name="Total 3 3 37" xfId="18210" xr:uid="{6A1D12C2-03A2-4C6A-B7E1-7EB3F51A9625}"/>
    <cellStyle name="Total 3 3 38" xfId="18417" xr:uid="{CFBD29D1-19B0-4100-8D59-7FE06066322C}"/>
    <cellStyle name="Total 3 3 39" xfId="18930" xr:uid="{88F7C004-1381-445E-9089-EDD64F15EC41}"/>
    <cellStyle name="Total 3 3 4" xfId="1752" xr:uid="{0FB403E2-A0A0-4E88-895A-81642D18668A}"/>
    <cellStyle name="Total 3 3 40" xfId="18940" xr:uid="{DB3AB799-D8AF-47DC-9CC6-CEFF7EACABDC}"/>
    <cellStyle name="Total 3 3 41" xfId="19936" xr:uid="{63C2E2C3-634E-4CA2-8205-4648CD6474D8}"/>
    <cellStyle name="Total 3 3 42" xfId="20522" xr:uid="{0B2CDF4D-DC42-477D-A088-6901BCFF7A52}"/>
    <cellStyle name="Total 3 3 43" xfId="20975" xr:uid="{F1E9F346-0BB7-4A92-B031-8587D5ADFD63}"/>
    <cellStyle name="Total 3 3 44" xfId="21577" xr:uid="{FD0BC806-25DD-4462-A81B-21DA1024499D}"/>
    <cellStyle name="Total 3 3 45" xfId="21906" xr:uid="{633E1C9C-8AE2-4DA0-A49D-020B23A760C9}"/>
    <cellStyle name="Total 3 3 46" xfId="22340" xr:uid="{25FB68B1-972E-4E93-9DF6-294541E05603}"/>
    <cellStyle name="Total 3 3 47" xfId="22730" xr:uid="{45EF00B8-2118-43C9-AA42-5F08F1B0142B}"/>
    <cellStyle name="Total 3 3 48" xfId="23216" xr:uid="{DBE8DE63-CBAF-46A6-8058-4608205AA62B}"/>
    <cellStyle name="Total 3 3 49" xfId="22630" xr:uid="{FB30F4F0-B36E-4244-BBAC-54064B665550}"/>
    <cellStyle name="Total 3 3 5" xfId="2376" xr:uid="{EB7D2621-B327-4602-9898-31CEC40F7A37}"/>
    <cellStyle name="Total 3 3 50" xfId="23745" xr:uid="{738D2C96-2FF0-41A4-92A2-3DF73310E0A6}"/>
    <cellStyle name="Total 3 3 51" xfId="24644" xr:uid="{993B39A8-A159-4320-A527-0AD5744147D9}"/>
    <cellStyle name="Total 3 3 52" xfId="25231" xr:uid="{C5B0F0CA-77A8-461D-9812-B3D0A6B72928}"/>
    <cellStyle name="Total 3 3 53" xfId="25562" xr:uid="{EEE3A0AF-3983-46DB-BB9F-66B650248339}"/>
    <cellStyle name="Total 3 3 54" xfId="26035" xr:uid="{71D19489-3CD3-43E8-874B-ADA2E04B5305}"/>
    <cellStyle name="Total 3 3 55" xfId="26193" xr:uid="{0C0090C8-A45D-4726-8AF7-3C91FA25C4AA}"/>
    <cellStyle name="Total 3 3 56" xfId="26852" xr:uid="{1E31BFB1-F9E4-44C9-8763-7A909BF1B823}"/>
    <cellStyle name="Total 3 3 57" xfId="27271" xr:uid="{D4DE1A00-1B38-4EA7-BD63-323DAFEE09E9}"/>
    <cellStyle name="Total 3 3 58" xfId="27809" xr:uid="{B5E56068-CFF3-4EA2-AA3D-8E7490542C32}"/>
    <cellStyle name="Total 3 3 59" xfId="28394" xr:uid="{4FDB9AEF-95F9-4844-AD6F-30954001987E}"/>
    <cellStyle name="Total 3 3 6" xfId="2900" xr:uid="{1D359762-238D-4DCE-99D5-73F5FFCA2347}"/>
    <cellStyle name="Total 3 3 60" xfId="28862" xr:uid="{48209389-69AE-4DC9-B5D6-DA4B7926C586}"/>
    <cellStyle name="Total 3 3 61" xfId="29370" xr:uid="{F3852C7B-ED3B-4416-B2F6-A35CCC1A9CEC}"/>
    <cellStyle name="Total 3 3 62" xfId="29652" xr:uid="{34B94268-2785-4EF0-9C81-078C4AFA9974}"/>
    <cellStyle name="Total 3 3 63" xfId="30060" xr:uid="{75C52259-DB85-4667-9C6B-688EA4050B3D}"/>
    <cellStyle name="Total 3 3 64" xfId="30474" xr:uid="{11968070-6660-4367-8314-18C43A35386B}"/>
    <cellStyle name="Total 3 3 65" xfId="29466" xr:uid="{607B4D78-A25B-460C-86C9-7191CBE003C6}"/>
    <cellStyle name="Total 3 3 66" xfId="31098" xr:uid="{8C72C9A9-57A3-4588-84DA-CF3337C2CB43}"/>
    <cellStyle name="Total 3 3 67" xfId="31784" xr:uid="{673C3EAB-212D-4BA8-94BB-4EBB39CF9555}"/>
    <cellStyle name="Total 3 3 68" xfId="31636" xr:uid="{4AD55776-2D14-447B-A0BC-F2355F35DF73}"/>
    <cellStyle name="Total 3 3 7" xfId="2804" xr:uid="{EF8F4A6F-2473-4FE5-B9F9-89BD8B630ED3}"/>
    <cellStyle name="Total 3 3 8" xfId="3872" xr:uid="{22B78D9D-8597-40B4-A0A8-859C87E92180}"/>
    <cellStyle name="Total 3 3 9" xfId="4310" xr:uid="{4D28DC39-F593-4F94-B7AB-5116EE7DBF5B}"/>
    <cellStyle name="Total 3 30" xfId="16981" xr:uid="{F99E1EEB-74DF-412B-BF4E-ABD18EC4134C}"/>
    <cellStyle name="Total 3 31" xfId="17148" xr:uid="{09B32B74-F827-4039-9F8B-0921803AB719}"/>
    <cellStyle name="Total 3 32" xfId="16049" xr:uid="{7F9BD3B7-D36F-4C58-9A96-296C71652702}"/>
    <cellStyle name="Total 3 33" xfId="19004" xr:uid="{48D2D47A-46ED-4730-9979-C5C6B4B03F9E}"/>
    <cellStyle name="Total 3 34" xfId="19623" xr:uid="{9F0E300A-4F9E-46F1-BB0E-FA85F4D9D183}"/>
    <cellStyle name="Total 3 35" xfId="20329" xr:uid="{4D2D23D2-382E-4A1F-9065-22D1332C05BA}"/>
    <cellStyle name="Total 3 36" xfId="21804" xr:uid="{C56F4C3A-5299-425A-B7E8-6903E6150109}"/>
    <cellStyle name="Total 3 37" xfId="22740" xr:uid="{729872DC-1D7E-4971-B5B3-152B179CC640}"/>
    <cellStyle name="Total 3 38" xfId="23512" xr:uid="{F14CA4AB-70FA-4D09-B934-468D5187B3F0}"/>
    <cellStyle name="Total 3 39" xfId="24344" xr:uid="{C2C59F3A-D617-472E-8658-EDAA9EEAF2CF}"/>
    <cellStyle name="Total 3 4" xfId="595" xr:uid="{0DF4BCBD-F652-4701-949A-FE21EF72BDFF}"/>
    <cellStyle name="Total 3 4 10" xfId="4788" xr:uid="{5F56E587-44D0-450F-965C-630DD3E1F555}"/>
    <cellStyle name="Total 3 4 11" xfId="5243" xr:uid="{53B36C27-6AC7-4BF7-A2A0-968617B62967}"/>
    <cellStyle name="Total 3 4 12" xfId="5654" xr:uid="{AB1C05B9-DE9B-4860-A169-CE14F2FEA869}"/>
    <cellStyle name="Total 3 4 13" xfId="2969" xr:uid="{A909B135-290A-4AE1-949D-C21A9121459B}"/>
    <cellStyle name="Total 3 4 14" xfId="6405" xr:uid="{2A2547AF-C241-4A78-A4C5-C9D415234330}"/>
    <cellStyle name="Total 3 4 15" xfId="7315" xr:uid="{EC4B0AF2-75B0-47DB-A6BD-A3E2F9FA677C}"/>
    <cellStyle name="Total 3 4 16" xfId="7790" xr:uid="{59AA0221-71D7-402A-84BF-450AB22FA3CF}"/>
    <cellStyle name="Total 3 4 17" xfId="8221" xr:uid="{6224CAF0-D507-482E-8846-DA832FCBBC4B}"/>
    <cellStyle name="Total 3 4 18" xfId="8687" xr:uid="{51C15B46-71E4-41C9-8AC8-F344F9B880C7}"/>
    <cellStyle name="Total 3 4 19" xfId="9529" xr:uid="{3A0F05B3-D671-4BE4-A4B3-42D780104F70}"/>
    <cellStyle name="Total 3 4 2" xfId="810" xr:uid="{75492EF6-AB39-4B97-92C6-8CA3B6D9D3BF}"/>
    <cellStyle name="Total 3 4 2 10" xfId="5458" xr:uid="{52CF374A-3286-4729-BFD9-9C47E3F0285C}"/>
    <cellStyle name="Total 3 4 2 11" xfId="4731" xr:uid="{61375506-E8AE-4A9E-AEEB-60D685EFFE68}"/>
    <cellStyle name="Total 3 4 2 12" xfId="5625" xr:uid="{30D9B420-A5B3-4E91-94EA-DF4B709A93A1}"/>
    <cellStyle name="Total 3 4 2 13" xfId="6554" xr:uid="{CEAA48F4-BA7D-4370-9B12-DE3C98E369EA}"/>
    <cellStyle name="Total 3 4 2 14" xfId="7530" xr:uid="{0A08918E-213D-43FC-9F19-D884A8DC73EB}"/>
    <cellStyle name="Total 3 4 2 15" xfId="7060" xr:uid="{B75E1715-E5F1-4DE3-9A19-699B7EF2AD58}"/>
    <cellStyle name="Total 3 4 2 16" xfId="8457" xr:uid="{9A98689C-9043-4405-8983-458808755AC0}"/>
    <cellStyle name="Total 3 4 2 17" xfId="8758" xr:uid="{4B83DADF-43D9-47B2-B18F-53C2C58B68BE}"/>
    <cellStyle name="Total 3 4 2 18" xfId="9744" xr:uid="{500311DD-1CD6-48D8-8F82-B7F9A61CC081}"/>
    <cellStyle name="Total 3 4 2 19" xfId="9273" xr:uid="{A966A9CA-C329-4814-9785-8544A3EA0BFA}"/>
    <cellStyle name="Total 3 4 2 2" xfId="1284" xr:uid="{ADF4FC2F-C2FE-4639-91D6-A23D1F8CA7F4}"/>
    <cellStyle name="Total 3 4 2 20" xfId="10078" xr:uid="{8F6F4D22-B776-4D77-9EBE-6CDEC9C63DC8}"/>
    <cellStyle name="Total 3 4 2 21" xfId="10806" xr:uid="{FE1F5038-ACC4-411D-83A5-FC181B7AF058}"/>
    <cellStyle name="Total 3 4 2 22" xfId="10831" xr:uid="{C2CE38B0-1E64-4665-9C9D-778A4D10B282}"/>
    <cellStyle name="Total 3 4 2 23" xfId="12163" xr:uid="{98A22172-11AF-4FD2-8475-F64829E7FB2E}"/>
    <cellStyle name="Total 3 4 2 24" xfId="12636" xr:uid="{02E32A44-BF03-4B98-95CB-96392457CCE5}"/>
    <cellStyle name="Total 3 4 2 25" xfId="13070" xr:uid="{F59F9816-AF81-4E94-8FC4-C468C61EA77B}"/>
    <cellStyle name="Total 3 4 2 26" xfId="13507" xr:uid="{10D1AA8F-8B68-4486-824B-9AED9722FEB3}"/>
    <cellStyle name="Total 3 4 2 27" xfId="13814" xr:uid="{3CE60722-85BD-401E-939B-99CAC73A3BF3}"/>
    <cellStyle name="Total 3 4 2 28" xfId="12729" xr:uid="{F9C38852-FC5C-4994-8BFD-A781BB93894B}"/>
    <cellStyle name="Total 3 4 2 29" xfId="14466" xr:uid="{6DB2658A-6A01-4421-9A4E-EB9AB3F679DE}"/>
    <cellStyle name="Total 3 4 2 3" xfId="1367" xr:uid="{188E5983-B001-4DBB-B87F-6166693384D6}"/>
    <cellStyle name="Total 3 4 2 30" xfId="14594" xr:uid="{5C38F5E3-3EEF-4A9F-B8CB-97EB0E23F98D}"/>
    <cellStyle name="Total 3 4 2 31" xfId="13178" xr:uid="{F971EF7F-ADE1-40D5-98AC-D176294571C3}"/>
    <cellStyle name="Total 3 4 2 32" xfId="14267" xr:uid="{0DC1CDA6-1AFB-421B-8774-8489DFE229F7}"/>
    <cellStyle name="Total 3 4 2 33" xfId="16855" xr:uid="{CE2F3266-0AF1-4F0A-96C4-64BECFE5F82D}"/>
    <cellStyle name="Total 3 4 2 34" xfId="16382" xr:uid="{7D1384FE-5EFD-4E7D-B5DD-0D284C2AD4E3}"/>
    <cellStyle name="Total 3 4 2 35" xfId="17196" xr:uid="{8CD3F2AC-3B2A-4D50-9890-E3F5616F4E4A}"/>
    <cellStyle name="Total 3 4 2 36" xfId="17757" xr:uid="{40322879-704C-4524-9614-577E752318E4}"/>
    <cellStyle name="Total 3 4 2 37" xfId="18673" xr:uid="{712F1F4C-716F-416A-83C5-2EB85557FB8C}"/>
    <cellStyle name="Total 3 4 2 38" xfId="19073" xr:uid="{3B65B494-2234-4CF2-8692-4159CE29648C}"/>
    <cellStyle name="Total 3 4 2 39" xfId="19252" xr:uid="{26032490-053F-4466-9F4F-68B740F5BC20}"/>
    <cellStyle name="Total 3 4 2 4" xfId="2632" xr:uid="{FB9F8A2B-8A47-4B8D-92D7-68404B1C55B3}"/>
    <cellStyle name="Total 3 4 2 40" xfId="20192" xr:uid="{C6A6DB43-3271-4B62-BA7B-661131A1B318}"/>
    <cellStyle name="Total 3 4 2 41" xfId="19716" xr:uid="{6C4931F2-DCE7-4D0D-9777-07A4CEB5A493}"/>
    <cellStyle name="Total 3 4 2 42" xfId="20284" xr:uid="{08AA6C82-FC81-495E-B6F3-7D67B80D6F69}"/>
    <cellStyle name="Total 3 4 2 43" xfId="21466" xr:uid="{BABC1EF1-D53E-4FC9-BF6B-9C7CA39A1084}"/>
    <cellStyle name="Total 3 4 2 44" xfId="21312" xr:uid="{541269FE-91AA-45F5-A28D-939D8ECB1857}"/>
    <cellStyle name="Total 3 4 2 45" xfId="22091" xr:uid="{A4945258-0CE0-48C7-8571-853B142C5180}"/>
    <cellStyle name="Total 3 4 2 46" xfId="22803" xr:uid="{43CC4C46-3C70-4A91-83FE-44FCA03B5367}"/>
    <cellStyle name="Total 3 4 2 47" xfId="23351" xr:uid="{A40C2F8D-C87C-4173-9012-8C485F14352D}"/>
    <cellStyle name="Total 3 4 2 48" xfId="23602" xr:uid="{046312D8-2BDC-48B3-ACBE-50F92D691914}"/>
    <cellStyle name="Total 3 4 2 49" xfId="23992" xr:uid="{D3B85F45-0344-4D9E-BFEE-BF3E22CD5208}"/>
    <cellStyle name="Total 3 4 2 5" xfId="2980" xr:uid="{162298BC-7B88-4E76-A6E0-E18688708514}"/>
    <cellStyle name="Total 3 4 2 50" xfId="24900" xr:uid="{C4CF6B95-8AED-401D-9A06-74047728FF1E}"/>
    <cellStyle name="Total 3 4 2 51" xfId="24429" xr:uid="{B8296563-03B6-4CDE-83FE-1B1B7879404C}"/>
    <cellStyle name="Total 3 4 2 52" xfId="25816" xr:uid="{EDFB707E-2E0A-452D-B826-F99BA962D7D6}"/>
    <cellStyle name="Total 3 4 2 53" xfId="25061" xr:uid="{11713D77-8570-46F9-80D7-35B0E24AFCD1}"/>
    <cellStyle name="Total 3 4 2 54" xfId="26347" xr:uid="{B2FCBF45-44AF-4B61-9AB9-1C32A9749BBF}"/>
    <cellStyle name="Total 3 4 2 55" xfId="27104" xr:uid="{25874F69-978D-49CF-984A-70787FD6DB88}"/>
    <cellStyle name="Total 3 4 2 56" xfId="27523" xr:uid="{A2C9DC3C-E398-496C-9D15-8A5E39A4CB56}"/>
    <cellStyle name="Total 3 4 2 57" xfId="27207" xr:uid="{1ACC3508-C3BE-482F-BD10-5BAFF59522EB}"/>
    <cellStyle name="Total 3 4 2 58" xfId="28650" xr:uid="{99422FF2-97EB-423B-A259-833F420BB35A}"/>
    <cellStyle name="Total 3 4 2 59" xfId="29117" xr:uid="{0E48483D-0B4F-4C86-93E5-63929CC974EE}"/>
    <cellStyle name="Total 3 4 2 6" xfId="2972" xr:uid="{50A12730-C91F-4F22-8FB8-6B64902B83B0}"/>
    <cellStyle name="Total 3 4 2 60" xfId="28084" xr:uid="{71BF8212-DE6C-4901-9850-C10201668165}"/>
    <cellStyle name="Total 3 4 2 61" xfId="29906" xr:uid="{25016AE7-CB14-4098-8176-675C97CF23AC}"/>
    <cellStyle name="Total 3 4 2 62" xfId="30312" xr:uid="{1740B2AF-B658-4DE2-9239-D89FCB0EE958}"/>
    <cellStyle name="Total 3 4 2 63" xfId="30729" xr:uid="{27AFE6EB-BCB0-46F2-A210-907EF042D3CF}"/>
    <cellStyle name="Total 3 4 2 64" xfId="29586" xr:uid="{97703E26-28F2-456F-A422-B44BAD8C8EC8}"/>
    <cellStyle name="Total 3 4 2 65" xfId="31345" xr:uid="{9BE3CBF8-FE84-48B3-8FEA-AE0529A95615}"/>
    <cellStyle name="Total 3 4 2 66" xfId="32036" xr:uid="{39CED35E-BABC-4A5F-9D5E-B81421D3123C}"/>
    <cellStyle name="Total 3 4 2 67" xfId="32153" xr:uid="{5B8F142C-FFF2-4289-9417-8D46CFDCDAEC}"/>
    <cellStyle name="Total 3 4 2 7" xfId="4128" xr:uid="{0767E142-E762-4967-8FE8-66F6B857399F}"/>
    <cellStyle name="Total 3 4 2 8" xfId="4565" xr:uid="{0C996097-EDE3-4F9B-BFAE-173DE01399F0}"/>
    <cellStyle name="Total 3 4 2 9" xfId="3675" xr:uid="{930C8977-4F7F-4D57-B0A6-57682AB644AD}"/>
    <cellStyle name="Total 3 4 20" xfId="10003" xr:uid="{8D42803C-59E9-4A86-8DBD-DEDE88C0F3A2}"/>
    <cellStyle name="Total 3 4 21" xfId="10428" xr:uid="{B4D7BEE2-83F4-41C3-B1D6-19FB5BD807B0}"/>
    <cellStyle name="Total 3 4 22" xfId="10769" xr:uid="{E5798ED5-A1ED-49AA-9F25-7D8A02779E4D}"/>
    <cellStyle name="Total 3 4 23" xfId="10723" xr:uid="{50F9FA6F-A743-41E6-B28E-6849323B5656}"/>
    <cellStyle name="Total 3 4 24" xfId="11948" xr:uid="{7432044E-E8C5-4D33-931E-C82DC23E457C}"/>
    <cellStyle name="Total 3 4 25" xfId="12421" xr:uid="{375F1FEE-E2E9-44E9-9492-8317A9FD4D34}"/>
    <cellStyle name="Total 3 4 26" xfId="12855" xr:uid="{C75CFB15-6982-4B67-AF22-52CF6C347127}"/>
    <cellStyle name="Total 3 4 27" xfId="13292" xr:uid="{159D2843-DDF4-443B-8BF0-D0427849D14E}"/>
    <cellStyle name="Total 3 4 28" xfId="11554" xr:uid="{71F40CE6-DDF8-4CD4-9873-E6FB49EF0022}"/>
    <cellStyle name="Total 3 4 29" xfId="11474" xr:uid="{29CF14E7-8DD1-4082-A895-C6229B52724E}"/>
    <cellStyle name="Total 3 4 3" xfId="1078" xr:uid="{10C4B5E9-7A5B-4D0B-9C88-13F70F810C83}"/>
    <cellStyle name="Total 3 4 30" xfId="14777" xr:uid="{430CAEFB-49C2-4CC8-95AE-C37B2DFF4020}"/>
    <cellStyle name="Total 3 4 31" xfId="14064" xr:uid="{C1677668-36FF-47E1-86D3-D46B6F834644}"/>
    <cellStyle name="Total 3 4 32" xfId="15177" xr:uid="{51CA0DD8-F223-48AD-9762-21D7D5BB3FC8}"/>
    <cellStyle name="Total 3 4 33" xfId="15858" xr:uid="{52C6605B-BF7B-412F-84C5-481B956AA4FE}"/>
    <cellStyle name="Total 3 4 34" xfId="16640" xr:uid="{18179C91-F267-46AF-ABE6-A5B52456190B}"/>
    <cellStyle name="Total 3 4 35" xfId="17119" xr:uid="{53C12CF1-040B-4191-BE30-665E74F081FA}"/>
    <cellStyle name="Total 3 4 36" xfId="17566" xr:uid="{ED5FEA9A-0258-4412-8E82-BA0337EAFA69}"/>
    <cellStyle name="Total 3 4 37" xfId="17968" xr:uid="{7E3B751A-6E71-4AF8-B703-089B9610FA1D}"/>
    <cellStyle name="Total 3 4 38" xfId="18458" xr:uid="{0B306E81-D167-4DEE-9A1D-C798253508D6}"/>
    <cellStyle name="Total 3 4 39" xfId="18756" xr:uid="{C3020B32-96D6-4EBD-ADBC-B235AF37BE71}"/>
    <cellStyle name="Total 3 4 4" xfId="1525" xr:uid="{35242302-D984-4F1D-B665-5A2B2C345DB6}"/>
    <cellStyle name="Total 3 4 40" xfId="19209" xr:uid="{B6D82CC9-2085-48D2-A3D3-E1182FA1C352}"/>
    <cellStyle name="Total 3 4 41" xfId="19977" xr:uid="{D15C3F25-4392-4596-BE21-11B8FC8F0A9B}"/>
    <cellStyle name="Total 3 4 42" xfId="20472" xr:uid="{9EFAB4B5-463C-4882-85CA-D8D704EF62AF}"/>
    <cellStyle name="Total 3 4 43" xfId="20925" xr:uid="{387CA6B3-4D41-4866-8C2D-C2394ED7BCA7}"/>
    <cellStyle name="Total 3 4 44" xfId="20803" xr:uid="{CDAA0A85-0062-4A68-9874-87509CE2C921}"/>
    <cellStyle name="Total 3 4 45" xfId="21854" xr:uid="{DBDE12D4-90EB-4241-8D20-2B3A6C5D8F48}"/>
    <cellStyle name="Total 3 4 46" xfId="22291" xr:uid="{2C84E512-8419-425F-A126-4D060DFC9BF7}"/>
    <cellStyle name="Total 3 4 47" xfId="22349" xr:uid="{8F462F84-5FE9-463C-A665-9DC61964D5C5}"/>
    <cellStyle name="Total 3 4 48" xfId="22265" xr:uid="{4C2B8537-BB99-4A31-A4C8-39E177A12D6F}"/>
    <cellStyle name="Total 3 4 49" xfId="23595" xr:uid="{1750207D-A7EC-40B0-8FDA-A227C8160068}"/>
    <cellStyle name="Total 3 4 5" xfId="2417" xr:uid="{7C835338-2726-4853-BCF5-86A639EA702C}"/>
    <cellStyle name="Total 3 4 50" xfId="23786" xr:uid="{EA40E7F6-D58B-456A-925B-67B529563C77}"/>
    <cellStyle name="Total 3 4 51" xfId="24685" xr:uid="{4E62E9C6-6DC3-465E-B020-FD92C347F808}"/>
    <cellStyle name="Total 3 4 52" xfId="25180" xr:uid="{DF0622ED-6F54-4493-90CF-0D339068BD17}"/>
    <cellStyle name="Total 3 4 53" xfId="25603" xr:uid="{F014AB7B-A220-4642-A64D-C73271958D18}"/>
    <cellStyle name="Total 3 4 54" xfId="25051" xr:uid="{86A51BDA-39FB-46AE-99E2-1038255BFB93}"/>
    <cellStyle name="Total 3 4 55" xfId="26678" xr:uid="{1F821448-E619-4606-B2A8-73731E8710B8}"/>
    <cellStyle name="Total 3 4 56" xfId="26893" xr:uid="{0D0D6435-68C6-414B-8C5F-AC343111C05A}"/>
    <cellStyle name="Total 3 4 57" xfId="27312" xr:uid="{A7532D76-E38E-48A4-8699-D59AFCA2A008}"/>
    <cellStyle name="Total 3 4 58" xfId="25957" xr:uid="{C12A0540-960E-4E71-BD2B-45B384F47C98}"/>
    <cellStyle name="Total 3 4 59" xfId="28435" xr:uid="{630499A9-A0DF-41B8-932D-AD801DD3E3AB}"/>
    <cellStyle name="Total 3 4 6" xfId="1905" xr:uid="{D0B27EF9-4267-4545-88EF-F789AF8881CE}"/>
    <cellStyle name="Total 3 4 60" xfId="28903" xr:uid="{F5C5DA3B-B81A-4F92-BFA2-7DAD1F6430A6}"/>
    <cellStyle name="Total 3 4 61" xfId="29327" xr:uid="{65877DB9-A8D0-443B-9B20-9CD4D216FE86}"/>
    <cellStyle name="Total 3 4 62" xfId="29693" xr:uid="{F583897F-9BCA-4CBA-B760-2CD86E892AED}"/>
    <cellStyle name="Total 3 4 63" xfId="30101" xr:uid="{CE7B7E3B-2CA9-4BCB-A7A3-47503F38E312}"/>
    <cellStyle name="Total 3 4 64" xfId="30515" xr:uid="{E2502AC6-1C23-4E83-9FA9-8F32A1931B10}"/>
    <cellStyle name="Total 3 4 65" xfId="30915" xr:uid="{256D1C1A-7E18-4F7C-B6BA-85AA2893DABF}"/>
    <cellStyle name="Total 3 4 66" xfId="31139" xr:uid="{5A71E450-C5B2-43D2-B9FD-79FDCD0CC113}"/>
    <cellStyle name="Total 3 4 67" xfId="31825" xr:uid="{C9206797-DBE6-421A-9B50-BBD62ED22E0D}"/>
    <cellStyle name="Total 3 4 68" xfId="32321" xr:uid="{EEC5D5D9-0814-4DDB-AE4F-A4E56270E7D5}"/>
    <cellStyle name="Total 3 4 7" xfId="3106" xr:uid="{577FBA8C-1ADA-4524-92BE-48E55AE55714}"/>
    <cellStyle name="Total 3 4 8" xfId="3913" xr:uid="{92C732D0-EF9B-4FFE-AB7D-D2B66958C398}"/>
    <cellStyle name="Total 3 4 9" xfId="4351" xr:uid="{3451D482-F4C6-40B8-8B0E-C09DAE03FFBF}"/>
    <cellStyle name="Total 3 40" xfId="25045" xr:uid="{C12C405A-B065-4883-A8B3-72C83DEBB67D}"/>
    <cellStyle name="Total 3 41" xfId="24262" xr:uid="{0F135E93-36FC-41D0-96A0-08D691501CF6}"/>
    <cellStyle name="Total 3 42" xfId="25048" xr:uid="{2C7AD12E-2935-441A-90C9-F5E78FB5B2EF}"/>
    <cellStyle name="Total 3 43" xfId="26268" xr:uid="{2A77F331-59FC-403F-8C13-FD34A1718C48}"/>
    <cellStyle name="Total 3 44" xfId="26308" xr:uid="{EC684C2B-065F-4752-9387-AAB3CD227C06}"/>
    <cellStyle name="Total 3 45" xfId="26778" xr:uid="{54703EE4-9E35-4F1C-8B27-365EACC846B4}"/>
    <cellStyle name="Total 3 46" xfId="28117" xr:uid="{2B45D190-7ACE-46E1-95D5-86F24463FB4C}"/>
    <cellStyle name="Total 3 47" xfId="28029" xr:uid="{F118E933-E284-4C95-8830-E1B0C2993C77}"/>
    <cellStyle name="Total 3 48" xfId="28253" xr:uid="{BC3D2B64-8D83-4616-A3B8-3A82830922CD}"/>
    <cellStyle name="Total 3 49" xfId="29475" xr:uid="{A8F93DA4-FD21-4F30-B405-0230DB7966B0}"/>
    <cellStyle name="Total 3 5" xfId="692" xr:uid="{5E0F5073-DE8A-4974-9553-A91654703284}"/>
    <cellStyle name="Total 3 5 10" xfId="5340" xr:uid="{48C90B5D-01AB-4623-BB12-09719B3369D9}"/>
    <cellStyle name="Total 3 5 11" xfId="4746" xr:uid="{3E4479CD-FC50-4841-A5AA-B02CFD64ABED}"/>
    <cellStyle name="Total 3 5 12" xfId="6109" xr:uid="{FD001C79-A047-4816-9568-E3A4F4CDD4D5}"/>
    <cellStyle name="Total 3 5 13" xfId="6293" xr:uid="{265DD231-C3B1-42AD-ADDB-DB99FE77DC3F}"/>
    <cellStyle name="Total 3 5 14" xfId="7412" xr:uid="{58C7F2ED-597A-44DB-8BAF-D164F45FF2F4}"/>
    <cellStyle name="Total 3 5 15" xfId="6978" xr:uid="{620D9765-B8E3-44DA-A8C2-534A4EE8CB4F}"/>
    <cellStyle name="Total 3 5 16" xfId="8285" xr:uid="{6232689E-1056-4B9F-880B-0AFB9150F7F2}"/>
    <cellStyle name="Total 3 5 17" xfId="7648" xr:uid="{104FCC23-5C00-45B9-BAC2-07FA04E62107}"/>
    <cellStyle name="Total 3 5 18" xfId="9626" xr:uid="{0034FD9E-BC37-4437-838D-708975E89233}"/>
    <cellStyle name="Total 3 5 19" xfId="9034" xr:uid="{9872BE27-9800-4789-87D5-533CDAD237BD}"/>
    <cellStyle name="Total 3 5 2" xfId="1174" xr:uid="{AB56498C-9622-4C24-A190-77E12AF74D61}"/>
    <cellStyle name="Total 3 5 20" xfId="9883" xr:uid="{6917172D-AA2F-46B3-8947-CBB142365A22}"/>
    <cellStyle name="Total 3 5 21" xfId="10742" xr:uid="{39801428-3388-4170-B20A-FF081D4DBEAD}"/>
    <cellStyle name="Total 3 5 22" xfId="9877" xr:uid="{BDA26144-E4E9-4F0A-B94C-4C91237F59E7}"/>
    <cellStyle name="Total 3 5 23" xfId="12045" xr:uid="{EC357FFF-3E26-47A5-A13F-B446B406C2A7}"/>
    <cellStyle name="Total 3 5 24" xfId="12518" xr:uid="{0108A863-D79A-4C4F-97DA-AC18B7C40E11}"/>
    <cellStyle name="Total 3 5 25" xfId="12952" xr:uid="{BA1138F1-6E6B-48E2-AF73-D3E740931483}"/>
    <cellStyle name="Total 3 5 26" xfId="13389" xr:uid="{20CF8FB9-BCFE-4C15-9F0C-91B207DC5AFD}"/>
    <cellStyle name="Total 3 5 27" xfId="13833" xr:uid="{7BE6E820-B037-47EC-AACF-E79671939634}"/>
    <cellStyle name="Total 3 5 28" xfId="14012" xr:uid="{4823B729-C1B2-4C13-A963-9D5C879A221F}"/>
    <cellStyle name="Total 3 5 29" xfId="14002" xr:uid="{237A3693-7A8F-4CC8-A069-92D63043289B}"/>
    <cellStyle name="Total 3 5 3" xfId="1666" xr:uid="{75DCA2CD-9805-4D87-86BF-13A479049850}"/>
    <cellStyle name="Total 3 5 30" xfId="14785" xr:uid="{699BD817-39E2-4E19-A25E-7EF6F4661CD8}"/>
    <cellStyle name="Total 3 5 31" xfId="15486" xr:uid="{76FBB095-6501-4334-84E7-DC4094CF4997}"/>
    <cellStyle name="Total 3 5 32" xfId="15439" xr:uid="{E06F88DA-E945-46B5-81F4-7DADB53D8DC7}"/>
    <cellStyle name="Total 3 5 33" xfId="16737" xr:uid="{F9BEEC1F-8881-4EA1-96D5-2005D4673585}"/>
    <cellStyle name="Total 3 5 34" xfId="16298" xr:uid="{8C58496B-B797-4966-9121-339E0CED1FC3}"/>
    <cellStyle name="Total 3 5 35" xfId="16052" xr:uid="{E26299C7-40A4-4382-A88C-F08C50C5BD2E}"/>
    <cellStyle name="Total 3 5 36" xfId="18145" xr:uid="{626AFAC0-7036-45E5-A8F7-B7790A51C173}"/>
    <cellStyle name="Total 3 5 37" xfId="18555" xr:uid="{44B43D43-C732-4D33-803B-975E14707F53}"/>
    <cellStyle name="Total 3 5 38" xfId="17809" xr:uid="{DD83F0C5-31BA-431C-AE43-CFFA2D4E9066}"/>
    <cellStyle name="Total 3 5 39" xfId="19281" xr:uid="{A4E67D9B-8F17-469B-8E3A-A2DF4103B6C4}"/>
    <cellStyle name="Total 3 5 4" xfId="2514" xr:uid="{6C264DCB-AF92-4CD5-8628-211DD1DC4313}"/>
    <cellStyle name="Total 3 5 40" xfId="20074" xr:uid="{98E65111-EE60-4042-BC0A-DC96CA488855}"/>
    <cellStyle name="Total 3 5 41" xfId="19628" xr:uid="{24FC7F2B-CC89-4D97-8BB6-48C4E2FE63D5}"/>
    <cellStyle name="Total 3 5 42" xfId="19489" xr:uid="{E0CB1D0A-5A34-4648-AFC0-EAB6289C1A6F}"/>
    <cellStyle name="Total 3 5 43" xfId="21199" xr:uid="{B841963A-1775-4EB4-A6E7-CF30F487F784}"/>
    <cellStyle name="Total 3 5 44" xfId="20927" xr:uid="{F0CE59E8-5DF9-4A41-ADC6-609557C234C4}"/>
    <cellStyle name="Total 3 5 45" xfId="20283" xr:uid="{ABF67CD0-70BF-4A32-84AB-44ACF90BEA3B}"/>
    <cellStyle name="Total 3 5 46" xfId="22819" xr:uid="{DF84A508-E225-4A48-B79E-1B881D939461}"/>
    <cellStyle name="Total 3 5 47" xfId="21753" xr:uid="{1BBD4F3E-0FE5-42C1-B78A-9A0B5D6BBD43}"/>
    <cellStyle name="Total 3 5 48" xfId="23633" xr:uid="{DB474B87-A64F-4D60-9AEA-E8E558400D74}"/>
    <cellStyle name="Total 3 5 49" xfId="23882" xr:uid="{A8C95AD5-8D0B-45D3-B965-F04B4998B835}"/>
    <cellStyle name="Total 3 5 5" xfId="2999" xr:uid="{C111AAB8-8454-48A7-9AA1-09FDB40E8C32}"/>
    <cellStyle name="Total 3 5 50" xfId="24782" xr:uid="{FE5F0117-3033-49EA-9FF2-262AF9EC3B14}"/>
    <cellStyle name="Total 3 5 51" xfId="24983" xr:uid="{17F0424E-9010-49CD-8950-0C603466A992}"/>
    <cellStyle name="Total 3 5 52" xfId="25700" xr:uid="{9A0F125F-3D28-4575-A02E-435685D3C854}"/>
    <cellStyle name="Total 3 5 53" xfId="26123" xr:uid="{C2CA58D0-C509-426D-8B7B-86976FC98D43}"/>
    <cellStyle name="Total 3 5 54" xfId="26365" xr:uid="{945DB27A-4964-43CC-88E1-AAA87C1145B4}"/>
    <cellStyle name="Total 3 5 55" xfId="26990" xr:uid="{58E87627-7666-4265-B9D7-077086C97F58}"/>
    <cellStyle name="Total 3 5 56" xfId="27409" xr:uid="{81453592-5D49-486E-8645-E337F692D1F9}"/>
    <cellStyle name="Total 3 5 57" xfId="27812" xr:uid="{4259AC7E-5F56-4508-A916-D1FFA650726C}"/>
    <cellStyle name="Total 3 5 58" xfId="28532" xr:uid="{8BEA5C34-B91B-4FAE-96DD-A13EC48FAC7D}"/>
    <cellStyle name="Total 3 5 59" xfId="29000" xr:uid="{8449E8E7-2043-449A-A305-FDB91EC6C001}"/>
    <cellStyle name="Total 3 5 6" xfId="1946" xr:uid="{3495C0F1-4F75-4390-8A71-440894535FBC}"/>
    <cellStyle name="Total 3 5 60" xfId="27898" xr:uid="{4A2443E7-47D4-40C1-9C91-7917281296B1}"/>
    <cellStyle name="Total 3 5 61" xfId="29790" xr:uid="{23F76B9B-53A7-4A2E-9B9B-F3427E4320E6}"/>
    <cellStyle name="Total 3 5 62" xfId="30197" xr:uid="{02F8BE30-C788-43E6-8BDD-1078C3633DC6}"/>
    <cellStyle name="Total 3 5 63" xfId="30612" xr:uid="{E5E9ED5F-B40D-49D7-9D5D-FC0BF944683C}"/>
    <cellStyle name="Total 3 5 64" xfId="30928" xr:uid="{2BB29605-5222-4CA9-90BC-8A2D92CCE12A}"/>
    <cellStyle name="Total 3 5 65" xfId="31235" xr:uid="{180D1940-A150-48ED-B448-C8060F97F0D2}"/>
    <cellStyle name="Total 3 5 66" xfId="31921" xr:uid="{4F6695A2-1192-461A-9BDB-7C73637561F5}"/>
    <cellStyle name="Total 3 5 67" xfId="31447" xr:uid="{4A13F03C-0A38-4E23-9191-7D87E0869CFF}"/>
    <cellStyle name="Total 3 5 7" xfId="4010" xr:uid="{F00FEDC8-3034-4172-8AFD-4413841911C7}"/>
    <cellStyle name="Total 3 5 8" xfId="4448" xr:uid="{43075FE2-9580-4743-B2FD-DE3350CE4FA7}"/>
    <cellStyle name="Total 3 5 9" xfId="3107" xr:uid="{549B6B82-ECB2-4366-8CBB-3C18EC1244D8}"/>
    <cellStyle name="Total 3 50" xfId="30813" xr:uid="{85245E27-E07D-4CEF-9A08-79AAA1D1F32D}"/>
    <cellStyle name="Total 3 51" xfId="29514" xr:uid="{1FD144F5-CF86-49C8-BE1A-DF396312876F}"/>
    <cellStyle name="Total 3 52" xfId="31575" xr:uid="{7B84F4B7-BEBA-442D-A6D5-D0E77C1D1DA2}"/>
    <cellStyle name="Total 3 53" xfId="32169" xr:uid="{678270E2-A0F3-437B-8C71-478349A77753}"/>
    <cellStyle name="Total 3 6" xfId="936" xr:uid="{8B7E52C9-90D4-429E-BD93-41A38D00FE93}"/>
    <cellStyle name="Total 3 7" xfId="2064" xr:uid="{95387551-C7DE-470D-85F7-0ADFED9DCCD6}"/>
    <cellStyle name="Total 3 8" xfId="2910" xr:uid="{A0325D3E-2D18-44F6-8290-A2D37AEC9E54}"/>
    <cellStyle name="Total 3 9" xfId="3379" xr:uid="{98761ACC-F702-4187-A85F-28E85F22DF05}"/>
    <cellStyle name="Verknüpfte Zelle" xfId="186" xr:uid="{21BE2FF3-DB14-4EF5-B866-C68A46DD96A9}"/>
    <cellStyle name="Warnender Text" xfId="21487" hidden="1" xr:uid="{50BE3ECC-7E58-4E28-A7E8-BDC0A87AF579}"/>
    <cellStyle name="Warnender Text" xfId="19768" hidden="1" xr:uid="{D4D6CC9F-2BBC-4E61-BDB0-49F67832CB22}"/>
    <cellStyle name="Warnender Text" xfId="21434" hidden="1" xr:uid="{7B87AA02-B888-4BE2-8CA1-DEE732E0C3FC}"/>
    <cellStyle name="Warnender Text" xfId="21976" hidden="1" xr:uid="{72DD4775-D03D-45F1-9593-04D8BBBCBB58}"/>
    <cellStyle name="Warnender Text" xfId="21721" hidden="1" xr:uid="{842CF56F-B9D4-46D5-A914-D70626312562}"/>
    <cellStyle name="Warnender Text" xfId="21927" hidden="1" xr:uid="{26F65FEC-4493-435D-A94A-DBACC417A237}"/>
    <cellStyle name="Warnender Text" xfId="22382" hidden="1" xr:uid="{27949ABB-603D-46E1-BB8E-526C225DDAB3}"/>
    <cellStyle name="Warnender Text" xfId="22590" hidden="1" xr:uid="{1724161C-554B-478A-A143-A9F93792D1C4}"/>
    <cellStyle name="Warnender Text" xfId="22984" hidden="1" xr:uid="{D5A79FD1-0D29-4323-BD53-D6BF87C8B0AF}"/>
    <cellStyle name="Warnender Text" xfId="22974" hidden="1" xr:uid="{36AAD8B4-A49E-4891-93A1-DEFB697A19FD}"/>
    <cellStyle name="Warnender Text" xfId="22953" hidden="1" xr:uid="{5D92EEEA-446F-45C7-B85A-46DDAC5D40D9}"/>
    <cellStyle name="Warnender Text" xfId="20879" hidden="1" xr:uid="{5DB2CF5C-CB7E-496F-8413-0E0B9D56841C}"/>
    <cellStyle name="Warnender Text" xfId="22611" hidden="1" xr:uid="{45281806-663B-4ECC-8D88-B25C2133A303}"/>
    <cellStyle name="Warnender Text" xfId="19892" hidden="1" xr:uid="{3A3E53E6-F038-445C-9715-885F2E81C971}"/>
    <cellStyle name="Warnender Text" xfId="21766" hidden="1" xr:uid="{6487106A-2B63-4B42-AB00-7A7FF6F2D430}"/>
    <cellStyle name="Warnender Text" xfId="23248" hidden="1" xr:uid="{85E05274-629C-4C8C-B8A4-3C162C609422}"/>
    <cellStyle name="Warnender Text" xfId="23476" hidden="1" xr:uid="{669D47CF-95BE-4ABC-85E4-F3B436916211}"/>
    <cellStyle name="Warnender Text" xfId="22039" hidden="1" xr:uid="{CA1DF142-A4B5-4EE9-8495-95921CFAAB4C}"/>
    <cellStyle name="Warnender Text" xfId="23163" hidden="1" xr:uid="{2E307A32-D5B5-4BE5-AFFF-8ED3C5D27CE1}"/>
    <cellStyle name="Warnender Text" xfId="24148" hidden="1" xr:uid="{AFD3CD4B-46C1-4367-BC44-65D1D4C46622}"/>
    <cellStyle name="Warnender Text" xfId="24591" hidden="1" xr:uid="{0AFF3391-824B-4267-AAB8-F3EC6FC8D4FA}"/>
    <cellStyle name="Warnender Text" xfId="24568" hidden="1" xr:uid="{007DA50E-4E65-4EB4-A5D4-9513D87AF57B}"/>
    <cellStyle name="Warnender Text" xfId="24582" hidden="1" xr:uid="{F8A22871-9585-4F12-A16B-F923FD0DFC0A}"/>
    <cellStyle name="Warnender Text" xfId="24446" hidden="1" xr:uid="{7A7DC1F1-4869-4046-AA78-8C162CB066D3}"/>
    <cellStyle name="Warnender Text" xfId="25503" hidden="1" xr:uid="{86D1F4BF-6886-47FF-AA69-D232AF8AC819}"/>
    <cellStyle name="Warnender Text" xfId="26184" hidden="1" xr:uid="{1B63A94A-0199-42C6-A5B4-823F31CBAD3C}"/>
    <cellStyle name="Warnender Text" xfId="26143" hidden="1" xr:uid="{92E248EC-0FB2-47E1-A98A-D31327E2451C}"/>
    <cellStyle name="Warnender Text" xfId="26486" hidden="1" xr:uid="{CBB1F1F2-8E6C-4FBC-9F8A-556416F31141}"/>
    <cellStyle name="Warnender Text" xfId="24596" hidden="1" xr:uid="{0002B6CB-0E3E-4222-AEB1-09445949D999}"/>
    <cellStyle name="Warnender Text" xfId="26078" hidden="1" xr:uid="{C8D16E9D-B73E-41A2-A66D-4240D5340DBB}"/>
    <cellStyle name="Warnender Text" xfId="26669" hidden="1" xr:uid="{0E74996D-369E-476D-9DF5-24980A71C5AE}"/>
    <cellStyle name="Warnender Text" xfId="26449" hidden="1" xr:uid="{BD49FD4D-4271-43D0-91AF-042AAA6E3BF8}"/>
    <cellStyle name="Warnender Text" xfId="26489" hidden="1" xr:uid="{E82484F9-1167-4A1D-A06D-437AA83A5404}"/>
    <cellStyle name="Warnender Text" xfId="26584" hidden="1" xr:uid="{C189704E-668B-46C1-81CE-F06A0E1D80E3}"/>
    <cellStyle name="Warnender Text" xfId="25917" hidden="1" xr:uid="{30522379-1919-4723-BC95-AA3DB404435A}"/>
    <cellStyle name="Warnender Text" xfId="27673" hidden="1" xr:uid="{63997445-51AE-43AE-82ED-D61031223EBB}"/>
    <cellStyle name="Warnender Text" xfId="27701" hidden="1" xr:uid="{3C4585BC-6F66-48C6-8F86-FF5290B62322}"/>
    <cellStyle name="Warnender Text" xfId="26206" hidden="1" xr:uid="{7B0E9D0A-8CAA-4A98-BD0A-34F37454E33C}"/>
    <cellStyle name="Warnender Text" xfId="27864" hidden="1" xr:uid="{24A37A88-2BA1-40D7-8E11-00EC0E95B62B}"/>
    <cellStyle name="Warnender Text" xfId="27939" hidden="1" xr:uid="{C1D4F71C-C54A-4187-A7F6-965BC193A424}"/>
    <cellStyle name="Warnender Text" xfId="28212" hidden="1" xr:uid="{7474724D-DBC0-494E-AA6F-428AEF8D5720}"/>
    <cellStyle name="Warnender Text" xfId="28188" hidden="1" xr:uid="{2EEFFE77-C1A0-42D0-A28E-E8C94940D786}"/>
    <cellStyle name="Warnender Text" xfId="28178" hidden="1" xr:uid="{24F8D6C8-3A29-4D69-98AB-110DAE898185}"/>
    <cellStyle name="Warnender Text" xfId="29423" hidden="1" xr:uid="{7C325D9F-668F-48F9-B072-F15C5116B44D}"/>
    <cellStyle name="Warnender Text" xfId="28060" hidden="1" xr:uid="{DDA5F355-0006-48A8-A05F-4AC970474EC8}"/>
    <cellStyle name="Warnender Text" xfId="29345" hidden="1" xr:uid="{C5E2EBC6-C83C-4E49-A285-7012042ADDBD}"/>
    <cellStyle name="Warnender Text" xfId="28001" hidden="1" xr:uid="{1F33810C-D93B-414E-819F-2F5BE21AB95A}"/>
    <cellStyle name="Warnender Text" xfId="28194" hidden="1" xr:uid="{DFD229B6-BF70-4A1E-9746-76A2B0901A27}"/>
    <cellStyle name="Warnender Text" xfId="29995" hidden="1" xr:uid="{0787D7EE-7C30-4A06-92C6-554A847C4D7F}"/>
    <cellStyle name="Warnender Text" xfId="31458" hidden="1" xr:uid="{2D750079-8954-420E-9758-AD34C95F7202}"/>
    <cellStyle name="Warnender Text" xfId="31617" hidden="1" xr:uid="{97365BB9-A5E2-46A6-9A5E-CE9588F5E4EC}"/>
    <cellStyle name="Warnender Text" xfId="32235" hidden="1" xr:uid="{B4D8914A-4B9B-40EA-A0DF-CB7406C60496}"/>
    <cellStyle name="Warnender Text" xfId="32117" hidden="1" xr:uid="{CE0ACE26-C01D-4B64-8C60-A032AFAAF826}"/>
    <cellStyle name="Warnender Text" xfId="31639" hidden="1" xr:uid="{5E6E9C32-7D9E-46F2-A940-8C50EE03D5CC}"/>
    <cellStyle name="Warnender Text" xfId="31546" hidden="1" xr:uid="{8D394064-BF7A-41AE-BF3D-43F79C7DCAC7}"/>
    <cellStyle name="Warnender Text" xfId="8969" hidden="1" xr:uid="{C7F6DC77-7A8B-4E48-B264-303394944E49}"/>
    <cellStyle name="Warnender Text" xfId="10011" hidden="1" xr:uid="{B1455396-482A-46F8-A65F-793BE46862A5}"/>
    <cellStyle name="Warnender Text" xfId="10532" hidden="1" xr:uid="{47E015DB-18DE-4476-809D-4C2AA1227F04}"/>
    <cellStyle name="Warnender Text" xfId="10088" hidden="1" xr:uid="{0B55389A-D0B6-4574-BF4D-5285DF392108}"/>
    <cellStyle name="Warnender Text" xfId="10040" hidden="1" xr:uid="{606EA65F-B279-4812-BC71-99B5FD0A4E6B}"/>
    <cellStyle name="Warnender Text" xfId="10399" hidden="1" xr:uid="{21FD4646-66FF-489F-AFF5-65B498348318}"/>
    <cellStyle name="Warnender Text" xfId="10983" hidden="1" xr:uid="{5A5E490C-5E91-4484-978E-8E209F98823A}"/>
    <cellStyle name="Warnender Text" xfId="11084" hidden="1" xr:uid="{BF6103F7-5F63-4B94-A507-B5630F39961A}"/>
    <cellStyle name="Warnender Text" xfId="9826" hidden="1" xr:uid="{2E037509-351F-4440-9E15-AC2B57F43B42}"/>
    <cellStyle name="Warnender Text" xfId="10119" hidden="1" xr:uid="{A8D7D381-83E2-477C-8F44-FFD6F8761298}"/>
    <cellStyle name="Warnender Text" xfId="11136" hidden="1" xr:uid="{A0542B8F-4621-4659-A0F3-2F7D07C91DE3}"/>
    <cellStyle name="Warnender Text" xfId="10884" hidden="1" xr:uid="{4426545C-0E0C-4FE7-AAA3-1C1DA8573513}"/>
    <cellStyle name="Warnender Text" xfId="11401" hidden="1" xr:uid="{B20320FD-2D26-4F5C-AC21-643BB82E1333}"/>
    <cellStyle name="Warnender Text" xfId="11702" hidden="1" xr:uid="{DF72016D-7447-4CBA-BAA7-600EDA5DBBE8}"/>
    <cellStyle name="Warnender Text" xfId="11672" hidden="1" xr:uid="{ECF543DD-7840-4761-B7D6-3805F5044625}"/>
    <cellStyle name="Warnender Text" xfId="11757" hidden="1" xr:uid="{BA10AF5C-D0F4-4A71-B195-5B0B8ACC2F51}"/>
    <cellStyle name="Warnender Text" xfId="11651" hidden="1" xr:uid="{90AFA614-558D-43D4-A4A0-569555D62194}"/>
    <cellStyle name="Warnender Text" xfId="11441" hidden="1" xr:uid="{BDF4A9A5-319E-4669-8D9F-6425244094B8}"/>
    <cellStyle name="Warnender Text" xfId="11366" hidden="1" xr:uid="{D7D1C03A-0A63-4560-B964-CD37C55DB938}"/>
    <cellStyle name="Warnender Text" xfId="13391" hidden="1" xr:uid="{896E604F-DCDB-4E66-B05E-008BB8B074C1}"/>
    <cellStyle name="Warnender Text" xfId="14416" hidden="1" xr:uid="{2A272AD0-EA99-41E1-A787-51250A9DB3A4}"/>
    <cellStyle name="Warnender Text" xfId="13733" hidden="1" xr:uid="{0F55675F-74F4-4EB9-93CF-9981E40518BC}"/>
    <cellStyle name="Warnender Text" xfId="14679" hidden="1" xr:uid="{9C5F8990-221B-48FD-AB75-F94E702F6A0D}"/>
    <cellStyle name="Warnender Text" xfId="11863" hidden="1" xr:uid="{ABCBE356-DBD6-4006-8961-4CB19ECAF436}"/>
    <cellStyle name="Warnender Text" xfId="15096" hidden="1" xr:uid="{D8DF2B4F-D6D0-46A1-B483-D1A7DCBD6D7C}"/>
    <cellStyle name="Warnender Text" xfId="14113" hidden="1" xr:uid="{F35CD8A2-2FF4-4652-A093-5F7786699E5C}"/>
    <cellStyle name="Warnender Text" xfId="15340" hidden="1" xr:uid="{91EB55F9-78A3-4C0C-B2D1-00F7125D4ECF}"/>
    <cellStyle name="Warnender Text" xfId="14061" hidden="1" xr:uid="{6482EDC6-B093-4E56-9497-0188AB24521F}"/>
    <cellStyle name="Warnender Text" xfId="14742" hidden="1" xr:uid="{1794BA3E-0241-4EB9-A503-9441A20A8D40}"/>
    <cellStyle name="Warnender Text" xfId="15542" hidden="1" xr:uid="{27A58DD7-3C31-41F6-9F46-0DFD4F9450C6}"/>
    <cellStyle name="Warnender Text" xfId="15126" hidden="1" xr:uid="{DCA0B8E9-7105-4FF0-AAE4-1468BB1FD7BB}"/>
    <cellStyle name="Warnender Text" xfId="15428" hidden="1" xr:uid="{AB0448AC-AF9E-4664-AA35-4E3AAA2526BB}"/>
    <cellStyle name="Warnender Text" xfId="15323" hidden="1" xr:uid="{40121A24-0E6E-49E6-945D-B72FCE6A1E17}"/>
    <cellStyle name="Warnender Text" xfId="15680" hidden="1" xr:uid="{F820104D-6DB9-423B-93FC-97E79E9FC687}"/>
    <cellStyle name="Warnender Text" xfId="14092" hidden="1" xr:uid="{2CA0DBDD-06EC-4EB0-9DE2-15FCE3C74161}"/>
    <cellStyle name="Warnender Text" xfId="15155" hidden="1" xr:uid="{3C04F923-ED0B-4EDD-8DC0-4D35B342E43D}"/>
    <cellStyle name="Warnender Text" xfId="15879" hidden="1" xr:uid="{A0E8F4F6-70EF-4123-83E5-494BBFFA3B9F}"/>
    <cellStyle name="Warnender Text" xfId="16092" hidden="1" xr:uid="{8753FA93-364D-4A97-9083-205915B9B8E1}"/>
    <cellStyle name="Warnender Text" xfId="16396" hidden="1" xr:uid="{E7748AE8-DA95-4D99-AD15-395C580285A1}"/>
    <cellStyle name="Warnender Text" xfId="16169" hidden="1" xr:uid="{F7E003E7-E18D-47C6-89BE-BF315051CA12}"/>
    <cellStyle name="Warnender Text" xfId="16455" hidden="1" xr:uid="{4D87AD5B-F655-4FAE-865B-C5F2C2C866F0}"/>
    <cellStyle name="Warnender Text" xfId="17337" hidden="1" xr:uid="{E982A2CA-8D45-428D-99ED-81009745811B}"/>
    <cellStyle name="Warnender Text" xfId="17684" hidden="1" xr:uid="{31F24278-662D-4795-9A49-31B2B7887DD1}"/>
    <cellStyle name="Warnender Text" xfId="17514" hidden="1" xr:uid="{5E25DCFC-CEB0-44F1-A3F5-BE2652A79A7F}"/>
    <cellStyle name="Warnender Text" xfId="17643" hidden="1" xr:uid="{6A866707-894C-4DCD-B24F-2A99B6BB652D}"/>
    <cellStyle name="Warnender Text" xfId="17637" hidden="1" xr:uid="{A6D89687-8C51-4160-907B-D0222484C9D0}"/>
    <cellStyle name="Warnender Text" xfId="18027" hidden="1" xr:uid="{975EF439-3D54-41A4-998F-03989A340F05}"/>
    <cellStyle name="Warnender Text" xfId="18289" hidden="1" xr:uid="{3770F1BB-DC2F-4B11-A74F-0C6CC356EFE3}"/>
    <cellStyle name="Warnender Text" xfId="16367" hidden="1" xr:uid="{FEAF0764-0140-4E12-B373-EE740D88E026}"/>
    <cellStyle name="Warnender Text" xfId="18113" hidden="1" xr:uid="{0440D9BD-353A-4230-86A2-6F5D3E008B17}"/>
    <cellStyle name="Warnender Text" xfId="18283" hidden="1" xr:uid="{3306546F-2EE1-41E1-A7CD-A66CB55E4F06}"/>
    <cellStyle name="Warnender Text" xfId="17062" hidden="1" xr:uid="{4B189575-3B56-412D-BD23-B7A58B0AD702}"/>
    <cellStyle name="Warnender Text" xfId="18921" hidden="1" xr:uid="{6D0D5AC1-0342-4144-9C13-D2AD3274CD99}"/>
    <cellStyle name="Warnender Text" xfId="18866" hidden="1" xr:uid="{428C09EB-D643-4F10-9555-81A09A90DD22}"/>
    <cellStyle name="Warnender Text" xfId="19148" hidden="1" xr:uid="{FAE316BF-E9E5-4517-970D-54D86189086C}"/>
    <cellStyle name="Warnender Text" xfId="19425" hidden="1" xr:uid="{26C5F55D-F12C-4C29-8193-355F307EC85C}"/>
    <cellStyle name="Warnender Text" xfId="19731" hidden="1" xr:uid="{3B001FC4-E9CE-4AB8-B3C9-6D4D9EFE058A}"/>
    <cellStyle name="Warnender Text" xfId="19387" hidden="1" xr:uid="{71775B4C-1A50-4BAE-9F98-D5DBC28AE09A}"/>
    <cellStyle name="Warnender Text" xfId="20612" hidden="1" xr:uid="{8BB1C050-B0F8-4FC4-AD41-AFCC75982978}"/>
    <cellStyle name="Warnender Text" xfId="20623" hidden="1" xr:uid="{0150E82D-2C42-4514-95A1-78EA8614F487}"/>
    <cellStyle name="Warnender Text" xfId="21045" hidden="1" xr:uid="{CC1479B3-C5B9-4E68-B32B-9931326B8C44}"/>
    <cellStyle name="Warnender Text" xfId="20696" hidden="1" xr:uid="{DE990103-881E-4B1A-B54E-DBCFEDB4A83E}"/>
    <cellStyle name="Warnender Text" xfId="19595" hidden="1" xr:uid="{F80BD32A-6532-412A-A88B-943FED34D44E}"/>
    <cellStyle name="Warnender Text" xfId="5580" hidden="1" xr:uid="{E4437EF5-DDEC-4641-B328-D348C0171751}"/>
    <cellStyle name="Warnender Text" xfId="5817" hidden="1" xr:uid="{81072814-10C0-4A0D-B7EE-D2DD1C9E86B9}"/>
    <cellStyle name="Warnender Text" xfId="6609" hidden="1" xr:uid="{B161EB8C-52EB-4DD0-8470-C566D03E0F70}"/>
    <cellStyle name="Warnender Text" xfId="4691" hidden="1" xr:uid="{B6B67D4F-559F-42B3-BB4D-CF2074F9F07F}"/>
    <cellStyle name="Warnender Text" xfId="5831" hidden="1" xr:uid="{A2E071A4-6B6C-4A97-8EB5-D4E87C67267D}"/>
    <cellStyle name="Warnender Text" xfId="6480" hidden="1" xr:uid="{66A4E915-2518-428B-8BF6-10F8841650D0}"/>
    <cellStyle name="Warnender Text" xfId="6783" hidden="1" xr:uid="{BC8B629A-26F1-4B4D-8237-DA6EE72A53E9}"/>
    <cellStyle name="Warnender Text" xfId="7075" hidden="1" xr:uid="{169BEC10-D263-4D6C-9EBB-9D6920F1C4E2}"/>
    <cellStyle name="Warnender Text" xfId="6853" hidden="1" xr:uid="{2DB021B8-0861-4E8C-8961-2F150AFCE3F2}"/>
    <cellStyle name="Warnender Text" xfId="7132" hidden="1" xr:uid="{F0119FF5-A04F-4319-85FC-41D570A669A3}"/>
    <cellStyle name="Warnender Text" xfId="7998" hidden="1" xr:uid="{5BA4154D-5FCB-431C-A299-BBB4C926C689}"/>
    <cellStyle name="Warnender Text" xfId="8182" hidden="1" xr:uid="{6091AEF9-2D7E-4CF7-AFD6-5F6ABB9CD046}"/>
    <cellStyle name="Warnender Text" xfId="7667" hidden="1" xr:uid="{01DB16AE-08CC-4D89-AB25-ED7EAFB9ADED}"/>
    <cellStyle name="Warnender Text" xfId="8322" hidden="1" xr:uid="{2A438C0E-42FC-44AD-8624-07D48E6ABE3C}"/>
    <cellStyle name="Warnender Text" xfId="7723" hidden="1" xr:uid="{4951DF7F-A951-44B8-AF88-B95D19490260}"/>
    <cellStyle name="Warnender Text" xfId="8177" hidden="1" xr:uid="{8289388B-90E2-4E86-98CB-46B3456CBFBD}"/>
    <cellStyle name="Warnender Text" xfId="7758" hidden="1" xr:uid="{8E18AC48-17F9-41ED-A0EA-386B97ED4850}"/>
    <cellStyle name="Warnender Text" xfId="7166" hidden="1" xr:uid="{2CCF581B-B09D-405C-BFF8-B7AC9951207B}"/>
    <cellStyle name="Warnender Text" xfId="8127" hidden="1" xr:uid="{5864E34B-7728-4CF2-8DAB-A3280F5A69E3}"/>
    <cellStyle name="Warnender Text" xfId="7702" hidden="1" xr:uid="{4AC370AC-53F8-4D8C-B8FA-4B644F05EC7E}"/>
    <cellStyle name="Warnender Text" xfId="8237" hidden="1" xr:uid="{7D92A8F7-A495-4AEA-8047-C213931573A9}"/>
    <cellStyle name="Warnender Text" xfId="8213" hidden="1" xr:uid="{F8146407-4814-45F6-9FCD-4570C46B3CF4}"/>
    <cellStyle name="Warnender Text" xfId="7811" hidden="1" xr:uid="{0A6B765E-7C6B-4F34-9366-B510300FD71E}"/>
    <cellStyle name="Warnender Text" xfId="8303" hidden="1" xr:uid="{F32D68C6-9DAF-4C6C-BCC5-B6D893965847}"/>
    <cellStyle name="Warnender Text" xfId="6750" hidden="1" xr:uid="{3B7C5698-19CF-42C0-B4A7-39439A4A5592}"/>
    <cellStyle name="Warnender Text" xfId="8230" hidden="1" xr:uid="{E1BDA181-1D57-4363-A5FD-ECD59677AC14}"/>
    <cellStyle name="Warnender Text" xfId="8684" hidden="1" xr:uid="{D01B3047-62BB-409F-9723-7C7B665D5771}"/>
    <cellStyle name="Warnender Text" xfId="8579" hidden="1" xr:uid="{9567FCC0-83CD-482E-B9D6-EEBAA2E66E57}"/>
    <cellStyle name="Warnender Text" xfId="8909" hidden="1" xr:uid="{7A31BED5-465A-43C5-ADE5-7C12A04EE671}"/>
    <cellStyle name="Warnender Text" xfId="8995" hidden="1" xr:uid="{A403F8DD-A4FC-42AB-86D8-82D64639BA9D}"/>
    <cellStyle name="Warnender Text" xfId="9288" hidden="1" xr:uid="{CA42B251-6D72-43B2-9735-1872C6A2EFA0}"/>
    <cellStyle name="Warnender Text" xfId="9349" hidden="1" xr:uid="{6C8F71E6-A6F0-4D5C-8360-7324EB7185D1}"/>
    <cellStyle name="Warnender Text" xfId="2299" hidden="1" xr:uid="{67638C64-FE77-4832-8E7E-29B22E8C812B}"/>
    <cellStyle name="Warnender Text" xfId="3587" hidden="1" xr:uid="{9D701C6C-D0C4-4D65-A882-119D1DE789CE}"/>
    <cellStyle name="Warnender Text" xfId="3636" hidden="1" xr:uid="{5BD46685-C622-4055-8EEC-4E798DFE53C2}"/>
    <cellStyle name="Warnender Text" xfId="4706" hidden="1" xr:uid="{F931984B-CC39-43E7-A0AB-CD5875EE449C}"/>
    <cellStyle name="Warnender Text" xfId="4977" hidden="1" xr:uid="{DA04ECDA-5EC0-42EC-8BB4-AC1AC1854B44}"/>
    <cellStyle name="Warnender Text" xfId="4974" hidden="1" xr:uid="{F694F763-69B9-49F4-8F3E-56D14C6E6CE1}"/>
    <cellStyle name="Warnender Text" xfId="5722" hidden="1" xr:uid="{C6365FB3-6AC5-4D36-A882-106582813969}"/>
    <cellStyle name="Warnender Text" xfId="4982" hidden="1" xr:uid="{94FB0D7B-7A3D-4993-BB3D-AC9174A5F3EC}"/>
    <cellStyle name="Warnender Text" xfId="5712" hidden="1" xr:uid="{44D872D2-3A2E-443F-9C0A-42FC40461323}"/>
    <cellStyle name="Warnender Text" xfId="5879" hidden="1" xr:uid="{C5A1068C-98A9-442C-BDF5-0CA3F9A39781}"/>
    <cellStyle name="Warnender Text" xfId="5846" hidden="1" xr:uid="{122EBA76-236F-4DA2-85B1-DF4BF3406F3D}"/>
    <cellStyle name="Warnender Text" xfId="6166" hidden="1" xr:uid="{92CD098E-CA49-4443-AADB-A87BCB6A0BAB}"/>
    <cellStyle name="Warnender Text" xfId="1945" hidden="1" xr:uid="{EF772481-C05E-4A4F-8CD7-D36E952BCC97}"/>
    <cellStyle name="Warnender Text" xfId="6240" hidden="1" xr:uid="{F10335D9-A99D-4185-BFD3-F7AC9A43827D}"/>
    <cellStyle name="Warnender Text" xfId="3418" hidden="1" xr:uid="{95293450-2303-4936-8C4F-5A3E1970031F}"/>
    <cellStyle name="Warnender Text" xfId="6564" hidden="1" xr:uid="{918169B2-6180-4E16-BF88-B200BCC293B2}"/>
    <cellStyle name="Warnender Text" xfId="2226" hidden="1" xr:uid="{C4D843B3-5056-4E2E-AF2C-AD7693685819}"/>
    <cellStyle name="Warnender Text" xfId="2746" hidden="1" xr:uid="{492D8E6A-DC29-45FF-B171-E37E860E1FEE}"/>
    <cellStyle name="Warnender Text" xfId="1821" hidden="1" xr:uid="{ED2A5082-62FB-4686-A6DE-CB86A063C98B}"/>
    <cellStyle name="Warnender Text" xfId="2905" hidden="1" xr:uid="{DD3C3B2C-1FB9-4E44-BED1-7925FBE30F66}"/>
    <cellStyle name="Warnender Text" xfId="2308" hidden="1" xr:uid="{8A1CC1C9-7ED4-420B-A409-CE9F9B10C1D6}"/>
    <cellStyle name="Warnender Text" xfId="2232" hidden="1" xr:uid="{F9DAE6FC-E814-4ED0-A280-BEAB6E1B8090}"/>
    <cellStyle name="Warnender Text" xfId="1934" hidden="1" xr:uid="{092AFDFD-4D2A-49FA-842C-BD92BEEEFF0F}"/>
    <cellStyle name="Warnender Text" xfId="2291" hidden="1" xr:uid="{A647FA87-6E1F-4AEB-AB89-1A8DC87A7F19}"/>
    <cellStyle name="Warnender Text" xfId="1388" hidden="1" xr:uid="{C7CC398E-5527-45DA-BE66-01FDAB01D7ED}"/>
    <cellStyle name="Warnender Text" xfId="1646" hidden="1" xr:uid="{8C3574A6-AC4D-4AA3-B97F-B7EBC02D84E2}"/>
    <cellStyle name="Warnender Text" xfId="1869" hidden="1" xr:uid="{42A16D90-49C5-48B3-99EF-605BBCFA103D}"/>
    <cellStyle name="Warnender Text" xfId="2325" hidden="1" xr:uid="{AE8D6DFC-EC45-432A-A40C-D2BF93EF5547}"/>
    <cellStyle name="Warnender Text" xfId="894" hidden="1" xr:uid="{9601C7A0-C599-4C78-99C8-C2B69CF576F6}"/>
    <cellStyle name="Warnender Text" xfId="972" hidden="1" xr:uid="{FE70B20F-068F-4171-B2E3-1EF1A7134421}"/>
    <cellStyle name="Warnender Text" xfId="47" hidden="1" xr:uid="{240431E1-FC66-4E27-A958-E094DD83CAD1}"/>
    <cellStyle name="Warnender Text 2" xfId="396" xr:uid="{16DFCA5B-9430-4E60-8CB6-7848AD847F29}"/>
    <cellStyle name="Warnender Text 3" xfId="287" xr:uid="{CC7EF1E4-84EF-4ED9-ADE0-7B7945295D16}"/>
    <cellStyle name="Warning Text 2" xfId="187" xr:uid="{5F434CAE-2C72-4A94-BFB4-187BAF82E02A}"/>
    <cellStyle name="Warning Text 3" xfId="240" xr:uid="{976DFCAD-A8F2-408E-8C0C-FB9665B47CBA}"/>
    <cellStyle name="Überschrift" xfId="181" xr:uid="{81D40770-5D84-413D-980C-9220F8CBF1BD}"/>
    <cellStyle name="Überschrift 1" xfId="182" xr:uid="{14A5AD69-5B8E-42A1-A811-CF2588E0B106}"/>
    <cellStyle name="Überschrift 2" xfId="183" xr:uid="{065DDD80-B8FD-4197-A3EB-99E67AEA881D}"/>
    <cellStyle name="Überschrift 3" xfId="184" xr:uid="{8EA01CC8-7735-4D0E-BF2B-5FC757824633}"/>
    <cellStyle name="Überschrift 4" xfId="185" xr:uid="{625A0A76-C576-4545-8DE3-678E5F67B45C}"/>
    <cellStyle name="Zelle überprüfen" xfId="188" xr:uid="{509BB340-2F37-4CE9-AB4F-4A4514F98C24}"/>
    <cellStyle name="Гиперссылка" xfId="189" xr:uid="{CC56F0A5-5BBB-4F50-A612-5E50AE6B9129}"/>
    <cellStyle name="Гиперссылка 2" xfId="190" xr:uid="{2E31E9E0-2212-45EC-BC0B-437508754294}"/>
    <cellStyle name="Гиперссылка 3" xfId="198" xr:uid="{3639548F-D6FF-48AF-A879-EBE8EABE7E60}"/>
    <cellStyle name="Гиперссылка 4" xfId="370" xr:uid="{5D1E19FA-F5D6-4792-8609-7C0F2F327FB5}"/>
    <cellStyle name="Обычный_2++" xfId="32" xr:uid="{D9AB3B8C-CED2-432F-A28F-25FB044B77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Figures!$B$6</c:f>
              <c:strCache>
                <c:ptCount val="1"/>
                <c:pt idx="0">
                  <c:v>Production of mineral fertilizer</c:v>
                </c:pt>
              </c:strCache>
            </c:strRef>
          </c:tx>
          <c:spPr>
            <a:solidFill>
              <a:schemeClr val="accent1"/>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Figures!$B$7:$B$15</c:f>
              <c:numCache>
                <c:formatCode>General</c:formatCode>
                <c:ptCount val="9"/>
                <c:pt idx="0">
                  <c:v>1.3786108647457105</c:v>
                </c:pt>
                <c:pt idx="1">
                  <c:v>1.0132189878723765</c:v>
                </c:pt>
                <c:pt idx="2">
                  <c:v>1.4259347775436693</c:v>
                </c:pt>
                <c:pt idx="3">
                  <c:v>1.0309717869021351</c:v>
                </c:pt>
                <c:pt idx="4">
                  <c:v>0.98678155199269879</c:v>
                </c:pt>
                <c:pt idx="5">
                  <c:v>1.0568745029128921</c:v>
                </c:pt>
                <c:pt idx="6">
                  <c:v>0.38065761854720304</c:v>
                </c:pt>
                <c:pt idx="7">
                  <c:v>1.1417186981714318</c:v>
                </c:pt>
                <c:pt idx="8">
                  <c:v>1.0635127525964621</c:v>
                </c:pt>
              </c:numCache>
            </c:numRef>
          </c:val>
          <c:extLst>
            <c:ext xmlns:c16="http://schemas.microsoft.com/office/drawing/2014/chart" uri="{C3380CC4-5D6E-409C-BE32-E72D297353CC}">
              <c16:uniqueId val="{00000000-54F4-4B2C-8F1D-2D51C7266F6A}"/>
            </c:ext>
          </c:extLst>
        </c:ser>
        <c:ser>
          <c:idx val="1"/>
          <c:order val="1"/>
          <c:tx>
            <c:strRef>
              <c:f>Figures!$C$6</c:f>
              <c:strCache>
                <c:ptCount val="1"/>
                <c:pt idx="0">
                  <c:v>Production of capital goods </c:v>
                </c:pt>
              </c:strCache>
            </c:strRef>
          </c:tx>
          <c:spPr>
            <a:solidFill>
              <a:schemeClr val="accent2"/>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Figures!$C$7:$C$15</c:f>
              <c:numCache>
                <c:formatCode>General</c:formatCode>
                <c:ptCount val="9"/>
                <c:pt idx="0">
                  <c:v>0.28005450122540942</c:v>
                </c:pt>
                <c:pt idx="1">
                  <c:v>0.28005450122540942</c:v>
                </c:pt>
                <c:pt idx="2">
                  <c:v>0.29216090586084242</c:v>
                </c:pt>
                <c:pt idx="3">
                  <c:v>0.28110266645588267</c:v>
                </c:pt>
                <c:pt idx="4">
                  <c:v>0.28005450122540942</c:v>
                </c:pt>
                <c:pt idx="5">
                  <c:v>0.28002653852874831</c:v>
                </c:pt>
                <c:pt idx="6">
                  <c:v>0.28387813421128294</c:v>
                </c:pt>
                <c:pt idx="7">
                  <c:v>0.37488251895971164</c:v>
                </c:pt>
                <c:pt idx="8">
                  <c:v>0.28387813421128283</c:v>
                </c:pt>
              </c:numCache>
            </c:numRef>
          </c:val>
          <c:extLst>
            <c:ext xmlns:c16="http://schemas.microsoft.com/office/drawing/2014/chart" uri="{C3380CC4-5D6E-409C-BE32-E72D297353CC}">
              <c16:uniqueId val="{00000001-54F4-4B2C-8F1D-2D51C7266F6A}"/>
            </c:ext>
          </c:extLst>
        </c:ser>
        <c:ser>
          <c:idx val="2"/>
          <c:order val="2"/>
          <c:tx>
            <c:strRef>
              <c:f>Figures!$D$6</c:f>
              <c:strCache>
                <c:ptCount val="1"/>
                <c:pt idx="0">
                  <c:v>Emissions from soil </c:v>
                </c:pt>
              </c:strCache>
            </c:strRef>
          </c:tx>
          <c:spPr>
            <a:solidFill>
              <a:schemeClr val="accent3"/>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Figures!$D$7:$D$15</c:f>
              <c:numCache>
                <c:formatCode>General</c:formatCode>
                <c:ptCount val="9"/>
                <c:pt idx="0">
                  <c:v>3.7802391103635049</c:v>
                </c:pt>
                <c:pt idx="1">
                  <c:v>2.8115640252404139</c:v>
                </c:pt>
                <c:pt idx="2">
                  <c:v>2.7909977316561441</c:v>
                </c:pt>
                <c:pt idx="3">
                  <c:v>2.805114368509825</c:v>
                </c:pt>
                <c:pt idx="4">
                  <c:v>2.716732916381694</c:v>
                </c:pt>
                <c:pt idx="5">
                  <c:v>2.801260603945761</c:v>
                </c:pt>
                <c:pt idx="6">
                  <c:v>3.16720475989962</c:v>
                </c:pt>
                <c:pt idx="7">
                  <c:v>1.8938196635153095</c:v>
                </c:pt>
                <c:pt idx="8">
                  <c:v>2.9575837218622216</c:v>
                </c:pt>
              </c:numCache>
            </c:numRef>
          </c:val>
          <c:extLst>
            <c:ext xmlns:c16="http://schemas.microsoft.com/office/drawing/2014/chart" uri="{C3380CC4-5D6E-409C-BE32-E72D297353CC}">
              <c16:uniqueId val="{00000002-54F4-4B2C-8F1D-2D51C7266F6A}"/>
            </c:ext>
          </c:extLst>
        </c:ser>
        <c:ser>
          <c:idx val="3"/>
          <c:order val="3"/>
          <c:tx>
            <c:strRef>
              <c:f>Figures!$E$6</c:f>
              <c:strCache>
                <c:ptCount val="1"/>
                <c:pt idx="0">
                  <c:v>Energy use cropping</c:v>
                </c:pt>
              </c:strCache>
            </c:strRef>
          </c:tx>
          <c:spPr>
            <a:solidFill>
              <a:schemeClr val="accent4"/>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Figures!$E$7:$E$15</c:f>
              <c:numCache>
                <c:formatCode>General</c:formatCode>
                <c:ptCount val="9"/>
                <c:pt idx="0">
                  <c:v>0.28901413388351499</c:v>
                </c:pt>
                <c:pt idx="1">
                  <c:v>0.53655303363344431</c:v>
                </c:pt>
                <c:pt idx="2">
                  <c:v>0.64444663533536939</c:v>
                </c:pt>
                <c:pt idx="3">
                  <c:v>0.3873026365456112</c:v>
                </c:pt>
                <c:pt idx="4">
                  <c:v>0.36990656120784404</c:v>
                </c:pt>
                <c:pt idx="5">
                  <c:v>0.27931149702535107</c:v>
                </c:pt>
                <c:pt idx="6">
                  <c:v>0.46081834700526947</c:v>
                </c:pt>
                <c:pt idx="7">
                  <c:v>0.40498318831333363</c:v>
                </c:pt>
                <c:pt idx="8">
                  <c:v>0.28102947440949744</c:v>
                </c:pt>
              </c:numCache>
            </c:numRef>
          </c:val>
          <c:extLst>
            <c:ext xmlns:c16="http://schemas.microsoft.com/office/drawing/2014/chart" uri="{C3380CC4-5D6E-409C-BE32-E72D297353CC}">
              <c16:uniqueId val="{00000003-54F4-4B2C-8F1D-2D51C7266F6A}"/>
            </c:ext>
          </c:extLst>
        </c:ser>
        <c:ser>
          <c:idx val="4"/>
          <c:order val="4"/>
          <c:tx>
            <c:strRef>
              <c:f>Figures!$F$6</c:f>
              <c:strCache>
                <c:ptCount val="1"/>
                <c:pt idx="0">
                  <c:v>Energy use for feed processing</c:v>
                </c:pt>
              </c:strCache>
            </c:strRef>
          </c:tx>
          <c:spPr>
            <a:solidFill>
              <a:schemeClr val="accent5"/>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Figures!$F$7:$F$15</c:f>
              <c:numCache>
                <c:formatCode>General</c:formatCode>
                <c:ptCount val="9"/>
                <c:pt idx="0">
                  <c:v>1.4175779955508241</c:v>
                </c:pt>
                <c:pt idx="1">
                  <c:v>1.7526363567347669</c:v>
                </c:pt>
                <c:pt idx="2">
                  <c:v>0.60734223846187452</c:v>
                </c:pt>
                <c:pt idx="3">
                  <c:v>1.3007910352960641</c:v>
                </c:pt>
                <c:pt idx="4">
                  <c:v>1.3768317346794445</c:v>
                </c:pt>
                <c:pt idx="5">
                  <c:v>1.4126299267348821</c:v>
                </c:pt>
                <c:pt idx="6">
                  <c:v>1.0668966458192044</c:v>
                </c:pt>
                <c:pt idx="7">
                  <c:v>0.92505123771389508</c:v>
                </c:pt>
                <c:pt idx="8">
                  <c:v>0.71005916708659311</c:v>
                </c:pt>
              </c:numCache>
            </c:numRef>
          </c:val>
          <c:extLst>
            <c:ext xmlns:c16="http://schemas.microsoft.com/office/drawing/2014/chart" uri="{C3380CC4-5D6E-409C-BE32-E72D297353CC}">
              <c16:uniqueId val="{00000004-54F4-4B2C-8F1D-2D51C7266F6A}"/>
            </c:ext>
          </c:extLst>
        </c:ser>
        <c:ser>
          <c:idx val="5"/>
          <c:order val="5"/>
          <c:tx>
            <c:strRef>
              <c:f>Figures!$G$6</c:f>
              <c:strCache>
                <c:ptCount val="1"/>
                <c:pt idx="0">
                  <c:v>Land use change emissions</c:v>
                </c:pt>
              </c:strCache>
            </c:strRef>
          </c:tx>
          <c:spPr>
            <a:solidFill>
              <a:schemeClr val="accent6"/>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Figures!$G$7:$G$15</c:f>
              <c:numCache>
                <c:formatCode>General</c:formatCode>
                <c:ptCount val="9"/>
                <c:pt idx="0">
                  <c:v>0.2695553998712768</c:v>
                </c:pt>
                <c:pt idx="1">
                  <c:v>0.2695553998712768</c:v>
                </c:pt>
                <c:pt idx="2">
                  <c:v>3.6971466206622339E-2</c:v>
                </c:pt>
                <c:pt idx="3">
                  <c:v>0.26951540200527097</c:v>
                </c:pt>
                <c:pt idx="4">
                  <c:v>0.2695553998712768</c:v>
                </c:pt>
                <c:pt idx="5">
                  <c:v>0.26951540200527097</c:v>
                </c:pt>
                <c:pt idx="6">
                  <c:v>0.27502472787200605</c:v>
                </c:pt>
                <c:pt idx="7" formatCode="0.00000">
                  <c:v>0.32262099429415092</c:v>
                </c:pt>
                <c:pt idx="8">
                  <c:v>0.27502472787200605</c:v>
                </c:pt>
              </c:numCache>
            </c:numRef>
          </c:val>
          <c:extLst>
            <c:ext xmlns:c16="http://schemas.microsoft.com/office/drawing/2014/chart" uri="{C3380CC4-5D6E-409C-BE32-E72D297353CC}">
              <c16:uniqueId val="{00000005-54F4-4B2C-8F1D-2D51C7266F6A}"/>
            </c:ext>
          </c:extLst>
        </c:ser>
        <c:ser>
          <c:idx val="6"/>
          <c:order val="6"/>
          <c:tx>
            <c:strRef>
              <c:f>Figures!$H$6</c:f>
              <c:strCache>
                <c:ptCount val="1"/>
                <c:pt idx="0">
                  <c:v>Feed transports</c:v>
                </c:pt>
              </c:strCache>
            </c:strRef>
          </c:tx>
          <c:spPr>
            <a:solidFill>
              <a:schemeClr val="accent1">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Figures!$H$7:$H$15</c:f>
              <c:numCache>
                <c:formatCode>General</c:formatCode>
                <c:ptCount val="9"/>
                <c:pt idx="0">
                  <c:v>0.25166401003595235</c:v>
                </c:pt>
                <c:pt idx="1">
                  <c:v>0.28775674295882425</c:v>
                </c:pt>
                <c:pt idx="2">
                  <c:v>3.2589550973294037E-2</c:v>
                </c:pt>
                <c:pt idx="3">
                  <c:v>0.28790061033680192</c:v>
                </c:pt>
                <c:pt idx="4">
                  <c:v>0.2385662961595201</c:v>
                </c:pt>
                <c:pt idx="5">
                  <c:v>0.25162805933645527</c:v>
                </c:pt>
                <c:pt idx="6">
                  <c:v>0.39276948617978075</c:v>
                </c:pt>
                <c:pt idx="7" formatCode="0.00000">
                  <c:v>0.31609242951777311</c:v>
                </c:pt>
                <c:pt idx="8">
                  <c:v>0.24589055836899035</c:v>
                </c:pt>
              </c:numCache>
            </c:numRef>
          </c:val>
          <c:extLst>
            <c:ext xmlns:c16="http://schemas.microsoft.com/office/drawing/2014/chart" uri="{C3380CC4-5D6E-409C-BE32-E72D297353CC}">
              <c16:uniqueId val="{00000006-54F4-4B2C-8F1D-2D51C7266F6A}"/>
            </c:ext>
          </c:extLst>
        </c:ser>
        <c:ser>
          <c:idx val="7"/>
          <c:order val="7"/>
          <c:tx>
            <c:strRef>
              <c:f>Figures!$I$6</c:f>
              <c:strCache>
                <c:ptCount val="1"/>
                <c:pt idx="0">
                  <c:v>Enteric fermentation</c:v>
                </c:pt>
              </c:strCache>
            </c:strRef>
          </c:tx>
          <c:spPr>
            <a:solidFill>
              <a:schemeClr val="accent2">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Figures!$I$7:$I$15</c:f>
              <c:numCache>
                <c:formatCode>General</c:formatCode>
                <c:ptCount val="9"/>
                <c:pt idx="0">
                  <c:v>8.8703820809823541E-3</c:v>
                </c:pt>
                <c:pt idx="1">
                  <c:v>8.8703820809823541E-3</c:v>
                </c:pt>
                <c:pt idx="2">
                  <c:v>8.7708149429708525E-3</c:v>
                </c:pt>
                <c:pt idx="3">
                  <c:v>8.8592075721299537E-3</c:v>
                </c:pt>
                <c:pt idx="4">
                  <c:v>8.8703820809823541E-3</c:v>
                </c:pt>
                <c:pt idx="5">
                  <c:v>8.8592075721299537E-3</c:v>
                </c:pt>
                <c:pt idx="6">
                  <c:v>1.0398389954002243E-2</c:v>
                </c:pt>
                <c:pt idx="7">
                  <c:v>5.694138118316764E-3</c:v>
                </c:pt>
                <c:pt idx="8">
                  <c:v>1.0398389954002243E-2</c:v>
                </c:pt>
              </c:numCache>
            </c:numRef>
          </c:val>
          <c:extLst>
            <c:ext xmlns:c16="http://schemas.microsoft.com/office/drawing/2014/chart" uri="{C3380CC4-5D6E-409C-BE32-E72D297353CC}">
              <c16:uniqueId val="{00000007-54F4-4B2C-8F1D-2D51C7266F6A}"/>
            </c:ext>
          </c:extLst>
        </c:ser>
        <c:ser>
          <c:idx val="8"/>
          <c:order val="8"/>
          <c:tx>
            <c:strRef>
              <c:f>Figures!$J$6</c:f>
              <c:strCache>
                <c:ptCount val="1"/>
                <c:pt idx="0">
                  <c:v>Manure management</c:v>
                </c:pt>
              </c:strCache>
            </c:strRef>
          </c:tx>
          <c:spPr>
            <a:solidFill>
              <a:schemeClr val="accent3">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Figures!$J$7:$J$15</c:f>
              <c:numCache>
                <c:formatCode>General</c:formatCode>
                <c:ptCount val="9"/>
                <c:pt idx="0">
                  <c:v>2.0048728188500435</c:v>
                </c:pt>
                <c:pt idx="1">
                  <c:v>1.2827539074343297</c:v>
                </c:pt>
                <c:pt idx="2">
                  <c:v>1.9124623142248618</c:v>
                </c:pt>
                <c:pt idx="3">
                  <c:v>2.002347170139803</c:v>
                </c:pt>
                <c:pt idx="4">
                  <c:v>2.0048728188500435</c:v>
                </c:pt>
                <c:pt idx="5">
                  <c:v>1.3291598130712008</c:v>
                </c:pt>
                <c:pt idx="6">
                  <c:v>2.4846062044723509</c:v>
                </c:pt>
                <c:pt idx="7">
                  <c:v>2.4443685723633797</c:v>
                </c:pt>
                <c:pt idx="8">
                  <c:v>1.0740250983888602</c:v>
                </c:pt>
              </c:numCache>
            </c:numRef>
          </c:val>
          <c:extLst>
            <c:ext xmlns:c16="http://schemas.microsoft.com/office/drawing/2014/chart" uri="{C3380CC4-5D6E-409C-BE32-E72D297353CC}">
              <c16:uniqueId val="{00000008-54F4-4B2C-8F1D-2D51C7266F6A}"/>
            </c:ext>
          </c:extLst>
        </c:ser>
        <c:ser>
          <c:idx val="9"/>
          <c:order val="9"/>
          <c:tx>
            <c:strRef>
              <c:f>Figures!$K$6</c:f>
              <c:strCache>
                <c:ptCount val="1"/>
                <c:pt idx="0">
                  <c:v>Energy use in stables</c:v>
                </c:pt>
              </c:strCache>
            </c:strRef>
          </c:tx>
          <c:spPr>
            <a:solidFill>
              <a:schemeClr val="accent4">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Figures!$K$7:$K$15</c:f>
              <c:numCache>
                <c:formatCode>General</c:formatCode>
                <c:ptCount val="9"/>
                <c:pt idx="0">
                  <c:v>0.36526823231003097</c:v>
                </c:pt>
                <c:pt idx="1">
                  <c:v>0.49740051606316982</c:v>
                </c:pt>
                <c:pt idx="2">
                  <c:v>0.71301046500534393</c:v>
                </c:pt>
                <c:pt idx="3">
                  <c:v>0.3138114058876546</c:v>
                </c:pt>
                <c:pt idx="4">
                  <c:v>0.34493730198509398</c:v>
                </c:pt>
                <c:pt idx="5">
                  <c:v>0.36047924722150937</c:v>
                </c:pt>
                <c:pt idx="6">
                  <c:v>0.1974293392493745</c:v>
                </c:pt>
                <c:pt idx="7">
                  <c:v>3.1535980448819417E-2</c:v>
                </c:pt>
                <c:pt idx="8">
                  <c:v>7.0838519524396446E-2</c:v>
                </c:pt>
              </c:numCache>
            </c:numRef>
          </c:val>
          <c:extLst>
            <c:ext xmlns:c16="http://schemas.microsoft.com/office/drawing/2014/chart" uri="{C3380CC4-5D6E-409C-BE32-E72D297353CC}">
              <c16:uniqueId val="{00000009-54F4-4B2C-8F1D-2D51C7266F6A}"/>
            </c:ext>
          </c:extLst>
        </c:ser>
        <c:ser>
          <c:idx val="10"/>
          <c:order val="10"/>
          <c:tx>
            <c:strRef>
              <c:f>Figures!$L$6</c:f>
              <c:strCache>
                <c:ptCount val="1"/>
                <c:pt idx="0">
                  <c:v>Energy use for slaughter</c:v>
                </c:pt>
              </c:strCache>
            </c:strRef>
          </c:tx>
          <c:spPr>
            <a:solidFill>
              <a:schemeClr val="accent5">
                <a:lumMod val="60000"/>
              </a:schemeClr>
            </a:solidFill>
            <a:ln>
              <a:noFill/>
            </a:ln>
            <a:effectLst/>
          </c:spPr>
          <c:invertIfNegative val="0"/>
          <c:cat>
            <c:strRef>
              <c:f>Figures!$A$7:$A$15</c:f>
              <c:strCache>
                <c:ptCount val="9"/>
                <c:pt idx="0">
                  <c:v>Netherlands</c:v>
                </c:pt>
                <c:pt idx="1">
                  <c:v>Greece</c:v>
                </c:pt>
                <c:pt idx="2">
                  <c:v>Poland</c:v>
                </c:pt>
                <c:pt idx="3">
                  <c:v>Italy</c:v>
                </c:pt>
                <c:pt idx="4">
                  <c:v>Hungary </c:v>
                </c:pt>
                <c:pt idx="5">
                  <c:v>Germany</c:v>
                </c:pt>
                <c:pt idx="6">
                  <c:v>Spain</c:v>
                </c:pt>
                <c:pt idx="7">
                  <c:v>Sweden</c:v>
                </c:pt>
                <c:pt idx="8">
                  <c:v>France</c:v>
                </c:pt>
              </c:strCache>
            </c:strRef>
          </c:cat>
          <c:val>
            <c:numRef>
              <c:f>Figures!$L$7:$L$15</c:f>
              <c:numCache>
                <c:formatCode>General</c:formatCode>
                <c:ptCount val="9"/>
                <c:pt idx="0">
                  <c:v>0.21851550857124136</c:v>
                </c:pt>
                <c:pt idx="1">
                  <c:v>0.27945548541767201</c:v>
                </c:pt>
                <c:pt idx="2">
                  <c:v>0.42042690190536264</c:v>
                </c:pt>
                <c:pt idx="3">
                  <c:v>0.178495074014485</c:v>
                </c:pt>
                <c:pt idx="4">
                  <c:v>0.1956120112461435</c:v>
                </c:pt>
                <c:pt idx="5">
                  <c:v>0.20415892987096926</c:v>
                </c:pt>
                <c:pt idx="6">
                  <c:v>0.12437267336882434</c:v>
                </c:pt>
                <c:pt idx="7">
                  <c:v>4.3366088426506806E-2</c:v>
                </c:pt>
                <c:pt idx="8">
                  <c:v>4.4877984506275483E-2</c:v>
                </c:pt>
              </c:numCache>
            </c:numRef>
          </c:val>
          <c:extLst>
            <c:ext xmlns:c16="http://schemas.microsoft.com/office/drawing/2014/chart" uri="{C3380CC4-5D6E-409C-BE32-E72D297353CC}">
              <c16:uniqueId val="{0000000A-54F4-4B2C-8F1D-2D51C7266F6A}"/>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bonefree meat</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Maize,</a:t>
            </a:r>
            <a:r>
              <a:rPr lang="sv-SE" baseline="0"/>
              <a:t> green for forage</a:t>
            </a:r>
            <a:endParaRPr lang="sv-S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1"/>
          <c:order val="0"/>
          <c:tx>
            <c:v>Mineral fertilisers</c:v>
          </c:tx>
          <c:spPr>
            <a:solidFill>
              <a:schemeClr val="accent2"/>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CF'!$F$58:$F$102</c15:sqref>
                  </c15:fullRef>
                </c:ext>
              </c:extLst>
              <c:f>('Forage crops, CF'!$F$62,'Forage crops, CF'!$F$67,'Forage crops, CF'!$F$72,'Forage crops, CF'!$F$77,'Forage crops, CF'!$F$82,'Forage crops, CF'!$F$87,'Forage crops, CF'!$F$92,'Forage crops, CF'!$F$97,'Forage crops, CF'!$F$102)</c:f>
              <c:numCache>
                <c:formatCode>0.000</c:formatCode>
                <c:ptCount val="9"/>
                <c:pt idx="0">
                  <c:v>3.0261176034673178E-2</c:v>
                </c:pt>
                <c:pt idx="1">
                  <c:v>2.0269412690915308E-2</c:v>
                </c:pt>
                <c:pt idx="2">
                  <c:v>0.16531105221662676</c:v>
                </c:pt>
                <c:pt idx="3">
                  <c:v>7.6439243865802392E-2</c:v>
                </c:pt>
                <c:pt idx="4">
                  <c:v>4.7789381587740182E-2</c:v>
                </c:pt>
                <c:pt idx="5">
                  <c:v>1.9538024660458535E-3</c:v>
                </c:pt>
                <c:pt idx="6">
                  <c:v>4.9730932494092647E-2</c:v>
                </c:pt>
                <c:pt idx="7">
                  <c:v>3.5117151206294411E-2</c:v>
                </c:pt>
                <c:pt idx="8">
                  <c:v>3.2353634923456949E-2</c:v>
                </c:pt>
              </c:numCache>
            </c:numRef>
          </c:val>
          <c:extLst>
            <c:ext xmlns:c16="http://schemas.microsoft.com/office/drawing/2014/chart" uri="{C3380CC4-5D6E-409C-BE32-E72D297353CC}">
              <c16:uniqueId val="{00000001-AC09-405F-A7BC-7A80AE741F69}"/>
            </c:ext>
          </c:extLst>
        </c:ser>
        <c:ser>
          <c:idx val="2"/>
          <c:order val="1"/>
          <c:tx>
            <c:v>Capital goods</c:v>
          </c:tx>
          <c:spPr>
            <a:solidFill>
              <a:schemeClr val="accent3"/>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CF'!$G$58:$G$102</c15:sqref>
                  </c15:fullRef>
                </c:ext>
              </c:extLst>
              <c:f>('Forage crops, CF'!$G$62,'Forage crops, CF'!$G$67,'Forage crops, CF'!$G$72,'Forage crops, CF'!$G$77,'Forage crops, CF'!$G$82,'Forage crops, CF'!$G$87,'Forage crops, CF'!$G$92,'Forage crops, CF'!$G$97,'Forage crops, CF'!$G$102)</c:f>
              <c:numCache>
                <c:formatCode>0.000</c:formatCode>
                <c:ptCount val="9"/>
                <c:pt idx="0">
                  <c:v>3.01313E-2</c:v>
                </c:pt>
                <c:pt idx="1">
                  <c:v>3.01313E-2</c:v>
                </c:pt>
                <c:pt idx="2">
                  <c:v>3.01313E-2</c:v>
                </c:pt>
                <c:pt idx="3">
                  <c:v>3.01313E-2</c:v>
                </c:pt>
                <c:pt idx="4">
                  <c:v>3.01313E-2</c:v>
                </c:pt>
                <c:pt idx="5">
                  <c:v>3.01313E-2</c:v>
                </c:pt>
                <c:pt idx="6">
                  <c:v>3.01313E-2</c:v>
                </c:pt>
                <c:pt idx="7">
                  <c:v>3.01313E-2</c:v>
                </c:pt>
                <c:pt idx="8">
                  <c:v>3.01313E-2</c:v>
                </c:pt>
              </c:numCache>
            </c:numRef>
          </c:val>
          <c:extLst>
            <c:ext xmlns:c16="http://schemas.microsoft.com/office/drawing/2014/chart" uri="{C3380CC4-5D6E-409C-BE32-E72D297353CC}">
              <c16:uniqueId val="{00000002-AC09-405F-A7BC-7A80AE741F69}"/>
            </c:ext>
          </c:extLst>
        </c:ser>
        <c:ser>
          <c:idx val="3"/>
          <c:order val="2"/>
          <c:tx>
            <c:v>Direct N2O</c:v>
          </c:tx>
          <c:spPr>
            <a:solidFill>
              <a:schemeClr val="accent4"/>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CF'!$H$58:$H$102</c15:sqref>
                  </c15:fullRef>
                </c:ext>
              </c:extLst>
              <c:f>('Forage crops, CF'!$H$62,'Forage crops, CF'!$H$67,'Forage crops, CF'!$H$72,'Forage crops, CF'!$H$77,'Forage crops, CF'!$H$82,'Forage crops, CF'!$H$87,'Forage crops, CF'!$H$92,'Forage crops, CF'!$H$97,'Forage crops, CF'!$H$102)</c:f>
              <c:numCache>
                <c:formatCode>0.000</c:formatCode>
                <c:ptCount val="9"/>
                <c:pt idx="0">
                  <c:v>3.7990778054647803E-2</c:v>
                </c:pt>
                <c:pt idx="1">
                  <c:v>2.6980683865700381E-2</c:v>
                </c:pt>
                <c:pt idx="2">
                  <c:v>0.18680453652881251</c:v>
                </c:pt>
                <c:pt idx="3">
                  <c:v>8.8875177413642106E-2</c:v>
                </c:pt>
                <c:pt idx="4">
                  <c:v>5.7305406260195063E-2</c:v>
                </c:pt>
                <c:pt idx="5">
                  <c:v>6.798401042734839E-3</c:v>
                </c:pt>
                <c:pt idx="6">
                  <c:v>5.9444834268658799E-2</c:v>
                </c:pt>
                <c:pt idx="7">
                  <c:v>4.334165979386962E-2</c:v>
                </c:pt>
                <c:pt idx="8">
                  <c:v>4.8571836564416049E-2</c:v>
                </c:pt>
              </c:numCache>
            </c:numRef>
          </c:val>
          <c:extLst>
            <c:ext xmlns:c16="http://schemas.microsoft.com/office/drawing/2014/chart" uri="{C3380CC4-5D6E-409C-BE32-E72D297353CC}">
              <c16:uniqueId val="{00000003-AC09-405F-A7BC-7A80AE741F69}"/>
            </c:ext>
          </c:extLst>
        </c:ser>
        <c:ser>
          <c:idx val="4"/>
          <c:order val="3"/>
          <c:tx>
            <c:v>Indirect N2O</c:v>
          </c:tx>
          <c:spPr>
            <a:solidFill>
              <a:schemeClr val="accent5"/>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CF'!$I$58:$I$102</c15:sqref>
                  </c15:fullRef>
                </c:ext>
              </c:extLst>
              <c:f>('Forage crops, CF'!$I$62,'Forage crops, CF'!$I$67,'Forage crops, CF'!$I$72,'Forage crops, CF'!$I$77,'Forage crops, CF'!$I$82,'Forage crops, CF'!$I$87,'Forage crops, CF'!$I$92,'Forage crops, CF'!$I$97,'Forage crops, CF'!$I$102)</c:f>
              <c:numCache>
                <c:formatCode>0.000</c:formatCode>
                <c:ptCount val="9"/>
                <c:pt idx="0">
                  <c:v>3.79907780546478E-3</c:v>
                </c:pt>
                <c:pt idx="1">
                  <c:v>2.6980683865700382E-3</c:v>
                </c:pt>
                <c:pt idx="2">
                  <c:v>1.8680453652881252E-2</c:v>
                </c:pt>
                <c:pt idx="3">
                  <c:v>8.8875177413642106E-3</c:v>
                </c:pt>
                <c:pt idx="4">
                  <c:v>5.7305406260195063E-3</c:v>
                </c:pt>
                <c:pt idx="5">
                  <c:v>6.7984010427348397E-4</c:v>
                </c:pt>
                <c:pt idx="6">
                  <c:v>5.9444834268658807E-3</c:v>
                </c:pt>
                <c:pt idx="7">
                  <c:v>4.3341659793869614E-3</c:v>
                </c:pt>
                <c:pt idx="8">
                  <c:v>4.8571836564416044E-3</c:v>
                </c:pt>
              </c:numCache>
            </c:numRef>
          </c:val>
          <c:extLst>
            <c:ext xmlns:c16="http://schemas.microsoft.com/office/drawing/2014/chart" uri="{C3380CC4-5D6E-409C-BE32-E72D297353CC}">
              <c16:uniqueId val="{00000004-AC09-405F-A7BC-7A80AE741F69}"/>
            </c:ext>
          </c:extLst>
        </c:ser>
        <c:ser>
          <c:idx val="5"/>
          <c:order val="4"/>
          <c:tx>
            <c:v>Diesel</c:v>
          </c:tx>
          <c:spPr>
            <a:solidFill>
              <a:schemeClr val="accent6"/>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CF'!$J$58:$J$102</c15:sqref>
                  </c15:fullRef>
                </c:ext>
              </c:extLst>
              <c:f>('Forage crops, CF'!$J$62,'Forage crops, CF'!$J$67,'Forage crops, CF'!$J$72,'Forage crops, CF'!$J$77,'Forage crops, CF'!$J$82,'Forage crops, CF'!$J$87,'Forage crops, CF'!$J$92,'Forage crops, CF'!$J$97,'Forage crops, CF'!$J$102)</c:f>
              <c:numCache>
                <c:formatCode>0.000</c:formatCode>
                <c:ptCount val="9"/>
                <c:pt idx="0">
                  <c:v>1.6775002230573311E-2</c:v>
                </c:pt>
                <c:pt idx="1">
                  <c:v>1.3659646590488472E-2</c:v>
                </c:pt>
                <c:pt idx="2">
                  <c:v>3.1564423324806551E-2</c:v>
                </c:pt>
                <c:pt idx="3">
                  <c:v>2.1951926542895964E-2</c:v>
                </c:pt>
                <c:pt idx="4">
                  <c:v>1.1013914042783962E-2</c:v>
                </c:pt>
                <c:pt idx="5">
                  <c:v>1.3166760971704331E-2</c:v>
                </c:pt>
                <c:pt idx="6">
                  <c:v>1.3565147853375367E-2</c:v>
                </c:pt>
                <c:pt idx="7">
                  <c:v>2.1944468280114801E-2</c:v>
                </c:pt>
                <c:pt idx="8">
                  <c:v>1.95725221156858E-2</c:v>
                </c:pt>
              </c:numCache>
            </c:numRef>
          </c:val>
          <c:extLst>
            <c:ext xmlns:c16="http://schemas.microsoft.com/office/drawing/2014/chart" uri="{C3380CC4-5D6E-409C-BE32-E72D297353CC}">
              <c16:uniqueId val="{00000005-AC09-405F-A7BC-7A80AE741F69}"/>
            </c:ext>
          </c:extLst>
        </c:ser>
        <c:ser>
          <c:idx val="7"/>
          <c:order val="5"/>
          <c:tx>
            <c:v>Irrigation</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CF'!$L$58:$L$102</c15:sqref>
                  </c15:fullRef>
                </c:ext>
              </c:extLst>
              <c:f>('Forage crops, CF'!$L$62,'Forage crops, CF'!$L$67,'Forage crops, CF'!$L$72,'Forage crops, CF'!$L$77,'Forage crops, CF'!$L$82,'Forage crops, CF'!$L$87,'Forage crops, CF'!$L$92,'Forage crops, CF'!$L$97,'Forage crops, CF'!$L$102)</c:f>
              <c:numCache>
                <c:formatCode>0.000</c:formatCode>
                <c:ptCount val="9"/>
                <c:pt idx="0">
                  <c:v>7.5847495497935995E-3</c:v>
                </c:pt>
                <c:pt idx="1">
                  <c:v>1.7503268191831382E-3</c:v>
                </c:pt>
                <c:pt idx="2">
                  <c:v>1.7169872607225072E-2</c:v>
                </c:pt>
                <c:pt idx="3">
                  <c:v>1.6669779230315599E-4</c:v>
                </c:pt>
                <c:pt idx="4">
                  <c:v>8.3348896151578013E-3</c:v>
                </c:pt>
                <c:pt idx="5">
                  <c:v>5.1418489548209732E-3</c:v>
                </c:pt>
                <c:pt idx="6">
                  <c:v>1.0001867538189362E-3</c:v>
                </c:pt>
                <c:pt idx="7">
                  <c:v>3.0053488456982014E-2</c:v>
                </c:pt>
                <c:pt idx="8">
                  <c:v>4.1674448075789015E-3</c:v>
                </c:pt>
              </c:numCache>
            </c:numRef>
          </c:val>
          <c:extLst>
            <c:ext xmlns:c16="http://schemas.microsoft.com/office/drawing/2014/chart" uri="{C3380CC4-5D6E-409C-BE32-E72D297353CC}">
              <c16:uniqueId val="{00000007-AC09-405F-A7BC-7A80AE741F69}"/>
            </c:ext>
          </c:extLst>
        </c:ser>
        <c:ser>
          <c:idx val="10"/>
          <c:order val="6"/>
          <c:tx>
            <c:v>Feed processing</c:v>
          </c:tx>
          <c:spPr>
            <a:solidFill>
              <a:schemeClr val="accent5">
                <a:lumMod val="60000"/>
              </a:schemeClr>
            </a:solidFill>
            <a:ln>
              <a:noFill/>
            </a:ln>
            <a:effectLst/>
          </c:spPr>
          <c:invertIfNegative val="0"/>
          <c:cat>
            <c:strRef>
              <c:extLst>
                <c:ext xmlns:c15="http://schemas.microsoft.com/office/drawing/2012/chart" uri="{02D57815-91ED-43cb-92C2-25804820EDAC}">
                  <c15:fullRef>
                    <c15:sqref>'Forage crops, CF'!$D$58:$D$102</c15:sqref>
                  </c15:fullRef>
                </c:ext>
              </c:extLst>
              <c:f>('Forage crops, CF'!$D$62,'Forage crops, CF'!$D$67,'Forage crops, CF'!$D$72,'Forage crops, CF'!$D$77,'Forage crops, CF'!$D$82,'Forage crops, CF'!$D$87,'Forage crops, CF'!$D$92,'Forage crops, CF'!$D$97,'Forage crops, CF'!$D$102)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CF'!$O$58:$O$102</c15:sqref>
                  </c15:fullRef>
                </c:ext>
              </c:extLst>
              <c:f>('Forage crops, CF'!$O$62,'Forage crops, CF'!$O$67,'Forage crops, CF'!$O$72,'Forage crops, CF'!$O$77,'Forage crops, CF'!$O$82,'Forage crops, CF'!$O$87,'Forage crops, CF'!$O$92,'Forage crops, CF'!$O$97,'Forage crops, CF'!$O$102)</c:f>
              <c:numCache>
                <c:formatCode>0.000</c:formatCode>
                <c:ptCount val="9"/>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numCache>
            </c:numRef>
          </c:val>
          <c:extLst>
            <c:ext xmlns:c16="http://schemas.microsoft.com/office/drawing/2014/chart" uri="{C3380CC4-5D6E-409C-BE32-E72D297353CC}">
              <c16:uniqueId val="{0000000A-AC09-405F-A7BC-7A80AE741F69}"/>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v-SE"/>
              <a:t>Ley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stacked"/>
        <c:varyColors val="0"/>
        <c:ser>
          <c:idx val="2"/>
          <c:order val="0"/>
          <c:tx>
            <c:v>Mineral fertilisers</c:v>
          </c:tx>
          <c:spPr>
            <a:solidFill>
              <a:schemeClr val="accent3"/>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CF'!$F$108:$F$152</c15:sqref>
                  </c15:fullRef>
                </c:ext>
              </c:extLst>
              <c:f>('Forage crops, CF'!$F$112,'Forage crops, CF'!$F$117,'Forage crops, CF'!$F$122,'Forage crops, CF'!$F$127,'Forage crops, CF'!$F$132,'Forage crops, CF'!$F$137,'Forage crops, CF'!$F$142,'Forage crops, CF'!$F$147,'Forage crops, CF'!$F$152)</c:f>
              <c:numCache>
                <c:formatCode>0.000</c:formatCode>
                <c:ptCount val="9"/>
                <c:pt idx="0">
                  <c:v>2.9835890327817659E-2</c:v>
                </c:pt>
                <c:pt idx="1">
                  <c:v>3.4963537377244516E-2</c:v>
                </c:pt>
                <c:pt idx="2">
                  <c:v>3.5987145443398816E-2</c:v>
                </c:pt>
                <c:pt idx="3">
                  <c:v>3.5987145443398816E-2</c:v>
                </c:pt>
                <c:pt idx="4">
                  <c:v>3.5987145443398816E-2</c:v>
                </c:pt>
                <c:pt idx="5">
                  <c:v>0.16081751765036911</c:v>
                </c:pt>
                <c:pt idx="6">
                  <c:v>3.5987145443398816E-2</c:v>
                </c:pt>
                <c:pt idx="7">
                  <c:v>3.5987145443398816E-2</c:v>
                </c:pt>
                <c:pt idx="8">
                  <c:v>2.3285337258642805E-2</c:v>
                </c:pt>
              </c:numCache>
            </c:numRef>
          </c:val>
          <c:extLst>
            <c:ext xmlns:c16="http://schemas.microsoft.com/office/drawing/2014/chart" uri="{C3380CC4-5D6E-409C-BE32-E72D297353CC}">
              <c16:uniqueId val="{00000001-9ED3-4D4F-AF81-9DD921C10045}"/>
            </c:ext>
          </c:extLst>
        </c:ser>
        <c:ser>
          <c:idx val="3"/>
          <c:order val="1"/>
          <c:tx>
            <c:v>Capital goods</c:v>
          </c:tx>
          <c:spPr>
            <a:solidFill>
              <a:schemeClr val="accent4"/>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CF'!$G$108:$G$152</c15:sqref>
                  </c15:fullRef>
                </c:ext>
              </c:extLst>
              <c:f>('Forage crops, CF'!$G$112,'Forage crops, CF'!$G$117,'Forage crops, CF'!$G$122,'Forage crops, CF'!$G$127,'Forage crops, CF'!$G$132,'Forage crops, CF'!$G$137,'Forage crops, CF'!$G$142,'Forage crops, CF'!$G$147,'Forage crops, CF'!$G$152)</c:f>
              <c:numCache>
                <c:formatCode>0.000</c:formatCode>
                <c:ptCount val="9"/>
                <c:pt idx="0">
                  <c:v>3.01313E-2</c:v>
                </c:pt>
                <c:pt idx="1">
                  <c:v>3.01313E-2</c:v>
                </c:pt>
                <c:pt idx="2">
                  <c:v>3.01313E-2</c:v>
                </c:pt>
                <c:pt idx="3">
                  <c:v>3.01313E-2</c:v>
                </c:pt>
                <c:pt idx="4">
                  <c:v>3.01313E-2</c:v>
                </c:pt>
                <c:pt idx="5">
                  <c:v>3.01313E-2</c:v>
                </c:pt>
                <c:pt idx="6">
                  <c:v>3.01313E-2</c:v>
                </c:pt>
                <c:pt idx="7">
                  <c:v>3.01313E-2</c:v>
                </c:pt>
                <c:pt idx="8">
                  <c:v>3.01313E-2</c:v>
                </c:pt>
              </c:numCache>
            </c:numRef>
          </c:val>
          <c:extLst>
            <c:ext xmlns:c16="http://schemas.microsoft.com/office/drawing/2014/chart" uri="{C3380CC4-5D6E-409C-BE32-E72D297353CC}">
              <c16:uniqueId val="{00000002-9ED3-4D4F-AF81-9DD921C10045}"/>
            </c:ext>
          </c:extLst>
        </c:ser>
        <c:ser>
          <c:idx val="4"/>
          <c:order val="2"/>
          <c:tx>
            <c:v>Direct N2O</c:v>
          </c:tx>
          <c:spPr>
            <a:solidFill>
              <a:schemeClr val="accent5"/>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CF'!$H$108:$H$152</c15:sqref>
                  </c15:fullRef>
                </c:ext>
              </c:extLst>
              <c:f>('Forage crops, CF'!$H$112,'Forage crops, CF'!$H$117,'Forage crops, CF'!$H$122,'Forage crops, CF'!$H$127,'Forage crops, CF'!$H$132,'Forage crops, CF'!$H$137,'Forage crops, CF'!$H$142,'Forage crops, CF'!$H$147,'Forage crops, CF'!$H$152)</c:f>
              <c:numCache>
                <c:formatCode>0.000</c:formatCode>
                <c:ptCount val="9"/>
                <c:pt idx="0">
                  <c:v>4.0743849259617014E-2</c:v>
                </c:pt>
                <c:pt idx="1">
                  <c:v>4.6394090867584795E-2</c:v>
                </c:pt>
                <c:pt idx="2">
                  <c:v>4.7522022027800453E-2</c:v>
                </c:pt>
                <c:pt idx="3">
                  <c:v>4.752202202780046E-2</c:v>
                </c:pt>
                <c:pt idx="4">
                  <c:v>4.7522022027800453E-2</c:v>
                </c:pt>
                <c:pt idx="5">
                  <c:v>0.18507473503303087</c:v>
                </c:pt>
                <c:pt idx="6">
                  <c:v>4.752202202780046E-2</c:v>
                </c:pt>
                <c:pt idx="7">
                  <c:v>4.752202202780046E-2</c:v>
                </c:pt>
                <c:pt idx="8">
                  <c:v>3.9481556233511947E-2</c:v>
                </c:pt>
              </c:numCache>
            </c:numRef>
          </c:val>
          <c:extLst>
            <c:ext xmlns:c16="http://schemas.microsoft.com/office/drawing/2014/chart" uri="{C3380CC4-5D6E-409C-BE32-E72D297353CC}">
              <c16:uniqueId val="{00000003-9ED3-4D4F-AF81-9DD921C10045}"/>
            </c:ext>
          </c:extLst>
        </c:ser>
        <c:ser>
          <c:idx val="5"/>
          <c:order val="3"/>
          <c:tx>
            <c:v>Indirect N2O</c:v>
          </c:tx>
          <c:spPr>
            <a:solidFill>
              <a:schemeClr val="accent6"/>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CF'!$I$108:$I$152</c15:sqref>
                  </c15:fullRef>
                </c:ext>
              </c:extLst>
              <c:f>('Forage crops, CF'!$I$112,'Forage crops, CF'!$I$117,'Forage crops, CF'!$I$122,'Forage crops, CF'!$I$127,'Forage crops, CF'!$I$132,'Forage crops, CF'!$I$137,'Forage crops, CF'!$I$142,'Forage crops, CF'!$I$147,'Forage crops, CF'!$I$152)</c:f>
              <c:numCache>
                <c:formatCode>0.000</c:formatCode>
                <c:ptCount val="9"/>
                <c:pt idx="0">
                  <c:v>4.0743849259617018E-3</c:v>
                </c:pt>
                <c:pt idx="1">
                  <c:v>4.6394090867584786E-3</c:v>
                </c:pt>
                <c:pt idx="2">
                  <c:v>4.7522022027800459E-3</c:v>
                </c:pt>
                <c:pt idx="3">
                  <c:v>4.7522022027800459E-3</c:v>
                </c:pt>
                <c:pt idx="4">
                  <c:v>4.7522022027800459E-3</c:v>
                </c:pt>
                <c:pt idx="5">
                  <c:v>1.850747350330309E-2</c:v>
                </c:pt>
                <c:pt idx="6">
                  <c:v>4.7522022027800459E-3</c:v>
                </c:pt>
                <c:pt idx="7">
                  <c:v>4.7522022027800459E-3</c:v>
                </c:pt>
                <c:pt idx="8">
                  <c:v>3.9481556233511945E-3</c:v>
                </c:pt>
              </c:numCache>
            </c:numRef>
          </c:val>
          <c:extLst>
            <c:ext xmlns:c16="http://schemas.microsoft.com/office/drawing/2014/chart" uri="{C3380CC4-5D6E-409C-BE32-E72D297353CC}">
              <c16:uniqueId val="{00000004-9ED3-4D4F-AF81-9DD921C10045}"/>
            </c:ext>
          </c:extLst>
        </c:ser>
        <c:ser>
          <c:idx val="7"/>
          <c:order val="4"/>
          <c:tx>
            <c:v>Field operations</c:v>
          </c:tx>
          <c:spPr>
            <a:solidFill>
              <a:schemeClr val="accent2">
                <a:lumMod val="60000"/>
              </a:schemeClr>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CF'!$J$108:$J$152</c15:sqref>
                  </c15:fullRef>
                </c:ext>
              </c:extLst>
              <c:f>('Forage crops, CF'!$J$112,'Forage crops, CF'!$J$117,'Forage crops, CF'!$J$122,'Forage crops, CF'!$J$127,'Forage crops, CF'!$J$132,'Forage crops, CF'!$J$137,'Forage crops, CF'!$J$142,'Forage crops, CF'!$J$147,'Forage crops, CF'!$J$152)</c:f>
              <c:numCache>
                <c:formatCode>0.000</c:formatCode>
                <c:ptCount val="9"/>
                <c:pt idx="0">
                  <c:v>1.3373866530534318E-2</c:v>
                </c:pt>
                <c:pt idx="1">
                  <c:v>1.3433418913001914E-2</c:v>
                </c:pt>
                <c:pt idx="2">
                  <c:v>3.3082704214679549E-2</c:v>
                </c:pt>
                <c:pt idx="3">
                  <c:v>4.969824898465218E-2</c:v>
                </c:pt>
                <c:pt idx="4">
                  <c:v>1.2374614147716767E-2</c:v>
                </c:pt>
                <c:pt idx="5">
                  <c:v>2.1025103145319253E-2</c:v>
                </c:pt>
                <c:pt idx="6">
                  <c:v>1.553543349653318E-2</c:v>
                </c:pt>
                <c:pt idx="7">
                  <c:v>2.2369244374722035E-2</c:v>
                </c:pt>
                <c:pt idx="8">
                  <c:v>1.4598268901454627E-2</c:v>
                </c:pt>
              </c:numCache>
            </c:numRef>
          </c:val>
          <c:extLst>
            <c:ext xmlns:c16="http://schemas.microsoft.com/office/drawing/2014/chart" uri="{C3380CC4-5D6E-409C-BE32-E72D297353CC}">
              <c16:uniqueId val="{00000005-9ED3-4D4F-AF81-9DD921C10045}"/>
            </c:ext>
          </c:extLst>
        </c:ser>
        <c:ser>
          <c:idx val="0"/>
          <c:order val="5"/>
          <c:tx>
            <c:v>Irrigation</c:v>
          </c:tx>
          <c:spPr>
            <a:solidFill>
              <a:schemeClr val="accent1"/>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CF'!$L$108:$L$152</c15:sqref>
                  </c15:fullRef>
                </c:ext>
              </c:extLst>
              <c:f>('Forage crops, CF'!$L$112,'Forage crops, CF'!$L$117,'Forage crops, CF'!$L$122,'Forage crops, CF'!$L$127,'Forage crops, CF'!$L$132,'Forage crops, CF'!$L$137,'Forage crops, CF'!$L$142,'Forage crops, CF'!$L$147,'Forage crops, CF'!$L$152)</c:f>
              <c:numCache>
                <c:formatCode>0.000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9ED3-4D4F-AF81-9DD921C10045}"/>
            </c:ext>
          </c:extLst>
        </c:ser>
        <c:ser>
          <c:idx val="9"/>
          <c:order val="6"/>
          <c:tx>
            <c:v>Feed processing</c:v>
          </c:tx>
          <c:spPr>
            <a:solidFill>
              <a:schemeClr val="accent4">
                <a:lumMod val="60000"/>
              </a:schemeClr>
            </a:solidFill>
            <a:ln>
              <a:noFill/>
            </a:ln>
            <a:effectLst/>
          </c:spPr>
          <c:invertIfNegative val="0"/>
          <c:cat>
            <c:strRef>
              <c:extLst>
                <c:ext xmlns:c15="http://schemas.microsoft.com/office/drawing/2012/chart" uri="{02D57815-91ED-43cb-92C2-25804820EDAC}">
                  <c15:fullRef>
                    <c15:sqref>'Forage crops, CF'!$D$108:$D$152</c15:sqref>
                  </c15:fullRef>
                </c:ext>
              </c:extLst>
              <c:f>('Forage crops, CF'!$D$112,'Forage crops, CF'!$D$117,'Forage crops, CF'!$D$122,'Forage crops, CF'!$D$127,'Forage crops, CF'!$D$132,'Forage crops, CF'!$D$137,'Forage crops, CF'!$D$142,'Forage crops, CF'!$D$147,'Forage crops, CF'!$D$152)</c:f>
              <c:strCache>
                <c:ptCount val="9"/>
                <c:pt idx="0">
                  <c:v>France</c:v>
                </c:pt>
                <c:pt idx="1">
                  <c:v>Germany</c:v>
                </c:pt>
                <c:pt idx="2">
                  <c:v>Greece</c:v>
                </c:pt>
                <c:pt idx="3">
                  <c:v>Hungary</c:v>
                </c:pt>
                <c:pt idx="4">
                  <c:v>Italy</c:v>
                </c:pt>
                <c:pt idx="5">
                  <c:v>Netherlands</c:v>
                </c:pt>
                <c:pt idx="6">
                  <c:v>Poland</c:v>
                </c:pt>
                <c:pt idx="7">
                  <c:v>Spain</c:v>
                </c:pt>
                <c:pt idx="8">
                  <c:v>Sweden</c:v>
                </c:pt>
              </c:strCache>
            </c:strRef>
          </c:cat>
          <c:val>
            <c:numRef>
              <c:extLst>
                <c:ext xmlns:c15="http://schemas.microsoft.com/office/drawing/2012/chart" uri="{02D57815-91ED-43cb-92C2-25804820EDAC}">
                  <c15:fullRef>
                    <c15:sqref>'Forage crops, CF'!$O$108:$O$152</c15:sqref>
                  </c15:fullRef>
                </c:ext>
              </c:extLst>
              <c:f>('Forage crops, CF'!$O$112,'Forage crops, CF'!$O$117,'Forage crops, CF'!$O$122,'Forage crops, CF'!$O$127,'Forage crops, CF'!$O$132,'Forage crops, CF'!$O$137,'Forage crops, CF'!$O$142,'Forage crops, CF'!$O$147,'Forage crops, CF'!$O$152)</c:f>
              <c:numCache>
                <c:formatCode>0.000</c:formatCode>
                <c:ptCount val="9"/>
                <c:pt idx="0">
                  <c:v>8.6389700000000014E-2</c:v>
                </c:pt>
                <c:pt idx="1">
                  <c:v>8.6389700000000014E-2</c:v>
                </c:pt>
                <c:pt idx="2">
                  <c:v>8.6389700000000014E-2</c:v>
                </c:pt>
                <c:pt idx="3">
                  <c:v>8.6389700000000014E-2</c:v>
                </c:pt>
                <c:pt idx="4">
                  <c:v>8.6389700000000014E-2</c:v>
                </c:pt>
                <c:pt idx="5">
                  <c:v>8.6389700000000014E-2</c:v>
                </c:pt>
                <c:pt idx="6">
                  <c:v>8.6389700000000014E-2</c:v>
                </c:pt>
                <c:pt idx="7">
                  <c:v>8.6389700000000014E-2</c:v>
                </c:pt>
                <c:pt idx="8">
                  <c:v>8.6389700000000014E-2</c:v>
                </c:pt>
              </c:numCache>
            </c:numRef>
          </c:val>
          <c:extLst>
            <c:ext xmlns:c16="http://schemas.microsoft.com/office/drawing/2014/chart" uri="{C3380CC4-5D6E-409C-BE32-E72D297353CC}">
              <c16:uniqueId val="{0000000A-9ED3-4D4F-AF81-9DD921C10045}"/>
            </c:ext>
          </c:extLst>
        </c:ser>
        <c:dLbls>
          <c:showLegendKey val="0"/>
          <c:showVal val="0"/>
          <c:showCatName val="0"/>
          <c:showSerName val="0"/>
          <c:showPercent val="0"/>
          <c:showBubbleSize val="0"/>
        </c:dLbls>
        <c:gapWidth val="150"/>
        <c:overlap val="100"/>
        <c:axId val="716577056"/>
        <c:axId val="1725772016"/>
      </c:barChart>
      <c:catAx>
        <c:axId val="71657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725772016"/>
        <c:crosses val="autoZero"/>
        <c:auto val="1"/>
        <c:lblAlgn val="ctr"/>
        <c:lblOffset val="100"/>
        <c:noMultiLvlLbl val="0"/>
      </c:catAx>
      <c:valAx>
        <c:axId val="172577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DM feed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716577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166413</xdr:colOff>
      <xdr:row>3</xdr:row>
      <xdr:rowOff>133744</xdr:rowOff>
    </xdr:from>
    <xdr:to>
      <xdr:col>27</xdr:col>
      <xdr:colOff>56054</xdr:colOff>
      <xdr:row>25</xdr:row>
      <xdr:rowOff>42304</xdr:rowOff>
    </xdr:to>
    <xdr:graphicFrame macro="">
      <xdr:nvGraphicFramePr>
        <xdr:cNvPr id="3" name="Chart 2">
          <a:extLst>
            <a:ext uri="{FF2B5EF4-FFF2-40B4-BE49-F238E27FC236}">
              <a16:creationId xmlns:a16="http://schemas.microsoft.com/office/drawing/2014/main" id="{51716538-0B0E-AE6A-904A-C4826EA67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18</xdr:row>
      <xdr:rowOff>0</xdr:rowOff>
    </xdr:from>
    <xdr:to>
      <xdr:col>12</xdr:col>
      <xdr:colOff>17945</xdr:colOff>
      <xdr:row>35</xdr:row>
      <xdr:rowOff>176249</xdr:rowOff>
    </xdr:to>
    <xdr:pic>
      <xdr:nvPicPr>
        <xdr:cNvPr id="6" name="Picture 5">
          <a:extLst>
            <a:ext uri="{FF2B5EF4-FFF2-40B4-BE49-F238E27FC236}">
              <a16:creationId xmlns:a16="http://schemas.microsoft.com/office/drawing/2014/main" id="{AE0390E3-8CFE-CAE4-E2F7-4FFE7A79823A}"/>
            </a:ext>
          </a:extLst>
        </xdr:cNvPr>
        <xdr:cNvPicPr>
          <a:picLocks noChangeAspect="1"/>
        </xdr:cNvPicPr>
      </xdr:nvPicPr>
      <xdr:blipFill>
        <a:blip xmlns:r="http://schemas.openxmlformats.org/officeDocument/2006/relationships" r:embed="rId2"/>
        <a:stretch>
          <a:fillRect/>
        </a:stretch>
      </xdr:blipFill>
      <xdr:spPr>
        <a:xfrm>
          <a:off x="0" y="4479636"/>
          <a:ext cx="8630854" cy="3362794"/>
        </a:xfrm>
        <a:prstGeom prst="rect">
          <a:avLst/>
        </a:prstGeom>
      </xdr:spPr>
    </xdr:pic>
    <xdr:clientData/>
  </xdr:twoCellAnchor>
  <xdr:twoCellAnchor editAs="oneCell">
    <xdr:from>
      <xdr:col>0</xdr:col>
      <xdr:colOff>0</xdr:colOff>
      <xdr:row>37</xdr:row>
      <xdr:rowOff>0</xdr:rowOff>
    </xdr:from>
    <xdr:to>
      <xdr:col>8</xdr:col>
      <xdr:colOff>487005</xdr:colOff>
      <xdr:row>59</xdr:row>
      <xdr:rowOff>24245</xdr:rowOff>
    </xdr:to>
    <xdr:pic>
      <xdr:nvPicPr>
        <xdr:cNvPr id="7" name="Picture 6">
          <a:extLst>
            <a:ext uri="{FF2B5EF4-FFF2-40B4-BE49-F238E27FC236}">
              <a16:creationId xmlns:a16="http://schemas.microsoft.com/office/drawing/2014/main" id="{772895A2-9C73-CABB-7D19-4528D5342B8D}"/>
            </a:ext>
          </a:extLst>
        </xdr:cNvPr>
        <xdr:cNvPicPr>
          <a:picLocks noChangeAspect="1"/>
        </xdr:cNvPicPr>
      </xdr:nvPicPr>
      <xdr:blipFill>
        <a:blip xmlns:r="http://schemas.openxmlformats.org/officeDocument/2006/relationships" r:embed="rId3"/>
        <a:stretch>
          <a:fillRect/>
        </a:stretch>
      </xdr:blipFill>
      <xdr:spPr>
        <a:xfrm>
          <a:off x="0" y="8035636"/>
          <a:ext cx="6744641" cy="41344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86</xdr:row>
      <xdr:rowOff>0</xdr:rowOff>
    </xdr:from>
    <xdr:to>
      <xdr:col>22</xdr:col>
      <xdr:colOff>421927</xdr:colOff>
      <xdr:row>104</xdr:row>
      <xdr:rowOff>678</xdr:rowOff>
    </xdr:to>
    <xdr:pic>
      <xdr:nvPicPr>
        <xdr:cNvPr id="3" name="Picture 2">
          <a:extLst>
            <a:ext uri="{FF2B5EF4-FFF2-40B4-BE49-F238E27FC236}">
              <a16:creationId xmlns:a16="http://schemas.microsoft.com/office/drawing/2014/main" id="{0587D2B7-7329-5425-6DB6-16FEE1D0E7C5}"/>
            </a:ext>
          </a:extLst>
        </xdr:cNvPr>
        <xdr:cNvPicPr>
          <a:picLocks noChangeAspect="1"/>
        </xdr:cNvPicPr>
      </xdr:nvPicPr>
      <xdr:blipFill>
        <a:blip xmlns:r="http://schemas.openxmlformats.org/officeDocument/2006/relationships" r:embed="rId1"/>
        <a:stretch>
          <a:fillRect/>
        </a:stretch>
      </xdr:blipFill>
      <xdr:spPr>
        <a:xfrm>
          <a:off x="16790276" y="16229724"/>
          <a:ext cx="5344271" cy="3305636"/>
        </a:xfrm>
        <a:prstGeom prst="rect">
          <a:avLst/>
        </a:prstGeom>
      </xdr:spPr>
    </xdr:pic>
    <xdr:clientData/>
  </xdr:twoCellAnchor>
  <xdr:twoCellAnchor editAs="oneCell">
    <xdr:from>
      <xdr:col>13</xdr:col>
      <xdr:colOff>26277</xdr:colOff>
      <xdr:row>56</xdr:row>
      <xdr:rowOff>8760</xdr:rowOff>
    </xdr:from>
    <xdr:to>
      <xdr:col>19</xdr:col>
      <xdr:colOff>16143</xdr:colOff>
      <xdr:row>60</xdr:row>
      <xdr:rowOff>169118</xdr:rowOff>
    </xdr:to>
    <xdr:pic>
      <xdr:nvPicPr>
        <xdr:cNvPr id="5" name="Picture 4">
          <a:extLst>
            <a:ext uri="{FF2B5EF4-FFF2-40B4-BE49-F238E27FC236}">
              <a16:creationId xmlns:a16="http://schemas.microsoft.com/office/drawing/2014/main" id="{03648175-705E-3ED2-0311-40F15C117BEE}"/>
            </a:ext>
          </a:extLst>
        </xdr:cNvPr>
        <xdr:cNvPicPr>
          <a:picLocks noChangeAspect="1"/>
        </xdr:cNvPicPr>
      </xdr:nvPicPr>
      <xdr:blipFill>
        <a:blip xmlns:r="http://schemas.openxmlformats.org/officeDocument/2006/relationships" r:embed="rId2"/>
        <a:stretch>
          <a:fillRect/>
        </a:stretch>
      </xdr:blipFill>
      <xdr:spPr>
        <a:xfrm>
          <a:off x="16956691" y="9984829"/>
          <a:ext cx="3559574" cy="8998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257175</xdr:colOff>
      <xdr:row>55</xdr:row>
      <xdr:rowOff>19050</xdr:rowOff>
    </xdr:from>
    <xdr:to>
      <xdr:col>24</xdr:col>
      <xdr:colOff>323850</xdr:colOff>
      <xdr:row>77</xdr:row>
      <xdr:rowOff>0</xdr:rowOff>
    </xdr:to>
    <xdr:graphicFrame macro="">
      <xdr:nvGraphicFramePr>
        <xdr:cNvPr id="2" name="Chart 1">
          <a:extLst>
            <a:ext uri="{FF2B5EF4-FFF2-40B4-BE49-F238E27FC236}">
              <a16:creationId xmlns:a16="http://schemas.microsoft.com/office/drawing/2014/main" id="{F0A9A6C4-F6D4-9154-C749-7D30BEAAF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171450</xdr:colOff>
      <xdr:row>104</xdr:row>
      <xdr:rowOff>171450</xdr:rowOff>
    </xdr:from>
    <xdr:to>
      <xdr:col>24</xdr:col>
      <xdr:colOff>238125</xdr:colOff>
      <xdr:row>119</xdr:row>
      <xdr:rowOff>47625</xdr:rowOff>
    </xdr:to>
    <xdr:graphicFrame macro="">
      <xdr:nvGraphicFramePr>
        <xdr:cNvPr id="3" name="Chart 2">
          <a:extLst>
            <a:ext uri="{FF2B5EF4-FFF2-40B4-BE49-F238E27FC236}">
              <a16:creationId xmlns:a16="http://schemas.microsoft.com/office/drawing/2014/main" id="{751A4291-4975-4944-ACDC-827B4117A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9525</xdr:colOff>
      <xdr:row>65</xdr:row>
      <xdr:rowOff>21633</xdr:rowOff>
    </xdr:from>
    <xdr:to>
      <xdr:col>16</xdr:col>
      <xdr:colOff>707981</xdr:colOff>
      <xdr:row>77</xdr:row>
      <xdr:rowOff>135766</xdr:rowOff>
    </xdr:to>
    <xdr:pic>
      <xdr:nvPicPr>
        <xdr:cNvPr id="2" name="Picture 1">
          <a:extLst>
            <a:ext uri="{FF2B5EF4-FFF2-40B4-BE49-F238E27FC236}">
              <a16:creationId xmlns:a16="http://schemas.microsoft.com/office/drawing/2014/main" id="{E4291FD2-B6AE-7227-5E75-D331D1855C93}"/>
            </a:ext>
          </a:extLst>
        </xdr:cNvPr>
        <xdr:cNvPicPr>
          <a:picLocks noChangeAspect="1"/>
        </xdr:cNvPicPr>
      </xdr:nvPicPr>
      <xdr:blipFill>
        <a:blip xmlns:r="http://schemas.openxmlformats.org/officeDocument/2006/relationships" r:embed="rId1"/>
        <a:stretch>
          <a:fillRect/>
        </a:stretch>
      </xdr:blipFill>
      <xdr:spPr>
        <a:xfrm>
          <a:off x="8782050" y="8346483"/>
          <a:ext cx="5506676" cy="2293453"/>
        </a:xfrm>
        <a:prstGeom prst="rect">
          <a:avLst/>
        </a:prstGeom>
      </xdr:spPr>
    </xdr:pic>
    <xdr:clientData/>
  </xdr:twoCellAnchor>
  <xdr:twoCellAnchor editAs="oneCell">
    <xdr:from>
      <xdr:col>38</xdr:col>
      <xdr:colOff>2085975</xdr:colOff>
      <xdr:row>14</xdr:row>
      <xdr:rowOff>123825</xdr:rowOff>
    </xdr:from>
    <xdr:to>
      <xdr:col>47</xdr:col>
      <xdr:colOff>38100</xdr:colOff>
      <xdr:row>21</xdr:row>
      <xdr:rowOff>282445</xdr:rowOff>
    </xdr:to>
    <xdr:pic>
      <xdr:nvPicPr>
        <xdr:cNvPr id="3" name="Picture 2">
          <a:extLst>
            <a:ext uri="{FF2B5EF4-FFF2-40B4-BE49-F238E27FC236}">
              <a16:creationId xmlns:a16="http://schemas.microsoft.com/office/drawing/2014/main" id="{5318BD79-694C-4DA4-96FC-441359391616}"/>
            </a:ext>
          </a:extLst>
        </xdr:cNvPr>
        <xdr:cNvPicPr>
          <a:picLocks noChangeAspect="1"/>
        </xdr:cNvPicPr>
      </xdr:nvPicPr>
      <xdr:blipFill>
        <a:blip xmlns:r="http://schemas.openxmlformats.org/officeDocument/2006/relationships" r:embed="rId2"/>
        <a:stretch>
          <a:fillRect/>
        </a:stretch>
      </xdr:blipFill>
      <xdr:spPr>
        <a:xfrm>
          <a:off x="34937700" y="3752850"/>
          <a:ext cx="4905375" cy="1473070"/>
        </a:xfrm>
        <a:prstGeom prst="rect">
          <a:avLst/>
        </a:prstGeom>
      </xdr:spPr>
    </xdr:pic>
    <xdr:clientData/>
  </xdr:twoCellAnchor>
  <xdr:twoCellAnchor editAs="oneCell">
    <xdr:from>
      <xdr:col>47</xdr:col>
      <xdr:colOff>38099</xdr:colOff>
      <xdr:row>21</xdr:row>
      <xdr:rowOff>173264</xdr:rowOff>
    </xdr:from>
    <xdr:to>
      <xdr:col>55</xdr:col>
      <xdr:colOff>477338</xdr:colOff>
      <xdr:row>27</xdr:row>
      <xdr:rowOff>294</xdr:rowOff>
    </xdr:to>
    <xdr:pic>
      <xdr:nvPicPr>
        <xdr:cNvPr id="5" name="Picture 4">
          <a:extLst>
            <a:ext uri="{FF2B5EF4-FFF2-40B4-BE49-F238E27FC236}">
              <a16:creationId xmlns:a16="http://schemas.microsoft.com/office/drawing/2014/main" id="{E557D2C1-859C-71E5-E065-4C479855BDAC}"/>
            </a:ext>
          </a:extLst>
        </xdr:cNvPr>
        <xdr:cNvPicPr>
          <a:picLocks noChangeAspect="1"/>
        </xdr:cNvPicPr>
      </xdr:nvPicPr>
      <xdr:blipFill>
        <a:blip xmlns:r="http://schemas.openxmlformats.org/officeDocument/2006/relationships" r:embed="rId3"/>
        <a:stretch>
          <a:fillRect/>
        </a:stretch>
      </xdr:blipFill>
      <xdr:spPr>
        <a:xfrm>
          <a:off x="39843074" y="5297714"/>
          <a:ext cx="5430339" cy="1465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unfccc.int/ghg-inventories-annex-i-parties/2023"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6"/>
  <sheetViews>
    <sheetView zoomScale="80" zoomScaleNormal="80" workbookViewId="0">
      <selection activeCell="A5" sqref="A5"/>
    </sheetView>
  </sheetViews>
  <sheetFormatPr defaultColWidth="8.6640625" defaultRowHeight="14.4" x14ac:dyDescent="0.3"/>
  <cols>
    <col min="1" max="1" width="8.6640625" style="29"/>
    <col min="2" max="2" width="18.33203125" customWidth="1"/>
    <col min="3" max="3" width="31.44140625" customWidth="1"/>
    <col min="4" max="4" width="24.6640625" customWidth="1"/>
  </cols>
  <sheetData>
    <row r="2" spans="1:1" ht="21" x14ac:dyDescent="0.4">
      <c r="A2" s="58" t="s">
        <v>0</v>
      </c>
    </row>
    <row r="4" spans="1:1" x14ac:dyDescent="0.3">
      <c r="A4" s="29" t="s">
        <v>1</v>
      </c>
    </row>
    <row r="7" spans="1:1" x14ac:dyDescent="0.3">
      <c r="A7" s="316"/>
    </row>
    <row r="8" spans="1:1" x14ac:dyDescent="0.3">
      <c r="A8" s="262"/>
    </row>
    <row r="9" spans="1:1" x14ac:dyDescent="0.3">
      <c r="A9" s="316"/>
    </row>
    <row r="10" spans="1:1" x14ac:dyDescent="0.3">
      <c r="A10" s="316"/>
    </row>
    <row r="17" spans="1:2" x14ac:dyDescent="0.3">
      <c r="A17" s="29" t="s">
        <v>2</v>
      </c>
    </row>
    <row r="19" spans="1:2" x14ac:dyDescent="0.3">
      <c r="A19" s="76"/>
      <c r="B19" t="s">
        <v>3</v>
      </c>
    </row>
    <row r="20" spans="1:2" x14ac:dyDescent="0.3">
      <c r="A20" s="99"/>
      <c r="B20" t="s">
        <v>4</v>
      </c>
    </row>
    <row r="21" spans="1:2" x14ac:dyDescent="0.3">
      <c r="A21" s="100"/>
      <c r="B21" t="s">
        <v>5</v>
      </c>
    </row>
    <row r="26" spans="1:2" x14ac:dyDescent="0.3">
      <c r="A26" s="10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76AF-D044-4984-908D-510EF5A11805}">
  <dimension ref="A2:Z107"/>
  <sheetViews>
    <sheetView zoomScale="90" workbookViewId="0">
      <selection activeCell="L8" sqref="L8"/>
    </sheetView>
  </sheetViews>
  <sheetFormatPr defaultColWidth="8.6640625" defaultRowHeight="14.4" x14ac:dyDescent="0.3"/>
  <cols>
    <col min="1" max="1" width="13.6640625" customWidth="1"/>
    <col min="2" max="2" width="12.33203125" bestFit="1" customWidth="1"/>
    <col min="3" max="3" width="12.88671875" bestFit="1" customWidth="1"/>
    <col min="4" max="4" width="11.33203125" customWidth="1"/>
    <col min="5" max="6" width="12" bestFit="1" customWidth="1"/>
  </cols>
  <sheetData>
    <row r="2" spans="1:13" ht="21" x14ac:dyDescent="0.4">
      <c r="A2" s="2" t="s">
        <v>6</v>
      </c>
    </row>
    <row r="4" spans="1:13" x14ac:dyDescent="0.3">
      <c r="A4" t="s">
        <v>7</v>
      </c>
    </row>
    <row r="6" spans="1:13" ht="57.6" x14ac:dyDescent="0.3">
      <c r="B6" s="230" t="s">
        <v>8</v>
      </c>
      <c r="C6" s="230" t="s">
        <v>9</v>
      </c>
      <c r="D6" s="230" t="s">
        <v>10</v>
      </c>
      <c r="E6" s="230" t="s">
        <v>11</v>
      </c>
      <c r="F6" s="230" t="s">
        <v>12</v>
      </c>
      <c r="G6" s="230" t="s">
        <v>13</v>
      </c>
      <c r="H6" s="230" t="s">
        <v>14</v>
      </c>
      <c r="I6" s="231" t="s">
        <v>15</v>
      </c>
      <c r="J6" s="231" t="s">
        <v>16</v>
      </c>
      <c r="K6" s="230" t="s">
        <v>17</v>
      </c>
      <c r="L6" s="230" t="s">
        <v>18</v>
      </c>
      <c r="M6" s="230" t="s">
        <v>19</v>
      </c>
    </row>
    <row r="7" spans="1:13" ht="15" customHeight="1" x14ac:dyDescent="0.3">
      <c r="A7" s="116" t="s">
        <v>20</v>
      </c>
      <c r="B7">
        <f>'GHG detailed, results per kg'!H36</f>
        <v>1.3786108647457105</v>
      </c>
      <c r="C7">
        <f>'GHG detailed, results per kg'!I36</f>
        <v>0.28005450122540942</v>
      </c>
      <c r="D7">
        <f>'GHG detailed, results per kg'!J36+'GHG detailed, results per kg'!K36</f>
        <v>3.7802391103635049</v>
      </c>
      <c r="E7">
        <f>'GHG detailed, results per kg'!L36+'GHG detailed, results per kg'!N36</f>
        <v>0.28901413388351499</v>
      </c>
      <c r="F7">
        <f>'GHG detailed, results per kg'!O36+'GHG detailed, results per kg'!Q36</f>
        <v>1.4175779955508241</v>
      </c>
      <c r="G7">
        <f>'GHG detailed, results per kg'!P36</f>
        <v>0.2695553998712768</v>
      </c>
      <c r="H7">
        <f>'GHG detailed, results per kg'!R36</f>
        <v>0.25166401003595235</v>
      </c>
      <c r="I7">
        <f>'GHG detailed, results per kg'!S36</f>
        <v>8.8703820809823541E-3</v>
      </c>
      <c r="J7">
        <f>'GHG detailed, results per kg'!T36</f>
        <v>2.0048728188500435</v>
      </c>
      <c r="K7">
        <f>'GHG detailed, results per kg'!W36</f>
        <v>0.36526823231003097</v>
      </c>
      <c r="L7">
        <f>'GHG detailed, results per kg'!X36</f>
        <v>0.21851550857124136</v>
      </c>
      <c r="M7">
        <f t="shared" ref="M7:M15" si="0">SUM(B7:L7)</f>
        <v>10.264242957488491</v>
      </c>
    </row>
    <row r="8" spans="1:13" ht="15" customHeight="1" x14ac:dyDescent="0.3">
      <c r="A8" s="116" t="s">
        <v>21</v>
      </c>
      <c r="B8">
        <f>'GHG detailed, results per kg'!H21</f>
        <v>1.0132189878723765</v>
      </c>
      <c r="C8">
        <f>'GHG detailed, results per kg'!I21</f>
        <v>0.28005450122540942</v>
      </c>
      <c r="D8">
        <f>'GHG detailed, results per kg'!J21+'GHG detailed, results per kg'!K21</f>
        <v>2.8115640252404139</v>
      </c>
      <c r="E8">
        <f>'GHG detailed, results per kg'!L21+'GHG detailed, results per kg'!N21</f>
        <v>0.53655303363344431</v>
      </c>
      <c r="F8">
        <f>'GHG detailed, results per kg'!O21+'GHG detailed, results per kg'!Q21</f>
        <v>1.7526363567347669</v>
      </c>
      <c r="G8">
        <f>'GHG detailed, results per kg'!P21</f>
        <v>0.2695553998712768</v>
      </c>
      <c r="H8">
        <f>'GHG detailed, results per kg'!R21</f>
        <v>0.28775674295882425</v>
      </c>
      <c r="I8">
        <f>'GHG detailed, results per kg'!S21</f>
        <v>8.8703820809823541E-3</v>
      </c>
      <c r="J8">
        <f>'GHG detailed, results per kg'!T21</f>
        <v>1.2827539074343297</v>
      </c>
      <c r="K8">
        <f>'GHG detailed, results per kg'!W21</f>
        <v>0.49740051606316982</v>
      </c>
      <c r="L8">
        <f>'GHG detailed, results per kg'!X21</f>
        <v>0.27945548541767201</v>
      </c>
      <c r="M8">
        <f t="shared" si="0"/>
        <v>9.0198193385326668</v>
      </c>
    </row>
    <row r="9" spans="1:13" ht="15" customHeight="1" x14ac:dyDescent="0.3">
      <c r="A9" s="116" t="s">
        <v>22</v>
      </c>
      <c r="B9">
        <f>'GHG detailed, results per kg'!H41</f>
        <v>1.4259347775436693</v>
      </c>
      <c r="C9">
        <f>'GHG detailed, results per kg'!I41</f>
        <v>0.29216090586084242</v>
      </c>
      <c r="D9">
        <f>'GHG detailed, results per kg'!J41+'GHG detailed, results per kg'!K41</f>
        <v>2.7909977316561441</v>
      </c>
      <c r="E9">
        <f>'GHG detailed, results per kg'!L41+'GHG detailed, results per kg'!N41</f>
        <v>0.64444663533536939</v>
      </c>
      <c r="F9">
        <f>'GHG detailed, results per kg'!O41+'GHG detailed, results per kg'!Q41</f>
        <v>0.60734223846187452</v>
      </c>
      <c r="G9">
        <f>'GHG detailed, results per kg'!P41</f>
        <v>3.6971466206622339E-2</v>
      </c>
      <c r="H9">
        <f>'GHG detailed, results per kg'!R41</f>
        <v>3.2589550973294037E-2</v>
      </c>
      <c r="I9">
        <f>'GHG detailed, results per kg'!S41</f>
        <v>8.7708149429708525E-3</v>
      </c>
      <c r="J9">
        <f>'GHG detailed, results per kg'!T41</f>
        <v>1.9124623142248618</v>
      </c>
      <c r="K9">
        <f>'GHG detailed, results per kg'!W41</f>
        <v>0.71301046500534393</v>
      </c>
      <c r="L9">
        <f>'GHG detailed, results per kg'!X41</f>
        <v>0.42042690190536264</v>
      </c>
      <c r="M9">
        <f t="shared" si="0"/>
        <v>8.8851138021163543</v>
      </c>
    </row>
    <row r="10" spans="1:13" ht="15" customHeight="1" x14ac:dyDescent="0.3">
      <c r="A10" s="116" t="s">
        <v>23</v>
      </c>
      <c r="B10">
        <f>'GHG detailed, results per kg'!H31</f>
        <v>1.0309717869021351</v>
      </c>
      <c r="C10">
        <f>'GHG detailed, results per kg'!I31</f>
        <v>0.28110266645588267</v>
      </c>
      <c r="D10">
        <f>'GHG detailed, results per kg'!J31+'GHG detailed, results per kg'!K31</f>
        <v>2.805114368509825</v>
      </c>
      <c r="E10">
        <f>'GHG detailed, results per kg'!L31+'GHG detailed, results per kg'!N31</f>
        <v>0.3873026365456112</v>
      </c>
      <c r="F10">
        <f>'GHG detailed, results per kg'!O31+'GHG detailed, results per kg'!Q31</f>
        <v>1.3007910352960641</v>
      </c>
      <c r="G10">
        <f>'GHG detailed, results per kg'!P31</f>
        <v>0.26951540200527097</v>
      </c>
      <c r="H10">
        <f>'GHG detailed, results per kg'!R31</f>
        <v>0.28790061033680192</v>
      </c>
      <c r="I10">
        <f>'GHG detailed, results per kg'!S31</f>
        <v>8.8592075721299537E-3</v>
      </c>
      <c r="J10">
        <f>'GHG detailed, results per kg'!T31</f>
        <v>2.002347170139803</v>
      </c>
      <c r="K10">
        <f>'GHG detailed, results per kg'!W31</f>
        <v>0.3138114058876546</v>
      </c>
      <c r="L10">
        <f>'GHG detailed, results per kg'!X31</f>
        <v>0.178495074014485</v>
      </c>
      <c r="M10">
        <f t="shared" si="0"/>
        <v>8.8662113636656645</v>
      </c>
    </row>
    <row r="11" spans="1:13" ht="15" customHeight="1" x14ac:dyDescent="0.3">
      <c r="A11" s="116" t="s">
        <v>24</v>
      </c>
      <c r="B11">
        <f>'GHG detailed, results per kg'!H26</f>
        <v>0.98678155199269879</v>
      </c>
      <c r="C11">
        <f>'GHG detailed, results per kg'!I26</f>
        <v>0.28005450122540942</v>
      </c>
      <c r="D11">
        <f>'GHG detailed, results per kg'!J26+'GHG detailed, results per kg'!K26</f>
        <v>2.716732916381694</v>
      </c>
      <c r="E11">
        <f>'GHG detailed, results per kg'!L26+'GHG detailed, results per kg'!N26</f>
        <v>0.36990656120784404</v>
      </c>
      <c r="F11">
        <f>'GHG detailed, results per kg'!O26+'GHG detailed, results per kg'!Q26</f>
        <v>1.3768317346794445</v>
      </c>
      <c r="G11">
        <f>'GHG detailed, results per kg'!P26</f>
        <v>0.2695553998712768</v>
      </c>
      <c r="H11">
        <f>'GHG detailed, results per kg'!R26</f>
        <v>0.2385662961595201</v>
      </c>
      <c r="I11">
        <f>'GHG detailed, results per kg'!S26</f>
        <v>8.8703820809823541E-3</v>
      </c>
      <c r="J11">
        <f>'GHG detailed, results per kg'!T26</f>
        <v>2.0048728188500435</v>
      </c>
      <c r="K11">
        <f>'GHG detailed, results per kg'!W26</f>
        <v>0.34493730198509398</v>
      </c>
      <c r="L11">
        <f>'GHG detailed, results per kg'!X26</f>
        <v>0.1956120112461435</v>
      </c>
      <c r="M11">
        <f t="shared" si="0"/>
        <v>8.7927214756801533</v>
      </c>
    </row>
    <row r="12" spans="1:13" ht="15" customHeight="1" x14ac:dyDescent="0.3">
      <c r="A12" s="116" t="s">
        <v>25</v>
      </c>
      <c r="B12">
        <f>'GHG detailed, results per kg'!H16</f>
        <v>1.0568745029128921</v>
      </c>
      <c r="C12">
        <f>'GHG detailed, results per kg'!I16</f>
        <v>0.28002653852874831</v>
      </c>
      <c r="D12">
        <f>'GHG detailed, results per kg'!J16+'GHG detailed, results per kg'!K16</f>
        <v>2.801260603945761</v>
      </c>
      <c r="E12">
        <f>'GHG detailed, results per kg'!L16+'GHG detailed, results per kg'!N16</f>
        <v>0.27931149702535107</v>
      </c>
      <c r="F12">
        <f>'GHG detailed, results per kg'!O16+'GHG detailed, results per kg'!Q16</f>
        <v>1.4126299267348821</v>
      </c>
      <c r="G12">
        <f>'GHG detailed, results per kg'!P16</f>
        <v>0.26951540200527097</v>
      </c>
      <c r="H12">
        <f>'GHG detailed, results per kg'!R16</f>
        <v>0.25162805933645527</v>
      </c>
      <c r="I12">
        <f>'GHG detailed, results per kg'!S16</f>
        <v>8.8592075721299537E-3</v>
      </c>
      <c r="J12">
        <f>'GHG detailed, results per kg'!T16</f>
        <v>1.3291598130712008</v>
      </c>
      <c r="K12">
        <f>'GHG detailed, results per kg'!W16</f>
        <v>0.36047924722150937</v>
      </c>
      <c r="L12">
        <f>'GHG detailed, results per kg'!X16</f>
        <v>0.20415892987096926</v>
      </c>
      <c r="M12">
        <f t="shared" si="0"/>
        <v>8.2539037282251702</v>
      </c>
    </row>
    <row r="13" spans="1:13" ht="15" customHeight="1" x14ac:dyDescent="0.3">
      <c r="A13" s="116" t="s">
        <v>26</v>
      </c>
      <c r="B13">
        <f>'GHG detailed, results per kg'!H46</f>
        <v>0.38065761854720304</v>
      </c>
      <c r="C13">
        <f>'GHG detailed, results per kg'!I46</f>
        <v>0.28387813421128294</v>
      </c>
      <c r="D13">
        <f>'GHG detailed, results per kg'!J46+'GHG detailed, results per kg'!K46</f>
        <v>3.16720475989962</v>
      </c>
      <c r="E13">
        <f>'GHG detailed, results per kg'!L46+'GHG detailed, results per kg'!N46</f>
        <v>0.46081834700526947</v>
      </c>
      <c r="F13">
        <f>'GHG detailed, results per kg'!O46+'GHG detailed, results per kg'!Q46</f>
        <v>1.0668966458192044</v>
      </c>
      <c r="G13">
        <f>'GHG detailed, results per kg'!P46</f>
        <v>0.27502472787200605</v>
      </c>
      <c r="H13">
        <f>'GHG detailed, results per kg'!R46</f>
        <v>0.39276948617978075</v>
      </c>
      <c r="I13">
        <f>'GHG detailed, results per kg'!S46</f>
        <v>1.0398389954002243E-2</v>
      </c>
      <c r="J13">
        <f>'GHG detailed, results per kg'!T46</f>
        <v>2.4846062044723509</v>
      </c>
      <c r="K13">
        <f>'GHG detailed, results per kg'!W46</f>
        <v>0.1974293392493745</v>
      </c>
      <c r="L13">
        <f>'GHG detailed, results per kg'!X46</f>
        <v>0.12437267336882434</v>
      </c>
      <c r="M13">
        <f t="shared" si="0"/>
        <v>8.8440563265789187</v>
      </c>
    </row>
    <row r="14" spans="1:13" ht="15" customHeight="1" x14ac:dyDescent="0.3">
      <c r="A14" s="174" t="s">
        <v>27</v>
      </c>
      <c r="B14">
        <f>'GHG detailed, results per kg'!H51</f>
        <v>1.1417186981714318</v>
      </c>
      <c r="C14">
        <f>'GHG detailed, results per kg'!I51</f>
        <v>0.37488251895971164</v>
      </c>
      <c r="D14">
        <f>'GHG detailed, results per kg'!J51+'GHG detailed, results per kg'!K51</f>
        <v>1.8938196635153095</v>
      </c>
      <c r="E14">
        <f>'GHG detailed, results per kg'!L51+'GHG detailed, results per kg'!N51</f>
        <v>0.40498318831333363</v>
      </c>
      <c r="F14">
        <f>'GHG detailed, results per kg'!O51+'GHG detailed, results per kg'!Q51</f>
        <v>0.92505123771389508</v>
      </c>
      <c r="G14" s="274">
        <f>'GHG detailed, results per kg'!P51</f>
        <v>0.32262099429415092</v>
      </c>
      <c r="H14" s="274">
        <f>'GHG detailed, results per kg'!R51</f>
        <v>0.31609242951777311</v>
      </c>
      <c r="I14">
        <f>'GHG detailed, results per kg'!S51</f>
        <v>5.694138118316764E-3</v>
      </c>
      <c r="J14">
        <f>'GHG detailed, results per kg'!T51</f>
        <v>2.4443685723633797</v>
      </c>
      <c r="K14">
        <f>'GHG detailed, results per kg'!W51</f>
        <v>3.1535980448819417E-2</v>
      </c>
      <c r="L14">
        <f>'GHG detailed, results per kg'!X51</f>
        <v>4.3366088426506806E-2</v>
      </c>
      <c r="M14">
        <f t="shared" si="0"/>
        <v>7.9041335098426275</v>
      </c>
    </row>
    <row r="15" spans="1:13" ht="15" customHeight="1" x14ac:dyDescent="0.3">
      <c r="A15" s="116" t="s">
        <v>28</v>
      </c>
      <c r="B15">
        <f>'GHG detailed, results per kg'!H11</f>
        <v>1.0635127525964621</v>
      </c>
      <c r="C15">
        <f>'GHG detailed, results per kg'!I11</f>
        <v>0.28387813421128283</v>
      </c>
      <c r="D15">
        <f>'GHG detailed, results per kg'!J11+'GHG detailed, results per kg'!K11</f>
        <v>2.9575837218622216</v>
      </c>
      <c r="E15">
        <f>'GHG detailed, results per kg'!L11+'GHG detailed, results per kg'!N11</f>
        <v>0.28102947440949744</v>
      </c>
      <c r="F15">
        <f>'GHG detailed, results per kg'!O11+'GHG detailed, results per kg'!Q11</f>
        <v>0.71005916708659311</v>
      </c>
      <c r="G15">
        <f>'GHG detailed, results per kg'!P11</f>
        <v>0.27502472787200605</v>
      </c>
      <c r="H15">
        <f>'GHG detailed, results per kg'!R11</f>
        <v>0.24589055836899035</v>
      </c>
      <c r="I15">
        <f>'GHG detailed, results per kg'!S11</f>
        <v>1.0398389954002243E-2</v>
      </c>
      <c r="J15">
        <f>'GHG detailed, results per kg'!T11</f>
        <v>1.0740250983888602</v>
      </c>
      <c r="K15">
        <f>'GHG detailed, results per kg'!W11</f>
        <v>7.0838519524396446E-2</v>
      </c>
      <c r="L15">
        <f>'GHG detailed, results per kg'!X11</f>
        <v>4.4877984506275483E-2</v>
      </c>
      <c r="M15">
        <f t="shared" si="0"/>
        <v>7.0171185287805873</v>
      </c>
    </row>
    <row r="16" spans="1:13" ht="15" customHeight="1" x14ac:dyDescent="0.3">
      <c r="A16" s="231"/>
    </row>
    <row r="17" spans="1:18" ht="15" customHeight="1" x14ac:dyDescent="0.3">
      <c r="A17" s="230"/>
    </row>
    <row r="18" spans="1:18" ht="15" customHeight="1" x14ac:dyDescent="0.3">
      <c r="A18" t="s">
        <v>29</v>
      </c>
      <c r="B18" s="10"/>
      <c r="C18" s="238"/>
      <c r="E18" s="238"/>
    </row>
    <row r="19" spans="1:18" x14ac:dyDescent="0.3">
      <c r="B19" s="10"/>
      <c r="C19" s="238"/>
      <c r="E19" s="238"/>
    </row>
    <row r="20" spans="1:18" ht="18" x14ac:dyDescent="0.35">
      <c r="A20" s="1"/>
      <c r="B20" s="10"/>
      <c r="C20" s="238"/>
      <c r="E20" s="238"/>
    </row>
    <row r="21" spans="1:18" x14ac:dyDescent="0.3">
      <c r="B21" s="10"/>
      <c r="C21" s="238"/>
      <c r="E21" s="238"/>
    </row>
    <row r="22" spans="1:18" x14ac:dyDescent="0.3">
      <c r="B22" s="370"/>
      <c r="D22" s="371"/>
      <c r="E22" s="371"/>
      <c r="F22" s="371"/>
      <c r="G22" s="371"/>
      <c r="H22" s="371"/>
      <c r="I22" s="371"/>
    </row>
    <row r="23" spans="1:18" x14ac:dyDescent="0.3">
      <c r="A23" s="179"/>
      <c r="D23" s="115"/>
      <c r="E23" s="5"/>
      <c r="F23" s="5"/>
      <c r="G23" s="5"/>
      <c r="H23" s="5"/>
      <c r="I23" s="115"/>
    </row>
    <row r="24" spans="1:18" x14ac:dyDescent="0.3">
      <c r="D24" s="115"/>
      <c r="E24" s="5"/>
      <c r="F24" s="5"/>
      <c r="G24" s="5"/>
      <c r="H24" s="5"/>
      <c r="I24" s="115"/>
    </row>
    <row r="25" spans="1:18" x14ac:dyDescent="0.3">
      <c r="D25" s="115"/>
      <c r="E25" s="5"/>
      <c r="F25" s="5"/>
      <c r="G25" s="5"/>
      <c r="H25" s="5"/>
      <c r="I25" s="115"/>
    </row>
    <row r="27" spans="1:18" x14ac:dyDescent="0.3">
      <c r="B27" s="370"/>
      <c r="C27" s="370"/>
    </row>
    <row r="28" spans="1:18" x14ac:dyDescent="0.3">
      <c r="A28" s="179"/>
      <c r="C28" s="4"/>
      <c r="R28" s="157"/>
    </row>
    <row r="29" spans="1:18" x14ac:dyDescent="0.3">
      <c r="C29" s="4"/>
    </row>
    <row r="31" spans="1:18" x14ac:dyDescent="0.3">
      <c r="B31" s="370"/>
      <c r="C31" s="370"/>
    </row>
    <row r="32" spans="1:18" x14ac:dyDescent="0.3">
      <c r="A32" s="179"/>
    </row>
    <row r="33" spans="3:26" x14ac:dyDescent="0.3">
      <c r="C33" s="115"/>
    </row>
    <row r="39" spans="3:26" x14ac:dyDescent="0.3">
      <c r="R39" s="157"/>
    </row>
    <row r="43" spans="3:26" x14ac:dyDescent="0.3">
      <c r="L43" s="15"/>
    </row>
    <row r="44" spans="3:26" x14ac:dyDescent="0.3">
      <c r="Z44" s="15"/>
    </row>
    <row r="50" spans="1:4" ht="18" x14ac:dyDescent="0.35">
      <c r="A50" s="1"/>
    </row>
    <row r="52" spans="1:4" x14ac:dyDescent="0.3">
      <c r="A52" s="372"/>
      <c r="B52" s="372"/>
      <c r="C52" s="372"/>
      <c r="D52" s="372"/>
    </row>
    <row r="53" spans="1:4" x14ac:dyDescent="0.3">
      <c r="B53" s="115"/>
      <c r="D53" s="10"/>
    </row>
    <row r="54" spans="1:4" x14ac:dyDescent="0.3">
      <c r="B54" s="5"/>
      <c r="D54" s="98"/>
    </row>
    <row r="55" spans="1:4" x14ac:dyDescent="0.3">
      <c r="B55" s="4"/>
      <c r="D55" s="98"/>
    </row>
    <row r="56" spans="1:4" x14ac:dyDescent="0.3">
      <c r="B56" s="4"/>
      <c r="D56" s="98"/>
    </row>
    <row r="57" spans="1:4" x14ac:dyDescent="0.3">
      <c r="B57" s="33"/>
      <c r="C57" s="42"/>
      <c r="D57" s="42"/>
    </row>
    <row r="58" spans="1:4" x14ac:dyDescent="0.3">
      <c r="B58" s="4"/>
      <c r="D58" s="98"/>
    </row>
    <row r="59" spans="1:4" x14ac:dyDescent="0.3">
      <c r="B59" s="4"/>
      <c r="D59" s="98"/>
    </row>
    <row r="74" spans="2:2" ht="17.399999999999999" x14ac:dyDescent="0.35">
      <c r="B74" s="318"/>
    </row>
    <row r="75" spans="2:2" x14ac:dyDescent="0.3">
      <c r="B75" s="157"/>
    </row>
    <row r="81" spans="2:2" x14ac:dyDescent="0.3">
      <c r="B81" s="157"/>
    </row>
    <row r="85" spans="2:2" x14ac:dyDescent="0.3">
      <c r="B85" s="317"/>
    </row>
    <row r="94" spans="2:2" x14ac:dyDescent="0.3">
      <c r="B94" s="3"/>
    </row>
    <row r="95" spans="2:2" x14ac:dyDescent="0.3">
      <c r="B95" s="3"/>
    </row>
    <row r="99" spans="2:2" x14ac:dyDescent="0.3">
      <c r="B99" s="317"/>
    </row>
    <row r="101" spans="2:2" x14ac:dyDescent="0.3">
      <c r="B101" s="10"/>
    </row>
    <row r="102" spans="2:2" x14ac:dyDescent="0.3">
      <c r="B102" s="10"/>
    </row>
    <row r="106" spans="2:2" x14ac:dyDescent="0.3">
      <c r="B106" s="3"/>
    </row>
    <row r="107" spans="2:2" x14ac:dyDescent="0.3">
      <c r="B107" s="3"/>
    </row>
  </sheetData>
  <autoFilter ref="A6:M6" xr:uid="{54BA76AF-D044-4984-908D-510EF5A11805}">
    <sortState xmlns:xlrd2="http://schemas.microsoft.com/office/spreadsheetml/2017/richdata2" ref="A7:M15">
      <sortCondition descending="1" ref="M6"/>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BC17-2EF5-413B-ABFE-A358F32DDB08}">
  <sheetPr>
    <tabColor theme="9" tint="0.79998168889431442"/>
  </sheetPr>
  <dimension ref="A2:U16"/>
  <sheetViews>
    <sheetView topLeftCell="N1" zoomScale="80" zoomScaleNormal="80" workbookViewId="0">
      <selection activeCell="V7" sqref="V7:V17"/>
    </sheetView>
  </sheetViews>
  <sheetFormatPr defaultColWidth="8.6640625" defaultRowHeight="14.4" x14ac:dyDescent="0.3"/>
  <cols>
    <col min="1" max="1" width="11.88671875" style="29" customWidth="1"/>
    <col min="2" max="2" width="17.5546875" customWidth="1"/>
    <col min="3" max="3" width="8.88671875" customWidth="1"/>
    <col min="4" max="4" width="12.6640625" customWidth="1"/>
    <col min="5" max="5" width="8.44140625" customWidth="1"/>
    <col min="6" max="11" width="10.44140625" customWidth="1"/>
    <col min="12" max="13" width="14.6640625" customWidth="1"/>
    <col min="14" max="14" width="14.6640625" style="11" customWidth="1"/>
    <col min="15" max="18" width="14.6640625" customWidth="1"/>
    <col min="19" max="19" width="8.5546875" customWidth="1"/>
    <col min="20" max="20" width="15.6640625" customWidth="1"/>
    <col min="21" max="21" width="18.44140625" customWidth="1"/>
  </cols>
  <sheetData>
    <row r="2" spans="1:21" ht="21" x14ac:dyDescent="0.4">
      <c r="A2" s="58" t="s">
        <v>30</v>
      </c>
      <c r="M2" s="150"/>
      <c r="T2" t="s">
        <v>31</v>
      </c>
    </row>
    <row r="3" spans="1:21" x14ac:dyDescent="0.3">
      <c r="L3" s="6"/>
      <c r="P3" s="6"/>
      <c r="R3" s="6"/>
      <c r="S3" s="7"/>
      <c r="T3" s="7"/>
      <c r="U3" s="7"/>
    </row>
    <row r="4" spans="1:21" x14ac:dyDescent="0.3">
      <c r="A4" s="77"/>
      <c r="B4" s="78"/>
      <c r="C4" s="78"/>
      <c r="D4" s="78"/>
      <c r="E4" s="78"/>
      <c r="F4" s="78"/>
      <c r="G4" s="78"/>
      <c r="H4" s="78"/>
      <c r="I4" s="78"/>
      <c r="J4" s="78"/>
      <c r="K4" s="78"/>
      <c r="L4" s="78"/>
      <c r="M4" s="78"/>
      <c r="N4" s="79"/>
      <c r="O4" s="78"/>
      <c r="P4" s="80"/>
      <c r="Q4" s="78"/>
      <c r="R4" s="80"/>
      <c r="S4" s="81"/>
      <c r="T4" s="81"/>
      <c r="U4" s="81"/>
    </row>
    <row r="5" spans="1:21" x14ac:dyDescent="0.3">
      <c r="A5" s="60" t="s">
        <v>32</v>
      </c>
      <c r="B5" s="41"/>
      <c r="C5" s="41"/>
      <c r="D5" s="47"/>
      <c r="E5" s="47"/>
      <c r="F5" s="160" t="s">
        <v>33</v>
      </c>
      <c r="G5" s="47"/>
      <c r="H5" s="47"/>
      <c r="I5" s="47"/>
      <c r="J5" s="47"/>
      <c r="K5" s="47"/>
      <c r="L5" s="39" t="s">
        <v>34</v>
      </c>
      <c r="M5" s="39" t="s">
        <v>35</v>
      </c>
      <c r="N5" s="39" t="s">
        <v>36</v>
      </c>
      <c r="O5" s="39" t="s">
        <v>37</v>
      </c>
      <c r="P5" s="40" t="s">
        <v>38</v>
      </c>
      <c r="Q5" s="40" t="s">
        <v>39</v>
      </c>
      <c r="R5" s="40" t="s">
        <v>40</v>
      </c>
      <c r="S5" s="40" t="s">
        <v>41</v>
      </c>
      <c r="T5" s="52" t="s">
        <v>42</v>
      </c>
      <c r="U5" s="52" t="s">
        <v>43</v>
      </c>
    </row>
    <row r="6" spans="1:21" s="8" customFormat="1" ht="57.6" x14ac:dyDescent="0.3">
      <c r="A6" s="62" t="s">
        <v>44</v>
      </c>
      <c r="B6" s="61" t="s">
        <v>45</v>
      </c>
      <c r="C6" s="61" t="s">
        <v>46</v>
      </c>
      <c r="D6" s="63" t="s">
        <v>47</v>
      </c>
      <c r="E6" s="64" t="s">
        <v>48</v>
      </c>
      <c r="F6" s="159" t="s">
        <v>49</v>
      </c>
      <c r="G6" s="158" t="s">
        <v>50</v>
      </c>
      <c r="H6" s="159" t="s">
        <v>51</v>
      </c>
      <c r="I6" s="159" t="s">
        <v>52</v>
      </c>
      <c r="J6" s="159" t="s">
        <v>53</v>
      </c>
      <c r="K6" s="158" t="s">
        <v>54</v>
      </c>
      <c r="L6" s="66" t="s">
        <v>55</v>
      </c>
      <c r="M6" s="66" t="s">
        <v>56</v>
      </c>
      <c r="N6" s="66" t="s">
        <v>57</v>
      </c>
      <c r="O6" s="67" t="s">
        <v>58</v>
      </c>
      <c r="P6" s="68" t="s">
        <v>59</v>
      </c>
      <c r="Q6" s="69" t="s">
        <v>60</v>
      </c>
      <c r="R6" s="69" t="s">
        <v>61</v>
      </c>
      <c r="S6" s="69" t="s">
        <v>62</v>
      </c>
      <c r="T6" s="46" t="s">
        <v>63</v>
      </c>
      <c r="U6" s="46" t="s">
        <v>64</v>
      </c>
    </row>
    <row r="7" spans="1:21" x14ac:dyDescent="0.3">
      <c r="A7" s="11">
        <v>21114</v>
      </c>
      <c r="B7" s="11" t="s">
        <v>65</v>
      </c>
      <c r="C7" s="15" t="s">
        <v>66</v>
      </c>
      <c r="D7" t="s">
        <v>28</v>
      </c>
      <c r="E7" t="s">
        <v>67</v>
      </c>
      <c r="F7" s="10">
        <f>'GHG detailed, results per kg'!G11</f>
        <v>7.0171185287805873</v>
      </c>
      <c r="G7" s="10">
        <f>'GHG detailed, results per kg'!G7</f>
        <v>2.345633718865515</v>
      </c>
      <c r="H7" s="98">
        <f>'GHG detailed, results per kg'!G8</f>
        <v>5.5894578179092411E-3</v>
      </c>
      <c r="I7" s="42">
        <f>'GHG detailed, results per kg'!G9</f>
        <v>1.6603948323353563E-2</v>
      </c>
      <c r="J7" s="42">
        <f>'GHG detailed, results per kg'!G10</f>
        <v>1.4859385942164221E-2</v>
      </c>
      <c r="L7" s="17">
        <f>(Production!$B$5*'Parameters, country spec'!$B$52*'EFP per kg feed'!F20+(Production!$B$6+Production!$B$7)*'Parameters, country spec'!$B$53*'EFP per kg feed'!F21)/Production!$B$23</f>
        <v>14.898765947619497</v>
      </c>
      <c r="M7" s="258">
        <f>(Production!$B$5*'Parameters, country spec'!$B$52*'EFP per kg feed'!G20+(Production!$B$6+Production!$B$7)*'Parameters, country spec'!$B$53*'EFP per kg feed'!G21-Excreted_N_after_losses_FR*Manure_repl_factor_FR)/Production!B23</f>
        <v>0.22204241533370764</v>
      </c>
      <c r="N7" s="258">
        <f>(Production!$B$5*'Parameters, country spec'!$B$52*'EFP per kg feed'!H20+(Production!$B$6+Production!$B$7)*'Parameters, country spec'!$B$53*'EFP per kg feed'!H21)/Production!B23</f>
        <v>2.009215020180807E-2</v>
      </c>
      <c r="O7" s="258">
        <f>(Production!$B$5*'Parameters, country spec'!$B$52*'EFP per kg feed'!I20+(Production!$B$6+Production!$B$7)*'Parameters, country spec'!$B$53*'EFP per kg feed'!I21)/Production!B23</f>
        <v>2.9030357110231959E-2</v>
      </c>
      <c r="P7" s="17">
        <f>(Production!$B$5*'Parameters, country spec'!$B$52*'EFP per kg feed'!J20+(Production!$B$6+Production!$B$7)*'Parameters, country spec'!$B$53*'EFP per kg feed'!J21)/Production!B23</f>
        <v>2.0218759091876519</v>
      </c>
      <c r="Q7" s="300">
        <f>(Production!$B$5*'Parameters, country spec'!$B$52*'EFP per kg feed'!K20+(Production!$B$6+Production!$B$7)*'Parameters, country spec'!$B$53*'EFP per kg feed'!K21)/Production!B23</f>
        <v>2.4893952606818317E-10</v>
      </c>
      <c r="R7" s="18">
        <f>(Production!$B$5*'Parameters, country spec'!$B$52*'EFP per kg feed'!L20+(Production!$B$6+Production!$B$7)*'Parameters, country spec'!$B$53*'EFP per kg feed'!L21+Manure!C156)/Production!B23</f>
        <v>0.19626360804838117</v>
      </c>
      <c r="S7" s="9"/>
      <c r="T7" s="112">
        <v>121.25590407316534</v>
      </c>
      <c r="U7" s="115">
        <v>757.94109504620712</v>
      </c>
    </row>
    <row r="8" spans="1:21" x14ac:dyDescent="0.3">
      <c r="A8" s="11">
        <v>21114</v>
      </c>
      <c r="B8" s="11" t="s">
        <v>65</v>
      </c>
      <c r="C8" s="15" t="s">
        <v>66</v>
      </c>
      <c r="D8" t="s">
        <v>25</v>
      </c>
      <c r="E8" t="s">
        <v>68</v>
      </c>
      <c r="F8" s="10">
        <f>'GHG detailed, results per kg'!G16</f>
        <v>8.2539037282251702</v>
      </c>
      <c r="G8" s="10">
        <f>'GHG detailed, results per kg'!G12</f>
        <v>3.4261773115886283</v>
      </c>
      <c r="H8" s="98">
        <f>'GHG detailed, results per kg'!G13</f>
        <v>7.3404683998663147E-3</v>
      </c>
      <c r="I8" s="42">
        <f>'GHG detailed, results per kg'!G14</f>
        <v>2.7964304425051011E-2</v>
      </c>
      <c r="J8" s="42">
        <f>'GHG detailed, results per kg'!G15</f>
        <v>1.4117011863897978E-2</v>
      </c>
      <c r="L8" s="17">
        <f>(Production!$C$5*'Parameters, country spec'!$C$52*'EFP per kg feed'!F36+(Production!$C$6+Production!$C$7)*'Parameters, country spec'!$C$53*'EFP per kg feed'!F37)/Production!$C$23</f>
        <v>14.495349628192805</v>
      </c>
      <c r="M8" s="258">
        <f>(Production!$C$5*'Parameters, country spec'!$C$52*'EFP per kg feed'!G36+(Production!$C$6+Production!$C$7)*'Parameters, country spec'!$C$53*'EFP per kg feed'!G37-Excreted_N_after_losses_DE*Manure_repl_factor_DE)/Production!$C$23</f>
        <v>0.22454162765022084</v>
      </c>
      <c r="N8" s="258">
        <f>(Production!$C$5*'Parameters, country spec'!$C$52*'EFP per kg feed'!H36+(Production!$C$6+Production!$C$7)*'Parameters, country spec'!$C$53*'EFP per kg feed'!H37)/Production!$C$23</f>
        <v>1.9789972159477379E-2</v>
      </c>
      <c r="O8" s="258">
        <f>(Production!$C$5*'Parameters, country spec'!$C$52*'EFP per kg feed'!I36+(Production!$C$6+Production!$C$7)*'Parameters, country spec'!$C$53*'EFP per kg feed'!I37)/Production!$C$23</f>
        <v>1.0788414651826015E-2</v>
      </c>
      <c r="P8" s="17">
        <f>(Production!$C$5*'Parameters, country spec'!$C$52*'EFP per kg feed'!J36+(Production!$C$6+Production!$C$7)*'Parameters, country spec'!$C$53*'EFP per kg feed'!J37)/Production!$C$23</f>
        <v>1.9767377826637158</v>
      </c>
      <c r="Q8" s="300">
        <f>(Production!$C$5*'Parameters, country spec'!$C$52*'EFP per kg feed'!K36+(Production!$C$6+Production!$C$7)*'Parameters, country spec'!$C$53*'EFP per kg feed'!K37)/Production!$C$23</f>
        <v>2.1621626395371567E-10</v>
      </c>
      <c r="R8" s="18">
        <f>(Production!$C$5*'Parameters, country spec'!$C$52*'EFP per kg feed'!L36+(Production!$C$6+Production!$C$7)*'Parameters, country spec'!$C$53*'EFP per kg feed'!L37+Manure!E156)/Production!$C$23</f>
        <v>0.18057983507647143</v>
      </c>
      <c r="S8" s="9"/>
      <c r="T8" s="112">
        <v>101.88378415965509</v>
      </c>
      <c r="U8" s="118">
        <v>1269.8642799716831</v>
      </c>
    </row>
    <row r="9" spans="1:21" x14ac:dyDescent="0.3">
      <c r="A9" s="11">
        <v>21114</v>
      </c>
      <c r="B9" s="11" t="s">
        <v>65</v>
      </c>
      <c r="C9" s="15" t="s">
        <v>66</v>
      </c>
      <c r="D9" t="s">
        <v>21</v>
      </c>
      <c r="E9" t="s">
        <v>69</v>
      </c>
      <c r="F9" s="10">
        <f>'GHG detailed, results per kg'!G21</f>
        <v>9.0198193385326686</v>
      </c>
      <c r="G9" s="10">
        <f>'GHG detailed, results per kg'!G17</f>
        <v>4.2036425224765006</v>
      </c>
      <c r="H9" s="98">
        <f>'GHG detailed, results per kg'!G18</f>
        <v>8.5784066694126315E-3</v>
      </c>
      <c r="I9" s="42">
        <f>'GHG detailed, results per kg'!G19</f>
        <v>1.2544321672012517E-3</v>
      </c>
      <c r="J9" s="42">
        <f>'GHG detailed, results per kg'!G20</f>
        <v>1.6581211094480713E-2</v>
      </c>
      <c r="L9" s="17">
        <f>(Production!$D$5*'Parameters, country spec'!$D$52*'EFP per kg feed'!F52+(Production!$D$6+Production!$D$7)*'Parameters, country spec'!$D$53*'EFP per kg feed'!F53)/Production!$D$23</f>
        <v>28.746278255462304</v>
      </c>
      <c r="M9" s="258">
        <f>(Production!$D$5*'Parameters, country spec'!$D$52*'EFP per kg feed'!G52+(Production!$D$6+Production!$D$7)*'Parameters, country spec'!$D$53*'EFP per kg feed'!G53-Excreted_N_after_losses_GR*Manure_repl_factor_GR)/Production!$D$23</f>
        <v>0.2664059248718576</v>
      </c>
      <c r="N9" s="258">
        <f>(Production!$D$5*'Parameters, country spec'!$D$52*'EFP per kg feed'!H52+(Production!$D$6+Production!$D$7)*'Parameters, country spec'!$D$53*'EFP per kg feed'!H53)/Production!$D$23</f>
        <v>2.4037419166336792E-2</v>
      </c>
      <c r="O9" s="258">
        <f>(Production!$D$5*'Parameters, country spec'!$D$52*'EFP per kg feed'!I52+(Production!$D$6+Production!$D$7)*'Parameters, country spec'!$D$53*'EFP per kg feed'!I53)/Production!$D$23</f>
        <v>0.12704870633161347</v>
      </c>
      <c r="P9" s="17">
        <f>(Production!$D$5*'Parameters, country spec'!$D$52*'EFP per kg feed'!J52+(Production!$D$6+Production!$D$7)*'Parameters, country spec'!$D$53*'EFP per kg feed'!J53)/Production!$D$23</f>
        <v>1.1644735692411725</v>
      </c>
      <c r="Q9" s="300">
        <f>(Production!$D$5*'Parameters, country spec'!$D$52*'EFP per kg feed'!K52+(Production!$D$6+Production!$D$7)*'Parameters, country spec'!$D$53*'EFP per kg feed'!K53)/Production!$D$23</f>
        <v>1.1193561053218716E-9</v>
      </c>
      <c r="R9" s="18">
        <f>(Production!$D$5*'Parameters, country spec'!$D$52*'EFP per kg feed'!L52+(Production!$D$6+Production!$D$7)*'Parameters, country spec'!$D$53*'EFP per kg feed'!L53+Manure!G156)/Production!$D$23</f>
        <v>0.18036991702137087</v>
      </c>
      <c r="S9" s="9"/>
      <c r="T9" s="112">
        <v>102.67637038453515</v>
      </c>
      <c r="U9" s="118">
        <v>2477.6965076170995</v>
      </c>
    </row>
    <row r="10" spans="1:21" x14ac:dyDescent="0.3">
      <c r="A10" s="11">
        <v>21114</v>
      </c>
      <c r="B10" s="11" t="s">
        <v>65</v>
      </c>
      <c r="C10" s="15" t="s">
        <v>66</v>
      </c>
      <c r="D10" t="s">
        <v>24</v>
      </c>
      <c r="E10" t="s">
        <v>70</v>
      </c>
      <c r="F10" s="10">
        <f>'GHG detailed, results per kg'!G26</f>
        <v>8.7927214756801533</v>
      </c>
      <c r="G10" s="10">
        <f>'GHG detailed, results per kg'!G22</f>
        <v>3.3854857547414619</v>
      </c>
      <c r="H10" s="98">
        <f>'GHG detailed, results per kg'!G23</f>
        <v>7.9309520477162179E-3</v>
      </c>
      <c r="I10" s="42">
        <f>'GHG detailed, results per kg'!G24</f>
        <v>2.7999577034449916E-2</v>
      </c>
      <c r="J10" s="42">
        <f>'GHG detailed, results per kg'!G25</f>
        <v>1.6171812344273253E-2</v>
      </c>
      <c r="L10" s="17">
        <f>(Production!$E$5*'Parameters, country spec'!$E$52*'EFP per kg feed'!F68+(Production!$E$6+Production!$E$7)*'Parameters, country spec'!$E$53*'EFP per kg feed'!F69)/Production!$E$23</f>
        <v>21.111352843129065</v>
      </c>
      <c r="M10" s="258">
        <f>(Production!$E$5*'Parameters, country spec'!$E$52*'EFP per kg feed'!G68+(Production!$E$6+Production!$E$7)*'Parameters, country spec'!$E$53*'EFP per kg feed'!G69-Excreted_N_after_losses_HU*Manure_repl_factor_HU)/Production!$E$23</f>
        <v>0.28947878109112729</v>
      </c>
      <c r="N10" s="258">
        <f>(Production!$E$5*'Parameters, country spec'!$E$52*'EFP per kg feed'!H68+(Production!$E$6+Production!$E$7)*'Parameters, country spec'!$E$53*'EFP per kg feed'!H69)/Production!$E$23</f>
        <v>2.6366738396348979E-2</v>
      </c>
      <c r="O10" s="258">
        <f>(Production!$E$5*'Parameters, country spec'!$E$52*'EFP per kg feed'!I68+(Production!$E$6+Production!$E$7)*'Parameters, country spec'!$E$53*'EFP per kg feed'!I69)/Production!$E$23</f>
        <v>1.9521400403888129E-2</v>
      </c>
      <c r="P10" s="17">
        <f>(Production!$E$5*'Parameters, country spec'!$E$52*'EFP per kg feed'!J68+(Production!$E$6+Production!$E$7)*'Parameters, country spec'!$E$53*'EFP per kg feed'!J69)/Production!$E$23</f>
        <v>1.3864312362183171</v>
      </c>
      <c r="Q10" s="300">
        <f>(Production!$E$5*'Parameters, country spec'!$E$52*'EFP per kg feed'!K68+(Production!$E$6+Production!$E$7)*'Parameters, country spec'!$E$53*'EFP per kg feed'!K69)/Production!$E$23</f>
        <v>3.096546901108036E-10</v>
      </c>
      <c r="R10" s="18">
        <f>(Production!$E$5*'Parameters, country spec'!$E$52*'EFP per kg feed'!L68+(Production!$E$6+Production!$E$7)*'Parameters, country spec'!$E$53*'EFP per kg feed'!L69+Manure!I156)/Production!$E$23</f>
        <v>0.18010799470432273</v>
      </c>
      <c r="S10" s="9"/>
      <c r="T10" s="112">
        <v>102.67637038453515</v>
      </c>
      <c r="U10" s="118">
        <v>1931.1173012628617</v>
      </c>
    </row>
    <row r="11" spans="1:21" x14ac:dyDescent="0.3">
      <c r="A11" s="11">
        <v>21114</v>
      </c>
      <c r="B11" s="11" t="s">
        <v>65</v>
      </c>
      <c r="C11" s="15" t="s">
        <v>66</v>
      </c>
      <c r="D11" t="s">
        <v>23</v>
      </c>
      <c r="E11" t="s">
        <v>71</v>
      </c>
      <c r="F11" s="10">
        <f>'GHG detailed, results per kg'!G31</f>
        <v>8.8662113636656663</v>
      </c>
      <c r="G11" s="10">
        <f>'GHG detailed, results per kg'!G27</f>
        <v>3.3048844950496559</v>
      </c>
      <c r="H11" s="98">
        <f>'GHG detailed, results per kg'!G28</f>
        <v>9.6225463143252941E-3</v>
      </c>
      <c r="I11" s="42">
        <f>'GHG detailed, results per kg'!G29</f>
        <v>2.7964304425155476E-2</v>
      </c>
      <c r="J11" s="42">
        <f>'GHG detailed, results per kg'!G30</f>
        <v>1.655508706582387E-2</v>
      </c>
      <c r="L11" s="17">
        <f>(Production!$F$5*'Parameters, country spec'!$F$52*'EFP per kg feed'!F84+(Production!$F$6+Production!$F$7)*'Parameters, country spec'!$F$53*'EFP per kg feed'!F85)/Production!$F$23</f>
        <v>19.821785179905667</v>
      </c>
      <c r="M11" s="258">
        <f>(Production!$F$5*'Parameters, country spec'!$F$52*'EFP per kg feed'!G84+(Production!$F$6+Production!$F$7)*'Parameters, country spec'!$F$53*'EFP per kg feed'!G85-Excreted_N_after_losses_IT*Manure_repl_factor_IT)/Production!$F$23</f>
        <v>0.25546918766960064</v>
      </c>
      <c r="N11" s="258">
        <f>(Production!$F$5*'Parameters, country spec'!$F$52*'EFP per kg feed'!H84+(Production!$F$6+Production!$F$7)*'Parameters, country spec'!$F$53*'EFP per kg feed'!H85)/Production!$F$23</f>
        <v>2.3006826700652818E-2</v>
      </c>
      <c r="O11" s="258">
        <f>(Production!$F$5*'Parameters, country spec'!$F$52*'EFP per kg feed'!I84+(Production!$F$6+Production!$F$7)*'Parameters, country spec'!$F$53*'EFP per kg feed'!I85)/Production!$F$23</f>
        <v>7.3460272979563895E-2</v>
      </c>
      <c r="P11" s="17">
        <f>(Production!$F$5*'Parameters, country spec'!$F$52*'EFP per kg feed'!J84+(Production!$F$6+Production!$F$7)*'Parameters, country spec'!$F$53*'EFP per kg feed'!J85)/Production!$F$23</f>
        <v>1.1960959757190073</v>
      </c>
      <c r="Q11" s="300">
        <f>(Production!$F$5*'Parameters, country spec'!$F$52*'EFP per kg feed'!K84+(Production!$F$6+Production!$F$7)*'Parameters, country spec'!$F$53*'EFP per kg feed'!K85)/Production!$F$23</f>
        <v>8.6899546041263061E-10</v>
      </c>
      <c r="R11" s="18">
        <f>(Production!$F$5*'Parameters, country spec'!$F$52*'EFP per kg feed'!L84+(Production!$F$6+Production!$F$7)*'Parameters, country spec'!$F$53*'EFP per kg feed'!L85+Manure!K156)/Production!$F$23</f>
        <v>0.18032777007106698</v>
      </c>
      <c r="S11" s="9"/>
      <c r="T11" s="112">
        <v>97.593058658125301</v>
      </c>
      <c r="U11" s="115">
        <v>3113.7036487780383</v>
      </c>
    </row>
    <row r="12" spans="1:21" x14ac:dyDescent="0.3">
      <c r="A12" s="11">
        <v>21114</v>
      </c>
      <c r="B12" s="11" t="s">
        <v>65</v>
      </c>
      <c r="C12" s="15" t="s">
        <v>66</v>
      </c>
      <c r="D12" t="s">
        <v>20</v>
      </c>
      <c r="E12" t="s">
        <v>72</v>
      </c>
      <c r="F12" s="10">
        <f>'GHG detailed, results per kg'!G36</f>
        <v>10.264242957488493</v>
      </c>
      <c r="G12" s="10">
        <f>'GHG detailed, results per kg'!G32</f>
        <v>3.6744385724403066</v>
      </c>
      <c r="H12" s="98">
        <f>'GHG detailed, results per kg'!G33</f>
        <v>7.108532100477411E-3</v>
      </c>
      <c r="I12" s="42">
        <f>'GHG detailed, results per kg'!G34</f>
        <v>2.7999577034449916E-2</v>
      </c>
      <c r="J12" s="42">
        <f>'GHG detailed, results per kg'!G35</f>
        <v>2.0593339005581721E-2</v>
      </c>
      <c r="L12" s="17">
        <f>(Production!$G$5*'Parameters, country spec'!$G$52*'EFP per kg feed'!F100+(Production!$G$6+Production!$G$7)*'Parameters, country spec'!$G$53*'EFP per kg feed'!F101)/Production!$G$23</f>
        <v>15.907490342349719</v>
      </c>
      <c r="M12" s="258">
        <f>(Production!$G$5*'Parameters, country spec'!$G$52*'EFP per kg feed'!G100+(Production!$G$6+Production!$G$7)*'Parameters, country spec'!$G$53*'EFP per kg feed'!G101-Excreted_N_after_losses_NL*Manure_repl_factor_NL)/Production!$G$23</f>
        <v>0.27482316388546557</v>
      </c>
      <c r="N12" s="258">
        <f>(Production!$G$5*'Parameters, country spec'!$G$52*'EFP per kg feed'!H100+(Production!$G$6+Production!$G$7)*'Parameters, country spec'!$G$53*'EFP per kg feed'!H101)/Production!$G$23</f>
        <v>1.9416006825034783E-2</v>
      </c>
      <c r="O12" s="258">
        <f>(Production!$G$5*'Parameters, country spec'!$G$52*'EFP per kg feed'!I100+(Production!$G$6+Production!$G$7)*'Parameters, country spec'!$G$53*'EFP per kg feed'!I101)/Production!$G$23</f>
        <v>5.7456982568200143E-2</v>
      </c>
      <c r="P12" s="17">
        <f>(Production!$G$5*'Parameters, country spec'!$G$52*'EFP per kg feed'!J100+(Production!$G$6+Production!$G$7)*'Parameters, country spec'!$G$53*'EFP per kg feed'!J101)/Production!$G$23</f>
        <v>1.9808827832734572</v>
      </c>
      <c r="Q12" s="300">
        <f>(Production!$G$5*'Parameters, country spec'!$G$52*'EFP per kg feed'!K100+(Production!$G$6+Production!$G$7)*'Parameters, country spec'!$G$53*'EFP per kg feed'!K101)/Production!$G$23</f>
        <v>2.087601442970374E-10</v>
      </c>
      <c r="R12" s="18">
        <f>(Production!$G$5*'Parameters, country spec'!$G$52*'EFP per kg feed'!L100+(Production!$G$6+Production!$G$7)*'Parameters, country spec'!$G$53*'EFP per kg feed'!L101+Manure!M156)/Production!$G$23</f>
        <v>0.18387731113609806</v>
      </c>
      <c r="S12" s="9"/>
      <c r="T12" s="112">
        <v>101.88378415965509</v>
      </c>
      <c r="U12" s="115">
        <v>640.80057843583882</v>
      </c>
    </row>
    <row r="13" spans="1:21" x14ac:dyDescent="0.3">
      <c r="A13" s="11">
        <v>21114</v>
      </c>
      <c r="B13" s="11" t="s">
        <v>65</v>
      </c>
      <c r="C13" s="15" t="s">
        <v>66</v>
      </c>
      <c r="D13" t="s">
        <v>22</v>
      </c>
      <c r="E13" t="s">
        <v>73</v>
      </c>
      <c r="F13" s="10">
        <f>'GHG detailed, results per kg'!G41</f>
        <v>8.8851138021163543</v>
      </c>
      <c r="G13" s="10">
        <f>'GHG detailed, results per kg'!G37</f>
        <v>3.4984234472651128</v>
      </c>
      <c r="H13" s="98">
        <f>'GHG detailed, results per kg'!G38</f>
        <v>4.4924811013695096E-3</v>
      </c>
      <c r="I13" s="42">
        <f>'GHG detailed, results per kg'!G39</f>
        <v>2.5096162684035167E-2</v>
      </c>
      <c r="J13" s="42">
        <f>'GHG detailed, results per kg'!G40</f>
        <v>1.6759040386672093E-2</v>
      </c>
      <c r="L13" s="17">
        <f>(Production!$H$5*'Parameters, country spec'!$H$52*'EFP per kg feed'!F116+(Production!$H$6+Production!$H$7)*'Parameters, country spec'!$H$53*'EFP per kg feed'!F117)/Production!$H$23</f>
        <v>19.383331596771239</v>
      </c>
      <c r="M13" s="258">
        <f>(Production!$H$5*'Parameters, country spec'!$H$52*'EFP per kg feed'!G116+(Production!$H$6+Production!$H$7)*'Parameters, country spec'!$H$53*'EFP per kg feed'!G117-Excreted_N_after_losses_PL*Manure_repl_factor_PL)/Production!$H$23</f>
        <v>0.23231555269890358</v>
      </c>
      <c r="N13" s="258">
        <f>(Production!$H$5*'Parameters, country spec'!$H$52*'EFP per kg feed'!H116+(Production!$H$6+Production!$H$7)*'Parameters, country spec'!$H$53*'EFP per kg feed'!H117)/Production!$H$23</f>
        <v>2.0686903533554218E-2</v>
      </c>
      <c r="O13" s="258">
        <f>(Production!$H$5*'Parameters, country spec'!$H$52*'EFP per kg feed'!I116+(Production!$H$6+Production!$H$7)*'Parameters, country spec'!$H$53*'EFP per kg feed'!I117)/Production!$H$23</f>
        <v>1.3280843309902255E-2</v>
      </c>
      <c r="P13" s="17">
        <f>(Production!$H$5*'Parameters, country spec'!$H$52*'EFP per kg feed'!J116+(Production!$H$6+Production!$H$7)*'Parameters, country spec'!$H$53*'EFP per kg feed'!J117)/Production!$H$23</f>
        <v>1.75424350487783</v>
      </c>
      <c r="Q13" s="300">
        <f>(Production!$H$5*'Parameters, country spec'!$H$52*'EFP per kg feed'!K116+(Production!$H$6+Production!$H$7)*'Parameters, country spec'!$H$53*'EFP per kg feed'!K117)/Production!$H$23</f>
        <v>1.8800246673818261E-10</v>
      </c>
      <c r="R13" s="18">
        <f>(Production!$H$5*'Parameters, country spec'!$H$52*'EFP per kg feed'!L116+(Production!$H$6+Production!$H$7)*'Parameters, country spec'!$H$53*'EFP per kg feed'!L117+Manure!O156)/Production!$H$23</f>
        <v>0.17880684646737874</v>
      </c>
      <c r="S13" s="9"/>
      <c r="T13" s="112">
        <v>101.69850019039673</v>
      </c>
      <c r="U13" s="115">
        <v>4014.1836143645196</v>
      </c>
    </row>
    <row r="14" spans="1:21" x14ac:dyDescent="0.3">
      <c r="A14" s="11">
        <v>21114</v>
      </c>
      <c r="B14" s="11" t="s">
        <v>65</v>
      </c>
      <c r="C14" s="15" t="s">
        <v>66</v>
      </c>
      <c r="D14" t="s">
        <v>26</v>
      </c>
      <c r="E14" t="s">
        <v>74</v>
      </c>
      <c r="F14" s="10">
        <f>'GHG detailed, results per kg'!G46</f>
        <v>8.8440563265789187</v>
      </c>
      <c r="G14" s="10">
        <f>'GHG detailed, results per kg'!G42</f>
        <v>2.7795669301712458</v>
      </c>
      <c r="H14" s="98">
        <f>'GHG detailed, results per kg'!G43</f>
        <v>6.1204156132670948E-3</v>
      </c>
      <c r="I14" s="42">
        <f>'GHG detailed, results per kg'!G44</f>
        <v>3.7799620371700135E-2</v>
      </c>
      <c r="J14" s="42">
        <f>'GHG detailed, results per kg'!G45</f>
        <v>1.7807733557129703E-2</v>
      </c>
      <c r="L14" s="17">
        <f>(Production!$I$5*'Parameters, country spec'!$I$52*'EFP per kg feed'!F132+(Production!$I$6+Production!$I$7)*'Parameters, country spec'!$I$53*'EFP per kg feed'!F133)/Production!$I$23</f>
        <v>23.43752238440273</v>
      </c>
      <c r="M14" s="258">
        <f>(Production!$I$5*'Parameters, country spec'!$I$52*'EFP per kg feed'!G132+(Production!$I$6+Production!$I$7)*'Parameters, country spec'!$I$53*'EFP per kg feed'!G133-Excreted_N_after_losses_ES*Manure_repl_factor_ES)/Production!$I$23</f>
        <v>0.26168194915366599</v>
      </c>
      <c r="N14" s="258">
        <f>(Production!$I$5*'Parameters, country spec'!$I$52*'EFP per kg feed'!H132+(Production!$I$6+Production!$I$7)*'Parameters, country spec'!$I$53*'EFP per kg feed'!H133)/Production!$I$23</f>
        <v>2.3475304198145593E-2</v>
      </c>
      <c r="O14" s="258">
        <f>(Production!$I$5*'Parameters, country spec'!$I$52*'EFP per kg feed'!I132+(Production!$I$6+Production!$I$7)*'Parameters, country spec'!$I$53*'EFP per kg feed'!I133)/Production!$I$23</f>
        <v>0.33808759458050874</v>
      </c>
      <c r="P14" s="17">
        <f>(Production!$I$5*'Parameters, country spec'!$I$52*'EFP per kg feed'!J132+(Production!$I$6+Production!$I$7)*'Parameters, country spec'!$I$53*'EFP per kg feed'!J133)/Production!$I$23</f>
        <v>1.5290634021198266</v>
      </c>
      <c r="Q14" s="300">
        <f>(Production!$I$5*'Parameters, country spec'!$I$52*'EFP per kg feed'!K132+(Production!$I$6+Production!$I$7)*'Parameters, country spec'!$I$53*'EFP per kg feed'!K133)/Production!$I$23</f>
        <v>1.2778618628849169E-9</v>
      </c>
      <c r="R14" s="18">
        <f>(Production!$I$5*'Parameters, country spec'!$I$52*'EFP per kg feed'!L132+(Production!$I$6+Production!$I$7)*'Parameters, country spec'!$I$53*'EFP per kg feed'!L133+Manure!Q156)/Production!$I$23</f>
        <v>0.21020262106171017</v>
      </c>
      <c r="S14" s="9"/>
      <c r="T14" s="5">
        <v>121.25590407316534</v>
      </c>
      <c r="U14" s="115">
        <v>2076.2107087181316</v>
      </c>
    </row>
    <row r="15" spans="1:21" x14ac:dyDescent="0.3">
      <c r="A15" s="11">
        <v>21114</v>
      </c>
      <c r="B15" s="11" t="s">
        <v>65</v>
      </c>
      <c r="C15" s="15" t="s">
        <v>66</v>
      </c>
      <c r="D15" t="s">
        <v>27</v>
      </c>
      <c r="E15" t="s">
        <v>75</v>
      </c>
      <c r="F15" s="10">
        <f>'GHG detailed, results per kg'!G51</f>
        <v>7.9041335098426284</v>
      </c>
      <c r="G15" s="10">
        <f>'GHG detailed, results per kg'!G47</f>
        <v>2.8587918758922832</v>
      </c>
      <c r="H15" s="98">
        <f>'GHG detailed, results per kg'!G48</f>
        <v>6.1866075088361384E-3</v>
      </c>
      <c r="I15" s="42">
        <f>'GHG detailed, results per kg'!G49</f>
        <v>3.3947812662667151E-2</v>
      </c>
      <c r="J15" s="42">
        <f>'GHG detailed, results per kg'!G50</f>
        <v>1.4448314242838883E-2</v>
      </c>
      <c r="L15" s="10">
        <f>(Production!$J$5*'Parameters, country spec'!$J$52*'EFP per kg feed'!F148+(Production!$J$6+Production!$J$7)*'Parameters, country spec'!$J$53*'EFP per kg feed'!F149)/Production!$J$23</f>
        <v>22.095189736080407</v>
      </c>
      <c r="M15" s="258">
        <f>(Production!$J$5*'Parameters, country spec'!$J$52*'EFP per kg feed'!G148+(Production!$J$6+Production!$J$7)*'Parameters, country spec'!$J$53*'EFP per kg feed'!G149-Excreted_N_after_losses_SE*Manure_repl_factor_SE)/Production!$J$23</f>
        <v>0.27904073209157848</v>
      </c>
      <c r="N15" s="396">
        <f>(Production!$J$5*'Parameters, country spec'!$J$52*'EFP per kg feed'!H148+(Production!$J$6+Production!$J$7)*'Parameters, country spec'!$J$53*'EFP per kg feed'!H149)/Production!$J$23</f>
        <v>2.0585372460372956E-2</v>
      </c>
      <c r="O15" s="98">
        <f>(Production!$J$5*'Parameters, country spec'!$J$52*'EFP per kg feed'!I148+(Production!$J$6+Production!$J$7)*'Parameters, country spec'!$J$53*'EFP per kg feed'!I149)/Production!$J$23</f>
        <v>1.4250393505674308E-2</v>
      </c>
      <c r="P15" s="10">
        <f>(Production!$J$5*'Parameters, country spec'!$J$52*'EFP per kg feed'!J148+(Production!$J$6+Production!$J$7)*'Parameters, country spec'!$J$53*'EFP per kg feed'!J149)/Production!$J$23</f>
        <v>1.398917790391869</v>
      </c>
      <c r="Q15" s="42">
        <f>(Production!$J$5*'Parameters, country spec'!$J$52*'EFP per kg feed'!K148+(Production!$J$6+Production!$J$7)*'Parameters, country spec'!$J$53*'EFP per kg feed'!K149)/Production!$J$23</f>
        <v>2.080783954389343E-10</v>
      </c>
      <c r="R15" s="4">
        <f>(Production!$J$5*'Parameters, country spec'!$J$52*'EFP per kg feed'!L148+(Production!$J$6+Production!$J$7)*'Parameters, country spec'!$J$53*'EFP per kg feed'!L149+Manure!Q156)/Production!$J$23</f>
        <v>0.22138482332711412</v>
      </c>
      <c r="T15" s="112">
        <v>41.600193310618181</v>
      </c>
      <c r="U15" s="115">
        <v>251.1459783916292</v>
      </c>
    </row>
    <row r="16" spans="1:21" x14ac:dyDescent="0.3">
      <c r="Q16" s="251"/>
      <c r="T16" s="6"/>
      <c r="U16" s="6"/>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tabColor theme="9" tint="0.59999389629810485"/>
  </sheetPr>
  <dimension ref="A1:AA211"/>
  <sheetViews>
    <sheetView topLeftCell="A19" zoomScale="80" zoomScaleNormal="80" workbookViewId="0">
      <selection activeCell="K1" sqref="K1"/>
    </sheetView>
  </sheetViews>
  <sheetFormatPr defaultColWidth="8.6640625" defaultRowHeight="14.4" x14ac:dyDescent="0.3"/>
  <cols>
    <col min="1" max="1" width="8.33203125" style="29" customWidth="1"/>
    <col min="2" max="2" width="22.44140625" customWidth="1"/>
    <col min="3" max="3" width="27.33203125" customWidth="1"/>
    <col min="4" max="5" width="10.33203125" customWidth="1"/>
    <col min="6" max="6" width="7.6640625" customWidth="1"/>
    <col min="7" max="7" width="9.33203125" style="11" customWidth="1"/>
    <col min="8" max="20" width="14.6640625" customWidth="1"/>
    <col min="21" max="22" width="14.6640625" style="7" customWidth="1"/>
    <col min="23" max="24" width="14.6640625" customWidth="1"/>
    <col min="26" max="26" width="16" customWidth="1"/>
    <col min="27" max="27" width="19.33203125" customWidth="1"/>
  </cols>
  <sheetData>
    <row r="1" spans="1:27" x14ac:dyDescent="0.3">
      <c r="H1" s="150"/>
      <c r="K1" s="150" t="s">
        <v>76</v>
      </c>
      <c r="N1" s="6"/>
    </row>
    <row r="2" spans="1:27" ht="21" x14ac:dyDescent="0.4">
      <c r="A2" s="58" t="s">
        <v>77</v>
      </c>
      <c r="H2" s="150"/>
      <c r="M2" s="6"/>
      <c r="N2" s="6"/>
      <c r="S2" s="10"/>
      <c r="T2" s="4"/>
    </row>
    <row r="3" spans="1:27" x14ac:dyDescent="0.3">
      <c r="J3" s="6"/>
      <c r="L3" s="7"/>
      <c r="M3" s="7"/>
      <c r="N3" s="7"/>
      <c r="O3" s="7"/>
      <c r="P3" s="7"/>
      <c r="Q3" s="7"/>
      <c r="R3" s="7"/>
      <c r="S3" s="7"/>
      <c r="T3" s="7"/>
    </row>
    <row r="4" spans="1:27" x14ac:dyDescent="0.3">
      <c r="A4" s="59"/>
      <c r="B4" s="43"/>
      <c r="C4" s="43"/>
      <c r="D4" s="43"/>
      <c r="E4" s="43"/>
      <c r="F4" s="43"/>
      <c r="G4" s="43"/>
      <c r="H4" s="44"/>
      <c r="I4" s="44"/>
      <c r="J4" s="45"/>
      <c r="K4" s="45"/>
      <c r="L4" s="45"/>
      <c r="M4" s="45"/>
      <c r="N4" s="45"/>
      <c r="O4" s="45"/>
      <c r="P4" s="45"/>
      <c r="Q4" s="45"/>
      <c r="R4" s="45"/>
      <c r="S4" s="44" t="s">
        <v>78</v>
      </c>
      <c r="T4" s="44"/>
      <c r="U4" s="55"/>
      <c r="V4" s="55"/>
      <c r="W4" s="45" t="s">
        <v>79</v>
      </c>
      <c r="X4" s="45" t="s">
        <v>80</v>
      </c>
      <c r="Z4" s="44" t="s">
        <v>81</v>
      </c>
      <c r="AA4" s="44"/>
    </row>
    <row r="5" spans="1:27" x14ac:dyDescent="0.3">
      <c r="A5" s="60" t="s">
        <v>32</v>
      </c>
      <c r="B5" s="41"/>
      <c r="C5" s="41"/>
      <c r="D5" s="47"/>
      <c r="E5" s="47"/>
      <c r="F5" s="48"/>
      <c r="G5" s="49" t="s">
        <v>82</v>
      </c>
      <c r="H5" s="49" t="s">
        <v>83</v>
      </c>
      <c r="I5" s="50"/>
      <c r="J5" s="49" t="s">
        <v>84</v>
      </c>
      <c r="K5" s="51"/>
      <c r="L5" s="52" t="s">
        <v>85</v>
      </c>
      <c r="M5" s="51"/>
      <c r="N5" s="51"/>
      <c r="O5" s="51"/>
      <c r="P5" s="52" t="s">
        <v>86</v>
      </c>
      <c r="Q5" s="52" t="s">
        <v>87</v>
      </c>
      <c r="R5" s="52" t="s">
        <v>88</v>
      </c>
      <c r="S5" s="53"/>
      <c r="T5" s="53"/>
      <c r="U5" s="56"/>
      <c r="V5" s="56"/>
      <c r="W5" s="54"/>
      <c r="X5" s="54"/>
      <c r="Z5" s="49"/>
      <c r="AA5" s="49" t="s">
        <v>89</v>
      </c>
    </row>
    <row r="6" spans="1:27" ht="57.6" x14ac:dyDescent="0.3">
      <c r="A6" s="62" t="s">
        <v>90</v>
      </c>
      <c r="B6" s="61" t="s">
        <v>91</v>
      </c>
      <c r="C6" s="61" t="s">
        <v>92</v>
      </c>
      <c r="D6" s="63" t="s">
        <v>47</v>
      </c>
      <c r="E6" s="64" t="s">
        <v>48</v>
      </c>
      <c r="F6" s="63" t="s">
        <v>93</v>
      </c>
      <c r="G6" s="64" t="s">
        <v>94</v>
      </c>
      <c r="H6" s="46" t="s">
        <v>8</v>
      </c>
      <c r="I6" s="46" t="s">
        <v>9</v>
      </c>
      <c r="J6" s="46" t="s">
        <v>95</v>
      </c>
      <c r="K6" s="46" t="s">
        <v>96</v>
      </c>
      <c r="L6" s="46" t="s">
        <v>97</v>
      </c>
      <c r="M6" s="46" t="s">
        <v>98</v>
      </c>
      <c r="N6" s="46" t="s">
        <v>99</v>
      </c>
      <c r="O6" s="46" t="s">
        <v>100</v>
      </c>
      <c r="P6" s="46" t="s">
        <v>101</v>
      </c>
      <c r="Q6" s="46" t="s">
        <v>87</v>
      </c>
      <c r="R6" s="46" t="s">
        <v>14</v>
      </c>
      <c r="S6" s="64" t="s">
        <v>15</v>
      </c>
      <c r="T6" s="64" t="s">
        <v>102</v>
      </c>
      <c r="U6" s="374" t="s">
        <v>103</v>
      </c>
      <c r="V6" s="374" t="s">
        <v>104</v>
      </c>
      <c r="W6" s="46" t="s">
        <v>17</v>
      </c>
      <c r="X6" s="46" t="s">
        <v>18</v>
      </c>
      <c r="Z6" s="64" t="s">
        <v>105</v>
      </c>
      <c r="AA6" s="64" t="s">
        <v>106</v>
      </c>
    </row>
    <row r="7" spans="1:27" x14ac:dyDescent="0.3">
      <c r="A7" s="11" t="s">
        <v>107</v>
      </c>
      <c r="B7" s="11" t="s">
        <v>65</v>
      </c>
      <c r="C7" s="15" t="s">
        <v>108</v>
      </c>
      <c r="D7" s="16" t="s">
        <v>28</v>
      </c>
      <c r="E7" s="16" t="s">
        <v>67</v>
      </c>
      <c r="F7" s="36" t="s">
        <v>109</v>
      </c>
      <c r="G7" s="18">
        <f>SUM(H7:X7)</f>
        <v>2.345633718865515</v>
      </c>
      <c r="H7" s="18">
        <f>(Production!$B$5*'Parameters, country spec'!$B$52*'CO2 per kg feed'!G20+(Production!$B$6+Production!$B$7)*'Parameters, country spec'!$B$53*'CO2 per kg feed'!G21)/Production!B23</f>
        <v>0.63927308555341045</v>
      </c>
      <c r="I7" s="18">
        <f>(Production!$B$5*'Parameters, country spec'!$B$52*'CO2 per kg feed'!H20+(Production!$B$6+Production!$B$7)*'Parameters, country spec'!$B$53*'CO2 per kg feed'!H21)/Production!B23</f>
        <v>0.25387017570114057</v>
      </c>
      <c r="J7" s="18"/>
      <c r="K7" s="18"/>
      <c r="L7" s="18">
        <f>(Production!$B$5*'Parameters, country spec'!$B$52*'CO2 per kg feed'!K20+(Production!$B$6+Production!$B$7)*'Parameters, country spec'!$B$53*'CO2 per kg feed'!K21)/Production!B23</f>
        <v>0.27471693234810318</v>
      </c>
      <c r="M7" s="18"/>
      <c r="N7" s="18">
        <f>(Production!$B$5*'Parameters, country spec'!$B$52*'CO2 per kg feed'!M20+(Production!$B$6+Production!$B$7)*'Parameters, country spec'!$B$53*'CO2 per kg feed'!M21)/Production!B23</f>
        <v>3.4456960184196345E-4</v>
      </c>
      <c r="O7" s="18">
        <f>(Production!$B$5*'Parameters, country spec'!$B$52*'CO2 per kg feed'!N20+(Production!$B$6+Production!$B$7)*'Parameters, country spec'!$B$53*'CO2 per kg feed'!N21)/Production!B23</f>
        <v>0.21688221870376426</v>
      </c>
      <c r="P7" s="18">
        <f>(Production!$B$5*'Parameters, country spec'!$B$52*'CO2 per kg feed'!O20+(Production!$B$6+Production!$B$7)*'Parameters, country spec'!$B$53*'CO2 per kg feed'!O21)/Production!B23</f>
        <v>0.27502472787200605</v>
      </c>
      <c r="Q7" s="18">
        <f>(Production!$B$5*'Parameters, country spec'!$B$52*'CO2 per kg feed'!P20+(Production!$B$6+Production!$B$7)*'Parameters, country spec'!$B$53*'CO2 per kg feed'!P21)/Production!B23</f>
        <v>0.3441691555779175</v>
      </c>
      <c r="R7" s="18">
        <f>(Production!$B$5*'Parameters, country spec'!$B$52*'CO2 per kg feed'!Q20+(Production!$B$6+Production!$B$7)*'Parameters, country spec'!$B$53*'CO2 per kg feed'!Q21)/Production!B23</f>
        <v>0.23734423405315144</v>
      </c>
      <c r="S7" s="4"/>
      <c r="W7" s="4">
        <f>'Parameters, country spec'!B61*EF_el_CO2_FR</f>
        <v>6.3363221307179432E-2</v>
      </c>
      <c r="X7" s="4">
        <f>Energy_slaughter_el_FR*EF_el_CO2_FR+Energy_slaughter_oil_FR*EF_oil_CO2</f>
        <v>4.0645398146999995E-2</v>
      </c>
      <c r="Z7" s="18"/>
      <c r="AA7" s="18"/>
    </row>
    <row r="8" spans="1:27" x14ac:dyDescent="0.3">
      <c r="A8" s="11" t="s">
        <v>107</v>
      </c>
      <c r="B8" s="11" t="s">
        <v>65</v>
      </c>
      <c r="C8" s="15" t="s">
        <v>108</v>
      </c>
      <c r="D8" s="16" t="s">
        <v>28</v>
      </c>
      <c r="E8" s="16" t="s">
        <v>67</v>
      </c>
      <c r="F8" s="11" t="s">
        <v>110</v>
      </c>
      <c r="G8" s="18">
        <f t="shared" ref="G8:G43" si="0">SUM(H8:X8)</f>
        <v>5.5894578179092411E-3</v>
      </c>
      <c r="H8" s="300">
        <f>(Production!$B$5*'Parameters, country spec'!$B$52*'CH4 per kg feed'!G20+(Production!$B$6+Production!$B$7)*'Parameters, country spec'!$B$53*'CH4 per kg feed'!G21)/Production!B23</f>
        <v>1.2082374630621433E-3</v>
      </c>
      <c r="I8" s="33">
        <f>(Production!$B$5*'Parameters, country spec'!$B$52*'CH4 per kg feed'!H20+(Production!$B$6+Production!$B$7)*'Parameters, country spec'!$B$53*'CH4 per kg feed'!H21)/Production!B23</f>
        <v>9.1648438156153168E-4</v>
      </c>
      <c r="J8" s="33"/>
      <c r="K8" s="33"/>
      <c r="L8" s="33">
        <f>(Production!$B$5*'Parameters, country spec'!$B$52*'CH4 per kg feed'!K20+(Production!$B$6+Production!$B$7)*'Parameters, country spec'!$B$53*'CH4 per kg feed'!K21)/Production!B23</f>
        <v>1.2421388836360994E-4</v>
      </c>
      <c r="M8" s="33"/>
      <c r="N8" s="33">
        <f>(Production!$B$5*'Parameters, country spec'!$B$52*'CH4 per kg feed'!M20+(Production!$B$6+Production!$B$7)*'Parameters, country spec'!$B$53*'CH4 per kg feed'!M21)/Production!B23</f>
        <v>5.2074277784972152E-6</v>
      </c>
      <c r="O8" s="33">
        <f>(Production!$B$5*'Parameters, country spec'!$B$52*'CH4 per kg feed'!N20+(Production!$B$6+Production!$B$7)*'Parameters, country spec'!$B$53*'CH4 per kg feed'!N21)/Production!B23</f>
        <v>1.1975108720409449E-4</v>
      </c>
      <c r="P8" s="33">
        <f>(Production!$B$5*'Parameters, country spec'!$B$52*'CH4 per kg feed'!O20+(Production!$B$6+Production!$B$7)*'Parameters, country spec'!$B$53*'CH4 per kg feed'!O21)/Production!B23</f>
        <v>0</v>
      </c>
      <c r="Q8" s="33">
        <f>(Production!$B$5*'Parameters, country spec'!$B$52*'CH4 per kg feed'!P20+(Production!$B$6+Production!$B$7)*'Parameters, country spec'!$B$53*'CH4 per kg feed'!P21)/Production!B23</f>
        <v>2.7018254715784938E-3</v>
      </c>
      <c r="R8" s="33">
        <f>(Production!$B$5*'Parameters, country spec'!$B$52*'CH4 per kg feed'!Q20+(Production!$B$6+Production!$B$7)*'Parameters, country spec'!$B$53*'CH4 per kg feed'!Q21)/Production!B23</f>
        <v>2.0705889164709739E-4</v>
      </c>
      <c r="W8" s="33">
        <f>'Parameters, country spec'!B61*EF_el_CH4_FR</f>
        <v>1.9644552144121235E-4</v>
      </c>
      <c r="X8" s="33">
        <f>Energy_slaughter_el_FR*EF_el_CH4_FR+Energy_slaughter_oil_FR*EF_oil_CH4</f>
        <v>1.1023368527256001E-4</v>
      </c>
      <c r="Z8" s="32"/>
      <c r="AA8" s="32"/>
    </row>
    <row r="9" spans="1:27" x14ac:dyDescent="0.3">
      <c r="A9" s="11" t="s">
        <v>107</v>
      </c>
      <c r="B9" s="11" t="s">
        <v>65</v>
      </c>
      <c r="C9" s="15" t="s">
        <v>108</v>
      </c>
      <c r="D9" s="16" t="s">
        <v>28</v>
      </c>
      <c r="E9" s="16" t="s">
        <v>67</v>
      </c>
      <c r="F9" s="11" t="s">
        <v>111</v>
      </c>
      <c r="G9" s="18">
        <f>SUM(H9:T9)</f>
        <v>1.6603948323353563E-2</v>
      </c>
      <c r="H9" s="300"/>
      <c r="I9" s="33"/>
      <c r="J9" s="33"/>
      <c r="K9" s="33"/>
      <c r="L9" s="33"/>
      <c r="M9" s="33"/>
      <c r="N9" s="33"/>
      <c r="O9" s="33"/>
      <c r="P9" s="33"/>
      <c r="Q9" s="33"/>
      <c r="R9" s="33"/>
      <c r="S9" s="4">
        <f>(Production!B5*'Parameters, country spec'!B57+(Production!B6+Production!B7)*'Parameters, country spec'!B57)/Production!B23</f>
        <v>3.8512555385193491E-4</v>
      </c>
      <c r="T9" s="42">
        <f>SUM(U9:V9)</f>
        <v>1.6218822769501626E-2</v>
      </c>
      <c r="U9" s="57">
        <f>Manure!C35</f>
        <v>1.6218822769501626E-2</v>
      </c>
      <c r="W9" s="33"/>
      <c r="X9" s="33"/>
      <c r="Z9" s="32"/>
      <c r="AA9" s="32"/>
    </row>
    <row r="10" spans="1:27" ht="15" thickBot="1" x14ac:dyDescent="0.35">
      <c r="A10" s="11" t="s">
        <v>107</v>
      </c>
      <c r="B10" s="11" t="s">
        <v>65</v>
      </c>
      <c r="C10" s="15" t="s">
        <v>108</v>
      </c>
      <c r="D10" s="16" t="s">
        <v>28</v>
      </c>
      <c r="E10" s="16" t="s">
        <v>67</v>
      </c>
      <c r="F10" s="34" t="s">
        <v>112</v>
      </c>
      <c r="G10" s="18">
        <f>SUM(H10:T10)+W10+X10</f>
        <v>1.4859385942164221E-2</v>
      </c>
      <c r="H10" s="300">
        <f>(Production!$B$5*'Parameters, country spec'!$B$52*'N2O per kg feed'!G20+(Production!$B$6+Production!$B$7)*'Parameters, country spec'!$B$53*'N2O per kg feed'!G21)/Production!B23</f>
        <v>1.4221032624315009E-3</v>
      </c>
      <c r="I10" s="32">
        <f>(Production!$B$5*'Parameters, country spec'!$B$52*'N2O per kg feed'!H20+(Production!$B$6+Production!$B$7)*'Parameters, country spec'!$B$53*'N2O per kg feed'!H21)/Production!B23</f>
        <v>9.8781096688961103E-6</v>
      </c>
      <c r="J10" s="32">
        <f>(Production!$B$5*'Parameters, country spec'!$B$52*'N2O per kg feed'!I20+(Production!$B$6+Production!$B$7)*'Parameters, country spec'!$B$53*'N2O per kg feed'!I21+Manure!C150)/Production!B23</f>
        <v>9.8487636425648416E-3</v>
      </c>
      <c r="K10" s="32">
        <f>J10*EF_indirect_N2O_FR</f>
        <v>9.8487636425648411E-4</v>
      </c>
      <c r="L10" s="32">
        <f>(Production!$B$5*'Parameters, country spec'!$B$52*'N2O per kg feed'!K20+(Production!$B$6+Production!$B$7)*'Parameters, country spec'!$B$53*'N2O per kg feed'!K21)/Production!B23</f>
        <v>7.6691119994585277E-6</v>
      </c>
      <c r="M10" s="32"/>
      <c r="N10" s="32">
        <f>(Production!$B$5*'Parameters, country spec'!$B$52*'N2O per kg feed'!M20+(Production!$B$6+Production!$B$7)*'Parameters, country spec'!$B$53*'N2O per kg feed'!M21)/Production!B23</f>
        <v>6.4284478627779391E-8</v>
      </c>
      <c r="O10" s="32">
        <f>(Production!$B$5*'Parameters, country spec'!$B$52*'N2O per kg feed'!N20+(Production!$B$6+Production!$B$7)*'Parameters, country spec'!$B$53*'N2O per kg feed'!N21)/Production!B23</f>
        <v>8.1190634241411879E-6</v>
      </c>
      <c r="P10" s="32">
        <f>(Production!$B$5*'Parameters, country spec'!$B$52*'N2O per kg feed'!O20+(Production!$B$6+Production!$B$7)*'Parameters, country spec'!$B$53*'N2O per kg feed'!O21)/Production!B23</f>
        <v>0</v>
      </c>
      <c r="Q10" s="32">
        <f>(Production!$B$5*'Parameters, country spec'!$B$52*'N2O per kg feed'!P20+(Production!$B$6+Production!$B$7)*'Parameters, country spec'!$B$53*'N2O per kg feed'!P21)/Production!B23</f>
        <v>2.2970075838241652E-4</v>
      </c>
      <c r="R10" s="32">
        <f>(Production!$B$5*'Parameters, country spec'!$B$52*'N2O per kg feed'!Q20+(Production!$B$6+Production!$B$7)*'Parameters, country spec'!$B$53*'N2O per kg feed'!Q21)/Production!B23</f>
        <v>8.7031844130234154E-6</v>
      </c>
      <c r="S10" s="4"/>
      <c r="T10" s="42">
        <f>SUM(U10:V10)</f>
        <v>2.3300984747703893E-3</v>
      </c>
      <c r="U10" s="172">
        <f>Manure!$C$92*44/28</f>
        <v>5.6054856692101213E-5</v>
      </c>
      <c r="V10" s="172">
        <f>Manure!$C$157*17/14*Manure!$B$120</f>
        <v>2.2740436180782881E-3</v>
      </c>
      <c r="W10" s="33">
        <f>'Parameters, country spec'!B61*EF_el_N2O_FR</f>
        <v>5.9385409460398716E-6</v>
      </c>
      <c r="X10" s="33">
        <f>Energy_slaughter_el_FR*EF_el_N2O_FR+Energy_slaughter_oil_FR*EF_oil_N2O</f>
        <v>3.4711448283999995E-6</v>
      </c>
      <c r="Z10" s="32"/>
      <c r="AA10" s="32"/>
    </row>
    <row r="11" spans="1:27" ht="15.6" thickTop="1" thickBot="1" x14ac:dyDescent="0.35">
      <c r="A11" s="373" t="s">
        <v>107</v>
      </c>
      <c r="B11" s="122" t="s">
        <v>65</v>
      </c>
      <c r="C11" s="123" t="s">
        <v>108</v>
      </c>
      <c r="D11" s="37" t="s">
        <v>28</v>
      </c>
      <c r="E11" s="37" t="s">
        <v>67</v>
      </c>
      <c r="F11" s="127" t="s">
        <v>113</v>
      </c>
      <c r="G11" s="128">
        <f t="shared" si="0"/>
        <v>7.0171185287805873</v>
      </c>
      <c r="H11" s="126">
        <f>SUMPRODUCT(H7:H10,'Parameters, general'!$B$23:$B$26)</f>
        <v>1.0635127525964621</v>
      </c>
      <c r="I11" s="126">
        <f>SUMPRODUCT(I7:I10,'Parameters, general'!$B$23:$B$26)</f>
        <v>0.28387813421128283</v>
      </c>
      <c r="J11" s="126">
        <f>SUMPRODUCT(J7:J10,'Parameters, general'!$B$23:$B$26)</f>
        <v>2.6887124744202016</v>
      </c>
      <c r="K11" s="126">
        <f>SUMPRODUCT(K7:K10,'Parameters, general'!$B$23:$B$26)</f>
        <v>0.26887124744202018</v>
      </c>
      <c r="L11" s="126">
        <f>SUMPRODUCT(L7:L10,'Parameters, general'!$B$23:$B$26)</f>
        <v>0.2805121737971909</v>
      </c>
      <c r="M11" s="126">
        <f>SUMPRODUCT(M7:M10,'Parameters, general'!$B$23:$B$26)</f>
        <v>0</v>
      </c>
      <c r="N11" s="126">
        <f>SUMPRODUCT(N7:N10,'Parameters, general'!$B$23:$B$26)</f>
        <v>5.1730061230656423E-4</v>
      </c>
      <c r="O11" s="126">
        <f>SUMPRODUCT(O7:O10,'Parameters, general'!$B$23:$B$26)</f>
        <v>0.22266730541723681</v>
      </c>
      <c r="P11" s="126">
        <f>SUMPRODUCT(P7:P10,'Parameters, general'!$B$23:$B$26)</f>
        <v>0.27502472787200605</v>
      </c>
      <c r="Q11" s="126">
        <f>SUMPRODUCT(Q7:Q10,'Parameters, general'!$B$23:$B$26)</f>
        <v>0.48739186166935633</v>
      </c>
      <c r="R11" s="126">
        <f>SUMPRODUCT(R7:R10,'Parameters, general'!$B$23:$B$26)</f>
        <v>0.24589055836899035</v>
      </c>
      <c r="S11" s="126">
        <f>SUMPRODUCT(S7:S10,'Parameters, general'!$B$23:$B$26)</f>
        <v>1.0398389954002243E-2</v>
      </c>
      <c r="T11" s="126">
        <f>SUMPRODUCT(T7:T10,'Parameters, general'!$B$23:$B$26)</f>
        <v>1.0740250983888602</v>
      </c>
      <c r="U11" s="126"/>
      <c r="V11" s="126"/>
      <c r="W11" s="126">
        <f>SUMPRODUCT(W7:W10,'Parameters, general'!$B$23:$B$26)</f>
        <v>7.0838519524396446E-2</v>
      </c>
      <c r="X11" s="126">
        <f>SUMPRODUCT(X7:X10,'Parameters, general'!$B$23:$B$26)</f>
        <v>4.4877984506275483E-2</v>
      </c>
      <c r="Z11" s="102">
        <f>SUM(H11:R11)</f>
        <v>5.8169785364070536</v>
      </c>
      <c r="AA11" s="141">
        <f>'CO2 per kg feed'!F20+'CH4 per kg feed'!F20*CF_GWP_CH4_fossil+'N2O per kg feed'!F20*CF_GWP_N2O</f>
        <v>0.4348431594329375</v>
      </c>
    </row>
    <row r="12" spans="1:27" ht="15" thickTop="1" x14ac:dyDescent="0.3">
      <c r="A12" s="397" t="s">
        <v>107</v>
      </c>
      <c r="B12" s="397" t="s">
        <v>65</v>
      </c>
      <c r="C12" s="398" t="s">
        <v>108</v>
      </c>
      <c r="D12" s="399" t="s">
        <v>25</v>
      </c>
      <c r="E12" s="399" t="s">
        <v>68</v>
      </c>
      <c r="F12" s="400" t="s">
        <v>109</v>
      </c>
      <c r="G12" s="401">
        <f>SUM(H12:X12)</f>
        <v>3.4261773115886283</v>
      </c>
      <c r="H12" s="401">
        <f>(Production!$C$5*'Parameters, country spec'!$C$52*'CO2 per kg feed'!G36+(Production!$C$6+Production!$C$7)*'Parameters, country spec'!$C$53*'CO2 per kg feed'!G37)/Production!C23</f>
        <v>0.6353397943448349</v>
      </c>
      <c r="I12" s="401">
        <f>(Production!$C$5*'Parameters, country spec'!$C$52*'CO2 per kg feed'!H36+(Production!$C$6+Production!$C$7)*'Parameters, country spec'!$C$53*'CO2 per kg feed'!H37)/Production!C23</f>
        <v>0.25042552589796863</v>
      </c>
      <c r="J12" s="401"/>
      <c r="K12" s="401"/>
      <c r="L12" s="401">
        <f>(Production!$C$5*'Parameters, country spec'!$C$52*'CO2 per kg feed'!K36+(Production!$C$6+Production!$C$7)*'Parameters, country spec'!$C$53*'CO2 per kg feed'!K37)/Production!C23</f>
        <v>0.2730067215711271</v>
      </c>
      <c r="M12" s="401"/>
      <c r="N12" s="401">
        <f>(Production!$C$5*'Parameters, country spec'!$C$52*'CO2 per kg feed'!M36+(Production!$C$6+Production!$C$7)*'Parameters, country spec'!$C$53*'CO2 per kg feed'!M37)/Production!C23</f>
        <v>3.1828528433878398E-4</v>
      </c>
      <c r="O12" s="401">
        <f>(Production!$C$5*'Parameters, country spec'!$C$52*'CO2 per kg feed'!N36+(Production!$C$6+Production!$C$7)*'Parameters, country spec'!$C$53*'CO2 per kg feed'!N37)/Production!C23</f>
        <v>0.2456990956284629</v>
      </c>
      <c r="P12" s="401">
        <f>(Production!$C$5*'Parameters, country spec'!$C$52*'CO2 per kg feed'!O36+(Production!$C$6+Production!$C$7)*'Parameters, country spec'!$C$53*'CO2 per kg feed'!O37)/Production!C23</f>
        <v>0.26951540200527097</v>
      </c>
      <c r="Q12" s="401">
        <f>(Production!$C$5*'Parameters, country spec'!$C$52*'CO2 per kg feed'!P36+(Production!$C$6+Production!$C$7)*'Parameters, country spec'!$C$53*'CO2 per kg feed'!P37)/Production!C23</f>
        <v>0.98071414702018678</v>
      </c>
      <c r="R12" s="401">
        <f>(Production!$C$5*'Parameters, country spec'!$C$52*'CO2 per kg feed'!Q36+(Production!$C$6+Production!$C$7)*'Parameters, country spec'!$C$53*'CO2 per kg feed'!Q37)/Production!C23</f>
        <v>0.24281787591610138</v>
      </c>
      <c r="S12" s="402"/>
      <c r="T12" s="403"/>
      <c r="U12" s="404"/>
      <c r="V12" s="404"/>
      <c r="W12" s="402">
        <f>'Parameters, country spec'!C61*EF_el_CO2_DE</f>
        <v>0.33713878526689667</v>
      </c>
      <c r="X12" s="405">
        <f>Energy_slaughter_el_DE*EF_el_CO2_DE+Energy_slaughter_oil_DE*EF_oil_CO2</f>
        <v>0.19120167865344001</v>
      </c>
      <c r="Z12" s="18"/>
      <c r="AA12" s="18"/>
    </row>
    <row r="13" spans="1:27" x14ac:dyDescent="0.3">
      <c r="A13" s="11" t="s">
        <v>107</v>
      </c>
      <c r="B13" s="11" t="s">
        <v>65</v>
      </c>
      <c r="C13" s="15" t="s">
        <v>108</v>
      </c>
      <c r="D13" s="16" t="s">
        <v>25</v>
      </c>
      <c r="E13" s="16" t="s">
        <v>68</v>
      </c>
      <c r="F13" s="11" t="s">
        <v>110</v>
      </c>
      <c r="G13" s="18">
        <f t="shared" si="0"/>
        <v>7.3404683998663147E-3</v>
      </c>
      <c r="H13" s="300">
        <f>(Production!$C$5*'Parameters, country spec'!$C$52*'CH4 per kg feed'!G36+(Production!$C$6+Production!$C$7)*'Parameters, country spec'!$C$53*'CH4 per kg feed'!G37)/Production!C23</f>
        <v>1.1997382546287665E-3</v>
      </c>
      <c r="I13" s="300">
        <f>(Production!$C$5*'Parameters, country spec'!$C$52*'CH4 per kg feed'!H36+(Production!$C$6+Production!$C$7)*'Parameters, country spec'!$C$53*'CH4 per kg feed'!H37)/Production!C23</f>
        <v>9.0405799829668533E-4</v>
      </c>
      <c r="J13" s="300"/>
      <c r="K13" s="300"/>
      <c r="L13" s="300">
        <f>(Production!$C$5*'Parameters, country spec'!$C$52*'CH4 per kg feed'!K36+(Production!$C$6+Production!$C$7)*'Parameters, country spec'!$C$53*'CH4 per kg feed'!K37)/Production!C23</f>
        <v>1.2917717935219546E-4</v>
      </c>
      <c r="M13" s="300"/>
      <c r="N13" s="300">
        <f>(Production!$C$5*'Parameters, country spec'!$C$52*'CH4 per kg feed'!M36+(Production!$C$6+Production!$C$7)*'Parameters, country spec'!$C$53*'CH4 per kg feed'!M37)/Production!C23</f>
        <v>1.6461799726241796E-6</v>
      </c>
      <c r="O13" s="300">
        <f>(Production!$C$5*'Parameters, country spec'!$C$52*'CH4 per kg feed'!N36+(Production!$C$6+Production!$C$7)*'Parameters, country spec'!$C$53*'CH4 per kg feed'!N37)/Production!C23</f>
        <v>1.7475780565176939E-4</v>
      </c>
      <c r="P13" s="300">
        <f>(Production!$C$5*'Parameters, country spec'!$C$52*'CH4 per kg feed'!O36+(Production!$C$6+Production!$C$7)*'Parameters, country spec'!$C$53*'CH4 per kg feed'!O37)/Production!C23</f>
        <v>0</v>
      </c>
      <c r="Q13" s="300">
        <f>(Production!$C$5*'Parameters, country spec'!$C$52*'CH4 per kg feed'!P36+(Production!$C$6+Production!$C$7)*'Parameters, country spec'!$C$53*'CH4 per kg feed'!P37)/Production!C23</f>
        <v>3.7173074553763954E-3</v>
      </c>
      <c r="R13" s="300">
        <f>(Production!$C$5*'Parameters, country spec'!$C$52*'CH4 per kg feed'!Q36+(Production!$C$6+Production!$C$7)*'Parameters, country spec'!$C$53*'CH4 per kg feed'!Q37)/Production!C23</f>
        <v>2.1201844906433228E-4</v>
      </c>
      <c r="W13" s="33">
        <f>'Parameters, country spec'!C61*EF_el_CH4_DE</f>
        <v>6.4490945070578675E-4</v>
      </c>
      <c r="X13" s="33">
        <f>Energy_slaughter_el_DE*EF_el_CH4_DE+Energy_slaughter_oil_DE*EF_oil_CH4</f>
        <v>3.5685562681775997E-4</v>
      </c>
      <c r="Z13" s="32"/>
      <c r="AA13" s="32"/>
    </row>
    <row r="14" spans="1:27" x14ac:dyDescent="0.3">
      <c r="A14" s="11" t="s">
        <v>107</v>
      </c>
      <c r="B14" s="11" t="s">
        <v>65</v>
      </c>
      <c r="C14" s="15" t="s">
        <v>108</v>
      </c>
      <c r="D14" s="16" t="s">
        <v>25</v>
      </c>
      <c r="E14" s="16" t="s">
        <v>68</v>
      </c>
      <c r="F14" s="11" t="s">
        <v>111</v>
      </c>
      <c r="G14" s="18">
        <f>SUM(H14:T14)</f>
        <v>2.7964304425051011E-2</v>
      </c>
      <c r="H14" s="300"/>
      <c r="I14" s="300"/>
      <c r="J14" s="311"/>
      <c r="K14" s="300"/>
      <c r="L14" s="300"/>
      <c r="M14" s="300"/>
      <c r="N14" s="300"/>
      <c r="O14" s="300"/>
      <c r="P14" s="300"/>
      <c r="Q14" s="300"/>
      <c r="R14" s="300"/>
      <c r="S14" s="4">
        <f>(Production!C5*'Parameters, country spec'!C57+(Production!C6+Production!C7)*'Parameters, country spec'!C57)/Production!C23</f>
        <v>3.2811879896777607E-4</v>
      </c>
      <c r="T14" s="42">
        <f>SUM(U14:V14)</f>
        <v>2.7636185626083234E-2</v>
      </c>
      <c r="U14" s="57">
        <f>Manure!E35</f>
        <v>2.7636185626083234E-2</v>
      </c>
      <c r="W14" s="33"/>
      <c r="X14" s="33"/>
      <c r="Z14" s="32"/>
      <c r="AA14" s="32"/>
    </row>
    <row r="15" spans="1:27" ht="15" thickBot="1" x14ac:dyDescent="0.35">
      <c r="A15" s="11" t="s">
        <v>107</v>
      </c>
      <c r="B15" s="11" t="s">
        <v>65</v>
      </c>
      <c r="C15" s="15" t="s">
        <v>108</v>
      </c>
      <c r="D15" s="16" t="s">
        <v>25</v>
      </c>
      <c r="E15" s="16" t="s">
        <v>68</v>
      </c>
      <c r="F15" s="34" t="s">
        <v>112</v>
      </c>
      <c r="G15" s="18">
        <f>SUM(H15:T15)+W15+X15</f>
        <v>1.4117011863897978E-2</v>
      </c>
      <c r="H15" s="300">
        <f>(Production!$C$5*'Parameters, country spec'!$C$52*'N2O per kg feed'!G36+(Production!$C$6+Production!$C$7)*'Parameters, country spec'!$C$53*'N2O per kg feed'!G37)/Production!C23</f>
        <v>1.4131227420517212E-3</v>
      </c>
      <c r="I15" s="300">
        <f>(Production!$C$5*'Parameters, country spec'!$C$52*'N2O per kg feed'!H36+(Production!$C$6+Production!$C$7)*'Parameters, country spec'!$C$53*'N2O per kg feed'!H37)/Production!C23</f>
        <v>9.7438984671739302E-6</v>
      </c>
      <c r="J15" s="300">
        <f>(Production!$C$5*'Parameters, country spec'!$C$52*'N2O per kg feed'!I36+(Production!$C$6+Production!$C$7)*'Parameters, country spec'!$C$53*'N2O per kg feed'!I37++Manure!E150)/Production!C23</f>
        <v>9.3282071393465237E-3</v>
      </c>
      <c r="K15" s="32">
        <f>J15*EF_indirect_N2O_DE</f>
        <v>9.3282071393465239E-4</v>
      </c>
      <c r="L15" s="300">
        <f>(Production!$C$5*'Parameters, country spec'!$C$52*'N2O per kg feed'!K36+(Production!$C$6+Production!$C$7)*'Parameters, country spec'!$C$53*'N2O per kg feed'!K37)/Production!C23</f>
        <v>7.6279229634735802E-6</v>
      </c>
      <c r="M15" s="300"/>
      <c r="N15" s="300">
        <f>(Production!$C$5*'Parameters, country spec'!$C$52*'N2O per kg feed'!M36+(Production!$C$6+Production!$C$7)*'Parameters, country spec'!$C$53*'N2O per kg feed'!M37)/Production!C23</f>
        <v>2.0260413836256184E-8</v>
      </c>
      <c r="O15" s="300">
        <f>(Production!$C$5*'Parameters, country spec'!$C$52*'N2O per kg feed'!N36+(Production!$C$6+Production!$C$7)*'Parameters, country spec'!$C$53*'N2O per kg feed'!N37)/Production!C23</f>
        <v>9.1433612371289416E-6</v>
      </c>
      <c r="P15" s="300">
        <f>(Production!$C$5*'Parameters, country spec'!$C$52*'N2O per kg feed'!O36+(Production!$C$6+Production!$C$7)*'Parameters, country spec'!$C$53*'N2O per kg feed'!O37)/Production!C23</f>
        <v>0</v>
      </c>
      <c r="Q15" s="300">
        <f>(Production!$C$5*'Parameters, country spec'!$C$52*'N2O per kg feed'!P36+(Production!$C$6+Production!$C$7)*'Parameters, country spec'!$C$53*'N2O per kg feed'!P37)/Production!C23</f>
        <v>2.4812088531083105E-4</v>
      </c>
      <c r="R15" s="300">
        <f>(Production!$C$5*'Parameters, country spec'!$C$52*'N2O per kg feed'!Q36+(Production!$C$6+Production!$C$7)*'Parameters, country spec'!$C$53*'N2O per kg feed'!Q37)/Production!C23</f>
        <v>9.1283283451896906E-6</v>
      </c>
      <c r="S15" s="4"/>
      <c r="T15" s="42">
        <f>SUM(U15:V15)</f>
        <v>2.1354681361426863E-3</v>
      </c>
      <c r="U15" s="172">
        <f>Manure!$E$92*44/28</f>
        <v>5.1372661558358586E-5</v>
      </c>
      <c r="V15" s="172">
        <f>Manure!$E$157*17/14*Manure!$D$120</f>
        <v>2.0840954745843278E-3</v>
      </c>
      <c r="W15" s="33">
        <f>'Parameters, country spec'!C61*EF_el_N2O_DE</f>
        <v>1.5099488364762938E-5</v>
      </c>
      <c r="X15" s="33">
        <f>Energy_slaughter_el_DE*EF_el_N2O_DE+Energy_slaughter_oil_DE*EF_oil_N2O</f>
        <v>8.5089873200000033E-6</v>
      </c>
      <c r="Z15" s="32"/>
      <c r="AA15" s="32"/>
    </row>
    <row r="16" spans="1:27" ht="15.6" thickTop="1" thickBot="1" x14ac:dyDescent="0.35">
      <c r="A16" s="373" t="s">
        <v>107</v>
      </c>
      <c r="B16" s="122" t="s">
        <v>65</v>
      </c>
      <c r="C16" s="123" t="s">
        <v>108</v>
      </c>
      <c r="D16" s="124" t="s">
        <v>25</v>
      </c>
      <c r="E16" s="124" t="s">
        <v>68</v>
      </c>
      <c r="F16" s="125" t="s">
        <v>113</v>
      </c>
      <c r="G16" s="128">
        <f t="shared" si="0"/>
        <v>8.2539037282251702</v>
      </c>
      <c r="H16" s="126">
        <f>SUMPRODUCT(H12:H15,'Parameters, general'!$B$23:$B$26)</f>
        <v>1.0568745029128921</v>
      </c>
      <c r="I16" s="126">
        <f>SUMPRODUCT(I12:I15,'Parameters, general'!$B$23:$B$26)</f>
        <v>0.28002653852874831</v>
      </c>
      <c r="J16" s="126">
        <f>SUMPRODUCT(J12:J15,'Parameters, general'!$B$23:$B$26)</f>
        <v>2.5466005490416008</v>
      </c>
      <c r="K16" s="126">
        <f>SUMPRODUCT(K12:K15,'Parameters, general'!$B$23:$B$26)</f>
        <v>0.2546600549041601</v>
      </c>
      <c r="L16" s="126">
        <f>SUMPRODUCT(L12:L15,'Parameters, general'!$B$23:$B$26)</f>
        <v>0.27893862448485079</v>
      </c>
      <c r="M16" s="126">
        <f>SUMPRODUCT(M12:M15,'Parameters, general'!$B$23:$B$26)</f>
        <v>0</v>
      </c>
      <c r="N16" s="126">
        <f>SUMPRODUCT(N12:N15,'Parameters, general'!$B$23:$B$26)</f>
        <v>3.7287254050028245E-4</v>
      </c>
      <c r="O16" s="126">
        <f>SUMPRODUCT(O12:O15,'Parameters, general'!$B$23:$B$26)</f>
        <v>0.25340301585462183</v>
      </c>
      <c r="P16" s="126">
        <f>SUMPRODUCT(P12:P15,'Parameters, general'!$B$23:$B$26)</f>
        <v>0.26951540200527097</v>
      </c>
      <c r="Q16" s="126">
        <f>SUMPRODUCT(Q12:Q15,'Parameters, general'!$B$23:$B$26)</f>
        <v>1.1592269108802602</v>
      </c>
      <c r="R16" s="126">
        <f>SUMPRODUCT(R12:R15,'Parameters, general'!$B$23:$B$26)</f>
        <v>0.25162805933645527</v>
      </c>
      <c r="S16" s="126">
        <f>SUMPRODUCT(S12:S15,'Parameters, general'!$B$23:$B$26)</f>
        <v>8.8592075721299537E-3</v>
      </c>
      <c r="T16" s="126">
        <f>SUMPRODUCT(T12:T15,'Parameters, general'!$B$23:$B$26)</f>
        <v>1.3291598130712008</v>
      </c>
      <c r="U16" s="126"/>
      <c r="V16" s="126"/>
      <c r="W16" s="126">
        <f>SUMPRODUCT(W12:W15,'Parameters, general'!$B$23:$B$26)</f>
        <v>0.36047924722150937</v>
      </c>
      <c r="X16" s="126">
        <f>SUMPRODUCT(X12:X15,'Parameters, general'!$B$23:$B$26)</f>
        <v>0.20415892987096926</v>
      </c>
      <c r="Z16" s="102">
        <f>SUM(H16:R16)</f>
        <v>6.3512465304893606</v>
      </c>
      <c r="AA16" s="141">
        <f>'CO2 per kg feed'!F36+'CH4 per kg feed'!F36*CF_GWP_CH4_fossil+'N2O per kg feed'!F36*CF_GWP_N2O</f>
        <v>0.48937945404789274</v>
      </c>
    </row>
    <row r="17" spans="1:27" ht="15" thickTop="1" x14ac:dyDescent="0.3">
      <c r="A17" s="397" t="s">
        <v>107</v>
      </c>
      <c r="B17" s="397" t="s">
        <v>65</v>
      </c>
      <c r="C17" s="398" t="s">
        <v>108</v>
      </c>
      <c r="D17" s="16" t="s">
        <v>21</v>
      </c>
      <c r="E17" s="16" t="s">
        <v>69</v>
      </c>
      <c r="F17" s="36" t="s">
        <v>109</v>
      </c>
      <c r="G17" s="401">
        <f>SUM(H17:X17)</f>
        <v>4.2036425224765006</v>
      </c>
      <c r="H17" s="401">
        <f>(Production!$D$5*'Parameters, country spec'!$D$52*'CO2 per kg feed'!G52+(Production!$D$6+Production!$D$7)*'Parameters, country spec'!$D$53*'CO2 per kg feed'!G53)/Production!D23</f>
        <v>0.60895208098687215</v>
      </c>
      <c r="I17" s="401">
        <f>(Production!$D$5*'Parameters, country spec'!$D$52*'CO2 per kg feed'!H52+(Production!$D$6+Production!$D$7)*'Parameters, country spec'!$D$53*'CO2 per kg feed'!H53)/Production!D23</f>
        <v>0.25045053415571139</v>
      </c>
      <c r="J17" s="401"/>
      <c r="K17" s="401"/>
      <c r="L17" s="401">
        <f>(Production!$D$5*'Parameters, country spec'!$D$52*'CO2 per kg feed'!K52+(Production!$D$6+Production!$D$7)*'Parameters, country spec'!$D$53*'CO2 per kg feed'!K53)/Production!D23</f>
        <v>0.51738875333827739</v>
      </c>
      <c r="M17" s="401"/>
      <c r="N17" s="401">
        <f>(Production!$D$5*'Parameters, country spec'!$D$52*'CO2 per kg feed'!M52+(Production!$D$6+Production!$D$7)*'Parameters, country spec'!$D$53*'CO2 per kg feed'!M53)/Production!D23</f>
        <v>7.3320326373045959E-3</v>
      </c>
      <c r="O17" s="401">
        <f>(Production!$D$5*'Parameters, country spec'!$D$52*'CO2 per kg feed'!N52+(Production!$D$6+Production!$D$7)*'Parameters, country spec'!$D$53*'CO2 per kg feed'!N53)/Production!D23</f>
        <v>0.26407276826587378</v>
      </c>
      <c r="P17" s="401">
        <f>(Production!$D$5*'Parameters, country spec'!$D$52*'CO2 per kg feed'!O52+(Production!$D$6+Production!$D$7)*'Parameters, country spec'!$D$53*'CO2 per kg feed'!O53)/Production!D23</f>
        <v>0.2695553998712768</v>
      </c>
      <c r="Q17" s="401">
        <f>(Production!$D$5*'Parameters, country spec'!$D$52*'CO2 per kg feed'!P52+(Production!$D$6+Production!$D$7)*'Parameters, country spec'!$D$53*'CO2 per kg feed'!P53)/Production!D23</f>
        <v>1.2811834172329368</v>
      </c>
      <c r="R17" s="401">
        <f>(Production!$D$5*'Parameters, country spec'!$D$52*'CO2 per kg feed'!Q52+(Production!$D$6+Production!$D$7)*'Parameters, country spec'!$D$53*'CO2 per kg feed'!Q53)/Production!D23</f>
        <v>0.27743170964402675</v>
      </c>
      <c r="S17" s="402"/>
      <c r="T17" s="403"/>
      <c r="U17" s="404"/>
      <c r="V17" s="404"/>
      <c r="W17" s="402">
        <f>'Parameters, country spec'!D61*EF_el_CO2_GR</f>
        <v>0.465490314263381</v>
      </c>
      <c r="X17" s="405">
        <f>Energy_slaughter_el_GR*EF_el_CO2_GR+Energy_slaughter_oil_GR*EF_oil_CO2</f>
        <v>0.26178551208084</v>
      </c>
      <c r="Z17" s="18"/>
      <c r="AA17" s="18"/>
    </row>
    <row r="18" spans="1:27" x14ac:dyDescent="0.3">
      <c r="A18" s="11" t="s">
        <v>107</v>
      </c>
      <c r="B18" s="11" t="s">
        <v>65</v>
      </c>
      <c r="C18" s="15" t="s">
        <v>108</v>
      </c>
      <c r="D18" s="16" t="s">
        <v>21</v>
      </c>
      <c r="E18" s="16" t="s">
        <v>69</v>
      </c>
      <c r="F18" s="11" t="s">
        <v>110</v>
      </c>
      <c r="G18" s="18">
        <f t="shared" si="0"/>
        <v>8.5784066694126315E-3</v>
      </c>
      <c r="H18" s="300">
        <f>(Production!$D$5*'Parameters, country spec'!$D$52*'CH4 per kg feed'!G52+(Production!$D$6+Production!$D$7)*'Parameters, country spec'!$D$53*'CH4 per kg feed'!G53)/Production!D23</f>
        <v>1.1513669247124789E-3</v>
      </c>
      <c r="I18" s="300">
        <f>(Production!$D$5*'Parameters, country spec'!$D$52*'CH4 per kg feed'!H52+(Production!$D$6+Production!$D$7)*'Parameters, country spec'!$D$53*'CH4 per kg feed'!H53)/Production!D23</f>
        <v>9.0414821420055217E-4</v>
      </c>
      <c r="J18" s="300"/>
      <c r="K18" s="300"/>
      <c r="L18" s="300">
        <f>(Production!$D$5*'Parameters, country spec'!$D$52*'CH4 per kg feed'!K52+(Production!$D$6+Production!$D$7)*'Parameters, country spec'!$D$53*'CH4 per kg feed'!K53)/Production!D23</f>
        <v>2.4288501244620431E-4</v>
      </c>
      <c r="M18" s="300"/>
      <c r="N18" s="300">
        <f>(Production!$D$5*'Parameters, country spec'!$D$52*'CH4 per kg feed'!M52+(Production!$D$6+Production!$D$7)*'Parameters, country spec'!$D$53*'CH4 per kg feed'!M53)/Production!D23</f>
        <v>2.1687265176219163E-5</v>
      </c>
      <c r="O18" s="300">
        <f>(Production!$D$5*'Parameters, country spec'!$D$52*'CH4 per kg feed'!N52+(Production!$D$6+Production!$D$7)*'Parameters, country spec'!$D$53*'CH4 per kg feed'!N53)/Production!D23</f>
        <v>2.1009423547224397E-4</v>
      </c>
      <c r="P18" s="300">
        <f>(Production!$D$5*'Parameters, country spec'!$D$52*'CH4 per kg feed'!O52+(Production!$D$6+Production!$D$7)*'Parameters, country spec'!$D$53*'CH4 per kg feed'!O53)/Production!D23</f>
        <v>0</v>
      </c>
      <c r="Q18" s="300">
        <f>(Production!$D$5*'Parameters, country spec'!$D$52*'CH4 per kg feed'!P52+(Production!$D$6+Production!$D$7)*'Parameters, country spec'!$D$53*'CH4 per kg feed'!P53)/Production!D23</f>
        <v>4.3709632273219081E-3</v>
      </c>
      <c r="R18" s="300">
        <f>(Production!$D$5*'Parameters, country spec'!$D$52*'CH4 per kg feed'!Q52+(Production!$D$6+Production!$D$7)*'Parameters, country spec'!$D$53*'CH4 per kg feed'!Q53)/Production!D23</f>
        <v>2.4282857290709403E-4</v>
      </c>
      <c r="W18" s="4">
        <f>'Parameters, country spec'!D61*EF_el_CH4_GR</f>
        <v>9.2406352666196949E-4</v>
      </c>
      <c r="X18" s="42">
        <f>Energy_slaughter_el_GR*EF_el_CH4_GR+Energy_slaughter_oil_GR*EF_oil_CH4</f>
        <v>5.1036969051396002E-4</v>
      </c>
      <c r="Z18" s="32"/>
      <c r="AA18" s="32"/>
    </row>
    <row r="19" spans="1:27" x14ac:dyDescent="0.3">
      <c r="A19" s="11" t="s">
        <v>107</v>
      </c>
      <c r="B19" s="11" t="s">
        <v>65</v>
      </c>
      <c r="C19" s="15" t="s">
        <v>108</v>
      </c>
      <c r="D19" s="16" t="s">
        <v>21</v>
      </c>
      <c r="E19" s="16" t="s">
        <v>69</v>
      </c>
      <c r="F19" s="11" t="s">
        <v>111</v>
      </c>
      <c r="G19" s="18">
        <f>SUM(H19:T19)</f>
        <v>1.2544321672012517E-3</v>
      </c>
      <c r="H19" s="300"/>
      <c r="I19" s="300"/>
      <c r="J19" s="311"/>
      <c r="K19" s="300"/>
      <c r="L19" s="300"/>
      <c r="M19" s="300"/>
      <c r="N19" s="300"/>
      <c r="O19" s="300"/>
      <c r="P19" s="300"/>
      <c r="Q19" s="300"/>
      <c r="R19" s="300"/>
      <c r="S19" s="4">
        <f>(Production!D5*'Parameters, country spec'!D57+(Production!D6+Production!D7)*'Parameters, country spec'!D57)/Production!D23</f>
        <v>3.285326696660131E-4</v>
      </c>
      <c r="T19" s="42">
        <f>SUM(U19:V19)</f>
        <v>9.2589949753523859E-4</v>
      </c>
      <c r="U19" s="57">
        <f>Manure!G35</f>
        <v>9.2589949753523859E-4</v>
      </c>
      <c r="W19" s="4"/>
      <c r="X19" s="42"/>
      <c r="Z19" s="32"/>
      <c r="AA19" s="32"/>
    </row>
    <row r="20" spans="1:27" ht="15" thickBot="1" x14ac:dyDescent="0.35">
      <c r="A20" s="11" t="s">
        <v>107</v>
      </c>
      <c r="B20" s="11" t="s">
        <v>65</v>
      </c>
      <c r="C20" s="15" t="s">
        <v>108</v>
      </c>
      <c r="D20" s="16" t="s">
        <v>21</v>
      </c>
      <c r="E20" s="16" t="s">
        <v>69</v>
      </c>
      <c r="F20" s="34" t="s">
        <v>112</v>
      </c>
      <c r="G20" s="18">
        <f>SUM(H20:T20)+W20+X20</f>
        <v>1.6581211094480713E-2</v>
      </c>
      <c r="H20" s="300">
        <f>(Production!$D$5*'Parameters, country spec'!$D$52*'N2O per kg feed'!G52+(Production!$D$6+Production!$D$7)*'Parameters, country spec'!$D$53*'N2O per kg feed'!G53)/Production!D23</f>
        <v>1.355150815124808E-3</v>
      </c>
      <c r="I20" s="300">
        <f>(Production!$D$5*'Parameters, country spec'!$D$52*'N2O per kg feed'!H52+(Production!$D$6+Production!$D$7)*'Parameters, country spec'!$D$53*'N2O per kg feed'!H53)/Production!D23</f>
        <v>9.7448728444013469E-6</v>
      </c>
      <c r="J20" s="300">
        <f>(Production!$D$5*'Parameters, country spec'!$D$52*'N2O per kg feed'!I52+(Production!$D$6+Production!$D$7)*'Parameters, country spec'!$D$53*'N2O per kg feed'!I53+Manure!G150)/Production!D23</f>
        <v>9.3625175665681456E-3</v>
      </c>
      <c r="K20" s="32">
        <f>J20*EF_indirect_N2O_GR</f>
        <v>9.362517566568146E-4</v>
      </c>
      <c r="L20" s="300">
        <f>(Production!$D$5*'Parameters, country spec'!$D$52*'N2O per kg feed'!K52+(Production!$D$6+Production!$D$7)*'Parameters, country spec'!$D$53*'N2O per kg feed'!K53)/Production!D23</f>
        <v>1.4194504072383308E-5</v>
      </c>
      <c r="M20" s="300"/>
      <c r="N20" s="300">
        <f>(Production!$D$5*'Parameters, country spec'!$D$52*'N2O per kg feed'!M52+(Production!$D$6+Production!$D$7)*'Parameters, country spec'!$D$53*'N2O per kg feed'!M53)/Production!D23</f>
        <v>2.6701162253999241E-7</v>
      </c>
      <c r="O20" s="300">
        <f>(Production!$D$5*'Parameters, country spec'!$D$52*'N2O per kg feed'!N52+(Production!$D$6+Production!$D$7)*'Parameters, country spec'!$D$53*'N2O per kg feed'!N53)/Production!D23</f>
        <v>9.2819602703542371E-6</v>
      </c>
      <c r="P20" s="300">
        <f>(Production!$D$5*'Parameters, country spec'!$D$52*'N2O per kg feed'!O52+(Production!$D$6+Production!$D$7)*'Parameters, country spec'!$D$53*'N2O per kg feed'!O53)/Production!D23</f>
        <v>0</v>
      </c>
      <c r="Q20" s="300">
        <f>(Production!$D$5*'Parameters, country spec'!$D$52*'N2O per kg feed'!P52+(Production!$D$6+Production!$D$7)*'Parameters, country spec'!$D$53*'N2O per kg feed'!P53)/Production!D23</f>
        <v>2.502955446552528E-4</v>
      </c>
      <c r="R20" s="300">
        <f>(Production!$D$5*'Parameters, country spec'!$D$52*'N2O per kg feed'!Q52+(Production!$D$6+Production!$D$7)*'Parameters, country spec'!$D$53*'N2O per kg feed'!Q53)/Production!D23</f>
        <v>1.1314072681927133E-5</v>
      </c>
      <c r="S20" s="4"/>
      <c r="T20" s="42">
        <f>SUM(U20:V20)</f>
        <v>4.6071597838860008E-3</v>
      </c>
      <c r="U20" s="172">
        <f>Manure!$G$92*44/28</f>
        <v>2.5204355478452719E-3</v>
      </c>
      <c r="V20" s="172">
        <f>Manure!$G$157*17/14*Manure!$F$120</f>
        <v>2.0867242360407285E-3</v>
      </c>
      <c r="W20" s="4">
        <f>'Parameters, country spec'!D61*EF_el_N2O_GR</f>
        <v>1.6018713206088366E-5</v>
      </c>
      <c r="X20" s="42">
        <f>Energy_slaughter_el_GR*EF_el_N2O_GR+Energy_slaughter_oil_GR*EF_oil_N2O</f>
        <v>9.0144928920000016E-6</v>
      </c>
      <c r="Z20" s="32"/>
      <c r="AA20" s="32"/>
    </row>
    <row r="21" spans="1:27" ht="15.6" thickTop="1" thickBot="1" x14ac:dyDescent="0.35">
      <c r="A21" s="373" t="s">
        <v>107</v>
      </c>
      <c r="B21" s="122" t="s">
        <v>65</v>
      </c>
      <c r="C21" s="123" t="s">
        <v>108</v>
      </c>
      <c r="D21" s="37" t="s">
        <v>21</v>
      </c>
      <c r="E21" s="37" t="s">
        <v>69</v>
      </c>
      <c r="F21" s="125" t="s">
        <v>113</v>
      </c>
      <c r="G21" s="128">
        <f t="shared" si="0"/>
        <v>9.0198193385326686</v>
      </c>
      <c r="H21" s="126">
        <f>SUMPRODUCT(H17:H20,'Parameters, general'!$B$23:$B$26)</f>
        <v>1.0132189878723765</v>
      </c>
      <c r="I21" s="126">
        <f>SUMPRODUCT(I17:I20,'Parameters, general'!$B$23:$B$26)</f>
        <v>0.28005450122540942</v>
      </c>
      <c r="J21" s="126">
        <f>SUMPRODUCT(J17:J20,'Parameters, general'!$B$23:$B$26)</f>
        <v>2.5559672956731037</v>
      </c>
      <c r="K21" s="126">
        <f>SUMPRODUCT(K17:K20,'Parameters, general'!$B$23:$B$26)</f>
        <v>0.25559672956731039</v>
      </c>
      <c r="L21" s="126">
        <f>SUMPRODUCT(L17:L20,'Parameters, general'!$B$23:$B$26)</f>
        <v>0.52850182632093501</v>
      </c>
      <c r="M21" s="126">
        <f>SUMPRODUCT(M17:M20,'Parameters, general'!$B$23:$B$26)</f>
        <v>0</v>
      </c>
      <c r="N21" s="126">
        <f>SUMPRODUCT(N17:N20,'Parameters, general'!$B$23:$B$26)</f>
        <v>8.0512073125093443E-3</v>
      </c>
      <c r="O21" s="126">
        <f>SUMPRODUCT(O17:O20,'Parameters, general'!$B$23:$B$26)</f>
        <v>0.27286755163675336</v>
      </c>
      <c r="P21" s="126">
        <f>SUMPRODUCT(P17:P20,'Parameters, general'!$B$23:$B$26)</f>
        <v>0.2695553998712768</v>
      </c>
      <c r="Q21" s="126">
        <f>SUMPRODUCT(Q17:Q20,'Parameters, general'!$B$23:$B$26)</f>
        <v>1.4797688050980136</v>
      </c>
      <c r="R21" s="126">
        <f>SUMPRODUCT(R17:R20,'Parameters, general'!$B$23:$B$26)</f>
        <v>0.28775674295882425</v>
      </c>
      <c r="S21" s="126">
        <f>SUMPRODUCT(S17:S20,'Parameters, general'!$B$23:$B$26)</f>
        <v>8.8703820809823541E-3</v>
      </c>
      <c r="T21" s="126">
        <f>SUMPRODUCT(T17:T20,'Parameters, general'!$B$23:$B$26)</f>
        <v>1.2827539074343297</v>
      </c>
      <c r="U21" s="126"/>
      <c r="V21" s="126"/>
      <c r="W21" s="126">
        <f>SUMPRODUCT(W17:W20,'Parameters, general'!$B$23:$B$26)</f>
        <v>0.49740051606316982</v>
      </c>
      <c r="X21" s="126">
        <f>SUMPRODUCT(X17:X20,'Parameters, general'!$B$23:$B$26)</f>
        <v>0.27945548541767201</v>
      </c>
      <c r="Z21" s="102">
        <f>SUM(H21:R21)</f>
        <v>6.9513390475365133</v>
      </c>
      <c r="AA21" s="141">
        <f>'CO2 per kg feed'!F52+'CH4 per kg feed'!F52*CF_GWP_CH4_fossil+'N2O per kg feed'!F52*CF_GWP_N2O</f>
        <v>0.50027097487818795</v>
      </c>
    </row>
    <row r="22" spans="1:27" ht="15" thickTop="1" x14ac:dyDescent="0.3">
      <c r="A22" s="397" t="s">
        <v>107</v>
      </c>
      <c r="B22" s="397" t="s">
        <v>65</v>
      </c>
      <c r="C22" s="398" t="s">
        <v>108</v>
      </c>
      <c r="D22" s="399" t="s">
        <v>114</v>
      </c>
      <c r="E22" s="399" t="s">
        <v>70</v>
      </c>
      <c r="F22" s="400" t="s">
        <v>109</v>
      </c>
      <c r="G22" s="401">
        <f>SUM(H22:X22)</f>
        <v>3.3854857547414619</v>
      </c>
      <c r="H22" s="401">
        <f>(Production!$E$5*'Parameters, country spec'!$E$52*'CO2 per kg feed'!G68+(Production!$E$6+Production!$E$7)*'Parameters, country spec'!$E$53*'CO2 per kg feed'!G69)/Production!E23</f>
        <v>0.59294521636498243</v>
      </c>
      <c r="I22" s="401">
        <f>(Production!$E$5*'Parameters, country spec'!$E$52*'CO2 per kg feed'!H68+(Production!$E$6+Production!$E$7)*'Parameters, country spec'!$E$53*'CO2 per kg feed'!H69)/Production!E23</f>
        <v>0.25045053415571139</v>
      </c>
      <c r="J22" s="401"/>
      <c r="K22" s="401"/>
      <c r="L22" s="401">
        <f>(Production!$E$5*'Parameters, country spec'!$E$52*'CO2 per kg feed'!K68+(Production!$E$6+Production!$E$7)*'Parameters, country spec'!$E$53*'CO2 per kg feed'!K69)/Production!E23</f>
        <v>0.36162369967236868</v>
      </c>
      <c r="M22" s="401"/>
      <c r="N22" s="401">
        <f>(Production!$E$5*'Parameters, country spec'!$E$52*'CO2 per kg feed'!M68+(Production!$E$6+Production!$E$7)*'Parameters, country spec'!$E$53*'CO2 per kg feed'!M69)/Production!E23</f>
        <v>3.3462789704675398E-4</v>
      </c>
      <c r="O22" s="401">
        <f>(Production!$E$5*'Parameters, country spec'!$E$52*'CO2 per kg feed'!N68+(Production!$E$6+Production!$E$7)*'Parameters, country spec'!$E$53*'CO2 per kg feed'!N69)/Production!E23</f>
        <v>0.24572607082521258</v>
      </c>
      <c r="P22" s="401">
        <f>(Production!$E$5*'Parameters, country spec'!$E$52*'CO2 per kg feed'!O68+(Production!$E$6+Production!$E$7)*'Parameters, country spec'!$E$53*'CO2 per kg feed'!O69)/Production!E23</f>
        <v>0.2695553998712768</v>
      </c>
      <c r="Q22" s="401">
        <f>(Production!$E$5*'Parameters, country spec'!$E$52*'CO2 per kg feed'!P68+(Production!$E$6+Production!$E$7)*'Parameters, country spec'!$E$53*'CO2 per kg feed'!P69)/Production!E23</f>
        <v>0.93592490968903475</v>
      </c>
      <c r="R22" s="401">
        <f>(Production!$E$5*'Parameters, country spec'!$E$52*'CO2 per kg feed'!Q68+(Production!$E$6+Production!$E$7)*'Parameters, country spec'!$E$53*'CO2 per kg feed'!Q69)/Production!E23</f>
        <v>0.23029279612694556</v>
      </c>
      <c r="S22" s="402"/>
      <c r="T22" s="403"/>
      <c r="U22" s="404"/>
      <c r="V22" s="404"/>
      <c r="W22" s="402">
        <f>'Parameters, country spec'!E61*EF_el_CO2_HU</f>
        <v>0.31797144101868274</v>
      </c>
      <c r="X22" s="405">
        <f>Energy_slaughter_el_HU*EF_el_CO2_HU+Energy_slaughter_oil_HU*EF_oil_CO2</f>
        <v>0.1806610591202</v>
      </c>
      <c r="Z22" s="18"/>
      <c r="AA22" s="18"/>
    </row>
    <row r="23" spans="1:27" x14ac:dyDescent="0.3">
      <c r="A23" s="11" t="s">
        <v>107</v>
      </c>
      <c r="B23" s="11" t="s">
        <v>65</v>
      </c>
      <c r="C23" s="15" t="s">
        <v>108</v>
      </c>
      <c r="D23" s="16" t="s">
        <v>114</v>
      </c>
      <c r="E23" s="16" t="s">
        <v>70</v>
      </c>
      <c r="F23" s="11" t="s">
        <v>110</v>
      </c>
      <c r="G23" s="18">
        <f t="shared" si="0"/>
        <v>7.9309520477162179E-3</v>
      </c>
      <c r="H23" s="300">
        <f>(Production!$E$5*'Parameters, country spec'!$E$52*'CH4 per kg feed'!G68+(Production!$E$6+Production!$E$7)*'Parameters, country spec'!$E$53*'CH4 per kg feed'!G69)/Production!E23</f>
        <v>1.122618985451523E-3</v>
      </c>
      <c r="I23" s="300">
        <f>(Production!$E$5*'Parameters, country spec'!$E$52*'CH4 per kg feed'!H68+(Production!$E$6+Production!$E$7)*'Parameters, country spec'!$E$53*'CH4 per kg feed'!H69)/Production!E23</f>
        <v>9.0414821420055217E-4</v>
      </c>
      <c r="J23" s="300"/>
      <c r="K23" s="300"/>
      <c r="L23" s="300">
        <f>(Production!$E$5*'Parameters, country spec'!$E$52*'CH4 per kg feed'!K68+(Production!$E$6+Production!$E$7)*'Parameters, country spec'!$E$53*'CH4 per kg feed'!K69)/Production!E23</f>
        <v>1.7222350570969165E-4</v>
      </c>
      <c r="M23" s="300"/>
      <c r="N23" s="300">
        <f>(Production!$E$5*'Parameters, country spec'!$E$52*'CH4 per kg feed'!M68+(Production!$E$6+Production!$E$7)*'Parameters, country spec'!$E$53*'CH4 per kg feed'!M69)/Production!E23</f>
        <v>2.8489815194218581E-6</v>
      </c>
      <c r="O23" s="300">
        <f>(Production!$E$5*'Parameters, country spec'!$E$52*'CH4 per kg feed'!N68+(Production!$E$6+Production!$E$7)*'Parameters, country spec'!$E$53*'CH4 per kg feed'!N69)/Production!E23</f>
        <v>1.9449954264768188E-4</v>
      </c>
      <c r="P23" s="300">
        <f>(Production!$E$5*'Parameters, country spec'!$E$52*'CH4 per kg feed'!O68+(Production!$E$6+Production!$E$7)*'Parameters, country spec'!$E$53*'CH4 per kg feed'!O69)/Production!E23</f>
        <v>0</v>
      </c>
      <c r="Q23" s="300">
        <f>(Production!$E$5*'Parameters, country spec'!$E$52*'CH4 per kg feed'!P68+(Production!$E$6+Production!$E$7)*'Parameters, country spec'!$E$53*'CH4 per kg feed'!P69)/Production!E23</f>
        <v>4.0872365120168995E-3</v>
      </c>
      <c r="R23" s="300">
        <f>(Production!$E$5*'Parameters, country spec'!$E$52*'CH4 per kg feed'!Q68+(Production!$E$6+Production!$E$7)*'Parameters, country spec'!$E$53*'CH4 per kg feed'!Q69)/Production!E23</f>
        <v>2.0083772012798298E-4</v>
      </c>
      <c r="W23" s="4">
        <f>'Parameters, country spec'!E61*EF_el_CH4_HU</f>
        <v>8.0283539053590516E-4</v>
      </c>
      <c r="X23" s="42">
        <f>Energy_slaughter_el_HU*EF_el_CH4_HU+Energy_slaughter_oil_HU*EF_oil_CH4</f>
        <v>4.4370319550655993E-4</v>
      </c>
      <c r="Z23" s="32"/>
      <c r="AA23" s="32"/>
    </row>
    <row r="24" spans="1:27" x14ac:dyDescent="0.3">
      <c r="A24" s="11" t="s">
        <v>107</v>
      </c>
      <c r="B24" s="11" t="s">
        <v>65</v>
      </c>
      <c r="C24" s="15" t="s">
        <v>108</v>
      </c>
      <c r="D24" s="16" t="s">
        <v>114</v>
      </c>
      <c r="E24" s="16" t="s">
        <v>70</v>
      </c>
      <c r="F24" s="11" t="s">
        <v>111</v>
      </c>
      <c r="G24" s="18">
        <f>SUM(H24:T24)</f>
        <v>2.7999577034449916E-2</v>
      </c>
      <c r="H24" s="300"/>
      <c r="I24" s="300"/>
      <c r="J24" s="311"/>
      <c r="K24" s="300"/>
      <c r="L24" s="300"/>
      <c r="M24" s="300"/>
      <c r="N24" s="300"/>
      <c r="O24" s="300"/>
      <c r="P24" s="300"/>
      <c r="Q24" s="300"/>
      <c r="R24" s="300"/>
      <c r="S24" s="251">
        <f>(Production!E5*'Parameters, country spec'!E57+(Production!E6+Production!E7)*'Parameters, country spec'!E57)/Production!E23</f>
        <v>3.285326696660131E-4</v>
      </c>
      <c r="T24" s="42">
        <f>SUM(U24:V24)</f>
        <v>2.7671044364783903E-2</v>
      </c>
      <c r="U24" s="57">
        <f>Manure!I35</f>
        <v>2.7671044364783903E-2</v>
      </c>
      <c r="W24" s="4"/>
      <c r="X24" s="42"/>
      <c r="Z24" s="32"/>
      <c r="AA24" s="32"/>
    </row>
    <row r="25" spans="1:27" ht="15" thickBot="1" x14ac:dyDescent="0.35">
      <c r="A25" s="11" t="s">
        <v>107</v>
      </c>
      <c r="B25" s="11" t="s">
        <v>65</v>
      </c>
      <c r="C25" s="15" t="s">
        <v>108</v>
      </c>
      <c r="D25" s="16" t="s">
        <v>114</v>
      </c>
      <c r="E25" s="16" t="s">
        <v>70</v>
      </c>
      <c r="F25" s="34" t="s">
        <v>112</v>
      </c>
      <c r="G25" s="18">
        <f>SUM(H25:T25)+W25+X25</f>
        <v>1.6171812344273253E-2</v>
      </c>
      <c r="H25" s="300">
        <f>(Production!$E$5*'Parameters, country spec'!$E$52*'N2O per kg feed'!G68+(Production!$E$6+Production!$E$7)*'Parameters, country spec'!$E$53*'N2O per kg feed'!G69)/Production!E23</f>
        <v>1.3200816478434467E-3</v>
      </c>
      <c r="I25" s="300">
        <f>(Production!$E$5*'Parameters, country spec'!$E$52*'N2O per kg feed'!H68+(Production!$E$6+Production!$E$7)*'Parameters, country spec'!$E$53*'N2O per kg feed'!H69)/Production!E23</f>
        <v>9.7448728444013469E-6</v>
      </c>
      <c r="J25" s="300">
        <f>(Production!$E$5*'Parameters, country spec'!$E$52*'N2O per kg feed'!I68+(Production!$E$6+Production!$E$7)*'Parameters, country spec'!$E$53*'N2O per kg feed'!I69+Manure!I150)/Production!E23</f>
        <v>9.0467296582806989E-3</v>
      </c>
      <c r="K25" s="32">
        <f>J25*EF_indirect_N2O_HU</f>
        <v>9.0467296582806989E-4</v>
      </c>
      <c r="L25" s="300">
        <f>(Production!$E$5*'Parameters, country spec'!$E$52*'N2O per kg feed'!K68+(Production!$E$6+Production!$E$7)*'Parameters, country spec'!$E$53*'N2O per kg feed'!K69)/Production!E23</f>
        <v>9.9688638339589607E-6</v>
      </c>
      <c r="M25" s="300"/>
      <c r="N25" s="300">
        <f>(Production!$E$5*'Parameters, country spec'!$E$52*'N2O per kg feed'!M68+(Production!$E$6+Production!$E$7)*'Parameters, country spec'!$E$53*'N2O per kg feed'!M69)/Production!E23</f>
        <v>3.5068470074143511E-8</v>
      </c>
      <c r="O25" s="300">
        <f>(Production!$E$5*'Parameters, country spec'!$E$52*'N2O per kg feed'!N68+(Production!$E$6+Production!$E$7)*'Parameters, country spec'!$E$53*'N2O per kg feed'!N69)/Production!E23</f>
        <v>8.6856926035327474E-6</v>
      </c>
      <c r="P25" s="300">
        <f>(Production!$E$5*'Parameters, country spec'!$E$52*'N2O per kg feed'!O68+(Production!$E$6+Production!$E$7)*'Parameters, country spec'!$E$53*'N2O per kg feed'!O69)/Production!E23</f>
        <v>0</v>
      </c>
      <c r="Q25" s="300">
        <f>(Production!$E$5*'Parameters, country spec'!$E$52*'N2O per kg feed'!P68+(Production!$E$6+Production!$E$7)*'Parameters, country spec'!$E$53*'N2O per kg feed'!P69)/Production!E23</f>
        <v>2.3887848225431546E-4</v>
      </c>
      <c r="R25" s="300">
        <f>(Production!$E$5*'Parameters, country spec'!$E$52*'N2O per kg feed'!Q68+(Production!$E$6+Production!$E$7)*'Parameters, country spec'!$E$53*'N2O per kg feed'!Q69)/Production!E23</f>
        <v>8.3829156511379858E-6</v>
      </c>
      <c r="S25" s="4"/>
      <c r="T25" s="42">
        <f>SUM(U25:V25)</f>
        <v>4.6071597838860008E-3</v>
      </c>
      <c r="U25" s="172">
        <f>Manure!$I$92*44/28</f>
        <v>2.5204355478452719E-3</v>
      </c>
      <c r="V25" s="172">
        <f>Manure!$I$157*17/14*Manure!$H$120</f>
        <v>2.0867242360407285E-3</v>
      </c>
      <c r="W25" s="4">
        <f>'Parameters, country spec'!E61*EF_el_N2O_HU</f>
        <v>1.1140536001616382E-5</v>
      </c>
      <c r="X25" s="42">
        <f>Energy_slaughter_el_HU*EF_el_N2O_HU+Energy_slaughter_oil_HU*EF_oil_N2O</f>
        <v>6.3318567760000002E-6</v>
      </c>
      <c r="Z25" s="32"/>
      <c r="AA25" s="32"/>
    </row>
    <row r="26" spans="1:27" ht="15.6" thickTop="1" thickBot="1" x14ac:dyDescent="0.35">
      <c r="A26" s="373" t="s">
        <v>107</v>
      </c>
      <c r="B26" s="122" t="s">
        <v>65</v>
      </c>
      <c r="C26" s="123" t="s">
        <v>108</v>
      </c>
      <c r="D26" s="124" t="s">
        <v>114</v>
      </c>
      <c r="E26" s="124" t="s">
        <v>70</v>
      </c>
      <c r="F26" s="125" t="s">
        <v>113</v>
      </c>
      <c r="G26" s="128">
        <f t="shared" si="0"/>
        <v>8.7927214756801533</v>
      </c>
      <c r="H26" s="126">
        <f>SUMPRODUCT(H22:H25,'Parameters, general'!$B$23:$B$26)</f>
        <v>0.98678155199269879</v>
      </c>
      <c r="I26" s="126">
        <f>SUMPRODUCT(I22:I25,'Parameters, general'!$B$23:$B$26)</f>
        <v>0.28005450122540942</v>
      </c>
      <c r="J26" s="126">
        <f>SUMPRODUCT(J22:J25,'Parameters, general'!$B$23:$B$26)</f>
        <v>2.4697571967106309</v>
      </c>
      <c r="K26" s="126">
        <f>SUMPRODUCT(K22:K25,'Parameters, general'!$B$23:$B$26)</f>
        <v>0.24697571967106308</v>
      </c>
      <c r="L26" s="126">
        <f>SUMPRODUCT(L22:L25,'Parameters, general'!$B$23:$B$26)</f>
        <v>0.36947745996918829</v>
      </c>
      <c r="M26" s="126">
        <f>SUMPRODUCT(M22:M25,'Parameters, general'!$B$23:$B$26)</f>
        <v>0</v>
      </c>
      <c r="N26" s="126">
        <f>SUMPRODUCT(N22:N25,'Parameters, general'!$B$23:$B$26)</f>
        <v>4.2910123865576652E-4</v>
      </c>
      <c r="O26" s="126">
        <f>SUMPRODUCT(O22:O25,'Parameters, general'!$B$23:$B$26)</f>
        <v>0.2538933512768779</v>
      </c>
      <c r="P26" s="126">
        <f>SUMPRODUCT(P22:P25,'Parameters, general'!$B$23:$B$26)</f>
        <v>0.2695553998712768</v>
      </c>
      <c r="Q26" s="126">
        <f>SUMPRODUCT(Q22:Q25,'Parameters, general'!$B$23:$B$26)</f>
        <v>1.1229383834025666</v>
      </c>
      <c r="R26" s="126">
        <f>SUMPRODUCT(R22:R25,'Parameters, general'!$B$23:$B$26)</f>
        <v>0.2385662961595201</v>
      </c>
      <c r="S26" s="126">
        <f>SUMPRODUCT(S22:S25,'Parameters, general'!$B$23:$B$26)</f>
        <v>8.8703820809823541E-3</v>
      </c>
      <c r="T26" s="126">
        <f>SUMPRODUCT(T22:T25,'Parameters, general'!$B$23:$B$26)</f>
        <v>2.0048728188500435</v>
      </c>
      <c r="U26" s="126"/>
      <c r="V26" s="126"/>
      <c r="W26" s="126">
        <f>SUMPRODUCT(W22:W25,'Parameters, general'!$B$23:$B$26)</f>
        <v>0.34493730198509398</v>
      </c>
      <c r="X26" s="126">
        <f>SUMPRODUCT(X22:X25,'Parameters, general'!$B$23:$B$26)</f>
        <v>0.1956120112461435</v>
      </c>
      <c r="Z26" s="102">
        <f>SUM(H26:R26)</f>
        <v>6.2384289615178883</v>
      </c>
      <c r="AA26" s="141">
        <f>'CO2 per kg feed'!F68+'CH4 per kg feed'!F68*CF_GWP_CH4_fossil+'N2O per kg feed'!F68*CF_GWP_N2O</f>
        <v>0.44231563097041843</v>
      </c>
    </row>
    <row r="27" spans="1:27" ht="15" thickTop="1" x14ac:dyDescent="0.3">
      <c r="A27" s="397" t="s">
        <v>107</v>
      </c>
      <c r="B27" s="397" t="s">
        <v>65</v>
      </c>
      <c r="C27" s="398" t="s">
        <v>108</v>
      </c>
      <c r="D27" s="399" t="s">
        <v>23</v>
      </c>
      <c r="E27" s="399" t="s">
        <v>71</v>
      </c>
      <c r="F27" s="400" t="s">
        <v>109</v>
      </c>
      <c r="G27" s="401">
        <f>SUM(H27:X27)</f>
        <v>3.3048844950496559</v>
      </c>
      <c r="H27" s="401">
        <f>(Production!$F$5*'Parameters, country spec'!$F$52*'CO2 per kg feed'!G84+(Production!$F$6+Production!$F$7)*'Parameters, country spec'!$F$53*'CO2 per kg feed'!G85)/Production!F23</f>
        <v>0.61968910576744618</v>
      </c>
      <c r="I27" s="401">
        <f>(Production!$F$5*'Parameters, country spec'!$F$52*'CO2 per kg feed'!H84+(Production!$F$6+Production!$F$7)*'Parameters, country spec'!$F$53*'CO2 per kg feed'!H85)/Production!F23</f>
        <v>0.25138982063575382</v>
      </c>
      <c r="J27" s="401"/>
      <c r="K27" s="401"/>
      <c r="L27" s="401">
        <f>(Production!$F$5*'Parameters, country spec'!$F$52*'CO2 per kg feed'!K84+(Production!$F$6+Production!$F$7)*'Parameters, country spec'!$F$53*'CO2 per kg feed'!K85)/Production!F23</f>
        <v>0.37356539331781835</v>
      </c>
      <c r="M27" s="401"/>
      <c r="N27" s="401">
        <f>(Production!$F$5*'Parameters, country spec'!$F$52*'CO2 per kg feed'!M84+(Production!$F$6+Production!$F$7)*'Parameters, country spec'!$F$53*'CO2 per kg feed'!M85)/Production!F23</f>
        <v>4.9786264987411576E-3</v>
      </c>
      <c r="O27" s="401">
        <f>(Production!$F$5*'Parameters, country spec'!$F$52*'CO2 per kg feed'!N84+(Production!$F$6+Production!$F$7)*'Parameters, country spec'!$F$53*'CO2 per kg feed'!N85)/Production!F23</f>
        <v>0.24111286604547419</v>
      </c>
      <c r="P27" s="401">
        <f>(Production!$F$5*'Parameters, country spec'!$F$52*'CO2 per kg feed'!O84+(Production!$F$6+Production!$F$7)*'Parameters, country spec'!$F$53*'CO2 per kg feed'!O85)/Production!F23</f>
        <v>0.26951540200527097</v>
      </c>
      <c r="Q27" s="401">
        <f>(Production!$F$5*'Parameters, country spec'!$F$52*'CO2 per kg feed'!P84+(Production!$F$6+Production!$F$7)*'Parameters, country spec'!$F$53*'CO2 per kg feed'!P85)/Production!F23</f>
        <v>0.83512508725308887</v>
      </c>
      <c r="R27" s="401">
        <f>(Production!$F$5*'Parameters, country spec'!$F$52*'CO2 per kg feed'!Q84+(Production!$F$6+Production!$F$7)*'Parameters, country spec'!$F$53*'CO2 per kg feed'!Q85)/Production!F23</f>
        <v>0.27758843278732453</v>
      </c>
      <c r="S27" s="402"/>
      <c r="T27" s="403"/>
      <c r="U27" s="404"/>
      <c r="V27" s="404"/>
      <c r="W27" s="402">
        <f>'Parameters, country spec'!F61*EF_el_CO2_IT</f>
        <v>0.27492890699545802</v>
      </c>
      <c r="X27" s="405">
        <f>Energy_slaughter_el_IT*EF_el_CO2_IT+Energy_slaughter_oil_IT*EF_oil_CO2</f>
        <v>0.15699085374328001</v>
      </c>
      <c r="Z27" s="18"/>
      <c r="AA27" s="18"/>
    </row>
    <row r="28" spans="1:27" x14ac:dyDescent="0.3">
      <c r="A28" s="11" t="s">
        <v>107</v>
      </c>
      <c r="B28" s="11" t="s">
        <v>65</v>
      </c>
      <c r="C28" s="15" t="s">
        <v>108</v>
      </c>
      <c r="D28" s="16" t="s">
        <v>23</v>
      </c>
      <c r="E28" s="16" t="s">
        <v>71</v>
      </c>
      <c r="F28" s="11" t="s">
        <v>110</v>
      </c>
      <c r="G28" s="18">
        <f t="shared" si="0"/>
        <v>9.6225463143252941E-3</v>
      </c>
      <c r="H28" s="300">
        <f>(Production!$F$5*'Parameters, country spec'!$F$52*'CH4 per kg feed'!G84+(Production!$F$6+Production!$F$7)*'Parameters, country spec'!$F$53*'CH4 per kg feed'!G85)/Production!F23</f>
        <v>1.1709113529387175E-3</v>
      </c>
      <c r="I28" s="300">
        <f>(Production!$F$5*'Parameters, country spec'!$F$52*'CH4 per kg feed'!H84+(Production!$F$6+Production!$F$7)*'Parameters, country spec'!$F$53*'CH4 per kg feed'!H85)/Production!F23</f>
        <v>9.0745088718889209E-4</v>
      </c>
      <c r="J28" s="300"/>
      <c r="K28" s="300"/>
      <c r="L28" s="300">
        <f>(Production!$F$5*'Parameters, country spec'!$F$52*'CH4 per kg feed'!K84+(Production!$F$6+Production!$F$7)*'Parameters, country spec'!$F$53*'CH4 per kg feed'!K85)/Production!F23</f>
        <v>1.8289180533905041E-4</v>
      </c>
      <c r="M28" s="300"/>
      <c r="N28" s="300">
        <f>(Production!$F$5*'Parameters, country spec'!$F$52*'CH4 per kg feed'!M84+(Production!$F$6+Production!$F$7)*'Parameters, country spec'!$F$53*'CH4 per kg feed'!M85)/Production!F23</f>
        <v>1.4470119454298155E-5</v>
      </c>
      <c r="O28" s="300">
        <f>(Production!$F$5*'Parameters, country spec'!$F$52*'CH4 per kg feed'!N84+(Production!$F$6+Production!$F$7)*'Parameters, country spec'!$F$53*'CH4 per kg feed'!N85)/Production!F23</f>
        <v>2.4400987235489904E-4</v>
      </c>
      <c r="P28" s="300">
        <f>(Production!$F$5*'Parameters, country spec'!$F$52*'CH4 per kg feed'!O84+(Production!$F$6+Production!$F$7)*'Parameters, country spec'!$F$53*'CH4 per kg feed'!O85)/Production!F23</f>
        <v>0</v>
      </c>
      <c r="Q28" s="300">
        <f>(Production!$F$5*'Parameters, country spec'!$F$52*'CH4 per kg feed'!P84+(Production!$F$6+Production!$F$7)*'Parameters, country spec'!$F$53*'CH4 per kg feed'!P85)/Production!F23</f>
        <v>5.0050946201818311E-3</v>
      </c>
      <c r="R28" s="300">
        <f>(Production!$F$5*'Parameters, country spec'!$F$52*'CH4 per kg feed'!Q84+(Production!$F$6+Production!$F$7)*'Parameters, country spec'!$F$53*'CH4 per kg feed'!Q85)/Production!F23</f>
        <v>2.4307706673745605E-4</v>
      </c>
      <c r="W28" s="4">
        <f>'Parameters, country spec'!F61*EF_el_CH4_IT</f>
        <v>1.1951780140870313E-3</v>
      </c>
      <c r="X28" s="42">
        <f>Energy_slaughter_el_IT*EF_el_CH4_IT+Energy_slaughter_oil_IT*EF_oil_CH4</f>
        <v>6.5946257604311987E-4</v>
      </c>
      <c r="Z28" s="32"/>
      <c r="AA28" s="32"/>
    </row>
    <row r="29" spans="1:27" x14ac:dyDescent="0.3">
      <c r="A29" s="11" t="s">
        <v>107</v>
      </c>
      <c r="B29" s="11" t="s">
        <v>65</v>
      </c>
      <c r="C29" s="15" t="s">
        <v>108</v>
      </c>
      <c r="D29" s="16" t="s">
        <v>23</v>
      </c>
      <c r="E29" s="16" t="s">
        <v>71</v>
      </c>
      <c r="F29" s="11" t="s">
        <v>111</v>
      </c>
      <c r="G29" s="18">
        <f>SUM(H29:T29)</f>
        <v>2.7964304425155476E-2</v>
      </c>
      <c r="H29" s="300"/>
      <c r="I29" s="300"/>
      <c r="J29" s="311"/>
      <c r="K29" s="300"/>
      <c r="L29" s="300"/>
      <c r="M29" s="300"/>
      <c r="N29" s="300"/>
      <c r="O29" s="300"/>
      <c r="P29" s="300"/>
      <c r="Q29" s="300"/>
      <c r="R29" s="300"/>
      <c r="S29" s="4">
        <f>(Production!F5*'Parameters, country spec'!F57+(Production!F6+Production!F7)*'Parameters, country spec'!F57)/Production!F23</f>
        <v>3.2811879896777607E-4</v>
      </c>
      <c r="T29" s="42">
        <f>SUM(U29:V29)</f>
        <v>2.76361856261877E-2</v>
      </c>
      <c r="U29" s="57">
        <f>Manure!K35</f>
        <v>2.76361856261877E-2</v>
      </c>
      <c r="W29" s="4"/>
      <c r="X29" s="42"/>
      <c r="Z29" s="32"/>
      <c r="AA29" s="32"/>
    </row>
    <row r="30" spans="1:27" ht="15" thickBot="1" x14ac:dyDescent="0.35">
      <c r="A30" s="11" t="s">
        <v>107</v>
      </c>
      <c r="B30" s="11" t="s">
        <v>65</v>
      </c>
      <c r="C30" s="15" t="s">
        <v>108</v>
      </c>
      <c r="D30" s="16" t="s">
        <v>23</v>
      </c>
      <c r="E30" s="16" t="s">
        <v>71</v>
      </c>
      <c r="F30" s="34" t="s">
        <v>112</v>
      </c>
      <c r="G30" s="18">
        <f>SUM(H30:T30)+W30+X30</f>
        <v>1.655508706582387E-2</v>
      </c>
      <c r="H30" s="300">
        <f>(Production!$F$5*'Parameters, country spec'!$F$52*'N2O per kg feed'!G84+(Production!$F$6+Production!$F$7)*'Parameters, country spec'!$F$53*'N2O per kg feed'!G85)/Production!F23</f>
        <v>1.3787162007952939E-3</v>
      </c>
      <c r="I30" s="300">
        <f>(Production!$F$5*'Parameters, country spec'!$F$52*'N2O per kg feed'!H84+(Production!$F$6+Production!$F$7)*'Parameters, country spec'!$F$53*'N2O per kg feed'!H85)/Production!F23</f>
        <v>9.7831845490836881E-6</v>
      </c>
      <c r="J30" s="300">
        <f>(Production!$F$5*'Parameters, country spec'!$F$52*'N2O per kg feed'!I84+(Production!$F$6+Production!$F$7)*'Parameters, country spec'!$F$53*'N2O per kg feed'!I85+Manure!K150)/Production!F23</f>
        <v>9.3410401881779057E-3</v>
      </c>
      <c r="K30" s="32">
        <f>J30*EF_indirect_N2O_IT</f>
        <v>9.3410401881779059E-4</v>
      </c>
      <c r="L30" s="300">
        <f>(Production!$F$5*'Parameters, country spec'!$F$52*'N2O per kg feed'!K84+(Production!$F$6+Production!$F$7)*'Parameters, country spec'!$F$53*'N2O per kg feed'!K85)/Production!F23</f>
        <v>1.0361197517012597E-5</v>
      </c>
      <c r="M30" s="300"/>
      <c r="N30" s="300">
        <f>(Production!$F$5*'Parameters, country spec'!$F$52*'N2O per kg feed'!M84+(Production!$F$6+Production!$F$7)*'Parameters, country spec'!$F$53*'N2O per kg feed'!M85)/Production!F23</f>
        <v>1.7811153137535401E-7</v>
      </c>
      <c r="O30" s="300">
        <f>(Production!$F$5*'Parameters, country spec'!$F$52*'N2O per kg feed'!N84+(Production!$F$6+Production!$F$7)*'Parameters, country spec'!$F$53*'N2O per kg feed'!N85)/Production!F23</f>
        <v>8.7764628704898433E-6</v>
      </c>
      <c r="P30" s="300">
        <f>(Production!$F$5*'Parameters, country spec'!$F$52*'N2O per kg feed'!O84+(Production!$F$6+Production!$F$7)*'Parameters, country spec'!$F$53*'N2O per kg feed'!O85)/Production!F23</f>
        <v>0</v>
      </c>
      <c r="Q30" s="300">
        <f>(Production!$F$5*'Parameters, country spec'!$F$52*'N2O per kg feed'!P84+(Production!$F$6+Production!$F$7)*'Parameters, country spec'!$F$53*'N2O per kg feed'!P85)/Production!F23</f>
        <v>2.4078312731231811E-4</v>
      </c>
      <c r="R30" s="300">
        <f>(Production!$F$5*'Parameters, country spec'!$F$52*'N2O per kg feed'!Q84+(Production!$F$6+Production!$F$7)*'Parameters, country spec'!$F$53*'N2O per kg feed'!Q85)/Production!F23</f>
        <v>1.1239856998905282E-5</v>
      </c>
      <c r="S30" s="4"/>
      <c r="T30" s="42">
        <f>SUM(U30:V30)</f>
        <v>4.601355890962399E-3</v>
      </c>
      <c r="U30" s="172">
        <f>Manure!$K$92*44/28</f>
        <v>2.5172604163701934E-3</v>
      </c>
      <c r="V30" s="172">
        <f>Manure!$K$157*17/14*Manure!$J$120</f>
        <v>2.0840954745922056E-3</v>
      </c>
      <c r="W30" s="4">
        <f>'Parameters, country spec'!F61*EF_el_N2O_IT</f>
        <v>1.1964080851293106E-5</v>
      </c>
      <c r="X30" s="42">
        <f>Energy_slaughter_el_IT*EF_el_N2O_IT+Energy_slaughter_oil_IT*EF_oil_N2O</f>
        <v>6.7847454400000001E-6</v>
      </c>
      <c r="Z30" s="32"/>
      <c r="AA30" s="32"/>
    </row>
    <row r="31" spans="1:27" ht="15.6" thickTop="1" thickBot="1" x14ac:dyDescent="0.35">
      <c r="A31" s="373" t="s">
        <v>107</v>
      </c>
      <c r="B31" s="122" t="s">
        <v>65</v>
      </c>
      <c r="C31" s="123" t="s">
        <v>108</v>
      </c>
      <c r="D31" s="124" t="s">
        <v>23</v>
      </c>
      <c r="E31" s="124" t="s">
        <v>71</v>
      </c>
      <c r="F31" s="125" t="s">
        <v>113</v>
      </c>
      <c r="G31" s="128">
        <f t="shared" si="0"/>
        <v>8.8662113636656663</v>
      </c>
      <c r="H31" s="126">
        <f>SUMPRODUCT(H27:H30,'Parameters, general'!$B$23:$B$26)</f>
        <v>1.0309717869021351</v>
      </c>
      <c r="I31" s="126">
        <f>SUMPRODUCT(I27:I30,'Parameters, general'!$B$23:$B$26)</f>
        <v>0.28110266645588267</v>
      </c>
      <c r="J31" s="126">
        <f>SUMPRODUCT(J27:J30,'Parameters, general'!$B$23:$B$26)</f>
        <v>2.5501039713725682</v>
      </c>
      <c r="K31" s="126">
        <f>SUMPRODUCT(K27:K30,'Parameters, general'!$B$23:$B$26)</f>
        <v>0.25501039713725682</v>
      </c>
      <c r="L31" s="126">
        <f>SUMPRODUCT(L27:L30,'Parameters, general'!$B$23:$B$26)</f>
        <v>0.38184417603906651</v>
      </c>
      <c r="M31" s="126">
        <f>SUMPRODUCT(M27:M30,'Parameters, general'!$B$23:$B$26)</f>
        <v>0</v>
      </c>
      <c r="N31" s="126">
        <f>SUMPRODUCT(N27:N30,'Parameters, general'!$B$23:$B$26)</f>
        <v>5.4584605065447142E-3</v>
      </c>
      <c r="O31" s="126">
        <f>SUMPRODUCT(O27:O30,'Parameters, general'!$B$23:$B$26)</f>
        <v>0.25078033460529392</v>
      </c>
      <c r="P31" s="126">
        <f>SUMPRODUCT(P27:P30,'Parameters, general'!$B$23:$B$26)</f>
        <v>0.26951540200527097</v>
      </c>
      <c r="Q31" s="126">
        <f>SUMPRODUCT(Q27:Q30,'Parameters, general'!$B$23:$B$26)</f>
        <v>1.0500107006907702</v>
      </c>
      <c r="R31" s="126">
        <f>SUMPRODUCT(R27:R30,'Parameters, general'!$B$23:$B$26)</f>
        <v>0.28790061033680192</v>
      </c>
      <c r="S31" s="126">
        <f>SUMPRODUCT(S27:S30,'Parameters, general'!$B$23:$B$26)</f>
        <v>8.8592075721299537E-3</v>
      </c>
      <c r="T31" s="126">
        <f>SUMPRODUCT(T27:T30,'Parameters, general'!$B$23:$B$26)</f>
        <v>2.002347170139803</v>
      </c>
      <c r="U31" s="126"/>
      <c r="V31" s="126"/>
      <c r="W31" s="126">
        <f>SUMPRODUCT(W27:W30,'Parameters, general'!$B$23:$B$26)</f>
        <v>0.3138114058876546</v>
      </c>
      <c r="X31" s="126">
        <f>SUMPRODUCT(X27:X30,'Parameters, general'!$B$23:$B$26)</f>
        <v>0.178495074014485</v>
      </c>
      <c r="Z31" s="102">
        <f>SUM(H31:R31)</f>
        <v>6.3626985060515917</v>
      </c>
      <c r="AA31" s="141">
        <f>'CO2 per kg feed'!F84+'CH4 per kg feed'!F84*CF_GWP_CH4_fossil+'N2O per kg feed'!F84*CF_GWP_N2O</f>
        <v>0.45410437031142531</v>
      </c>
    </row>
    <row r="32" spans="1:27" ht="15" thickTop="1" x14ac:dyDescent="0.3">
      <c r="A32" s="397" t="s">
        <v>107</v>
      </c>
      <c r="B32" s="397" t="s">
        <v>65</v>
      </c>
      <c r="C32" s="398" t="s">
        <v>108</v>
      </c>
      <c r="D32" t="s">
        <v>115</v>
      </c>
      <c r="E32" s="16" t="s">
        <v>72</v>
      </c>
      <c r="F32" s="400" t="s">
        <v>109</v>
      </c>
      <c r="G32" s="401">
        <f>SUM(H32:X32)</f>
        <v>3.6744385724403066</v>
      </c>
      <c r="H32" s="401">
        <f>(Production!$G$5*'Parameters, country spec'!$G$52*'CO2 per kg feed'!G100+(Production!$G$6+Production!$G$7)*'Parameters, country spec'!$G$53*'CO2 per kg feed'!G100)/Production!G23</f>
        <v>0.83218941445873473</v>
      </c>
      <c r="I32" s="401">
        <f>(Production!$G$5*'Parameters, country spec'!$G$52*'CO2 per kg feed'!H100+(Production!$G$6+Production!$G$7)*'Parameters, country spec'!$G$53*'CO2 per kg feed'!H101)/Production!G23</f>
        <v>0.25045053415571139</v>
      </c>
      <c r="J32" s="401"/>
      <c r="K32" s="401"/>
      <c r="L32" s="401">
        <f>(Production!$G$5*'Parameters, country spec'!$G$52*'CO2 per kg feed'!K100+(Production!$G$6+Production!$G$7)*'Parameters, country spec'!$G$53*'CO2 per kg feed'!K101)/Production!G23</f>
        <v>0.27759490867025099</v>
      </c>
      <c r="M32" s="401"/>
      <c r="N32" s="401">
        <f>(Production!$G$5*'Parameters, country spec'!$G$52*'CO2 per kg feed'!M100+(Production!$G$6+Production!$G$7)*'Parameters, country spec'!$G$53*'CO2 per kg feed'!M101)/Production!G23</f>
        <v>4.8968426758562496E-3</v>
      </c>
      <c r="O32" s="401">
        <f>(Production!$G$5*'Parameters, country spec'!$G$52*'CO2 per kg feed'!N100+(Production!$G$6+Production!$G$7)*'Parameters, country spec'!$G$53*'CO2 per kg feed'!N101)/Production!G23</f>
        <v>0.25031274518537788</v>
      </c>
      <c r="P32" s="401">
        <f>(Production!$G$5*'Parameters, country spec'!$G$52*'CO2 per kg feed'!O100+(Production!$G$6+Production!$G$7)*'Parameters, country spec'!$G$53*'CO2 per kg feed'!O101)/Production!G23</f>
        <v>0.2695553998712768</v>
      </c>
      <c r="Q32" s="401">
        <f>(Production!$G$5*'Parameters, country spec'!$G$52*'CO2 per kg feed'!P100+(Production!$G$6+Production!$G$7)*'Parameters, country spec'!$G$53*'CO2 per kg feed'!P101)/Production!G23</f>
        <v>0.98078485556010497</v>
      </c>
      <c r="R32" s="401">
        <f>(Production!$G$5*'Parameters, country spec'!$G$52*'CO2 per kg feed'!Q100+(Production!$G$6+Production!$G$7)*'Parameters, country spec'!$G$53*'CO2 per kg feed'!Q101)/Production!G23</f>
        <v>0.2428525748395387</v>
      </c>
      <c r="S32" s="402"/>
      <c r="T32" s="403"/>
      <c r="U32" s="404"/>
      <c r="V32" s="404"/>
      <c r="W32" s="402">
        <f>'Parameters, country spec'!G61*EF_el_CO2_NL</f>
        <v>0.36130821973889549</v>
      </c>
      <c r="X32" s="405">
        <f>Energy_slaughter_el_NL*EF_el_CO2_NL+Energy_slaughter_oil_NL*EF_oil_CO2</f>
        <v>0.20449307728455995</v>
      </c>
      <c r="Z32" s="18"/>
      <c r="AA32" s="18"/>
    </row>
    <row r="33" spans="1:27" x14ac:dyDescent="0.3">
      <c r="A33" s="11" t="s">
        <v>107</v>
      </c>
      <c r="B33" s="11" t="s">
        <v>65</v>
      </c>
      <c r="C33" s="15" t="s">
        <v>108</v>
      </c>
      <c r="D33" t="s">
        <v>115</v>
      </c>
      <c r="E33" s="16" t="s">
        <v>72</v>
      </c>
      <c r="F33" s="11" t="s">
        <v>110</v>
      </c>
      <c r="G33" s="18">
        <f t="shared" si="0"/>
        <v>7.108532100477411E-3</v>
      </c>
      <c r="H33" s="300">
        <f>(Production!$G$5*'Parameters, country spec'!$G$52*'CH4 per kg feed'!G100+(Production!$G$6+Production!$G$7)*'Parameters, country spec'!$G$53*'CH4 per kg feed'!G101)/Production!G23</f>
        <v>1.5497774942926578E-3</v>
      </c>
      <c r="I33" s="300">
        <f>(Production!$G$5*'Parameters, country spec'!$G$52*'CH4 per kg feed'!H100+(Production!$G$6+Production!$G$7)*'Parameters, country spec'!$G$53*'CH4 per kg feed'!H101)/Production!G23</f>
        <v>9.0414821420055217E-4</v>
      </c>
      <c r="J33" s="300"/>
      <c r="K33" s="300"/>
      <c r="L33" s="300">
        <f>(Production!$G$5*'Parameters, country spec'!$G$52*'CH4 per kg feed'!K100+(Production!$G$6+Production!$G$7)*'Parameters, country spec'!$G$53*'CH4 per kg feed'!K101)/Production!G23</f>
        <v>1.3208289157374482E-4</v>
      </c>
      <c r="M33" s="300"/>
      <c r="N33" s="300">
        <f>(Production!$G$5*'Parameters, country spec'!$G$52*'CH4 per kg feed'!M100+(Production!$G$6+Production!$G$7)*'Parameters, country spec'!$G$53*'CH4 per kg feed'!M101)/Production!G23</f>
        <v>1.3770034862758065E-5</v>
      </c>
      <c r="O33" s="300">
        <f>(Production!$G$5*'Parameters, country spec'!$G$52*'CH4 per kg feed'!N100+(Production!$G$6+Production!$G$7)*'Parameters, country spec'!$G$53*'CH4 per kg feed'!N101)/Production!G23</f>
        <v>1.8349152418328514E-4</v>
      </c>
      <c r="P33" s="300">
        <f>(Production!$G$5*'Parameters, country spec'!$G$52*'CH4 per kg feed'!O100+(Production!$G$6+Production!$G$7)*'Parameters, country spec'!$G$53*'CH4 per kg feed'!O101)/Production!G23</f>
        <v>0</v>
      </c>
      <c r="Q33" s="300">
        <f>(Production!$G$5*'Parameters, country spec'!$G$52*'CH4 per kg feed'!P100+(Production!$G$6+Production!$G$7)*'Parameters, country spec'!$G$53*'CH4 per kg feed'!P101)/Production!G23</f>
        <v>3.71762092935332E-3</v>
      </c>
      <c r="R33" s="300">
        <f>(Production!$G$5*'Parameters, country spec'!$G$52*'CH4 per kg feed'!Q100+(Production!$G$6+Production!$G$7)*'Parameters, country spec'!$G$53*'CH4 per kg feed'!Q101)/Production!G23</f>
        <v>2.1204883076205306E-4</v>
      </c>
      <c r="W33" s="4">
        <f>'Parameters, country spec'!G66*EF_el_CH4_NL</f>
        <v>0</v>
      </c>
      <c r="X33" s="42">
        <f>Energy_slaughter_el_NL*EF_el_CH4_NL+Energy_slaughter_oil_NL*EF_oil_CH4</f>
        <v>3.9559218124904003E-4</v>
      </c>
      <c r="Z33" s="32"/>
      <c r="AA33" s="32"/>
    </row>
    <row r="34" spans="1:27" x14ac:dyDescent="0.3">
      <c r="A34" s="11" t="s">
        <v>107</v>
      </c>
      <c r="B34" s="11" t="s">
        <v>65</v>
      </c>
      <c r="C34" s="15" t="s">
        <v>108</v>
      </c>
      <c r="D34" t="s">
        <v>115</v>
      </c>
      <c r="E34" s="16" t="s">
        <v>72</v>
      </c>
      <c r="F34" s="11" t="s">
        <v>111</v>
      </c>
      <c r="G34" s="18">
        <f>SUM(H34:T34)</f>
        <v>2.7999577034449916E-2</v>
      </c>
      <c r="H34" s="300"/>
      <c r="I34" s="300"/>
      <c r="J34" s="311"/>
      <c r="K34" s="300"/>
      <c r="L34" s="300"/>
      <c r="M34" s="300"/>
      <c r="N34" s="300"/>
      <c r="O34" s="300"/>
      <c r="P34" s="300"/>
      <c r="Q34" s="300"/>
      <c r="R34" s="300"/>
      <c r="S34" s="4">
        <f>(Production!G5*'Parameters, country spec'!G57+(Production!G6+Production!G7)*'Parameters, country spec'!G57)/Production!G23</f>
        <v>3.285326696660131E-4</v>
      </c>
      <c r="T34" s="42">
        <f>SUM(U34:V34)</f>
        <v>2.7671044364783903E-2</v>
      </c>
      <c r="U34" s="57">
        <f>Manure!M35</f>
        <v>2.7671044364783903E-2</v>
      </c>
      <c r="W34" s="4"/>
      <c r="X34" s="42"/>
      <c r="Z34" s="32"/>
      <c r="AA34" s="32"/>
    </row>
    <row r="35" spans="1:27" ht="15" thickBot="1" x14ac:dyDescent="0.35">
      <c r="A35" s="11" t="s">
        <v>107</v>
      </c>
      <c r="B35" s="11" t="s">
        <v>65</v>
      </c>
      <c r="C35" s="15" t="s">
        <v>108</v>
      </c>
      <c r="D35" t="s">
        <v>115</v>
      </c>
      <c r="E35" s="16" t="s">
        <v>72</v>
      </c>
      <c r="F35" s="34" t="s">
        <v>112</v>
      </c>
      <c r="G35" s="18">
        <f>SUM(H35:T35)+W35+X35</f>
        <v>2.0593339005581721E-2</v>
      </c>
      <c r="H35" s="300">
        <f>(Production!$G$5*'Parameters, country spec'!$G$52*'N2O per kg feed'!G100+(Production!$G$6+Production!$G$7)*'Parameters, country spec'!$G$53*'N2O per kg feed'!G101)/Production!G23</f>
        <v>1.832373922919614E-3</v>
      </c>
      <c r="I35" s="300">
        <f>(Production!$G$5*'Parameters, country spec'!$G$52*'N2O per kg feed'!H100+(Production!$G$6+Production!$G$7)*'Parameters, country spec'!$G$53*'N2O per kg feed'!H101)/Production!G23</f>
        <v>9.7448728444013469E-6</v>
      </c>
      <c r="J35" s="300">
        <f>(Production!$G$5*'Parameters, country spec'!$G$52*'N2O per kg feed'!I100+(Production!$G$6+Production!$G$7)*'Parameters, country spec'!$G$53*'N2O per kg feed'!I101+Manure!M150)/Production!G23</f>
        <v>1.2588208825719297E-2</v>
      </c>
      <c r="K35" s="32">
        <f>J35*EF_indirect_N2O_NL</f>
        <v>1.2588208825719297E-3</v>
      </c>
      <c r="L35" s="300">
        <f>(Production!$G$5*'Parameters, country spec'!$G$52*'N2O per kg feed'!K100+(Production!$G$6+Production!$G$7)*'Parameters, country spec'!$G$53*'N2O per kg feed'!K101)/Production!G23</f>
        <v>7.8011782317877579E-6</v>
      </c>
      <c r="M35" s="300"/>
      <c r="N35" s="300">
        <f>(Production!$G$5*'Parameters, country spec'!$G$52*'N2O per kg feed'!M100+(Production!$G$6+Production!$G$7)*'Parameters, country spec'!$G$53*'N2O per kg feed'!M101)/Production!G23</f>
        <v>1.6939074110603508E-7</v>
      </c>
      <c r="O35" s="300">
        <f>(Production!$G$5*'Parameters, country spec'!$G$52*'N2O per kg feed'!N100+(Production!$G$6+Production!$G$7)*'Parameters, country spec'!$G$53*'N2O per kg feed'!N101)/Production!G23</f>
        <v>9.0984932959476267E-6</v>
      </c>
      <c r="P35" s="300">
        <f>(Production!$G$5*'Parameters, country spec'!$G$52*'N2O per kg feed'!O100+(Production!$G$6+Production!$G$7)*'Parameters, country spec'!$G$53*'N2O per kg feed'!O101)/Production!G23</f>
        <v>0</v>
      </c>
      <c r="Q35" s="300">
        <f>(Production!$G$5*'Parameters, country spec'!$G$52*'N2O per kg feed'!P100+(Production!$G$6+Production!$G$7)*'Parameters, country spec'!$G$53*'N2O per kg feed'!P101)/Production!G23</f>
        <v>2.4814415758299077E-4</v>
      </c>
      <c r="R35" s="300">
        <f>(Production!$G$5*'Parameters, country spec'!$G$52*'N2O per kg feed'!Q100+(Production!$G$6+Production!$G$7)*'Parameters, country spec'!$G$53*'N2O per kg feed'!Q101)/Production!G23</f>
        <v>9.1295972150346279E-6</v>
      </c>
      <c r="S35" s="4"/>
      <c r="T35" s="42">
        <f>SUM(U35:V35)</f>
        <v>4.6071597838860008E-3</v>
      </c>
      <c r="U35" s="172">
        <f>Manure!$M$92*44/28</f>
        <v>2.5204355478452719E-3</v>
      </c>
      <c r="V35" s="172">
        <f>Manure!$M$157*17/14*Manure!$L$120</f>
        <v>2.0867242360407285E-3</v>
      </c>
      <c r="W35" s="4">
        <f>'Parameters, country spec'!G61*EF_el_N2O_NL</f>
        <v>1.4505540553609917E-5</v>
      </c>
      <c r="X35" s="42">
        <f>Energy_slaughter_el_NL*EF_el_N2O_NL+Energy_slaughter_oil_NL*EF_oil_N2O</f>
        <v>8.1823600200000017E-6</v>
      </c>
      <c r="Z35" s="32"/>
      <c r="AA35" s="32"/>
    </row>
    <row r="36" spans="1:27" ht="15.6" thickTop="1" thickBot="1" x14ac:dyDescent="0.35">
      <c r="A36" s="373" t="s">
        <v>107</v>
      </c>
      <c r="B36" s="122" t="s">
        <v>65</v>
      </c>
      <c r="C36" s="123" t="s">
        <v>108</v>
      </c>
      <c r="D36" s="142" t="s">
        <v>115</v>
      </c>
      <c r="E36" s="124" t="s">
        <v>72</v>
      </c>
      <c r="F36" s="125" t="s">
        <v>113</v>
      </c>
      <c r="G36" s="128">
        <f t="shared" si="0"/>
        <v>10.264242957488493</v>
      </c>
      <c r="H36" s="126">
        <f>SUMPRODUCT(H32:H35,'Parameters, general'!$B$23:$B$26)</f>
        <v>1.3786108647457105</v>
      </c>
      <c r="I36" s="126">
        <f>SUMPRODUCT(I32:I35,'Parameters, general'!$B$23:$B$26)</f>
        <v>0.28005450122540942</v>
      </c>
      <c r="J36" s="126">
        <f>SUMPRODUCT(J32:J35,'Parameters, general'!$B$23:$B$26)</f>
        <v>3.436581009421368</v>
      </c>
      <c r="K36" s="126">
        <f>SUMPRODUCT(K32:K35,'Parameters, general'!$B$23:$B$26)</f>
        <v>0.34365810094213683</v>
      </c>
      <c r="L36" s="126">
        <f>SUMPRODUCT(L32:L35,'Parameters, general'!$B$23:$B$26)</f>
        <v>0.28366070049642661</v>
      </c>
      <c r="M36" s="126">
        <f>SUMPRODUCT(M32:M35,'Parameters, general'!$B$23:$B$26)</f>
        <v>0</v>
      </c>
      <c r="N36" s="126">
        <f>SUMPRODUCT(N32:N35,'Parameters, general'!$B$23:$B$26)</f>
        <v>5.3534333870883877E-3</v>
      </c>
      <c r="O36" s="126">
        <f>SUMPRODUCT(O32:O35,'Parameters, general'!$B$23:$B$26)</f>
        <v>0.25826468127583346</v>
      </c>
      <c r="P36" s="126">
        <f>SUMPRODUCT(P32:P35,'Parameters, general'!$B$23:$B$26)</f>
        <v>0.2695553998712768</v>
      </c>
      <c r="Q36" s="126">
        <f>SUMPRODUCT(Q32:Q35,'Parameters, general'!$B$23:$B$26)</f>
        <v>1.1593133142749905</v>
      </c>
      <c r="R36" s="126">
        <f>SUMPRODUCT(R32:R35,'Parameters, general'!$B$23:$B$26)</f>
        <v>0.25166401003595235</v>
      </c>
      <c r="S36" s="126">
        <f>SUMPRODUCT(S32:S35,'Parameters, general'!$B$23:$B$26)</f>
        <v>8.8703820809823541E-3</v>
      </c>
      <c r="T36" s="126">
        <f>SUMPRODUCT(T32:T35,'Parameters, general'!$B$23:$B$26)</f>
        <v>2.0048728188500435</v>
      </c>
      <c r="U36" s="126"/>
      <c r="V36" s="126"/>
      <c r="W36" s="126">
        <f>SUMPRODUCT(W32:W35,'Parameters, general'!$B$23:$B$26)</f>
        <v>0.36526823231003097</v>
      </c>
      <c r="X36" s="126">
        <f>SUMPRODUCT(X32:X35,'Parameters, general'!$B$23:$B$26)</f>
        <v>0.21851550857124136</v>
      </c>
      <c r="Z36" s="102">
        <f>SUM(H36:R36)</f>
        <v>7.6667160156761938</v>
      </c>
      <c r="AA36" s="141">
        <f>'CO2 per kg feed'!F100+'CH4 per kg feed'!F100*CF_GWP_CH4_fossil+'N2O per kg feed'!F100*CF_GWP_N2O</f>
        <v>0.57775913943455004</v>
      </c>
    </row>
    <row r="37" spans="1:27" ht="15" thickTop="1" x14ac:dyDescent="0.3">
      <c r="A37" s="397" t="s">
        <v>107</v>
      </c>
      <c r="B37" s="397" t="s">
        <v>65</v>
      </c>
      <c r="C37" s="398" t="s">
        <v>108</v>
      </c>
      <c r="D37" t="s">
        <v>22</v>
      </c>
      <c r="E37" s="16" t="s">
        <v>73</v>
      </c>
      <c r="F37" s="400" t="s">
        <v>109</v>
      </c>
      <c r="G37" s="401">
        <f>SUM(H37:X37)</f>
        <v>3.4984234472651128</v>
      </c>
      <c r="H37" s="401">
        <f>(Production!$H$5*'Parameters, country spec'!$H$52*'CO2 per kg feed'!G116+(Production!$H$6+Production!$H$7)*'Parameters, country spec'!$H$53*'CO2 per kg feed'!G45)/Production!H23</f>
        <v>0.86097532573943469</v>
      </c>
      <c r="I37" s="401">
        <f>(Production!$H$5*'Parameters, country spec'!$H$52*'CO2 per kg feed'!H116+(Production!$H$6+Production!$H$7)*'Parameters, country spec'!$H$53*'CO2 per kg feed'!H45)/Production!H23</f>
        <v>0.26079787459124282</v>
      </c>
      <c r="J37" s="401"/>
      <c r="K37" s="401"/>
      <c r="L37" s="401">
        <f>(Production!$H$5*'Parameters, country spec'!$H$52*'CO2 per kg feed'!K116+(Production!$H$6+Production!$H$7)*'Parameters, country spec'!$H$53*'CO2 per kg feed'!K45)/Production!H23</f>
        <v>0.61240900721092506</v>
      </c>
      <c r="M37" s="401"/>
      <c r="N37" s="401">
        <f>(Production!$H$5*'Parameters, country spec'!$H$52*'CO2 per kg feed'!M116+(Production!$H$6+Production!$H$7)*'Parameters, country spec'!$H$53*'CO2 per kg feed'!M45)/Production!H23</f>
        <v>1.7506207100840131E-2</v>
      </c>
      <c r="O37" s="401">
        <f>(Production!$H$5*'Parameters, country spec'!$H$52*'CO2 per kg feed'!N116+(Production!$H$6+Production!$H$7)*'Parameters, country spec'!$H$53*'CO2 per kg feed'!N45)/Production!H23</f>
        <v>0.43303231216441884</v>
      </c>
      <c r="P37" s="401">
        <f>(Production!$H$5*'Parameters, country spec'!$H$52*'CO2 per kg feed'!O116+(Production!$H$6+Production!$H$7)*'Parameters, country spec'!$H$53*'CO2 per kg feed'!O45)/Production!H23</f>
        <v>3.6971466206622339E-2</v>
      </c>
      <c r="Q37" s="401">
        <f>(Production!$H$5*'Parameters, country spec'!$H$52*'CO2 per kg feed'!P116+(Production!$H$6+Production!$H$7)*'Parameters, country spec'!$H$53*'CO2 per kg feed'!P45)/Production!H23</f>
        <v>0.13977706386589561</v>
      </c>
      <c r="R37" s="401">
        <f>(Production!$H$5*'Parameters, country spec'!$H$52*'CO2 per kg feed'!Q116+(Production!$H$6+Production!$H$7)*'Parameters, country spec'!$H$53*'CO2 per kg feed'!Q45)/Production!H23</f>
        <v>3.1458935459276867E-2</v>
      </c>
      <c r="S37" s="402"/>
      <c r="T37" s="403"/>
      <c r="U37" s="404"/>
      <c r="V37" s="404"/>
      <c r="W37" s="402">
        <f>'Parameters, country spec'!H61*EF_el_CO2_PL</f>
        <v>0.70951451068185634</v>
      </c>
      <c r="X37" s="405">
        <f>Energy_slaughter_el_PL*EF_el_CO2_PL+Energy_slaughter_oil_PL*EF_oil_CO2</f>
        <v>0.39598074424460006</v>
      </c>
      <c r="Z37" s="18"/>
      <c r="AA37" s="18"/>
    </row>
    <row r="38" spans="1:27" x14ac:dyDescent="0.3">
      <c r="A38" s="11" t="s">
        <v>107</v>
      </c>
      <c r="B38" s="11" t="s">
        <v>65</v>
      </c>
      <c r="C38" s="15" t="s">
        <v>108</v>
      </c>
      <c r="D38" t="s">
        <v>22</v>
      </c>
      <c r="E38" s="16" t="s">
        <v>73</v>
      </c>
      <c r="F38" s="11" t="s">
        <v>110</v>
      </c>
      <c r="G38" s="18">
        <f t="shared" si="0"/>
        <v>4.4924811013695096E-3</v>
      </c>
      <c r="H38" s="300">
        <f>(Production!$H$5*'Parameters, country spec'!$H$52*'CH4 per kg feed'!G116+(Production!$H$6+Production!$H$7)*'Parameters, country spec'!$H$53*'CH4 per kg feed'!G45)/Production!H23</f>
        <v>1.6095721090969184E-3</v>
      </c>
      <c r="I38" s="300">
        <f>(Production!$H$5*'Parameters, country spec'!$H$52*'CH4 per kg feed'!H116+(Production!$H$6+Production!$H$7)*'Parameters, country spec'!$H$53*'CH4 per kg feed'!H45)/Production!H23</f>
        <v>9.6352351713223459E-4</v>
      </c>
      <c r="J38" s="300"/>
      <c r="K38" s="300"/>
      <c r="L38" s="300">
        <f>(Production!$H$5*'Parameters, country spec'!$H$52*'CH4 per kg feed'!K116+(Production!$H$6+Production!$H$7)*'Parameters, country spec'!$H$53*'CH4 per kg feed'!K45)/Production!H23</f>
        <v>2.7253550756488044E-4</v>
      </c>
      <c r="M38" s="300"/>
      <c r="N38" s="300">
        <f>(Production!$H$5*'Parameters, country spec'!$H$52*'CH4 per kg feed'!M116+(Production!$H$6+Production!$H$7)*'Parameters, country spec'!$H$53*'CH4 per kg feed'!M45)/Production!H23</f>
        <v>5.7185977240570057E-5</v>
      </c>
      <c r="O38" s="300">
        <f>(Production!$H$5*'Parameters, country spec'!$H$52*'CH4 per kg feed'!N116+(Production!$H$6+Production!$H$7)*'Parameters, country spec'!$H$53*'CH4 per kg feed'!N45)/Production!H23</f>
        <v>3.5937650479030841E-4</v>
      </c>
      <c r="P38" s="300">
        <f>(Production!$H$5*'Parameters, country spec'!$H$52*'CH4 per kg feed'!O116+(Production!$H$6+Production!$H$7)*'Parameters, country spec'!$H$53*'CH4 per kg feed'!O45)/Production!H23</f>
        <v>0</v>
      </c>
      <c r="Q38" s="300">
        <f>(Production!$H$5*'Parameters, country spec'!$H$52*'CH4 per kg feed'!P116+(Production!$H$6+Production!$H$7)*'Parameters, country spec'!$H$53*'CH4 per kg feed'!P45)/Production!H23</f>
        <v>4.4877741987704999E-4</v>
      </c>
      <c r="R38" s="300">
        <f>(Production!$H$5*'Parameters, country spec'!$H$52*'CH4 per kg feed'!Q116+(Production!$H$6+Production!$H$7)*'Parameters, country spec'!$H$53*'CH4 per kg feed'!Q45)/Production!H23</f>
        <v>2.751345982112012E-5</v>
      </c>
      <c r="W38" s="4">
        <f>'Parameters, country spec'!H71*EF_el_CH4_PL</f>
        <v>3.3078380971877678E-8</v>
      </c>
      <c r="X38" s="42">
        <f>Energy_slaughter_el_PL*EF_el_CH4_PL+Energy_slaughter_oil_PL*EF_oil_CH4</f>
        <v>7.5396352746545604E-4</v>
      </c>
      <c r="Z38" s="32"/>
      <c r="AA38" s="32"/>
    </row>
    <row r="39" spans="1:27" x14ac:dyDescent="0.3">
      <c r="A39" s="11" t="s">
        <v>107</v>
      </c>
      <c r="B39" s="11" t="s">
        <v>65</v>
      </c>
      <c r="C39" s="15" t="s">
        <v>108</v>
      </c>
      <c r="D39" t="s">
        <v>22</v>
      </c>
      <c r="E39" s="16" t="s">
        <v>73</v>
      </c>
      <c r="F39" s="11" t="s">
        <v>111</v>
      </c>
      <c r="G39" s="18">
        <f>SUM(H39:T39)</f>
        <v>2.5096162684035167E-2</v>
      </c>
      <c r="H39" s="300"/>
      <c r="I39" s="300"/>
      <c r="J39" s="311"/>
      <c r="K39" s="300"/>
      <c r="L39" s="300"/>
      <c r="M39" s="300"/>
      <c r="N39" s="300"/>
      <c r="O39" s="300"/>
      <c r="P39" s="300"/>
      <c r="Q39" s="300"/>
      <c r="R39" s="300"/>
      <c r="S39" s="4">
        <f>(Production!H5*'Parameters, country spec'!H57+(Production!H6+Production!H7)*'Parameters, country spec'!H57)/Production!H23</f>
        <v>3.2484499788780935E-4</v>
      </c>
      <c r="T39" s="42">
        <f>SUM(U39:V39)</f>
        <v>2.4771317686147359E-2</v>
      </c>
      <c r="U39" s="57">
        <f>Manure!O35</f>
        <v>2.4771317686147359E-2</v>
      </c>
      <c r="W39" s="4"/>
      <c r="X39" s="42"/>
      <c r="Z39" s="32"/>
      <c r="AA39" s="32"/>
    </row>
    <row r="40" spans="1:27" ht="15" thickBot="1" x14ac:dyDescent="0.35">
      <c r="A40" s="11" t="s">
        <v>107</v>
      </c>
      <c r="B40" s="11" t="s">
        <v>65</v>
      </c>
      <c r="C40" s="15" t="s">
        <v>108</v>
      </c>
      <c r="D40" t="s">
        <v>22</v>
      </c>
      <c r="E40" s="16" t="s">
        <v>73</v>
      </c>
      <c r="F40" s="34" t="s">
        <v>112</v>
      </c>
      <c r="G40" s="18">
        <f>SUM(H40:T40)+W40+X40</f>
        <v>1.6759040386672093E-2</v>
      </c>
      <c r="H40" s="300">
        <f>(Production!$H$5*'Parameters, country spec'!$H$52*'N2O per kg feed'!G116+(Production!$H$6+Production!$H$7)*'Parameters, country spec'!$H$53*'N2O per kg feed'!G45)/Production!H23</f>
        <v>1.8937516591690348E-3</v>
      </c>
      <c r="I40" s="300">
        <f>(Production!$H$5*'Parameters, country spec'!$H$52*'N2O per kg feed'!H116+(Production!$H$6+Production!$H$7)*'Parameters, country spec'!$H$53*'N2O per kg feed'!H45)/Production!H23</f>
        <v>9.7070712786045079E-6</v>
      </c>
      <c r="J40" s="300">
        <f>(Production!$H$5*'Parameters, country spec'!$H$52*'N2O per kg feed'!I116+(Production!$H$6+Production!$H$7)*'Parameters, country spec'!$H$53*'N2O per kg feed'!I45+Manure!O150)/Production!H23</f>
        <v>9.2940317404467E-3</v>
      </c>
      <c r="K40" s="32">
        <f>J40*EF_indirect_N2O_PL</f>
        <v>9.2940317404467004E-4</v>
      </c>
      <c r="L40" s="300">
        <f>(Production!$H$5*'Parameters, country spec'!$H$52*'N2O per kg feed'!K116+(Production!$H$6+Production!$H$7)*'Parameters, country spec'!$H$53*'N2O per kg feed'!K45)/Production!H23</f>
        <v>1.6532774599303062E-5</v>
      </c>
      <c r="M40" s="300"/>
      <c r="N40" s="300">
        <f>(Production!$H$5*'Parameters, country spec'!$H$52*'N2O per kg feed'!M116+(Production!$H$6+Production!$H$7)*'Parameters, country spec'!$H$53*'N2O per kg feed'!M45)/Production!H23</f>
        <v>7.0429784172876394E-7</v>
      </c>
      <c r="O40" s="300">
        <f>(Production!$H$5*'Parameters, country spec'!$H$52*'N2O per kg feed'!N116+(Production!$H$6+Production!$H$7)*'Parameters, country spec'!$H$53*'N2O per kg feed'!N45)/Production!H23</f>
        <v>1.5011244925774594E-5</v>
      </c>
      <c r="P40" s="300">
        <f>(Production!$H$5*'Parameters, country spec'!$H$52*'N2O per kg feed'!O116+(Production!$H$6+Production!$H$7)*'Parameters, country spec'!$H$53*'N2O per kg feed'!O45)/Production!H23</f>
        <v>0</v>
      </c>
      <c r="Q40" s="300">
        <f>(Production!$H$5*'Parameters, country spec'!$H$52*'N2O per kg feed'!P116+(Production!$H$6+Production!$H$7)*'Parameters, country spec'!$H$53*'N2O per kg feed'!P45)/Production!H23</f>
        <v>2.3266687222477381E-5</v>
      </c>
      <c r="R40" s="300">
        <f>(Production!$H$5*'Parameters, country spec'!$H$52*'N2O per kg feed'!Q116+(Production!$H$6+Production!$H$7)*'Parameters, country spec'!$H$53*'N2O per kg feed'!Q45)/Production!H23</f>
        <v>1.1381480269149941E-6</v>
      </c>
      <c r="S40" s="4"/>
      <c r="T40" s="42">
        <f>SUM(U40:V40)</f>
        <v>4.5554459219739303E-3</v>
      </c>
      <c r="U40" s="172">
        <f>Manure!$O$92*44/28</f>
        <v>2.4921444830692196E-3</v>
      </c>
      <c r="V40" s="172">
        <f>Manure!$O$157*17/14*Manure!$N$120</f>
        <v>2.0633014389047108E-3</v>
      </c>
      <c r="W40" s="4">
        <f>'Parameters, country spec'!H61*EF_el_N2O_PL</f>
        <v>1.2802082738954745E-5</v>
      </c>
      <c r="X40" s="42">
        <f>Energy_slaughter_el_PL*EF_el_N2O_PL+Energy_slaughter_oil_PL*EF_oil_N2O</f>
        <v>7.2455844040000003E-6</v>
      </c>
      <c r="Z40" s="32"/>
      <c r="AA40" s="32"/>
    </row>
    <row r="41" spans="1:27" ht="15.6" thickTop="1" thickBot="1" x14ac:dyDescent="0.35">
      <c r="A41" s="373" t="s">
        <v>107</v>
      </c>
      <c r="B41" s="122" t="s">
        <v>65</v>
      </c>
      <c r="C41" s="123" t="s">
        <v>108</v>
      </c>
      <c r="D41" s="142" t="s">
        <v>22</v>
      </c>
      <c r="E41" s="37" t="s">
        <v>73</v>
      </c>
      <c r="F41" s="125" t="s">
        <v>113</v>
      </c>
      <c r="G41" s="128">
        <f t="shared" si="0"/>
        <v>8.8851138021163543</v>
      </c>
      <c r="H41" s="126">
        <f>SUMPRODUCT(H37:H40,'Parameters, general'!$B$23:$B$26)</f>
        <v>1.4259347775436693</v>
      </c>
      <c r="I41" s="126">
        <f>SUMPRODUCT(I37:I40,'Parameters, general'!$B$23:$B$26)</f>
        <v>0.29216090586084242</v>
      </c>
      <c r="J41" s="126">
        <f>SUMPRODUCT(J37:J40,'Parameters, general'!$B$23:$B$26)</f>
        <v>2.537270665141949</v>
      </c>
      <c r="K41" s="126">
        <f>SUMPRODUCT(K37:K40,'Parameters, general'!$B$23:$B$26)</f>
        <v>0.25372706651419491</v>
      </c>
      <c r="L41" s="126">
        <f>SUMPRODUCT(L37:L40,'Parameters, general'!$B$23:$B$26)</f>
        <v>0.62504401280196831</v>
      </c>
      <c r="M41" s="126">
        <f>SUMPRODUCT(M37:M40,'Parameters, general'!$B$23:$B$26)</f>
        <v>0</v>
      </c>
      <c r="N41" s="126">
        <f>SUMPRODUCT(N37:N40,'Parameters, general'!$B$23:$B$26)</f>
        <v>1.9402622533401071E-2</v>
      </c>
      <c r="O41" s="126">
        <f>SUMPRODUCT(O37:O40,'Parameters, general'!$B$23:$B$26)</f>
        <v>0.44783980187190653</v>
      </c>
      <c r="P41" s="126">
        <f>SUMPRODUCT(P37:P40,'Parameters, general'!$B$23:$B$26)</f>
        <v>3.6971466206622339E-2</v>
      </c>
      <c r="Q41" s="126">
        <f>SUMPRODUCT(Q37:Q40,'Parameters, general'!$B$23:$B$26)</f>
        <v>0.15950243658996802</v>
      </c>
      <c r="R41" s="126">
        <f>SUMPRODUCT(R37:R40,'Parameters, general'!$B$23:$B$26)</f>
        <v>3.2589550973294037E-2</v>
      </c>
      <c r="S41" s="126">
        <f>SUMPRODUCT(S37:S40,'Parameters, general'!$B$23:$B$26)</f>
        <v>8.7708149429708525E-3</v>
      </c>
      <c r="T41" s="126">
        <f>SUMPRODUCT(T37:T40,'Parameters, general'!$B$23:$B$26)</f>
        <v>1.9124623142248618</v>
      </c>
      <c r="U41" s="126"/>
      <c r="V41" s="126"/>
      <c r="W41" s="126">
        <f>SUMPRODUCT(W37:W40,'Parameters, general'!$B$23:$B$26)</f>
        <v>0.71301046500534393</v>
      </c>
      <c r="X41" s="126">
        <f>SUMPRODUCT(X37:X40,'Parameters, general'!$B$23:$B$26)</f>
        <v>0.42042690190536264</v>
      </c>
      <c r="Z41" s="102">
        <f>SUM(H41:R41)</f>
        <v>5.8304433060378162</v>
      </c>
      <c r="AA41" s="141">
        <f>'CO2 per kg feed'!F116+'CH4 per kg feed'!F116*CF_GWP_CH4_fossil+'N2O per kg feed'!F116*CF_GWP_N2O</f>
        <v>0.57279436515320414</v>
      </c>
    </row>
    <row r="42" spans="1:27" ht="15" thickTop="1" x14ac:dyDescent="0.3">
      <c r="A42" s="397" t="s">
        <v>107</v>
      </c>
      <c r="B42" s="397" t="s">
        <v>65</v>
      </c>
      <c r="C42" s="398" t="s">
        <v>108</v>
      </c>
      <c r="D42" t="s">
        <v>26</v>
      </c>
      <c r="E42" s="399" t="s">
        <v>74</v>
      </c>
      <c r="F42" s="400" t="s">
        <v>109</v>
      </c>
      <c r="G42" s="401">
        <f>SUM(H42:X42)</f>
        <v>2.7795669301712458</v>
      </c>
      <c r="H42" s="401">
        <f>(Production!$I$5*'Parameters, country spec'!$I$52*'CO2 per kg feed'!G132+(Production!$I$6+Production!$I$7)*'Parameters, country spec'!$I$53*'CO2 per kg feed'!G133)/Production!I23</f>
        <v>0.22935597336722113</v>
      </c>
      <c r="I42" s="401">
        <f>(Production!$I$5*'Parameters, country spec'!$I$52*'CO2 per kg feed'!H132+(Production!$I$6+Production!$I$7)*'Parameters, country spec'!$I$53*'CO2 per kg feed'!H133)/Production!I23</f>
        <v>0.25387017570114068</v>
      </c>
      <c r="J42" s="401"/>
      <c r="K42" s="401"/>
      <c r="L42" s="401">
        <f>(Production!$I$5*'Parameters, country spec'!$I$52*'CO2 per kg feed'!K132+(Production!$I$6+Production!$I$7)*'Parameters, country spec'!$I$53*'CO2 per kg feed'!K133)/Production!I23</f>
        <v>0.42810473033009283</v>
      </c>
      <c r="M42" s="401"/>
      <c r="N42" s="401">
        <f>(Production!$I$5*'Parameters, country spec'!$I$52*'CO2 per kg feed'!M132+(Production!$I$6+Production!$I$7)*'Parameters, country spec'!$I$53*'CO2 per kg feed'!M133)/Production!I23</f>
        <v>2.124750382919733E-2</v>
      </c>
      <c r="O42" s="401">
        <f>(Production!$I$5*'Parameters, country spec'!$I$52*'CO2 per kg feed'!N132+(Production!$I$6+Production!$I$7)*'Parameters, country spec'!$I$53*'CO2 per kg feed'!N133)/Production!I23</f>
        <v>0.23082469893827515</v>
      </c>
      <c r="P42" s="401">
        <f>(Production!$I$5*'Parameters, country spec'!$I$52*'CO2 per kg feed'!O132+(Production!$I$6+Production!$I$7)*'Parameters, country spec'!$I$53*'CO2 per kg feed'!O133)/Production!I23</f>
        <v>0.27502472787200605</v>
      </c>
      <c r="Q42" s="401">
        <f>(Production!$I$5*'Parameters, country spec'!$I$52*'CO2 per kg feed'!P132+(Production!$I$6+Production!$I$7)*'Parameters, country spec'!$I$53*'CO2 per kg feed'!P133)/Production!I23</f>
        <v>0.65496063319197617</v>
      </c>
      <c r="R42" s="401">
        <f>(Production!$I$5*'Parameters, country spec'!$I$52*'CO2 per kg feed'!Q132+(Production!$I$6+Production!$I$7)*'Parameters, country spec'!$I$53*'CO2 per kg feed'!Q133)/Production!I23</f>
        <v>0.37811308272108823</v>
      </c>
      <c r="S42" s="402"/>
      <c r="T42" s="403"/>
      <c r="U42" s="404"/>
      <c r="V42" s="404"/>
      <c r="W42" s="402">
        <f>'Parameters, country spec'!I61*EF_el_CO2_ES</f>
        <v>0.19501905166188852</v>
      </c>
      <c r="X42" s="405">
        <f>Energy_slaughter_el_ES*EF_el_CO2_ES+Energy_slaughter_oil_ES*EF_oil_CO2</f>
        <v>0.11304635255836001</v>
      </c>
      <c r="Z42" s="18"/>
      <c r="AA42" s="18"/>
    </row>
    <row r="43" spans="1:27" x14ac:dyDescent="0.3">
      <c r="A43" s="11" t="s">
        <v>107</v>
      </c>
      <c r="B43" s="11" t="s">
        <v>65</v>
      </c>
      <c r="C43" s="15" t="s">
        <v>108</v>
      </c>
      <c r="D43" t="s">
        <v>26</v>
      </c>
      <c r="E43" s="16" t="s">
        <v>74</v>
      </c>
      <c r="F43" s="11" t="s">
        <v>110</v>
      </c>
      <c r="G43" s="18">
        <f t="shared" si="0"/>
        <v>6.1204156132670948E-3</v>
      </c>
      <c r="H43" s="300">
        <f>(Production!$I$5*'Parameters, country spec'!$I$52*'CH4 per kg feed'!G132+(Production!$I$6+Production!$I$7)*'Parameters, country spec'!$I$53*'CH4 per kg feed'!G133)/Production!I23</f>
        <v>4.366925668643207E-4</v>
      </c>
      <c r="I43" s="300">
        <f>(Production!$I$5*'Parameters, country spec'!$I$52*'CH4 per kg feed'!H132+(Production!$I$6+Production!$I$7)*'Parameters, country spec'!$I$53*'CH4 per kg feed'!H133)/Production!I23</f>
        <v>9.1648438156153168E-4</v>
      </c>
      <c r="J43" s="300"/>
      <c r="K43" s="300"/>
      <c r="L43" s="300">
        <f>(Production!$I$5*'Parameters, country spec'!$I$52*'CH4 per kg feed'!K132+(Production!$I$6+Production!$I$7)*'Parameters, country spec'!$I$53*'CH4 per kg feed'!K133)/Production!I23</f>
        <v>2.0186046775962796E-4</v>
      </c>
      <c r="M43" s="300"/>
      <c r="N43" s="300">
        <f>(Production!$I$5*'Parameters, country spec'!$I$52*'CH4 per kg feed'!M132+(Production!$I$6+Production!$I$7)*'Parameters, country spec'!$I$53*'CH4 per kg feed'!M133)/Production!I23</f>
        <v>6.6945739623315396E-5</v>
      </c>
      <c r="O43" s="300">
        <f>(Production!$I$5*'Parameters, country spec'!$I$52*'CH4 per kg feed'!N132+(Production!$I$6+Production!$I$7)*'Parameters, country spec'!$I$53*'CH4 per kg feed'!N133)/Production!I23</f>
        <v>1.718030134129352E-4</v>
      </c>
      <c r="P43" s="300">
        <f>(Production!$I$5*'Parameters, country spec'!$I$52*'CH4 per kg feed'!O132+(Production!$I$6+Production!$I$7)*'Parameters, country spec'!$I$53*'CH4 per kg feed'!O133)/Production!I23</f>
        <v>0</v>
      </c>
      <c r="Q43" s="300">
        <f>(Production!$I$5*'Parameters, country spec'!$I$52*'CH4 per kg feed'!P132+(Production!$I$6+Production!$I$7)*'Parameters, country spec'!$I$53*'CH4 per kg feed'!P133)/Production!I23</f>
        <v>3.6611602006364633E-3</v>
      </c>
      <c r="R43" s="300">
        <f>(Production!$I$5*'Parameters, country spec'!$I$52*'CH4 per kg feed'!Q132+(Production!$I$6+Production!$I$7)*'Parameters, country spec'!$I$53*'CH4 per kg feed'!Q133)/Production!I23</f>
        <v>3.3175211349050106E-4</v>
      </c>
      <c r="W43" s="4">
        <f>'Parameters, country spec'!I76*EF_el_CH4_ES</f>
        <v>0</v>
      </c>
      <c r="X43" s="42">
        <f>Energy_slaughter_el_ES*EF_el_CH4_ES+Energy_slaughter_oil_ES*EF_oil_CH4</f>
        <v>3.3371712991840002E-4</v>
      </c>
      <c r="Z43" s="32"/>
      <c r="AA43" s="32"/>
    </row>
    <row r="44" spans="1:27" x14ac:dyDescent="0.3">
      <c r="A44" s="11" t="s">
        <v>107</v>
      </c>
      <c r="B44" s="11" t="s">
        <v>65</v>
      </c>
      <c r="C44" s="15" t="s">
        <v>108</v>
      </c>
      <c r="D44" t="s">
        <v>26</v>
      </c>
      <c r="E44" s="16" t="s">
        <v>74</v>
      </c>
      <c r="F44" s="11" t="s">
        <v>111</v>
      </c>
      <c r="G44" s="18">
        <f>SUM(H44:T44)</f>
        <v>3.7799620371700135E-2</v>
      </c>
      <c r="H44" s="300"/>
      <c r="I44" s="300"/>
      <c r="J44" s="311"/>
      <c r="K44" s="300"/>
      <c r="L44" s="300"/>
      <c r="M44" s="300"/>
      <c r="N44" s="300"/>
      <c r="O44" s="300"/>
      <c r="P44" s="300"/>
      <c r="Q44" s="300"/>
      <c r="R44" s="300"/>
      <c r="S44" s="4">
        <f>(Production!I5*'Parameters, country spec'!I57+(Production!I6+Production!I7)*'Parameters, country spec'!I57)/Production!I23</f>
        <v>3.8512555385193491E-4</v>
      </c>
      <c r="T44" s="42">
        <f>SUM(U44:V44)</f>
        <v>3.7414494817848198E-2</v>
      </c>
      <c r="U44" s="57">
        <f>Manure!Q35</f>
        <v>3.7414494817848198E-2</v>
      </c>
      <c r="W44" s="4"/>
      <c r="X44" s="42"/>
      <c r="Z44" s="32"/>
      <c r="AA44" s="32"/>
    </row>
    <row r="45" spans="1:27" ht="15" thickBot="1" x14ac:dyDescent="0.35">
      <c r="A45" s="11" t="s">
        <v>107</v>
      </c>
      <c r="B45" s="11" t="s">
        <v>65</v>
      </c>
      <c r="C45" s="15" t="s">
        <v>108</v>
      </c>
      <c r="D45" t="s">
        <v>26</v>
      </c>
      <c r="E45" s="16" t="s">
        <v>74</v>
      </c>
      <c r="F45" s="34" t="s">
        <v>112</v>
      </c>
      <c r="G45" s="18">
        <f>SUM(H45:T45)+W45+X45</f>
        <v>1.7807733557129703E-2</v>
      </c>
      <c r="H45" s="300">
        <f>(Production!$I$5*'Parameters, country spec'!$I$52*'N2O per kg feed'!G132+(Production!$I$6+Production!$I$7)*'Parameters, country spec'!$I$53*'N2O per kg feed'!G133)/Production!I23</f>
        <v>5.0655020764624604E-4</v>
      </c>
      <c r="I45" s="300">
        <f>(Production!$I$5*'Parameters, country spec'!$I$52*'N2O per kg feed'!H132+(Production!$I$6+Production!$I$7)*'Parameters, country spec'!$I$53*'N2O per kg feed'!H133)/Production!I23</f>
        <v>9.8781096688961103E-6</v>
      </c>
      <c r="J45" s="300">
        <f>(Production!$I$5*'Parameters, country spec'!$I$52*'N2O per kg feed'!I132+(Production!$I$6+Production!$I$7)*'Parameters, country spec'!$I$53*'N2O per kg feed'!I133+Manure!Q150)/Production!I23</f>
        <v>1.0546802397268131E-2</v>
      </c>
      <c r="K45" s="32">
        <f>J45*EF_indirect_N2O_ES</f>
        <v>1.0546802397268132E-3</v>
      </c>
      <c r="L45" s="300">
        <f>(Production!$I$5*'Parameters, country spec'!$I$52*'N2O per kg feed'!K132+(Production!$I$6+Production!$I$7)*'Parameters, country spec'!$I$53*'N2O per kg feed'!K133)/Production!I23</f>
        <v>1.1833525663500902E-5</v>
      </c>
      <c r="M45" s="300"/>
      <c r="N45" s="300">
        <f>(Production!$I$5*'Parameters, country spec'!$I$52*'N2O per kg feed'!M132+(Production!$I$6+Production!$I$7)*'Parameters, country spec'!$I$53*'N2O per kg feed'!M133)/Production!I23</f>
        <v>8.2467164773576297E-7</v>
      </c>
      <c r="O45" s="300">
        <f>(Production!$I$5*'Parameters, country spec'!$I$52*'N2O per kg feed'!N132+(Production!$I$6+Production!$I$7)*'Parameters, country spec'!$I$53*'N2O per kg feed'!N133)/Production!I23</f>
        <v>8.4908628970614775E-6</v>
      </c>
      <c r="P45" s="300">
        <f>(Production!$I$5*'Parameters, country spec'!$I$52*'N2O per kg feed'!O132+(Production!$I$6+Production!$I$7)*'Parameters, country spec'!$I$53*'N2O per kg feed'!O133)/Production!I23</f>
        <v>0</v>
      </c>
      <c r="Q45" s="300">
        <f>(Production!$I$5*'Parameters, country spec'!$I$52*'N2O per kg feed'!P132+(Production!$I$6+Production!$I$7)*'Parameters, country spec'!$I$53*'N2O per kg feed'!P133)/Production!I23</f>
        <v>2.3652382541898632E-4</v>
      </c>
      <c r="R45" s="300">
        <f>(Production!$I$5*'Parameters, country spec'!$I$52*'N2O per kg feed'!Q132+(Production!$I$6+Production!$I$7)*'Parameters, country spec'!$I$53*'N2O per kg feed'!Q133)/Production!I23</f>
        <v>1.7473225189287848E-5</v>
      </c>
      <c r="S45" s="4"/>
      <c r="T45" s="42">
        <f>SUM(U45:V45)</f>
        <v>5.4007869757891919E-3</v>
      </c>
      <c r="U45" s="172">
        <f>Manure!$Q$92*44/28</f>
        <v>2.954604597767444E-3</v>
      </c>
      <c r="V45" s="172">
        <f>Manure!$Q$157*17/14*Manure!$P$120</f>
        <v>2.4461823780217479E-3</v>
      </c>
      <c r="W45" s="4">
        <f>'Parameters, country spec'!I61*EF_el_N2O_ES</f>
        <v>8.8288922618534501E-6</v>
      </c>
      <c r="X45" s="42">
        <f>Energy_slaughter_el_ES*EF_el_N2O_ES+Energy_slaughter_oil_ES*EF_oil_N2O</f>
        <v>5.0606239519999999E-6</v>
      </c>
      <c r="Z45" s="32"/>
      <c r="AA45" s="32"/>
    </row>
    <row r="46" spans="1:27" ht="15.6" thickTop="1" thickBot="1" x14ac:dyDescent="0.35">
      <c r="A46" s="373" t="s">
        <v>107</v>
      </c>
      <c r="B46" s="122" t="s">
        <v>65</v>
      </c>
      <c r="C46" s="123" t="s">
        <v>108</v>
      </c>
      <c r="D46" s="142" t="s">
        <v>26</v>
      </c>
      <c r="E46" s="124" t="s">
        <v>74</v>
      </c>
      <c r="F46" s="125" t="s">
        <v>113</v>
      </c>
      <c r="G46" s="128">
        <f>SUM(H46:X46)</f>
        <v>8.8440563265789187</v>
      </c>
      <c r="H46" s="126">
        <f>SUMPRODUCT(H42:H45,'Parameters, general'!$B$23:$B$26)</f>
        <v>0.38065761854720304</v>
      </c>
      <c r="I46" s="126">
        <f>SUMPRODUCT(I42:I45,'Parameters, general'!$B$23:$B$26)</f>
        <v>0.28387813421128294</v>
      </c>
      <c r="J46" s="126">
        <f>SUMPRODUCT(J42:J45,'Parameters, general'!$B$23:$B$26)</f>
        <v>2.8792770544541999</v>
      </c>
      <c r="K46" s="126">
        <f>SUMPRODUCT(K42:K45,'Parameters, general'!$B$23:$B$26)</f>
        <v>0.28792770544542001</v>
      </c>
      <c r="L46" s="126">
        <f>SUMPRODUCT(L42:L45,'Parameters, general'!$B$23:$B$26)</f>
        <v>0.43735072477546549</v>
      </c>
      <c r="M46" s="126">
        <f>SUMPRODUCT(M42:M45,'Parameters, general'!$B$23:$B$26)</f>
        <v>0</v>
      </c>
      <c r="N46" s="126">
        <f>SUMPRODUCT(N42:N45,'Parameters, general'!$B$23:$B$26)</f>
        <v>2.3467622229803992E-2</v>
      </c>
      <c r="O46" s="126">
        <f>SUMPRODUCT(O42:O45,'Parameters, general'!$B$23:$B$26)</f>
        <v>0.23826243430887839</v>
      </c>
      <c r="P46" s="126">
        <f>SUMPRODUCT(P42:P45,'Parameters, general'!$B$23:$B$26)</f>
        <v>0.27502472787200605</v>
      </c>
      <c r="Q46" s="126">
        <f>SUMPRODUCT(Q42:Q45,'Parameters, general'!$B$23:$B$26)</f>
        <v>0.82863421151032601</v>
      </c>
      <c r="R46" s="126">
        <f>SUMPRODUCT(R42:R45,'Parameters, general'!$B$23:$B$26)</f>
        <v>0.39276948617978075</v>
      </c>
      <c r="S46" s="126">
        <f>SUMPRODUCT(S42:S45,'Parameters, general'!$B$23:$B$26)</f>
        <v>1.0398389954002243E-2</v>
      </c>
      <c r="T46" s="126">
        <f>SUMPRODUCT(T42:T45,'Parameters, general'!$B$23:$B$26)</f>
        <v>2.4846062044723509</v>
      </c>
      <c r="U46" s="126"/>
      <c r="V46" s="126"/>
      <c r="W46" s="126">
        <f>SUMPRODUCT(W42:W45,'Parameters, general'!$B$23:$B$26)</f>
        <v>0.1974293392493745</v>
      </c>
      <c r="X46" s="126">
        <f>SUMPRODUCT(X42:X45,'Parameters, general'!$B$23:$B$26)</f>
        <v>0.12437267336882434</v>
      </c>
      <c r="Z46" s="102">
        <f>SUM(H46:R46)</f>
        <v>6.0272497195343666</v>
      </c>
      <c r="AA46" s="141">
        <f>'CO2 per kg feed'!F132+'CH4 per kg feed'!F132*CF_GWP_CH4_fossil+'N2O per kg feed'!F132*CF_GWP_N2O</f>
        <v>0.38525041290600026</v>
      </c>
    </row>
    <row r="47" spans="1:27" ht="15" thickTop="1" x14ac:dyDescent="0.3">
      <c r="A47" s="397" t="s">
        <v>107</v>
      </c>
      <c r="B47" s="397" t="s">
        <v>65</v>
      </c>
      <c r="C47" s="398" t="s">
        <v>108</v>
      </c>
      <c r="D47" t="s">
        <v>27</v>
      </c>
      <c r="E47" s="399" t="s">
        <v>75</v>
      </c>
      <c r="F47" s="400" t="s">
        <v>109</v>
      </c>
      <c r="G47" s="401">
        <f>SUM(H47:X47)</f>
        <v>2.8587918758922832</v>
      </c>
      <c r="H47" s="401">
        <f>(Production!$J$5*'Parameters, country spec'!$J$52*'CO2 per kg feed'!G148+(Production!$J$6+Production!$J$7)*'Parameters, country spec'!$J$53*'CO2 per kg feed'!G149)/Production!$J$23</f>
        <v>0.6985121759809596</v>
      </c>
      <c r="I47" s="401">
        <f>(Production!$J$5*'Parameters, country spec'!$J$52*'CO2 per kg feed'!H148+(Production!$J$6+Production!$J$7)*'Parameters, country spec'!$J$53*'CO2 per kg feed'!H149)/Production!$J$23</f>
        <v>0.33607103242892156</v>
      </c>
      <c r="J47" s="401"/>
      <c r="K47" s="401"/>
      <c r="L47" s="401">
        <f>(Production!$J$5*'Parameters, country spec'!$J$52*'CO2 per kg feed'!K148+(Production!$J$6+Production!$J$7)*'Parameters, country spec'!$J$53*'CO2 per kg feed'!K149)/Production!$J$23</f>
        <v>0.39626611077837554</v>
      </c>
      <c r="M47" s="401"/>
      <c r="N47" s="401">
        <f>(Production!$J$5*'Parameters, country spec'!$J$52*'CO2 per kg feed'!M148+(Production!$J$6+Production!$J$7)*'Parameters, country spec'!$J$53*'CO2 per kg feed'!M149)/Production!$J$23</f>
        <v>3.6815686103254693E-4</v>
      </c>
      <c r="O47" s="401">
        <f>(Production!$J$5*'Parameters, country spec'!$J$52*'CO2 per kg feed'!N148+(Production!$J$6+Production!$J$7)*'Parameters, country spec'!$J$53*'CO2 per kg feed'!N149)/Production!$J$23</f>
        <v>0.27363326584122993</v>
      </c>
      <c r="P47" s="401">
        <f>(Production!$J$5*'Parameters, country spec'!$J$52*'CO2 per kg feed'!O148+(Production!$J$6+Production!$J$7)*'Parameters, country spec'!$J$53*'CO2 per kg feed'!O149)/Production!$J$23</f>
        <v>0.32262099429415092</v>
      </c>
      <c r="Q47" s="401">
        <f>(Production!$J$5*'Parameters, country spec'!$J$52*'CO2 per kg feed'!P148+(Production!$J$6+Production!$J$7)*'Parameters, country spec'!$J$53*'CO2 per kg feed'!P149)/Production!$J$23</f>
        <v>0.45450673220205601</v>
      </c>
      <c r="R47" s="401">
        <f>(Production!$J$5*'Parameters, country spec'!$J$52*'CO2 per kg feed'!Q148+(Production!$J$6+Production!$J$7)*'Parameters, country spec'!$J$53*'CO2 per kg feed'!Q149)/Production!$J$23</f>
        <v>0.30491856792692229</v>
      </c>
      <c r="S47" s="402"/>
      <c r="T47" s="403"/>
      <c r="U47" s="404"/>
      <c r="V47" s="404"/>
      <c r="W47" s="402">
        <f>'Parameters, country spec'!J61*EF_el_CO2_SE</f>
        <v>3.0714383687251011E-2</v>
      </c>
      <c r="X47" s="405">
        <f>Energy_slaughter_el_SE*EF_el_CO2_SE+Energy_slaughter_oil_SE*EF_oil_CO2</f>
        <v>4.1180455891383999E-2</v>
      </c>
      <c r="Z47" s="18"/>
      <c r="AA47" s="18"/>
    </row>
    <row r="48" spans="1:27" x14ac:dyDescent="0.3">
      <c r="A48" s="11" t="s">
        <v>107</v>
      </c>
      <c r="B48" s="11" t="s">
        <v>65</v>
      </c>
      <c r="C48" s="15" t="s">
        <v>108</v>
      </c>
      <c r="D48" t="s">
        <v>27</v>
      </c>
      <c r="E48" s="16" t="s">
        <v>75</v>
      </c>
      <c r="F48" s="11" t="s">
        <v>110</v>
      </c>
      <c r="G48" s="18">
        <f t="shared" ref="G48" si="1">SUM(H48:X48)</f>
        <v>6.1866075088361384E-3</v>
      </c>
      <c r="H48" s="300">
        <f>(Production!$J$5*'Parameters, country spec'!$J$52*'CH4 per kg feed'!G148+(Production!$J$6+Production!$J$7)*'Parameters, country spec'!$J$53*'CH4 per kg feed'!G149)/Production!$J$23</f>
        <v>9.8716497760170554E-4</v>
      </c>
      <c r="I48" s="300">
        <f>(Production!$J$5*'Parameters, country spec'!$J$52*'CH4 per kg feed'!H148+(Production!$J$6+Production!$J$7)*'Parameters, country spec'!$J$53*'CH4 per kg feed'!H149)/Production!$J$23</f>
        <v>1.1824721511387983E-3</v>
      </c>
      <c r="J48" s="300"/>
      <c r="K48" s="300"/>
      <c r="L48" s="300">
        <f>(Production!$J$5*'Parameters, country spec'!$J$52*'CH4 per kg feed'!K148+(Production!$J$6+Production!$J$7)*'Parameters, country spec'!$J$53*'CH4 per kg feed'!K149)/Production!$J$23</f>
        <v>1.7757304876262555E-4</v>
      </c>
      <c r="M48" s="300"/>
      <c r="N48" s="300">
        <f>(Production!$J$5*'Parameters, country spec'!$J$52*'CH4 per kg feed'!M148+(Production!$J$6+Production!$J$7)*'Parameters, country spec'!$J$53*'CH4 per kg feed'!M149)/Production!$J$23</f>
        <v>1.1751434927971416E-6</v>
      </c>
      <c r="O48" s="300">
        <f>(Production!$J$5*'Parameters, country spec'!$J$52*'CH4 per kg feed'!N148+(Production!$J$6+Production!$J$7)*'Parameters, country spec'!$J$53*'CH4 per kg feed'!N149)/Production!$J$23</f>
        <v>1.1810928655667274E-4</v>
      </c>
      <c r="P48" s="300">
        <f>(Production!$J$5*'Parameters, country spec'!$J$52*'CH4 per kg feed'!O148+(Production!$J$6+Production!$J$7)*'Parameters, country spec'!$J$53*'CH4 per kg feed'!O149)/Production!$J$23</f>
        <v>0</v>
      </c>
      <c r="Q48" s="300">
        <f>(Production!$J$5*'Parameters, country spec'!$J$52*'CH4 per kg feed'!P148+(Production!$J$6+Production!$J$7)*'Parameters, country spec'!$J$53*'CH4 per kg feed'!P149)/Production!$J$23</f>
        <v>3.4107506235494106E-3</v>
      </c>
      <c r="R48" s="300">
        <f>(Production!$J$5*'Parameters, country spec'!$J$52*'CH4 per kg feed'!Q148+(Production!$J$6+Production!$J$7)*'Parameters, country spec'!$J$53*'CH4 per kg feed'!Q149)/Production!$J$23</f>
        <v>2.662752014932579E-4</v>
      </c>
      <c r="W48" s="4">
        <f>'Parameters, country spec'!J81*EF_el_CH4_SE</f>
        <v>1.5724567784950398E-6</v>
      </c>
      <c r="X48" s="42">
        <f>Energy_slaughter_el_SE*EF_el_CH4_SE+Energy_slaughter_oil_SE*EF_oil_CH4</f>
        <v>4.1514619462375996E-5</v>
      </c>
      <c r="Z48" s="32"/>
      <c r="AA48" s="32"/>
    </row>
    <row r="49" spans="1:27" x14ac:dyDescent="0.3">
      <c r="A49" s="11" t="s">
        <v>107</v>
      </c>
      <c r="B49" s="11" t="s">
        <v>65</v>
      </c>
      <c r="C49" s="15" t="s">
        <v>108</v>
      </c>
      <c r="D49" t="s">
        <v>27</v>
      </c>
      <c r="E49" s="16" t="s">
        <v>75</v>
      </c>
      <c r="F49" s="11" t="s">
        <v>111</v>
      </c>
      <c r="G49" s="18">
        <f>SUM(H49:T49)</f>
        <v>3.3947812662667151E-2</v>
      </c>
      <c r="H49" s="300"/>
      <c r="I49" s="300"/>
      <c r="J49" s="300"/>
      <c r="K49" s="300"/>
      <c r="L49" s="300"/>
      <c r="M49" s="300"/>
      <c r="N49" s="300"/>
      <c r="O49" s="300"/>
      <c r="P49" s="300"/>
      <c r="Q49" s="300"/>
      <c r="R49" s="300"/>
      <c r="S49" s="4">
        <f>(Production!J5*'Parameters, country spec'!J57+(Production!J6+Production!J7)*'Parameters, country spec'!J57)/Production!J23</f>
        <v>2.1089400438210236E-4</v>
      </c>
      <c r="T49" s="42">
        <f>SUM(U49:V49)</f>
        <v>3.3736918658285049E-2</v>
      </c>
      <c r="U49" s="57">
        <f>Manure!S35</f>
        <v>3.3736918658285049E-2</v>
      </c>
      <c r="W49" s="4"/>
      <c r="X49" s="42"/>
      <c r="Z49" s="32"/>
      <c r="AA49" s="32"/>
    </row>
    <row r="50" spans="1:27" ht="15" thickBot="1" x14ac:dyDescent="0.35">
      <c r="A50" s="11" t="s">
        <v>107</v>
      </c>
      <c r="B50" s="11" t="s">
        <v>65</v>
      </c>
      <c r="C50" s="15" t="s">
        <v>108</v>
      </c>
      <c r="D50" t="s">
        <v>27</v>
      </c>
      <c r="E50" s="16" t="s">
        <v>75</v>
      </c>
      <c r="F50" s="34" t="s">
        <v>112</v>
      </c>
      <c r="G50" s="18">
        <f>SUM(H50:T50)+W50+X50</f>
        <v>1.4448314242838883E-2</v>
      </c>
      <c r="H50" s="300">
        <f>(Production!$J$5*'Parameters, country spec'!$J$52*'N2O per kg feed'!G148+(Production!$J$6+Production!$J$7)*'Parameters, country spec'!$J$53*'N2O per kg feed'!G149)/Production!$J$23</f>
        <v>1.5157106441682831E-3</v>
      </c>
      <c r="I50" s="300">
        <f>(Production!$J$5*'Parameters, country spec'!$J$52*'N2O per kg feed'!H148+(Production!$J$6+Production!$J$7)*'Parameters, country spec'!$J$53*'N2O per kg feed'!H149)/Production!$J$23</f>
        <v>1.3090902662468558E-5</v>
      </c>
      <c r="J50" s="300">
        <f>(Production!$J$5*'Parameters, country spec'!$J$52*'N2O per kg feed'!I148+(Production!$J$6+Production!$J$7)*'Parameters, country spec'!$J$53*'N2O per kg feed'!I149)/Production!$J$23</f>
        <v>6.3679972294924791E-3</v>
      </c>
      <c r="K50" s="300">
        <f>(Production!$J$5*'Parameters, country spec'!$J$52*'N2O per kg feed'!J148+(Production!$J$6+Production!$J$7)*'Parameters, country spec'!$J$53*'N2O per kg feed'!J149)/Production!$J$23</f>
        <v>5.6907113503246404E-4</v>
      </c>
      <c r="L50" s="300">
        <f>(Production!$J$5*'Parameters, country spec'!$J$52*'N2O per kg feed'!K148+(Production!$J$6+Production!$J$7)*'Parameters, country spec'!$J$53*'N2O per kg feed'!K149)/Production!$J$23</f>
        <v>1.1035116268033946E-5</v>
      </c>
      <c r="M50" s="300"/>
      <c r="N50" s="300">
        <f>(Production!$J$5*'Parameters, country spec'!$J$52*'N2O per kg feed'!M148+(Production!$J$6+Production!$J$7)*'Parameters, country spec'!$J$53*'N2O per kg feed'!M149)/Production!$J$23</f>
        <v>3.5303309672829641E-8</v>
      </c>
      <c r="O50" s="300">
        <f>(Production!$J$5*'Parameters, country spec'!$J$52*'N2O per kg feed'!N148+(Production!$J$6+Production!$J$7)*'Parameters, country spec'!$J$53*'N2O per kg feed'!N149)/Production!$J$23</f>
        <v>1.0255313137585265E-5</v>
      </c>
      <c r="P50" s="300">
        <f>(Production!$J$5*'Parameters, country spec'!$J$52*'N2O per kg feed'!O148+(Production!$J$6+Production!$J$7)*'Parameters, country spec'!$J$53*'N2O per kg feed'!O149)/Production!$J$23</f>
        <v>0</v>
      </c>
      <c r="Q50" s="300">
        <f>(Production!$J$5*'Parameters, country spec'!$J$52*'N2O per kg feed'!P148+(Production!$J$6+Production!$J$7)*'Parameters, country spec'!$J$53*'N2O per kg feed'!P149)/Production!$J$23</f>
        <v>3.2582972110947652E-4</v>
      </c>
      <c r="R50" s="300">
        <f>(Production!$J$5*'Parameters, country spec'!$J$52*'N2O per kg feed'!Q148+(Production!$J$6+Production!$J$7)*'Parameters, country spec'!$J$53*'N2O per kg feed'!Q149)/Production!$J$23</f>
        <v>1.1863958191764731E-5</v>
      </c>
      <c r="S50" s="4"/>
      <c r="T50" s="42">
        <f>SUM(U50:V50)</f>
        <v>5.6171127054567152E-3</v>
      </c>
      <c r="U50" s="172">
        <f>Manure!$S$92*44/28</f>
        <v>3.0729497571592686E-3</v>
      </c>
      <c r="V50" s="172">
        <f>Manure!$S$157*17/14*Manure!$R$120</f>
        <v>2.5441629482974466E-3</v>
      </c>
      <c r="W50" s="4">
        <f>'Parameters, country spec'!J61*EF_el_N2O_SE</f>
        <v>2.8378664819386678E-6</v>
      </c>
      <c r="X50" s="42">
        <f>Energy_slaughter_el_SE*EF_el_N2O_SE+Energy_slaughter_oil_SE*EF_oil_N2O</f>
        <v>3.4743475279999995E-6</v>
      </c>
      <c r="Z50" s="32"/>
      <c r="AA50" s="32"/>
    </row>
    <row r="51" spans="1:27" ht="15.6" thickTop="1" thickBot="1" x14ac:dyDescent="0.35">
      <c r="A51" s="373" t="s">
        <v>107</v>
      </c>
      <c r="B51" s="122" t="s">
        <v>65</v>
      </c>
      <c r="C51" s="123" t="s">
        <v>108</v>
      </c>
      <c r="D51" s="142" t="s">
        <v>27</v>
      </c>
      <c r="E51" s="124" t="s">
        <v>75</v>
      </c>
      <c r="F51" s="125" t="s">
        <v>113</v>
      </c>
      <c r="G51" s="128">
        <f>SUM(H51:X51)</f>
        <v>7.9041335098426284</v>
      </c>
      <c r="H51" s="126">
        <f>SUMPRODUCT(H47:H50,'Parameters, general'!$B$23:$B$26)</f>
        <v>1.1417186981714318</v>
      </c>
      <c r="I51" s="126">
        <f>SUMPRODUCT(I47:I50,'Parameters, general'!$B$23:$B$26)</f>
        <v>0.37488251895971164</v>
      </c>
      <c r="J51" s="126">
        <f>SUMPRODUCT(J47:J50,'Parameters, general'!$B$23:$B$26)</f>
        <v>1.7384632436514469</v>
      </c>
      <c r="K51" s="126">
        <f>SUMPRODUCT(K47:K50,'Parameters, general'!$B$23:$B$26)</f>
        <v>0.15535641986386267</v>
      </c>
      <c r="L51" s="126">
        <f>SUMPRODUCT(L47:L50,'Parameters, general'!$B$23:$B$26)</f>
        <v>0.40457037437267507</v>
      </c>
      <c r="M51" s="126">
        <f>SUMPRODUCT(M47:M50,'Parameters, general'!$B$23:$B$26)</f>
        <v>0</v>
      </c>
      <c r="N51" s="393">
        <f>SUMPRODUCT(N47:N50,'Parameters, general'!$B$23:$B$26)</f>
        <v>4.1281394065858428E-4</v>
      </c>
      <c r="O51" s="126">
        <f>SUMPRODUCT(O47:O50,'Parameters, general'!$B$23:$B$26)</f>
        <v>0.27995262306717955</v>
      </c>
      <c r="P51" s="126">
        <f>SUMPRODUCT(P47:P50,'Parameters, general'!$B$23:$B$26)</f>
        <v>0.32262099429415092</v>
      </c>
      <c r="Q51" s="126">
        <f>SUMPRODUCT(Q47:Q50,'Parameters, general'!$B$23:$B$26)</f>
        <v>0.64509861464671558</v>
      </c>
      <c r="R51" s="126">
        <f>SUMPRODUCT(R47:R50,'Parameters, general'!$B$23:$B$26)</f>
        <v>0.31609242951777311</v>
      </c>
      <c r="S51" s="126">
        <f>SUMPRODUCT(S47:S50,'Parameters, general'!$B$23:$B$26)</f>
        <v>5.694138118316764E-3</v>
      </c>
      <c r="T51" s="126">
        <f>SUMPRODUCT(T47:T50,'Parameters, general'!$B$23:$B$26)</f>
        <v>2.4443685723633797</v>
      </c>
      <c r="U51" s="126"/>
      <c r="V51" s="126"/>
      <c r="W51" s="126">
        <f>SUMPRODUCT(W47:W50,'Parameters, general'!$B$23:$B$26)</f>
        <v>3.1535980448819417E-2</v>
      </c>
      <c r="X51" s="126">
        <f>SUMPRODUCT(X47:X50,'Parameters, general'!$B$23:$B$26)</f>
        <v>4.3366088426506806E-2</v>
      </c>
      <c r="Z51" s="102">
        <f>SUM(H51:R51)</f>
        <v>5.3791687304856053</v>
      </c>
      <c r="AA51" s="141">
        <f>'CO2 per kg feed'!F137+'CH4 per kg feed'!F137*CF_GWP_CH4_fossil+'N2O per kg feed'!F137*CF_GWP_N2O</f>
        <v>0.40300218579637281</v>
      </c>
    </row>
    <row r="52" spans="1:27" ht="15" thickTop="1" x14ac:dyDescent="0.3">
      <c r="T52" s="42"/>
      <c r="U52" s="42"/>
    </row>
    <row r="53" spans="1:27" x14ac:dyDescent="0.3">
      <c r="T53" s="42"/>
      <c r="U53" s="42"/>
    </row>
    <row r="54" spans="1:27" x14ac:dyDescent="0.3">
      <c r="T54" s="42"/>
      <c r="U54" s="42"/>
    </row>
    <row r="55" spans="1:27" x14ac:dyDescent="0.3">
      <c r="T55" s="42"/>
      <c r="U55" s="42"/>
    </row>
    <row r="56" spans="1:27" x14ac:dyDescent="0.3">
      <c r="T56" s="42"/>
      <c r="U56" s="42"/>
    </row>
    <row r="57" spans="1:27" x14ac:dyDescent="0.3">
      <c r="T57" s="42"/>
      <c r="U57" s="42"/>
    </row>
    <row r="58" spans="1:27" x14ac:dyDescent="0.3">
      <c r="T58" s="42"/>
      <c r="U58" s="42"/>
    </row>
    <row r="59" spans="1:27" x14ac:dyDescent="0.3">
      <c r="T59" s="42"/>
      <c r="U59" s="42"/>
    </row>
    <row r="60" spans="1:27" x14ac:dyDescent="0.3">
      <c r="T60" s="42"/>
      <c r="U60" s="42"/>
    </row>
    <row r="61" spans="1:27" x14ac:dyDescent="0.3">
      <c r="T61" s="42"/>
      <c r="U61" s="42"/>
    </row>
    <row r="62" spans="1:27" x14ac:dyDescent="0.3">
      <c r="T62" s="42"/>
      <c r="U62" s="42"/>
    </row>
    <row r="63" spans="1:27" x14ac:dyDescent="0.3">
      <c r="T63" s="42"/>
      <c r="U63" s="42"/>
    </row>
    <row r="64" spans="1:27" x14ac:dyDescent="0.3">
      <c r="T64" s="42"/>
      <c r="U64" s="42"/>
    </row>
    <row r="65" spans="20:21" x14ac:dyDescent="0.3">
      <c r="T65" s="42"/>
      <c r="U65" s="42"/>
    </row>
    <row r="66" spans="20:21" x14ac:dyDescent="0.3">
      <c r="T66" s="42"/>
      <c r="U66" s="42"/>
    </row>
    <row r="67" spans="20:21" x14ac:dyDescent="0.3">
      <c r="T67" s="42"/>
      <c r="U67" s="42"/>
    </row>
    <row r="68" spans="20:21" x14ac:dyDescent="0.3">
      <c r="T68" s="42"/>
      <c r="U68" s="42"/>
    </row>
    <row r="69" spans="20:21" x14ac:dyDescent="0.3">
      <c r="T69" s="42"/>
      <c r="U69" s="42"/>
    </row>
    <row r="70" spans="20:21" x14ac:dyDescent="0.3">
      <c r="T70" s="42"/>
      <c r="U70" s="42"/>
    </row>
    <row r="71" spans="20:21" x14ac:dyDescent="0.3">
      <c r="T71" s="42"/>
      <c r="U71" s="42"/>
    </row>
    <row r="72" spans="20:21" x14ac:dyDescent="0.3">
      <c r="T72" s="42"/>
      <c r="U72" s="42"/>
    </row>
    <row r="73" spans="20:21" x14ac:dyDescent="0.3">
      <c r="T73" s="42"/>
      <c r="U73" s="42"/>
    </row>
    <row r="74" spans="20:21" x14ac:dyDescent="0.3">
      <c r="T74" s="42"/>
      <c r="U74" s="42"/>
    </row>
    <row r="75" spans="20:21" x14ac:dyDescent="0.3">
      <c r="T75" s="42"/>
      <c r="U75" s="42"/>
    </row>
    <row r="76" spans="20:21" x14ac:dyDescent="0.3">
      <c r="T76" s="42"/>
      <c r="U76" s="42"/>
    </row>
    <row r="77" spans="20:21" x14ac:dyDescent="0.3">
      <c r="T77" s="42"/>
      <c r="U77" s="42"/>
    </row>
    <row r="78" spans="20:21" x14ac:dyDescent="0.3">
      <c r="T78" s="42"/>
      <c r="U78" s="42"/>
    </row>
    <row r="79" spans="20:21" x14ac:dyDescent="0.3">
      <c r="T79" s="42"/>
      <c r="U79" s="42"/>
    </row>
    <row r="80" spans="20:21" x14ac:dyDescent="0.3">
      <c r="T80" s="42"/>
      <c r="U80" s="42"/>
    </row>
    <row r="81" spans="20:21" x14ac:dyDescent="0.3">
      <c r="T81" s="42"/>
      <c r="U81" s="42"/>
    </row>
    <row r="82" spans="20:21" x14ac:dyDescent="0.3">
      <c r="T82" s="42"/>
      <c r="U82" s="42"/>
    </row>
    <row r="83" spans="20:21" x14ac:dyDescent="0.3">
      <c r="T83" s="42"/>
      <c r="U83" s="42"/>
    </row>
    <row r="84" spans="20:21" x14ac:dyDescent="0.3">
      <c r="T84" s="42"/>
      <c r="U84" s="42"/>
    </row>
    <row r="85" spans="20:21" x14ac:dyDescent="0.3">
      <c r="T85" s="42"/>
      <c r="U85" s="42"/>
    </row>
    <row r="86" spans="20:21" x14ac:dyDescent="0.3">
      <c r="T86" s="42"/>
      <c r="U86" s="42"/>
    </row>
    <row r="87" spans="20:21" x14ac:dyDescent="0.3">
      <c r="T87" s="42"/>
      <c r="U87" s="42"/>
    </row>
    <row r="88" spans="20:21" x14ac:dyDescent="0.3">
      <c r="T88" s="42"/>
      <c r="U88" s="42"/>
    </row>
    <row r="89" spans="20:21" x14ac:dyDescent="0.3">
      <c r="T89" s="42"/>
      <c r="U89" s="42"/>
    </row>
    <row r="90" spans="20:21" x14ac:dyDescent="0.3">
      <c r="T90" s="42"/>
      <c r="U90" s="42"/>
    </row>
    <row r="91" spans="20:21" x14ac:dyDescent="0.3">
      <c r="T91" s="42"/>
      <c r="U91" s="42"/>
    </row>
    <row r="92" spans="20:21" x14ac:dyDescent="0.3">
      <c r="T92" s="42"/>
      <c r="U92" s="42"/>
    </row>
    <row r="93" spans="20:21" x14ac:dyDescent="0.3">
      <c r="T93" s="42"/>
      <c r="U93" s="42"/>
    </row>
    <row r="94" spans="20:21" x14ac:dyDescent="0.3">
      <c r="T94" s="42"/>
      <c r="U94" s="42"/>
    </row>
    <row r="95" spans="20:21" x14ac:dyDescent="0.3">
      <c r="T95" s="42"/>
      <c r="U95" s="42"/>
    </row>
    <row r="96" spans="20:21" x14ac:dyDescent="0.3">
      <c r="T96" s="42"/>
      <c r="U96" s="42"/>
    </row>
    <row r="97" spans="20:21" x14ac:dyDescent="0.3">
      <c r="T97" s="42"/>
      <c r="U97" s="42"/>
    </row>
    <row r="98" spans="20:21" x14ac:dyDescent="0.3">
      <c r="T98" s="42"/>
      <c r="U98" s="42"/>
    </row>
    <row r="99" spans="20:21" x14ac:dyDescent="0.3">
      <c r="T99" s="42"/>
      <c r="U99" s="42"/>
    </row>
    <row r="100" spans="20:21" x14ac:dyDescent="0.3">
      <c r="T100" s="42"/>
      <c r="U100" s="42"/>
    </row>
    <row r="101" spans="20:21" x14ac:dyDescent="0.3">
      <c r="T101" s="42"/>
      <c r="U101" s="42"/>
    </row>
    <row r="102" spans="20:21" x14ac:dyDescent="0.3">
      <c r="T102" s="42"/>
      <c r="U102" s="42"/>
    </row>
    <row r="103" spans="20:21" x14ac:dyDescent="0.3">
      <c r="T103" s="42"/>
      <c r="U103" s="42"/>
    </row>
    <row r="104" spans="20:21" x14ac:dyDescent="0.3">
      <c r="T104" s="42"/>
      <c r="U104" s="42"/>
    </row>
    <row r="105" spans="20:21" x14ac:dyDescent="0.3">
      <c r="T105" s="42"/>
      <c r="U105" s="42"/>
    </row>
    <row r="106" spans="20:21" x14ac:dyDescent="0.3">
      <c r="T106" s="42"/>
      <c r="U106" s="42"/>
    </row>
    <row r="107" spans="20:21" x14ac:dyDescent="0.3">
      <c r="T107" s="42"/>
      <c r="U107" s="42"/>
    </row>
    <row r="108" spans="20:21" x14ac:dyDescent="0.3">
      <c r="T108" s="42"/>
      <c r="U108" s="42"/>
    </row>
    <row r="109" spans="20:21" x14ac:dyDescent="0.3">
      <c r="T109" s="42"/>
      <c r="U109" s="42"/>
    </row>
    <row r="110" spans="20:21" x14ac:dyDescent="0.3">
      <c r="T110" s="42"/>
      <c r="U110" s="42"/>
    </row>
    <row r="111" spans="20:21" x14ac:dyDescent="0.3">
      <c r="T111" s="42"/>
      <c r="U111" s="42"/>
    </row>
    <row r="112" spans="20:21" x14ac:dyDescent="0.3">
      <c r="T112" s="42"/>
      <c r="U112" s="42"/>
    </row>
    <row r="113" spans="20:21" x14ac:dyDescent="0.3">
      <c r="T113" s="42"/>
      <c r="U113" s="42"/>
    </row>
    <row r="114" spans="20:21" x14ac:dyDescent="0.3">
      <c r="T114" s="42"/>
      <c r="U114" s="42"/>
    </row>
    <row r="115" spans="20:21" x14ac:dyDescent="0.3">
      <c r="T115" s="42"/>
      <c r="U115" s="42"/>
    </row>
    <row r="116" spans="20:21" x14ac:dyDescent="0.3">
      <c r="T116" s="42"/>
      <c r="U116" s="42"/>
    </row>
    <row r="117" spans="20:21" x14ac:dyDescent="0.3">
      <c r="T117" s="42"/>
      <c r="U117" s="42"/>
    </row>
    <row r="118" spans="20:21" x14ac:dyDescent="0.3">
      <c r="T118" s="42"/>
      <c r="U118" s="42"/>
    </row>
    <row r="119" spans="20:21" x14ac:dyDescent="0.3">
      <c r="T119" s="42"/>
      <c r="U119" s="42"/>
    </row>
    <row r="120" spans="20:21" x14ac:dyDescent="0.3">
      <c r="T120" s="42"/>
      <c r="U120" s="42"/>
    </row>
    <row r="121" spans="20:21" x14ac:dyDescent="0.3">
      <c r="T121" s="42"/>
      <c r="U121" s="42"/>
    </row>
    <row r="122" spans="20:21" x14ac:dyDescent="0.3">
      <c r="T122" s="42"/>
      <c r="U122" s="42"/>
    </row>
    <row r="123" spans="20:21" x14ac:dyDescent="0.3">
      <c r="T123" s="42"/>
      <c r="U123" s="42"/>
    </row>
    <row r="124" spans="20:21" x14ac:dyDescent="0.3">
      <c r="T124" s="42"/>
      <c r="U124" s="42"/>
    </row>
    <row r="125" spans="20:21" x14ac:dyDescent="0.3">
      <c r="T125" s="42"/>
      <c r="U125" s="42"/>
    </row>
    <row r="126" spans="20:21" x14ac:dyDescent="0.3">
      <c r="T126" s="42"/>
      <c r="U126" s="42"/>
    </row>
    <row r="127" spans="20:21" x14ac:dyDescent="0.3">
      <c r="T127" s="42"/>
      <c r="U127" s="42"/>
    </row>
    <row r="128" spans="20:21" x14ac:dyDescent="0.3">
      <c r="T128" s="42"/>
      <c r="U128" s="42"/>
    </row>
    <row r="129" spans="20:21" x14ac:dyDescent="0.3">
      <c r="T129" s="42"/>
      <c r="U129" s="42"/>
    </row>
    <row r="130" spans="20:21" x14ac:dyDescent="0.3">
      <c r="T130" s="42"/>
      <c r="U130" s="42"/>
    </row>
    <row r="131" spans="20:21" x14ac:dyDescent="0.3">
      <c r="T131" s="42"/>
      <c r="U131" s="42"/>
    </row>
    <row r="132" spans="20:21" x14ac:dyDescent="0.3">
      <c r="T132" s="42"/>
      <c r="U132" s="42"/>
    </row>
    <row r="133" spans="20:21" x14ac:dyDescent="0.3">
      <c r="T133" s="42"/>
      <c r="U133" s="42"/>
    </row>
    <row r="134" spans="20:21" x14ac:dyDescent="0.3">
      <c r="T134" s="42"/>
      <c r="U134" s="42"/>
    </row>
    <row r="135" spans="20:21" x14ac:dyDescent="0.3">
      <c r="T135" s="42"/>
      <c r="U135" s="42"/>
    </row>
    <row r="136" spans="20:21" x14ac:dyDescent="0.3">
      <c r="T136" s="42"/>
      <c r="U136" s="42"/>
    </row>
    <row r="137" spans="20:21" x14ac:dyDescent="0.3">
      <c r="T137" s="42"/>
      <c r="U137" s="42"/>
    </row>
    <row r="138" spans="20:21" x14ac:dyDescent="0.3">
      <c r="T138" s="42"/>
      <c r="U138" s="42"/>
    </row>
    <row r="139" spans="20:21" x14ac:dyDescent="0.3">
      <c r="T139" s="42"/>
      <c r="U139" s="42"/>
    </row>
    <row r="140" spans="20:21" x14ac:dyDescent="0.3">
      <c r="T140" s="42"/>
      <c r="U140" s="42"/>
    </row>
    <row r="141" spans="20:21" x14ac:dyDescent="0.3">
      <c r="T141" s="42"/>
      <c r="U141" s="42"/>
    </row>
    <row r="142" spans="20:21" x14ac:dyDescent="0.3">
      <c r="T142" s="42"/>
      <c r="U142" s="42"/>
    </row>
    <row r="143" spans="20:21" x14ac:dyDescent="0.3">
      <c r="T143" s="42"/>
      <c r="U143" s="42"/>
    </row>
    <row r="144" spans="20:21" x14ac:dyDescent="0.3">
      <c r="T144" s="42"/>
      <c r="U144" s="42"/>
    </row>
    <row r="145" spans="20:21" x14ac:dyDescent="0.3">
      <c r="T145" s="42"/>
      <c r="U145" s="42"/>
    </row>
    <row r="146" spans="20:21" x14ac:dyDescent="0.3">
      <c r="T146" s="42"/>
      <c r="U146" s="42"/>
    </row>
    <row r="147" spans="20:21" x14ac:dyDescent="0.3">
      <c r="T147" s="42"/>
      <c r="U147" s="42"/>
    </row>
    <row r="148" spans="20:21" x14ac:dyDescent="0.3">
      <c r="T148" s="42"/>
      <c r="U148" s="42"/>
    </row>
    <row r="149" spans="20:21" x14ac:dyDescent="0.3">
      <c r="T149" s="42"/>
      <c r="U149" s="42"/>
    </row>
    <row r="150" spans="20:21" x14ac:dyDescent="0.3">
      <c r="T150" s="42"/>
      <c r="U150" s="42"/>
    </row>
    <row r="151" spans="20:21" x14ac:dyDescent="0.3">
      <c r="T151" s="42"/>
      <c r="U151" s="42"/>
    </row>
    <row r="152" spans="20:21" x14ac:dyDescent="0.3">
      <c r="T152" s="42"/>
      <c r="U152" s="42"/>
    </row>
    <row r="153" spans="20:21" x14ac:dyDescent="0.3">
      <c r="T153" s="42"/>
      <c r="U153" s="42"/>
    </row>
    <row r="154" spans="20:21" x14ac:dyDescent="0.3">
      <c r="T154" s="42"/>
      <c r="U154" s="42"/>
    </row>
    <row r="155" spans="20:21" x14ac:dyDescent="0.3">
      <c r="T155" s="42"/>
      <c r="U155" s="42"/>
    </row>
    <row r="156" spans="20:21" x14ac:dyDescent="0.3">
      <c r="T156" s="42"/>
      <c r="U156" s="42"/>
    </row>
    <row r="157" spans="20:21" x14ac:dyDescent="0.3">
      <c r="T157" s="42"/>
      <c r="U157" s="42"/>
    </row>
    <row r="158" spans="20:21" x14ac:dyDescent="0.3">
      <c r="T158" s="42"/>
      <c r="U158" s="42"/>
    </row>
    <row r="159" spans="20:21" x14ac:dyDescent="0.3">
      <c r="T159" s="42"/>
      <c r="U159" s="42"/>
    </row>
    <row r="160" spans="20:21" x14ac:dyDescent="0.3">
      <c r="T160" s="42"/>
      <c r="U160" s="42"/>
    </row>
    <row r="161" spans="20:21" x14ac:dyDescent="0.3">
      <c r="T161" s="42"/>
      <c r="U161" s="42"/>
    </row>
    <row r="162" spans="20:21" x14ac:dyDescent="0.3">
      <c r="T162" s="42"/>
      <c r="U162" s="42"/>
    </row>
    <row r="163" spans="20:21" x14ac:dyDescent="0.3">
      <c r="T163" s="42"/>
      <c r="U163" s="42"/>
    </row>
    <row r="164" spans="20:21" x14ac:dyDescent="0.3">
      <c r="T164" s="42"/>
      <c r="U164" s="42"/>
    </row>
    <row r="165" spans="20:21" x14ac:dyDescent="0.3">
      <c r="T165" s="42"/>
      <c r="U165" s="42"/>
    </row>
    <row r="166" spans="20:21" x14ac:dyDescent="0.3">
      <c r="T166" s="42"/>
      <c r="U166" s="42"/>
    </row>
    <row r="167" spans="20:21" x14ac:dyDescent="0.3">
      <c r="T167" s="42"/>
      <c r="U167" s="42"/>
    </row>
    <row r="168" spans="20:21" x14ac:dyDescent="0.3">
      <c r="T168" s="42"/>
      <c r="U168" s="42"/>
    </row>
    <row r="169" spans="20:21" x14ac:dyDescent="0.3">
      <c r="T169" s="42"/>
      <c r="U169" s="42"/>
    </row>
    <row r="170" spans="20:21" x14ac:dyDescent="0.3">
      <c r="T170" s="42"/>
      <c r="U170" s="42"/>
    </row>
    <row r="171" spans="20:21" x14ac:dyDescent="0.3">
      <c r="T171" s="42"/>
      <c r="U171" s="42"/>
    </row>
    <row r="172" spans="20:21" x14ac:dyDescent="0.3">
      <c r="T172" s="42"/>
      <c r="U172" s="42"/>
    </row>
    <row r="173" spans="20:21" x14ac:dyDescent="0.3">
      <c r="T173" s="42"/>
      <c r="U173" s="42"/>
    </row>
    <row r="174" spans="20:21" x14ac:dyDescent="0.3">
      <c r="T174" s="42"/>
      <c r="U174" s="42"/>
    </row>
    <row r="175" spans="20:21" x14ac:dyDescent="0.3">
      <c r="T175" s="42"/>
      <c r="U175" s="42"/>
    </row>
    <row r="176" spans="20:21" x14ac:dyDescent="0.3">
      <c r="T176" s="42"/>
      <c r="U176" s="42"/>
    </row>
    <row r="177" spans="20:21" x14ac:dyDescent="0.3">
      <c r="T177" s="42"/>
      <c r="U177" s="42"/>
    </row>
    <row r="178" spans="20:21" x14ac:dyDescent="0.3">
      <c r="T178" s="42"/>
      <c r="U178" s="42"/>
    </row>
    <row r="179" spans="20:21" x14ac:dyDescent="0.3">
      <c r="T179" s="42"/>
      <c r="U179" s="42"/>
    </row>
    <row r="180" spans="20:21" x14ac:dyDescent="0.3">
      <c r="T180" s="42"/>
      <c r="U180" s="42"/>
    </row>
    <row r="181" spans="20:21" x14ac:dyDescent="0.3">
      <c r="T181" s="42"/>
      <c r="U181" s="42"/>
    </row>
    <row r="182" spans="20:21" x14ac:dyDescent="0.3">
      <c r="T182" s="42"/>
      <c r="U182" s="42"/>
    </row>
    <row r="183" spans="20:21" x14ac:dyDescent="0.3">
      <c r="T183" s="42"/>
      <c r="U183" s="42"/>
    </row>
    <row r="184" spans="20:21" x14ac:dyDescent="0.3">
      <c r="T184" s="42"/>
      <c r="U184" s="42"/>
    </row>
    <row r="185" spans="20:21" x14ac:dyDescent="0.3">
      <c r="T185" s="42"/>
      <c r="U185" s="42"/>
    </row>
    <row r="186" spans="20:21" x14ac:dyDescent="0.3">
      <c r="T186" s="42"/>
      <c r="U186" s="42"/>
    </row>
    <row r="187" spans="20:21" x14ac:dyDescent="0.3">
      <c r="T187" s="42"/>
      <c r="U187" s="42"/>
    </row>
    <row r="188" spans="20:21" x14ac:dyDescent="0.3">
      <c r="T188" s="42"/>
      <c r="U188" s="42"/>
    </row>
    <row r="189" spans="20:21" x14ac:dyDescent="0.3">
      <c r="T189" s="42"/>
      <c r="U189" s="42"/>
    </row>
    <row r="190" spans="20:21" x14ac:dyDescent="0.3">
      <c r="T190" s="42"/>
      <c r="U190" s="42"/>
    </row>
    <row r="191" spans="20:21" x14ac:dyDescent="0.3">
      <c r="T191" s="42"/>
      <c r="U191" s="42"/>
    </row>
    <row r="192" spans="20:21" x14ac:dyDescent="0.3">
      <c r="T192" s="42"/>
      <c r="U192" s="42"/>
    </row>
    <row r="193" spans="20:21" x14ac:dyDescent="0.3">
      <c r="T193" s="42"/>
      <c r="U193" s="42"/>
    </row>
    <row r="194" spans="20:21" x14ac:dyDescent="0.3">
      <c r="T194" s="42"/>
      <c r="U194" s="42"/>
    </row>
    <row r="195" spans="20:21" x14ac:dyDescent="0.3">
      <c r="T195" s="42"/>
      <c r="U195" s="42"/>
    </row>
    <row r="196" spans="20:21" x14ac:dyDescent="0.3">
      <c r="T196" s="42"/>
      <c r="U196" s="42"/>
    </row>
    <row r="197" spans="20:21" x14ac:dyDescent="0.3">
      <c r="T197" s="42"/>
      <c r="U197" s="42"/>
    </row>
    <row r="198" spans="20:21" x14ac:dyDescent="0.3">
      <c r="T198" s="42"/>
      <c r="U198" s="42"/>
    </row>
    <row r="199" spans="20:21" x14ac:dyDescent="0.3">
      <c r="T199" s="42"/>
      <c r="U199" s="42"/>
    </row>
    <row r="200" spans="20:21" x14ac:dyDescent="0.3">
      <c r="T200" s="42"/>
      <c r="U200" s="42"/>
    </row>
    <row r="201" spans="20:21" x14ac:dyDescent="0.3">
      <c r="T201" s="42"/>
      <c r="U201" s="42"/>
    </row>
    <row r="202" spans="20:21" x14ac:dyDescent="0.3">
      <c r="T202" s="42"/>
      <c r="U202" s="42"/>
    </row>
    <row r="203" spans="20:21" x14ac:dyDescent="0.3">
      <c r="T203" s="42"/>
      <c r="U203" s="42"/>
    </row>
    <row r="204" spans="20:21" x14ac:dyDescent="0.3">
      <c r="T204" s="42"/>
      <c r="U204" s="42"/>
    </row>
    <row r="205" spans="20:21" x14ac:dyDescent="0.3">
      <c r="T205" s="42"/>
      <c r="U205" s="42"/>
    </row>
    <row r="206" spans="20:21" x14ac:dyDescent="0.3">
      <c r="T206" s="42"/>
      <c r="U206" s="42"/>
    </row>
    <row r="207" spans="20:21" x14ac:dyDescent="0.3">
      <c r="T207" s="42"/>
      <c r="U207" s="42"/>
    </row>
    <row r="208" spans="20:21" x14ac:dyDescent="0.3">
      <c r="T208" s="42"/>
      <c r="U208" s="42"/>
    </row>
    <row r="209" spans="20:21" x14ac:dyDescent="0.3">
      <c r="T209" s="42"/>
      <c r="U209" s="42"/>
    </row>
    <row r="210" spans="20:21" x14ac:dyDescent="0.3">
      <c r="T210" s="42"/>
      <c r="U210" s="42"/>
    </row>
    <row r="211" spans="20:21" x14ac:dyDescent="0.3">
      <c r="T211" s="42"/>
      <c r="U211" s="4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25"/>
  <sheetViews>
    <sheetView zoomScale="92" zoomScaleNormal="110" workbookViewId="0">
      <selection activeCell="B25" sqref="B25:J25"/>
    </sheetView>
  </sheetViews>
  <sheetFormatPr defaultColWidth="8.6640625" defaultRowHeight="14.4" x14ac:dyDescent="0.3"/>
  <cols>
    <col min="1" max="1" width="59.44140625" customWidth="1"/>
    <col min="2" max="9" width="10.6640625" customWidth="1"/>
  </cols>
  <sheetData>
    <row r="2" spans="1:18" ht="18" x14ac:dyDescent="0.35">
      <c r="A2" s="1" t="s">
        <v>116</v>
      </c>
      <c r="B2" t="s">
        <v>67</v>
      </c>
      <c r="C2" t="s">
        <v>68</v>
      </c>
      <c r="D2" t="s">
        <v>69</v>
      </c>
      <c r="E2" t="s">
        <v>70</v>
      </c>
      <c r="F2" t="s">
        <v>71</v>
      </c>
      <c r="G2" t="s">
        <v>72</v>
      </c>
      <c r="H2" t="s">
        <v>73</v>
      </c>
      <c r="I2" t="s">
        <v>74</v>
      </c>
      <c r="J2" s="168" t="s">
        <v>75</v>
      </c>
    </row>
    <row r="3" spans="1:18" ht="18" x14ac:dyDescent="0.35">
      <c r="A3" s="1"/>
      <c r="B3" s="116" t="s">
        <v>28</v>
      </c>
      <c r="C3" s="116" t="s">
        <v>25</v>
      </c>
      <c r="D3" s="116" t="s">
        <v>21</v>
      </c>
      <c r="E3" s="116" t="s">
        <v>24</v>
      </c>
      <c r="F3" s="116" t="s">
        <v>23</v>
      </c>
      <c r="G3" s="116" t="s">
        <v>20</v>
      </c>
      <c r="H3" s="116" t="s">
        <v>22</v>
      </c>
      <c r="I3" s="116" t="s">
        <v>26</v>
      </c>
      <c r="J3" s="116" t="s">
        <v>27</v>
      </c>
      <c r="R3" s="173"/>
    </row>
    <row r="4" spans="1:18" x14ac:dyDescent="0.3">
      <c r="A4" s="106" t="s">
        <v>117</v>
      </c>
      <c r="B4" s="121"/>
      <c r="C4" s="121"/>
      <c r="D4" s="121"/>
      <c r="E4" s="121"/>
      <c r="F4" s="121"/>
      <c r="G4" s="121"/>
      <c r="H4" s="121"/>
      <c r="I4" s="121"/>
      <c r="J4" s="121"/>
      <c r="R4" s="173"/>
    </row>
    <row r="5" spans="1:18" x14ac:dyDescent="0.3">
      <c r="A5" s="3" t="s">
        <v>118</v>
      </c>
      <c r="B5" s="171">
        <v>1</v>
      </c>
      <c r="C5" s="171">
        <v>1</v>
      </c>
      <c r="D5" s="171">
        <v>1</v>
      </c>
      <c r="E5" s="171">
        <v>1</v>
      </c>
      <c r="F5" s="171">
        <v>1</v>
      </c>
      <c r="G5" s="171">
        <v>1</v>
      </c>
      <c r="H5" s="171">
        <v>1</v>
      </c>
      <c r="I5" s="171">
        <v>1</v>
      </c>
      <c r="J5" s="171">
        <v>1</v>
      </c>
      <c r="K5" s="87" t="s">
        <v>119</v>
      </c>
      <c r="R5" s="173"/>
    </row>
    <row r="6" spans="1:18" x14ac:dyDescent="0.3">
      <c r="A6" s="3" t="s">
        <v>120</v>
      </c>
      <c r="B6" s="156">
        <f>B5*'Parameters, country spec'!B5/100*'Parameters, country spec'!B6/365</f>
        <v>0.35917808219178088</v>
      </c>
      <c r="C6" s="156">
        <f>C5*'Parameters, country spec'!C5/100*'Parameters, country spec'!C6/365</f>
        <v>0.35917808219178088</v>
      </c>
      <c r="D6" s="156">
        <f>D5*'Parameters, country spec'!D5/100*'Parameters, country spec'!D6/365</f>
        <v>0.35917808219178088</v>
      </c>
      <c r="E6" s="156">
        <f>E5*'Parameters, country spec'!E5/100*'Parameters, country spec'!E6/365</f>
        <v>0.35917808219178088</v>
      </c>
      <c r="F6" s="156">
        <f>F5*'Parameters, country spec'!F5/100*'Parameters, country spec'!F6/365</f>
        <v>0.35917808219178088</v>
      </c>
      <c r="G6" s="156">
        <f>G5*'Parameters, country spec'!G5/100*'Parameters, country spec'!G6/365</f>
        <v>0.35917808219178088</v>
      </c>
      <c r="H6" s="156">
        <f>H5*'Parameters, country spec'!H5/100*'Parameters, country spec'!H6/365</f>
        <v>0.35917808219178088</v>
      </c>
      <c r="I6" s="156">
        <f>I5*'Parameters, country spec'!I5/100*'Parameters, country spec'!I6/365</f>
        <v>0.35917808219178088</v>
      </c>
      <c r="J6" s="156">
        <f>J5*'Parameters, country spec'!J5/100*'Parameters, country spec'!J6/365</f>
        <v>0.35917808219178088</v>
      </c>
      <c r="K6" s="87" t="s">
        <v>121</v>
      </c>
      <c r="R6" s="173"/>
    </row>
    <row r="7" spans="1:18" x14ac:dyDescent="0.3">
      <c r="A7" s="3" t="s">
        <v>122</v>
      </c>
      <c r="B7" s="168">
        <f>B5*'Parameters, country spec'!B10</f>
        <v>62</v>
      </c>
      <c r="C7" s="168">
        <f>C5*'Parameters, country spec'!C10</f>
        <v>62</v>
      </c>
      <c r="D7" s="168">
        <f>D5*'Parameters, country spec'!D10</f>
        <v>62</v>
      </c>
      <c r="E7" s="168">
        <f>E5*'Parameters, country spec'!E10</f>
        <v>62</v>
      </c>
      <c r="F7" s="168">
        <f>F5*'Parameters, country spec'!F10</f>
        <v>62</v>
      </c>
      <c r="G7" s="168">
        <f>G5*'Parameters, country spec'!G10</f>
        <v>62</v>
      </c>
      <c r="H7" s="168">
        <f>H5*'Parameters, country spec'!H10</f>
        <v>62</v>
      </c>
      <c r="I7" s="168">
        <f>I5*'Parameters, country spec'!I10</f>
        <v>62</v>
      </c>
      <c r="J7" s="168">
        <f>J5*'Parameters, country spec'!J10</f>
        <v>32</v>
      </c>
      <c r="K7" s="87"/>
      <c r="R7" s="173"/>
    </row>
    <row r="8" spans="1:18" x14ac:dyDescent="0.3">
      <c r="A8" s="3" t="s">
        <v>123</v>
      </c>
      <c r="B8" s="168">
        <f>SUM(B5:B7)</f>
        <v>63.359178082191782</v>
      </c>
      <c r="C8" s="168">
        <f t="shared" ref="C8:I8" si="0">SUM(C5:C7)</f>
        <v>63.359178082191782</v>
      </c>
      <c r="D8" s="168">
        <f t="shared" si="0"/>
        <v>63.359178082191782</v>
      </c>
      <c r="E8" s="168">
        <f t="shared" si="0"/>
        <v>63.359178082191782</v>
      </c>
      <c r="F8" s="168">
        <f t="shared" si="0"/>
        <v>63.359178082191782</v>
      </c>
      <c r="G8" s="168">
        <f t="shared" si="0"/>
        <v>63.359178082191782</v>
      </c>
      <c r="H8" s="168">
        <f t="shared" si="0"/>
        <v>63.359178082191782</v>
      </c>
      <c r="I8" s="168">
        <f t="shared" si="0"/>
        <v>63.359178082191782</v>
      </c>
      <c r="J8" s="168">
        <f t="shared" ref="J8" si="1">SUM(J5:J7)</f>
        <v>33.359178082191782</v>
      </c>
      <c r="K8" s="87"/>
      <c r="R8" s="173"/>
    </row>
    <row r="9" spans="1:18" x14ac:dyDescent="0.3">
      <c r="A9" s="106" t="s">
        <v>124</v>
      </c>
      <c r="B9" s="65"/>
      <c r="C9" s="65"/>
      <c r="D9" s="65"/>
      <c r="E9" s="65"/>
      <c r="F9" s="65"/>
      <c r="G9" s="65"/>
      <c r="H9" s="65"/>
      <c r="I9" s="65"/>
      <c r="J9" s="65"/>
      <c r="K9" s="87"/>
      <c r="R9" s="173"/>
    </row>
    <row r="10" spans="1:18" x14ac:dyDescent="0.3">
      <c r="A10" s="3" t="s">
        <v>118</v>
      </c>
      <c r="B10" s="171">
        <f>B5*'Parameters, country spec'!B5/100*(100-'Parameters, country spec'!B13)/100</f>
        <v>0.83030000000000015</v>
      </c>
      <c r="C10" s="171">
        <f>C5*'Parameters, country spec'!C5/100*(100-'Parameters, country spec'!C13)/100</f>
        <v>0.83030000000000015</v>
      </c>
      <c r="D10" s="171">
        <f>D5*'Parameters, country spec'!D5/100*(100-'Parameters, country spec'!D13)/100</f>
        <v>0.83030000000000015</v>
      </c>
      <c r="E10" s="171">
        <f>E5*'Parameters, country spec'!E5/100*(100-'Parameters, country spec'!E13)/100</f>
        <v>0.83030000000000015</v>
      </c>
      <c r="F10" s="171">
        <f>F5*'Parameters, country spec'!F5/100*(100-'Parameters, country spec'!F13)/100</f>
        <v>0.83030000000000015</v>
      </c>
      <c r="G10" s="171">
        <f>G5*'Parameters, country spec'!G5/100*(100-'Parameters, country spec'!G13)/100</f>
        <v>0.83030000000000015</v>
      </c>
      <c r="H10" s="171">
        <f>H5*'Parameters, country spec'!H5/100*(100-'Parameters, country spec'!H13)/100</f>
        <v>0.83030000000000015</v>
      </c>
      <c r="I10" s="171">
        <f>I5*'Parameters, country spec'!I5/100*(100-'Parameters, country spec'!I13)/100</f>
        <v>0.83030000000000015</v>
      </c>
      <c r="J10" s="171">
        <f>J5*'Parameters, country spec'!J5/100*(100-'Parameters, country spec'!J13)/100</f>
        <v>0.83030000000000015</v>
      </c>
      <c r="K10" s="167" t="s">
        <v>125</v>
      </c>
      <c r="R10" s="173"/>
    </row>
    <row r="11" spans="1:18" x14ac:dyDescent="0.3">
      <c r="A11" s="3" t="s">
        <v>122</v>
      </c>
      <c r="B11" s="171">
        <f>B7*(100-'Parameters, country spec'!B13)/100</f>
        <v>58.9</v>
      </c>
      <c r="C11" s="171">
        <f>C7*(100-'Parameters, country spec'!C13)/100</f>
        <v>58.9</v>
      </c>
      <c r="D11" s="171">
        <f>D7*(100-'Parameters, country spec'!D13)/100</f>
        <v>58.9</v>
      </c>
      <c r="E11" s="171">
        <f>E7*(100-'Parameters, country spec'!E13)/100</f>
        <v>58.9</v>
      </c>
      <c r="F11" s="171">
        <f>F7*(100-'Parameters, country spec'!F13)/100</f>
        <v>58.9</v>
      </c>
      <c r="G11" s="171">
        <f>G7*(100-'Parameters, country spec'!G13)/100</f>
        <v>58.9</v>
      </c>
      <c r="H11" s="171">
        <f>H7*(100-'Parameters, country spec'!H13)/100</f>
        <v>58.9</v>
      </c>
      <c r="I11" s="171">
        <f>I7*(100-'Parameters, country spec'!I13)/100</f>
        <v>58.9</v>
      </c>
      <c r="J11" s="171">
        <f>J7*(100-'Parameters, country spec'!J13)/100</f>
        <v>30.4</v>
      </c>
      <c r="K11" s="167" t="s">
        <v>126</v>
      </c>
      <c r="R11" s="173"/>
    </row>
    <row r="12" spans="1:18" x14ac:dyDescent="0.3">
      <c r="A12" s="3" t="s">
        <v>123</v>
      </c>
      <c r="B12" s="171">
        <f t="shared" ref="B12:I12" si="2">SUM(B10:B11)</f>
        <v>59.7303</v>
      </c>
      <c r="C12" s="171">
        <f t="shared" si="2"/>
        <v>59.7303</v>
      </c>
      <c r="D12" s="171">
        <f t="shared" si="2"/>
        <v>59.7303</v>
      </c>
      <c r="E12" s="171">
        <f t="shared" si="2"/>
        <v>59.7303</v>
      </c>
      <c r="F12" s="171">
        <f t="shared" si="2"/>
        <v>59.7303</v>
      </c>
      <c r="G12" s="171">
        <f t="shared" si="2"/>
        <v>59.7303</v>
      </c>
      <c r="H12" s="171">
        <f t="shared" si="2"/>
        <v>59.7303</v>
      </c>
      <c r="I12" s="171">
        <f t="shared" si="2"/>
        <v>59.7303</v>
      </c>
      <c r="J12" s="171">
        <f t="shared" ref="J12" si="3">SUM(J10:J11)</f>
        <v>31.2303</v>
      </c>
      <c r="K12" s="167"/>
      <c r="R12" s="173"/>
    </row>
    <row r="13" spans="1:18" x14ac:dyDescent="0.3">
      <c r="A13" s="106" t="s">
        <v>127</v>
      </c>
      <c r="B13" s="170"/>
      <c r="C13" s="170"/>
      <c r="D13" s="170"/>
      <c r="E13" s="170"/>
      <c r="F13" s="170"/>
      <c r="G13" s="170"/>
      <c r="H13" s="170"/>
      <c r="I13" s="170"/>
      <c r="J13" s="170"/>
      <c r="K13" s="87"/>
    </row>
    <row r="14" spans="1:18" x14ac:dyDescent="0.3">
      <c r="A14" s="3" t="s">
        <v>118</v>
      </c>
      <c r="B14" s="168">
        <f>B10*'Parameters, country spec'!B9</f>
        <v>2.2152404000000003</v>
      </c>
      <c r="C14" s="168">
        <f>C10*'Parameters, country spec'!C9</f>
        <v>2.2152404000000003</v>
      </c>
      <c r="D14" s="168">
        <f>D10*'Parameters, country spec'!D9</f>
        <v>2.2152404000000003</v>
      </c>
      <c r="E14" s="168">
        <f>E10*'Parameters, country spec'!E9</f>
        <v>2.2152404000000003</v>
      </c>
      <c r="F14" s="168">
        <f>F10*'Parameters, country spec'!F9</f>
        <v>2.2152404000000003</v>
      </c>
      <c r="G14" s="168">
        <f>G10*'Parameters, country spec'!G9</f>
        <v>2.2152404000000003</v>
      </c>
      <c r="H14" s="168">
        <f>H10*'Parameters, country spec'!H9</f>
        <v>2.2152404000000003</v>
      </c>
      <c r="I14" s="168">
        <f>I10*'Parameters, country spec'!I9</f>
        <v>2.2152404000000003</v>
      </c>
      <c r="J14" s="168">
        <f>J10*'Parameters, country spec'!J9</f>
        <v>2.2152404000000003</v>
      </c>
      <c r="K14" s="87"/>
    </row>
    <row r="15" spans="1:18" x14ac:dyDescent="0.3">
      <c r="A15" s="3" t="s">
        <v>122</v>
      </c>
      <c r="B15" s="168">
        <f>B11*'Parameters, country spec'!B8</f>
        <v>77.453499999999991</v>
      </c>
      <c r="C15" s="168">
        <f>C11*'Parameters, country spec'!C8</f>
        <v>91.295000000000002</v>
      </c>
      <c r="D15" s="168">
        <f>D11*'Parameters, country spec'!D8</f>
        <v>91.177199999999999</v>
      </c>
      <c r="E15" s="168">
        <f>E11*'Parameters, country spec'!E8</f>
        <v>91.177199999999999</v>
      </c>
      <c r="F15" s="168">
        <f>F11*'Parameters, country spec'!F8</f>
        <v>91.295000000000002</v>
      </c>
      <c r="G15" s="168">
        <f>G11*'Parameters, country spec'!G8</f>
        <v>91.177199999999999</v>
      </c>
      <c r="H15" s="168">
        <f>H11*'Parameters, country spec'!H8</f>
        <v>92.237400000000008</v>
      </c>
      <c r="I15" s="168">
        <f>I11*'Parameters, country spec'!I8</f>
        <v>77.453499999999991</v>
      </c>
      <c r="J15" s="168">
        <f>J11*'Parameters, country spec'!J8</f>
        <v>61.041983999999992</v>
      </c>
      <c r="K15" s="87"/>
    </row>
    <row r="16" spans="1:18" x14ac:dyDescent="0.3">
      <c r="A16" s="106" t="s">
        <v>128</v>
      </c>
      <c r="B16" s="169"/>
      <c r="C16" s="169"/>
      <c r="D16" s="169"/>
      <c r="E16" s="169"/>
      <c r="F16" s="169"/>
      <c r="G16" s="169"/>
      <c r="H16" s="169"/>
      <c r="I16" s="169"/>
      <c r="J16" s="169"/>
    </row>
    <row r="17" spans="1:10" x14ac:dyDescent="0.3">
      <c r="A17" s="3" t="s">
        <v>118</v>
      </c>
      <c r="B17" s="168">
        <f>B14*'Parameters, country spec'!B7</f>
        <v>1.417753856</v>
      </c>
      <c r="C17" s="168">
        <f>C14*'Parameters, country spec'!C7</f>
        <v>1.417753856</v>
      </c>
      <c r="D17" s="168">
        <f>D14*'Parameters, country spec'!D7</f>
        <v>1.417753856</v>
      </c>
      <c r="E17" s="168">
        <f>E14*'Parameters, country spec'!E7</f>
        <v>1.417753856</v>
      </c>
      <c r="F17" s="168">
        <f>F14*'Parameters, country spec'!F7</f>
        <v>1.417753856</v>
      </c>
      <c r="G17" s="168">
        <f>G14*'Parameters, country spec'!G7</f>
        <v>1.417753856</v>
      </c>
      <c r="H17" s="168">
        <f>H14*'Parameters, country spec'!H7</f>
        <v>1.417753856</v>
      </c>
      <c r="I17" s="168">
        <f>I14*'Parameters, country spec'!I7</f>
        <v>1.417753856</v>
      </c>
      <c r="J17" s="168">
        <f>J14*'Parameters, country spec'!J7</f>
        <v>1.7168113100000002</v>
      </c>
    </row>
    <row r="18" spans="1:10" x14ac:dyDescent="0.3">
      <c r="A18" s="3" t="s">
        <v>122</v>
      </c>
      <c r="B18" s="168">
        <f>B15*'Parameters, country spec'!B7</f>
        <v>49.570239999999984</v>
      </c>
      <c r="C18" s="168">
        <f>C15*'Parameters, country spec'!C7</f>
        <v>58.428799999999995</v>
      </c>
      <c r="D18" s="168">
        <f>D15*'Parameters, country spec'!D7</f>
        <v>58.353407999999988</v>
      </c>
      <c r="E18" s="168">
        <f>E15*'Parameters, country spec'!E7</f>
        <v>58.353407999999988</v>
      </c>
      <c r="F18" s="168">
        <f>F15*'Parameters, country spec'!F7</f>
        <v>58.428799999999995</v>
      </c>
      <c r="G18" s="168">
        <f>G15*'Parameters, country spec'!G7</f>
        <v>58.353407999999988</v>
      </c>
      <c r="H18" s="168">
        <f>H15*'Parameters, country spec'!H7</f>
        <v>59.031935999999995</v>
      </c>
      <c r="I18" s="168">
        <f>I15*'Parameters, country spec'!I7</f>
        <v>49.570239999999984</v>
      </c>
      <c r="J18" s="168">
        <f>J15*'Parameters, country spec'!J7</f>
        <v>47.307537599999996</v>
      </c>
    </row>
    <row r="19" spans="1:10" x14ac:dyDescent="0.3">
      <c r="A19" s="106" t="s">
        <v>129</v>
      </c>
      <c r="B19" s="169"/>
      <c r="C19" s="169"/>
      <c r="D19" s="169"/>
      <c r="E19" s="169"/>
      <c r="F19" s="169"/>
      <c r="G19" s="169"/>
      <c r="H19" s="169"/>
      <c r="I19" s="169"/>
      <c r="J19" s="169"/>
    </row>
    <row r="20" spans="1:10" x14ac:dyDescent="0.3">
      <c r="A20" s="3" t="s">
        <v>118</v>
      </c>
      <c r="B20" s="171">
        <v>0</v>
      </c>
      <c r="C20" s="171">
        <v>0</v>
      </c>
      <c r="D20" s="171">
        <v>0</v>
      </c>
      <c r="E20" s="171">
        <v>0</v>
      </c>
      <c r="F20" s="171">
        <v>0</v>
      </c>
      <c r="G20" s="171">
        <v>0</v>
      </c>
      <c r="H20" s="171">
        <v>0</v>
      </c>
      <c r="I20" s="171">
        <v>0</v>
      </c>
      <c r="J20" s="171">
        <v>0</v>
      </c>
    </row>
    <row r="21" spans="1:10" x14ac:dyDescent="0.3">
      <c r="A21" s="3" t="s">
        <v>122</v>
      </c>
      <c r="B21" s="171">
        <v>0</v>
      </c>
      <c r="C21" s="171">
        <v>0</v>
      </c>
      <c r="D21" s="171">
        <v>0</v>
      </c>
      <c r="E21" s="171">
        <v>0</v>
      </c>
      <c r="F21" s="171">
        <v>0</v>
      </c>
      <c r="G21" s="171">
        <v>0</v>
      </c>
      <c r="H21" s="171">
        <v>0</v>
      </c>
      <c r="I21" s="171">
        <v>0</v>
      </c>
      <c r="J21" s="171">
        <v>0</v>
      </c>
    </row>
    <row r="22" spans="1:10" x14ac:dyDescent="0.3">
      <c r="A22" s="106" t="s">
        <v>130</v>
      </c>
      <c r="B22" s="169"/>
      <c r="C22" s="169"/>
      <c r="D22" s="169"/>
      <c r="E22" s="169"/>
      <c r="F22" s="169"/>
      <c r="G22" s="169"/>
      <c r="H22" s="169"/>
      <c r="I22" s="169"/>
      <c r="J22" s="169"/>
    </row>
    <row r="23" spans="1:10" x14ac:dyDescent="0.3">
      <c r="A23" s="3" t="s">
        <v>123</v>
      </c>
      <c r="B23" s="168">
        <f t="shared" ref="B23:I23" si="4">SUM(B17:B21)</f>
        <v>50.987993855999981</v>
      </c>
      <c r="C23" s="168">
        <f t="shared" si="4"/>
        <v>59.846553855999993</v>
      </c>
      <c r="D23" s="168">
        <f t="shared" si="4"/>
        <v>59.771161855999985</v>
      </c>
      <c r="E23" s="168">
        <f t="shared" si="4"/>
        <v>59.771161855999985</v>
      </c>
      <c r="F23" s="168">
        <f t="shared" si="4"/>
        <v>59.846553855999993</v>
      </c>
      <c r="G23" s="168">
        <f t="shared" si="4"/>
        <v>59.771161855999985</v>
      </c>
      <c r="H23" s="168">
        <f t="shared" si="4"/>
        <v>60.449689855999992</v>
      </c>
      <c r="I23" s="168">
        <f t="shared" si="4"/>
        <v>50.987993855999981</v>
      </c>
      <c r="J23" s="168">
        <f>SUM(J17:J21)</f>
        <v>49.024348909999993</v>
      </c>
    </row>
    <row r="24" spans="1:10" x14ac:dyDescent="0.3">
      <c r="A24" s="106" t="s">
        <v>131</v>
      </c>
      <c r="B24" s="106"/>
      <c r="C24" s="106"/>
      <c r="D24" s="106"/>
      <c r="E24" s="106"/>
      <c r="F24" s="106"/>
      <c r="G24" s="106"/>
      <c r="H24" s="106"/>
      <c r="I24" s="106"/>
      <c r="J24" s="106"/>
    </row>
    <row r="25" spans="1:10" x14ac:dyDescent="0.3">
      <c r="A25" s="3" t="s">
        <v>132</v>
      </c>
      <c r="B25" s="10">
        <f>(B7+B5)/B23</f>
        <v>1.2355849923792699</v>
      </c>
      <c r="C25" s="10">
        <f t="shared" ref="C25:J25" si="5">(C7+C5)/C23</f>
        <v>1.0526921926296322</v>
      </c>
      <c r="D25" s="10">
        <f t="shared" si="5"/>
        <v>1.0540199996744064</v>
      </c>
      <c r="E25" s="10">
        <f t="shared" si="5"/>
        <v>1.0540199996744064</v>
      </c>
      <c r="F25" s="10">
        <f t="shared" si="5"/>
        <v>1.0526921926296322</v>
      </c>
      <c r="G25" s="10">
        <f t="shared" si="5"/>
        <v>1.0540199996744064</v>
      </c>
      <c r="H25" s="10">
        <f t="shared" si="5"/>
        <v>1.0421889698702378</v>
      </c>
      <c r="I25" s="10">
        <f t="shared" si="5"/>
        <v>1.2355849923792699</v>
      </c>
      <c r="J25" s="10">
        <f t="shared" si="5"/>
        <v>0.67313489589799846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sheetPr>
  <dimension ref="A2:W104"/>
  <sheetViews>
    <sheetView topLeftCell="A12" zoomScale="77" zoomScaleNormal="80" workbookViewId="0">
      <selection activeCell="B52" sqref="B52"/>
    </sheetView>
  </sheetViews>
  <sheetFormatPr defaultColWidth="8.6640625" defaultRowHeight="14.4" x14ac:dyDescent="0.3"/>
  <cols>
    <col min="1" max="1" width="55.6640625" customWidth="1"/>
    <col min="2" max="9" width="10.6640625" customWidth="1"/>
    <col min="10" max="10" width="10.6640625" style="162" customWidth="1"/>
    <col min="12" max="12" width="29.33203125" customWidth="1"/>
    <col min="13" max="13" width="24.33203125" customWidth="1"/>
    <col min="22" max="22" width="11" customWidth="1"/>
  </cols>
  <sheetData>
    <row r="2" spans="1:14" ht="18" x14ac:dyDescent="0.35">
      <c r="A2" s="1" t="s">
        <v>133</v>
      </c>
      <c r="C2" s="6"/>
    </row>
    <row r="3" spans="1:14" x14ac:dyDescent="0.3">
      <c r="B3" t="s">
        <v>67</v>
      </c>
      <c r="C3" t="s">
        <v>68</v>
      </c>
      <c r="D3" t="s">
        <v>69</v>
      </c>
      <c r="E3" t="s">
        <v>70</v>
      </c>
      <c r="F3" t="s">
        <v>71</v>
      </c>
      <c r="G3" t="s">
        <v>72</v>
      </c>
      <c r="H3" t="s">
        <v>73</v>
      </c>
      <c r="I3" t="s">
        <v>74</v>
      </c>
      <c r="J3" s="16" t="s">
        <v>75</v>
      </c>
    </row>
    <row r="4" spans="1:14" x14ac:dyDescent="0.3">
      <c r="A4" s="120" t="s">
        <v>134</v>
      </c>
      <c r="B4" s="120" t="s">
        <v>28</v>
      </c>
      <c r="C4" s="120" t="s">
        <v>25</v>
      </c>
      <c r="D4" s="120" t="s">
        <v>21</v>
      </c>
      <c r="E4" s="120" t="s">
        <v>24</v>
      </c>
      <c r="F4" s="120" t="s">
        <v>23</v>
      </c>
      <c r="G4" s="120" t="s">
        <v>20</v>
      </c>
      <c r="H4" s="120" t="s">
        <v>22</v>
      </c>
      <c r="I4" s="120" t="s">
        <v>26</v>
      </c>
      <c r="J4" s="120" t="s">
        <v>27</v>
      </c>
      <c r="L4" s="120" t="s">
        <v>135</v>
      </c>
      <c r="M4" s="120"/>
      <c r="N4" s="120"/>
    </row>
    <row r="5" spans="1:14" x14ac:dyDescent="0.3">
      <c r="A5" s="3" t="s">
        <v>136</v>
      </c>
      <c r="B5" s="369">
        <v>87.4</v>
      </c>
      <c r="C5" s="369">
        <v>87.4</v>
      </c>
      <c r="D5" s="369">
        <v>87.4</v>
      </c>
      <c r="E5" s="369">
        <v>87.4</v>
      </c>
      <c r="F5" s="369">
        <v>87.4</v>
      </c>
      <c r="G5" s="369">
        <v>87.4</v>
      </c>
      <c r="H5" s="369">
        <v>87.4</v>
      </c>
      <c r="I5" s="369">
        <v>87.4</v>
      </c>
      <c r="J5" s="369">
        <v>87.4</v>
      </c>
      <c r="L5" s="368" t="s">
        <v>137</v>
      </c>
      <c r="M5" s="86"/>
    </row>
    <row r="6" spans="1:14" x14ac:dyDescent="0.3">
      <c r="A6" s="3" t="s">
        <v>138</v>
      </c>
      <c r="B6" s="369">
        <f>150</f>
        <v>150</v>
      </c>
      <c r="C6" s="369">
        <f>150</f>
        <v>150</v>
      </c>
      <c r="D6" s="369">
        <f>150</f>
        <v>150</v>
      </c>
      <c r="E6" s="369">
        <f>150</f>
        <v>150</v>
      </c>
      <c r="F6" s="369">
        <f>150</f>
        <v>150</v>
      </c>
      <c r="G6" s="369">
        <f>150</f>
        <v>150</v>
      </c>
      <c r="H6" s="369">
        <f>150</f>
        <v>150</v>
      </c>
      <c r="I6" s="369">
        <f>150</f>
        <v>150</v>
      </c>
      <c r="J6" s="369">
        <f>150</f>
        <v>150</v>
      </c>
      <c r="L6" s="368" t="s">
        <v>139</v>
      </c>
      <c r="M6" s="86"/>
    </row>
    <row r="7" spans="1:14" x14ac:dyDescent="0.3">
      <c r="A7" s="3" t="s">
        <v>140</v>
      </c>
      <c r="B7" s="367">
        <f t="shared" ref="B7:I7" si="0">AVERAGE(0.58,0.7)</f>
        <v>0.6399999999999999</v>
      </c>
      <c r="C7" s="367">
        <f t="shared" si="0"/>
        <v>0.6399999999999999</v>
      </c>
      <c r="D7" s="367">
        <f t="shared" si="0"/>
        <v>0.6399999999999999</v>
      </c>
      <c r="E7" s="367">
        <f t="shared" si="0"/>
        <v>0.6399999999999999</v>
      </c>
      <c r="F7" s="367">
        <f t="shared" si="0"/>
        <v>0.6399999999999999</v>
      </c>
      <c r="G7" s="367">
        <f t="shared" si="0"/>
        <v>0.6399999999999999</v>
      </c>
      <c r="H7" s="367">
        <f t="shared" si="0"/>
        <v>0.6399999999999999</v>
      </c>
      <c r="I7" s="367">
        <f t="shared" si="0"/>
        <v>0.6399999999999999</v>
      </c>
      <c r="J7" s="367">
        <f>0.775</f>
        <v>0.77500000000000002</v>
      </c>
      <c r="L7" s="368" t="s">
        <v>141</v>
      </c>
      <c r="M7" s="86"/>
    </row>
    <row r="8" spans="1:14" x14ac:dyDescent="0.3">
      <c r="A8" s="3" t="s">
        <v>142</v>
      </c>
      <c r="B8" s="315">
        <f>AVERAGE(1.21,1.42)</f>
        <v>1.3149999999999999</v>
      </c>
      <c r="C8" s="315">
        <f>AVERAGE(1.5,1.6)</f>
        <v>1.55</v>
      </c>
      <c r="D8" s="315">
        <f>AVERAGE(1.5,1.6,1.21,1.42, 2.01)</f>
        <v>1.548</v>
      </c>
      <c r="E8" s="315">
        <f>AVERAGE(1.5,1.6,1.21,1.42, 2.01)</f>
        <v>1.548</v>
      </c>
      <c r="F8" s="315">
        <f>AVERAGE(1.5,1.6)</f>
        <v>1.55</v>
      </c>
      <c r="G8" s="315">
        <f>AVERAGE(1.5,1.6,1.21,1.42, 2.01)</f>
        <v>1.548</v>
      </c>
      <c r="H8" s="315">
        <f t="shared" ref="H8" si="1">2.7*0.58</f>
        <v>1.5660000000000001</v>
      </c>
      <c r="I8" s="315">
        <f>AVERAGE(1.21,1.42)</f>
        <v>1.3149999999999999</v>
      </c>
      <c r="J8" s="315">
        <f>W66</f>
        <v>2.0079599999999997</v>
      </c>
      <c r="L8" s="368" t="s">
        <v>143</v>
      </c>
      <c r="M8" s="86"/>
    </row>
    <row r="9" spans="1:14" x14ac:dyDescent="0.3">
      <c r="A9" s="3" t="s">
        <v>144</v>
      </c>
      <c r="B9" s="315">
        <f t="shared" ref="B9:J9" si="2">4.6*0.58</f>
        <v>2.6679999999999997</v>
      </c>
      <c r="C9" s="315">
        <f t="shared" si="2"/>
        <v>2.6679999999999997</v>
      </c>
      <c r="D9" s="315">
        <f t="shared" si="2"/>
        <v>2.6679999999999997</v>
      </c>
      <c r="E9" s="315">
        <f t="shared" si="2"/>
        <v>2.6679999999999997</v>
      </c>
      <c r="F9" s="315">
        <f t="shared" si="2"/>
        <v>2.6679999999999997</v>
      </c>
      <c r="G9" s="315">
        <f t="shared" si="2"/>
        <v>2.6679999999999997</v>
      </c>
      <c r="H9" s="315">
        <f t="shared" si="2"/>
        <v>2.6679999999999997</v>
      </c>
      <c r="I9" s="315">
        <f t="shared" si="2"/>
        <v>2.6679999999999997</v>
      </c>
      <c r="J9" s="315">
        <f t="shared" si="2"/>
        <v>2.6679999999999997</v>
      </c>
      <c r="L9" s="368" t="s">
        <v>137</v>
      </c>
      <c r="M9" s="86"/>
    </row>
    <row r="10" spans="1:14" x14ac:dyDescent="0.3">
      <c r="A10" s="3" t="s">
        <v>145</v>
      </c>
      <c r="B10" s="369">
        <v>62</v>
      </c>
      <c r="C10" s="369">
        <v>62</v>
      </c>
      <c r="D10" s="369">
        <v>62</v>
      </c>
      <c r="E10" s="369">
        <v>62</v>
      </c>
      <c r="F10" s="369">
        <v>62</v>
      </c>
      <c r="G10" s="369">
        <v>62</v>
      </c>
      <c r="H10" s="369">
        <v>62</v>
      </c>
      <c r="I10" s="369">
        <v>62</v>
      </c>
      <c r="J10" s="369">
        <v>32</v>
      </c>
      <c r="L10" s="368" t="s">
        <v>146</v>
      </c>
      <c r="M10" s="86"/>
    </row>
    <row r="11" spans="1:14" x14ac:dyDescent="0.3">
      <c r="A11" s="3" t="s">
        <v>147</v>
      </c>
      <c r="B11" s="369">
        <f t="shared" ref="B11:J11" si="3">16*7</f>
        <v>112</v>
      </c>
      <c r="C11" s="369">
        <f t="shared" si="3"/>
        <v>112</v>
      </c>
      <c r="D11" s="369">
        <f t="shared" si="3"/>
        <v>112</v>
      </c>
      <c r="E11" s="369">
        <f t="shared" si="3"/>
        <v>112</v>
      </c>
      <c r="F11" s="369">
        <f t="shared" si="3"/>
        <v>112</v>
      </c>
      <c r="G11" s="369">
        <f t="shared" si="3"/>
        <v>112</v>
      </c>
      <c r="H11" s="369">
        <f t="shared" si="3"/>
        <v>112</v>
      </c>
      <c r="I11" s="369">
        <f t="shared" si="3"/>
        <v>112</v>
      </c>
      <c r="J11" s="369">
        <f t="shared" si="3"/>
        <v>112</v>
      </c>
      <c r="L11" s="368" t="s">
        <v>148</v>
      </c>
      <c r="M11" s="86"/>
    </row>
    <row r="12" spans="1:14" x14ac:dyDescent="0.3">
      <c r="A12" s="3" t="s">
        <v>149</v>
      </c>
      <c r="B12" s="369">
        <v>10</v>
      </c>
      <c r="C12" s="369">
        <v>10</v>
      </c>
      <c r="D12" s="369">
        <v>10</v>
      </c>
      <c r="E12" s="369">
        <v>10</v>
      </c>
      <c r="F12" s="369">
        <v>10</v>
      </c>
      <c r="G12" s="369">
        <v>10</v>
      </c>
      <c r="H12" s="369">
        <v>10</v>
      </c>
      <c r="I12" s="369">
        <v>10</v>
      </c>
      <c r="J12" s="369">
        <v>10</v>
      </c>
      <c r="K12" s="13"/>
      <c r="L12" s="368" t="s">
        <v>143</v>
      </c>
      <c r="M12" s="86"/>
    </row>
    <row r="13" spans="1:14" x14ac:dyDescent="0.3">
      <c r="A13" s="3" t="s">
        <v>150</v>
      </c>
      <c r="B13" s="369">
        <v>5</v>
      </c>
      <c r="C13" s="369">
        <v>5</v>
      </c>
      <c r="D13" s="369">
        <v>5</v>
      </c>
      <c r="E13" s="369">
        <v>5</v>
      </c>
      <c r="F13" s="369">
        <v>5</v>
      </c>
      <c r="G13" s="369">
        <v>5</v>
      </c>
      <c r="H13" s="369">
        <v>5</v>
      </c>
      <c r="I13" s="369">
        <v>5</v>
      </c>
      <c r="J13" s="369">
        <v>5</v>
      </c>
      <c r="K13" s="13"/>
      <c r="L13" s="368" t="s">
        <v>137</v>
      </c>
      <c r="M13" s="86"/>
    </row>
    <row r="14" spans="1:14" x14ac:dyDescent="0.3">
      <c r="L14" s="87"/>
      <c r="M14" s="86"/>
    </row>
    <row r="15" spans="1:14" x14ac:dyDescent="0.3">
      <c r="A15" s="120" t="s">
        <v>151</v>
      </c>
      <c r="B15" s="120" t="s">
        <v>28</v>
      </c>
      <c r="C15" s="120" t="s">
        <v>25</v>
      </c>
      <c r="D15" s="120" t="s">
        <v>21</v>
      </c>
      <c r="E15" s="120" t="s">
        <v>24</v>
      </c>
      <c r="F15" s="120" t="s">
        <v>23</v>
      </c>
      <c r="G15" s="120" t="s">
        <v>20</v>
      </c>
      <c r="H15" s="120" t="s">
        <v>22</v>
      </c>
      <c r="I15" s="120" t="s">
        <v>26</v>
      </c>
      <c r="J15" s="120" t="s">
        <v>27</v>
      </c>
      <c r="L15" s="87"/>
      <c r="M15" s="86"/>
    </row>
    <row r="16" spans="1:14" x14ac:dyDescent="0.3">
      <c r="A16" s="83" t="s">
        <v>152</v>
      </c>
      <c r="B16" s="315">
        <v>0</v>
      </c>
      <c r="C16" s="315">
        <v>0</v>
      </c>
      <c r="D16" s="315">
        <v>0</v>
      </c>
      <c r="E16" s="315">
        <v>0</v>
      </c>
      <c r="F16" s="315">
        <v>0</v>
      </c>
      <c r="G16" s="315">
        <v>0</v>
      </c>
      <c r="H16" s="315">
        <v>0</v>
      </c>
      <c r="I16" s="315">
        <v>0</v>
      </c>
      <c r="J16" s="315">
        <v>0</v>
      </c>
      <c r="L16" s="368" t="s">
        <v>153</v>
      </c>
      <c r="M16" s="86"/>
    </row>
    <row r="17" spans="1:20" x14ac:dyDescent="0.3">
      <c r="A17" s="83" t="s">
        <v>154</v>
      </c>
      <c r="B17" s="315">
        <v>0</v>
      </c>
      <c r="C17" s="315">
        <v>0</v>
      </c>
      <c r="D17" s="315">
        <v>0</v>
      </c>
      <c r="E17" s="315">
        <v>0</v>
      </c>
      <c r="F17" s="315">
        <v>0</v>
      </c>
      <c r="G17" s="315">
        <v>0</v>
      </c>
      <c r="H17" s="315">
        <v>0</v>
      </c>
      <c r="I17" s="315">
        <v>0</v>
      </c>
      <c r="J17" s="315">
        <v>0</v>
      </c>
      <c r="L17" s="368" t="s">
        <v>155</v>
      </c>
      <c r="M17" s="86"/>
    </row>
    <row r="18" spans="1:20" x14ac:dyDescent="0.3">
      <c r="A18" s="83" t="s">
        <v>156</v>
      </c>
      <c r="B18" s="315">
        <f t="shared" ref="B18:I18" si="4">AVERAGE(0.22, 0.34)</f>
        <v>0.28000000000000003</v>
      </c>
      <c r="C18" s="315">
        <f t="shared" si="4"/>
        <v>0.28000000000000003</v>
      </c>
      <c r="D18" s="315">
        <f t="shared" si="4"/>
        <v>0.28000000000000003</v>
      </c>
      <c r="E18" s="315">
        <f t="shared" si="4"/>
        <v>0.28000000000000003</v>
      </c>
      <c r="F18" s="315">
        <f t="shared" si="4"/>
        <v>0.28000000000000003</v>
      </c>
      <c r="G18" s="315">
        <f t="shared" si="4"/>
        <v>0.28000000000000003</v>
      </c>
      <c r="H18" s="315">
        <f t="shared" si="4"/>
        <v>0.28000000000000003</v>
      </c>
      <c r="I18" s="315">
        <f t="shared" si="4"/>
        <v>0.28000000000000003</v>
      </c>
      <c r="J18" s="315">
        <v>0.6</v>
      </c>
      <c r="M18" s="87"/>
      <c r="N18" t="s">
        <v>157</v>
      </c>
      <c r="O18" s="115" t="s">
        <v>158</v>
      </c>
    </row>
    <row r="19" spans="1:20" x14ac:dyDescent="0.3">
      <c r="A19" s="82" t="s">
        <v>159</v>
      </c>
      <c r="B19" s="315">
        <f t="shared" ref="B19:I19" si="5">AVERAGE(0.22,0.1)</f>
        <v>0.16</v>
      </c>
      <c r="C19" s="315">
        <f t="shared" si="5"/>
        <v>0.16</v>
      </c>
      <c r="D19" s="315">
        <f t="shared" si="5"/>
        <v>0.16</v>
      </c>
      <c r="E19" s="315">
        <f t="shared" si="5"/>
        <v>0.16</v>
      </c>
      <c r="F19" s="315">
        <f t="shared" si="5"/>
        <v>0.16</v>
      </c>
      <c r="G19" s="315">
        <f t="shared" si="5"/>
        <v>0.16</v>
      </c>
      <c r="H19" s="315">
        <f t="shared" si="5"/>
        <v>0.16</v>
      </c>
      <c r="I19" s="315">
        <f t="shared" si="5"/>
        <v>0.16</v>
      </c>
      <c r="J19" s="315">
        <f>O20/100</f>
        <v>1.6853932584269662E-2</v>
      </c>
      <c r="M19" t="s">
        <v>160</v>
      </c>
      <c r="N19">
        <v>6.9</v>
      </c>
      <c r="O19" s="115">
        <f>N19/$N$22*100</f>
        <v>38.764044943820224</v>
      </c>
    </row>
    <row r="20" spans="1:20" x14ac:dyDescent="0.3">
      <c r="A20" s="83" t="s">
        <v>161</v>
      </c>
      <c r="B20" s="315">
        <v>3.1075970320211814E-4</v>
      </c>
      <c r="C20" s="315">
        <v>3.1075970320211814E-4</v>
      </c>
      <c r="D20" s="315">
        <v>3.1075970320211814E-4</v>
      </c>
      <c r="E20" s="315">
        <v>3.1075970320211814E-4</v>
      </c>
      <c r="F20" s="315">
        <v>3.1075970320211814E-4</v>
      </c>
      <c r="G20" s="315">
        <v>3.1075970320211814E-4</v>
      </c>
      <c r="H20" s="315">
        <v>3.1075970320211814E-4</v>
      </c>
      <c r="I20" s="315">
        <v>3.1075970320211814E-4</v>
      </c>
      <c r="J20" s="315">
        <v>0</v>
      </c>
      <c r="M20" t="s">
        <v>162</v>
      </c>
      <c r="N20">
        <v>0.3</v>
      </c>
      <c r="O20" s="115">
        <f>N20/$N$22*100</f>
        <v>1.6853932584269662</v>
      </c>
    </row>
    <row r="21" spans="1:20" x14ac:dyDescent="0.3">
      <c r="A21" s="83" t="s">
        <v>163</v>
      </c>
      <c r="B21" s="315">
        <v>8.6733359151412953E-5</v>
      </c>
      <c r="C21" s="315">
        <v>8.6733359151412953E-5</v>
      </c>
      <c r="D21" s="315">
        <v>8.6733359151412953E-5</v>
      </c>
      <c r="E21" s="315">
        <v>8.6733359151412953E-5</v>
      </c>
      <c r="F21" s="315">
        <v>8.6733359151412953E-5</v>
      </c>
      <c r="G21" s="315">
        <v>8.6733359151412953E-5</v>
      </c>
      <c r="H21" s="315">
        <v>8.6733359151412953E-5</v>
      </c>
      <c r="I21" s="315">
        <v>8.6733359151412953E-5</v>
      </c>
      <c r="J21" s="315">
        <v>0</v>
      </c>
      <c r="M21" t="s">
        <v>164</v>
      </c>
      <c r="N21">
        <f>5.8+1.8+3</f>
        <v>10.6</v>
      </c>
      <c r="O21" s="115">
        <f>N21/$N$22*100</f>
        <v>59.550561797752813</v>
      </c>
    </row>
    <row r="22" spans="1:20" x14ac:dyDescent="0.3">
      <c r="A22" s="83" t="s">
        <v>165</v>
      </c>
      <c r="B22" s="315">
        <v>6.2924072151971947E-5</v>
      </c>
      <c r="C22" s="315">
        <v>6.2924072151971947E-5</v>
      </c>
      <c r="D22" s="315">
        <v>6.2924072151971947E-5</v>
      </c>
      <c r="E22" s="315">
        <v>6.2924072151971947E-5</v>
      </c>
      <c r="F22" s="315">
        <v>6.2924072151971947E-5</v>
      </c>
      <c r="G22" s="315">
        <v>6.2924072151971947E-5</v>
      </c>
      <c r="H22" s="315">
        <v>6.2924072151971947E-5</v>
      </c>
      <c r="I22" s="315">
        <v>6.2924072151971947E-5</v>
      </c>
      <c r="J22" s="315">
        <v>0</v>
      </c>
      <c r="M22" s="157" t="s">
        <v>166</v>
      </c>
      <c r="N22" s="157">
        <f>N19+N20+N21</f>
        <v>17.8</v>
      </c>
    </row>
    <row r="23" spans="1:20" x14ac:dyDescent="0.3">
      <c r="A23" s="84" t="s">
        <v>167</v>
      </c>
      <c r="B23" s="315">
        <f t="shared" ref="B23:I23" si="6">AVERAGE(0.18,0.23)</f>
        <v>0.20500000000000002</v>
      </c>
      <c r="C23" s="315">
        <f t="shared" si="6"/>
        <v>0.20500000000000002</v>
      </c>
      <c r="D23" s="315">
        <f t="shared" si="6"/>
        <v>0.20500000000000002</v>
      </c>
      <c r="E23" s="315">
        <f t="shared" si="6"/>
        <v>0.20500000000000002</v>
      </c>
      <c r="F23" s="315">
        <f t="shared" si="6"/>
        <v>0.20500000000000002</v>
      </c>
      <c r="G23" s="315">
        <f t="shared" si="6"/>
        <v>0.20500000000000002</v>
      </c>
      <c r="H23" s="315">
        <f t="shared" si="6"/>
        <v>0.20500000000000002</v>
      </c>
      <c r="I23" s="315">
        <f t="shared" si="6"/>
        <v>0.20500000000000002</v>
      </c>
      <c r="J23" s="315">
        <f>0.8*O19/100</f>
        <v>0.31011235955056177</v>
      </c>
    </row>
    <row r="24" spans="1:20" x14ac:dyDescent="0.3">
      <c r="A24" s="83" t="s">
        <v>168</v>
      </c>
      <c r="B24" s="315">
        <v>2.439015630520557E-4</v>
      </c>
      <c r="C24" s="315">
        <v>2.439015630520557E-4</v>
      </c>
      <c r="D24" s="315">
        <v>2.439015630520557E-4</v>
      </c>
      <c r="E24" s="315">
        <v>2.439015630520557E-4</v>
      </c>
      <c r="F24" s="315">
        <v>2.439015630520557E-4</v>
      </c>
      <c r="G24" s="315">
        <v>2.439015630520557E-4</v>
      </c>
      <c r="H24" s="315">
        <v>2.439015630520557E-4</v>
      </c>
      <c r="I24" s="315">
        <v>2.439015630520557E-4</v>
      </c>
      <c r="J24" s="315">
        <v>0</v>
      </c>
      <c r="M24" s="6" t="s">
        <v>169</v>
      </c>
    </row>
    <row r="25" spans="1:20" x14ac:dyDescent="0.3">
      <c r="A25" s="83" t="s">
        <v>170</v>
      </c>
      <c r="B25" s="315">
        <v>2.3959170998341588E-4</v>
      </c>
      <c r="C25" s="315">
        <v>2.3959170998341588E-4</v>
      </c>
      <c r="D25" s="315">
        <v>2.3959170998341588E-4</v>
      </c>
      <c r="E25" s="315">
        <v>2.3959170998341588E-4</v>
      </c>
      <c r="F25" s="315">
        <v>2.3959170998341588E-4</v>
      </c>
      <c r="G25" s="315">
        <v>2.3959170998341588E-4</v>
      </c>
      <c r="H25" s="315">
        <v>2.3959170998341588E-4</v>
      </c>
      <c r="I25" s="315">
        <v>2.3959170998341588E-4</v>
      </c>
      <c r="J25" s="315">
        <v>0</v>
      </c>
    </row>
    <row r="26" spans="1:20" x14ac:dyDescent="0.3">
      <c r="A26" s="83" t="s">
        <v>171</v>
      </c>
      <c r="B26" s="315">
        <f t="shared" ref="B26:I26" si="7">AVERAGE(0.11,0.07)</f>
        <v>0.09</v>
      </c>
      <c r="C26" s="315">
        <f t="shared" si="7"/>
        <v>0.09</v>
      </c>
      <c r="D26" s="315">
        <f t="shared" si="7"/>
        <v>0.09</v>
      </c>
      <c r="E26" s="315">
        <f t="shared" si="7"/>
        <v>0.09</v>
      </c>
      <c r="F26" s="315">
        <f t="shared" si="7"/>
        <v>0.09</v>
      </c>
      <c r="G26" s="315">
        <f t="shared" si="7"/>
        <v>0.09</v>
      </c>
      <c r="H26" s="315">
        <f t="shared" si="7"/>
        <v>0.09</v>
      </c>
      <c r="I26" s="315">
        <f t="shared" si="7"/>
        <v>0.09</v>
      </c>
      <c r="J26" s="315">
        <f>0.1*O19/100</f>
        <v>3.8764044943820221E-2</v>
      </c>
    </row>
    <row r="27" spans="1:20" x14ac:dyDescent="0.3">
      <c r="A27" s="83" t="s">
        <v>172</v>
      </c>
      <c r="B27" s="315">
        <f t="shared" ref="B27:I27" si="8">AVERAGE(0.13,0.06)</f>
        <v>9.5000000000000001E-2</v>
      </c>
      <c r="C27" s="315">
        <f t="shared" si="8"/>
        <v>9.5000000000000001E-2</v>
      </c>
      <c r="D27" s="315">
        <f t="shared" si="8"/>
        <v>9.5000000000000001E-2</v>
      </c>
      <c r="E27" s="315">
        <f t="shared" si="8"/>
        <v>9.5000000000000001E-2</v>
      </c>
      <c r="F27" s="315">
        <f t="shared" si="8"/>
        <v>9.5000000000000001E-2</v>
      </c>
      <c r="G27" s="315">
        <f t="shared" si="8"/>
        <v>9.5000000000000001E-2</v>
      </c>
      <c r="H27" s="315">
        <f t="shared" si="8"/>
        <v>9.5000000000000001E-2</v>
      </c>
      <c r="I27" s="315">
        <f t="shared" si="8"/>
        <v>9.5000000000000001E-2</v>
      </c>
      <c r="J27" s="315">
        <f>0.1*O19/100</f>
        <v>3.8764044943820221E-2</v>
      </c>
    </row>
    <row r="28" spans="1:20" x14ac:dyDescent="0.3">
      <c r="A28" s="83" t="s">
        <v>173</v>
      </c>
      <c r="B28" s="315">
        <f t="shared" ref="B28:I28" si="9">AVERAGE(0.09,0.1)</f>
        <v>9.5000000000000001E-2</v>
      </c>
      <c r="C28" s="315">
        <f t="shared" si="9"/>
        <v>9.5000000000000001E-2</v>
      </c>
      <c r="D28" s="315">
        <f t="shared" si="9"/>
        <v>9.5000000000000001E-2</v>
      </c>
      <c r="E28" s="315">
        <f t="shared" si="9"/>
        <v>9.5000000000000001E-2</v>
      </c>
      <c r="F28" s="315">
        <f t="shared" si="9"/>
        <v>9.5000000000000001E-2</v>
      </c>
      <c r="G28" s="315">
        <f t="shared" si="9"/>
        <v>9.5000000000000001E-2</v>
      </c>
      <c r="H28" s="315">
        <f t="shared" si="9"/>
        <v>9.5000000000000001E-2</v>
      </c>
      <c r="I28" s="315">
        <f t="shared" si="9"/>
        <v>9.5000000000000001E-2</v>
      </c>
      <c r="J28" s="315">
        <v>0</v>
      </c>
    </row>
    <row r="29" spans="1:20" x14ac:dyDescent="0.3">
      <c r="A29" s="83" t="s">
        <v>174</v>
      </c>
      <c r="B29" s="315">
        <v>7.0000000000000007E-2</v>
      </c>
      <c r="C29" s="315">
        <v>7.0000000000000007E-2</v>
      </c>
      <c r="D29" s="315">
        <v>7.0000000000000007E-2</v>
      </c>
      <c r="E29" s="315">
        <v>7.0000000000000007E-2</v>
      </c>
      <c r="F29" s="315">
        <v>7.0000000000000007E-2</v>
      </c>
      <c r="G29" s="315">
        <v>7.0000000000000007E-2</v>
      </c>
      <c r="H29" s="315">
        <v>7.0000000000000007E-2</v>
      </c>
      <c r="I29" s="315">
        <v>7.0000000000000007E-2</v>
      </c>
      <c r="J29" s="315">
        <v>0</v>
      </c>
    </row>
    <row r="30" spans="1:20" x14ac:dyDescent="0.3">
      <c r="A30" s="3"/>
      <c r="B30" s="12"/>
      <c r="C30" s="12"/>
      <c r="D30" s="12"/>
      <c r="E30" s="12"/>
      <c r="F30" s="12"/>
      <c r="G30" s="12"/>
      <c r="H30" s="12"/>
      <c r="I30" s="12"/>
      <c r="T30" s="86"/>
    </row>
    <row r="31" spans="1:20" x14ac:dyDescent="0.3">
      <c r="A31" s="83" t="s">
        <v>175</v>
      </c>
      <c r="B31" s="10">
        <f t="shared" ref="B31:I31" si="10">SUM(B16:B18)</f>
        <v>0.28000000000000003</v>
      </c>
      <c r="C31" s="10">
        <f t="shared" si="10"/>
        <v>0.28000000000000003</v>
      </c>
      <c r="D31" s="10">
        <f t="shared" si="10"/>
        <v>0.28000000000000003</v>
      </c>
      <c r="E31" s="10">
        <f t="shared" si="10"/>
        <v>0.28000000000000003</v>
      </c>
      <c r="F31" s="10">
        <f t="shared" si="10"/>
        <v>0.28000000000000003</v>
      </c>
      <c r="G31" s="10">
        <f t="shared" si="10"/>
        <v>0.28000000000000003</v>
      </c>
      <c r="H31" s="10">
        <f t="shared" si="10"/>
        <v>0.28000000000000003</v>
      </c>
      <c r="I31" s="10">
        <f t="shared" si="10"/>
        <v>0.28000000000000003</v>
      </c>
      <c r="J31" s="10">
        <f>SUM(J16:J18)</f>
        <v>0.6</v>
      </c>
    </row>
    <row r="32" spans="1:20" x14ac:dyDescent="0.3">
      <c r="J32"/>
      <c r="N32" s="5"/>
    </row>
    <row r="33" spans="1:20" x14ac:dyDescent="0.3">
      <c r="A33" s="120" t="s">
        <v>176</v>
      </c>
      <c r="B33" s="120" t="s">
        <v>28</v>
      </c>
      <c r="C33" s="120" t="s">
        <v>25</v>
      </c>
      <c r="D33" s="120" t="s">
        <v>21</v>
      </c>
      <c r="E33" s="120" t="s">
        <v>24</v>
      </c>
      <c r="F33" s="120" t="s">
        <v>23</v>
      </c>
      <c r="G33" s="120" t="s">
        <v>20</v>
      </c>
      <c r="H33" s="120" t="s">
        <v>22</v>
      </c>
      <c r="I33" s="120" t="s">
        <v>26</v>
      </c>
      <c r="J33" s="120" t="s">
        <v>27</v>
      </c>
      <c r="L33" s="87"/>
      <c r="M33" s="86"/>
    </row>
    <row r="34" spans="1:20" x14ac:dyDescent="0.3">
      <c r="A34" s="83" t="s">
        <v>152</v>
      </c>
      <c r="B34" s="315">
        <v>0</v>
      </c>
      <c r="C34" s="315">
        <v>0</v>
      </c>
      <c r="D34" s="315">
        <v>0</v>
      </c>
      <c r="E34" s="315">
        <v>0</v>
      </c>
      <c r="F34" s="315">
        <v>0</v>
      </c>
      <c r="G34" s="315">
        <v>0</v>
      </c>
      <c r="H34" s="315">
        <v>0</v>
      </c>
      <c r="I34" s="315">
        <v>0</v>
      </c>
      <c r="J34" s="315">
        <v>0</v>
      </c>
      <c r="L34" s="368" t="s">
        <v>153</v>
      </c>
      <c r="M34" s="86"/>
    </row>
    <row r="35" spans="1:20" x14ac:dyDescent="0.3">
      <c r="A35" s="83" t="s">
        <v>154</v>
      </c>
      <c r="B35" s="315">
        <v>0</v>
      </c>
      <c r="C35" s="315">
        <v>0</v>
      </c>
      <c r="D35" s="315">
        <v>0</v>
      </c>
      <c r="E35" s="315">
        <v>0</v>
      </c>
      <c r="F35" s="315">
        <v>0</v>
      </c>
      <c r="G35" s="315">
        <v>0</v>
      </c>
      <c r="H35" s="315">
        <v>0</v>
      </c>
      <c r="I35" s="315">
        <v>0</v>
      </c>
      <c r="J35" s="315">
        <v>0</v>
      </c>
    </row>
    <row r="36" spans="1:20" x14ac:dyDescent="0.3">
      <c r="A36" s="83" t="s">
        <v>177</v>
      </c>
      <c r="B36" s="315">
        <v>0.3</v>
      </c>
      <c r="C36" s="315">
        <v>0.3</v>
      </c>
      <c r="D36" s="315">
        <v>0.3</v>
      </c>
      <c r="E36" s="315">
        <v>0.3</v>
      </c>
      <c r="F36" s="315">
        <v>0.3</v>
      </c>
      <c r="G36" s="315">
        <v>0.3</v>
      </c>
      <c r="H36" s="315">
        <v>0.3</v>
      </c>
      <c r="I36" s="315">
        <v>0.3</v>
      </c>
      <c r="J36" s="315">
        <v>0.3</v>
      </c>
      <c r="O36" s="115"/>
    </row>
    <row r="37" spans="1:20" x14ac:dyDescent="0.3">
      <c r="A37" s="82" t="s">
        <v>159</v>
      </c>
      <c r="B37" s="315">
        <v>0.2</v>
      </c>
      <c r="C37" s="315">
        <v>0.2</v>
      </c>
      <c r="D37" s="315">
        <v>0.2</v>
      </c>
      <c r="E37" s="315">
        <v>0.2</v>
      </c>
      <c r="F37" s="315">
        <v>0.2</v>
      </c>
      <c r="G37" s="315">
        <v>0.2</v>
      </c>
      <c r="H37" s="315">
        <v>0.2</v>
      </c>
      <c r="I37" s="315">
        <v>0.2</v>
      </c>
      <c r="J37" s="315">
        <v>0.2</v>
      </c>
      <c r="O37" s="115"/>
    </row>
    <row r="38" spans="1:20" x14ac:dyDescent="0.3">
      <c r="A38" s="83" t="s">
        <v>161</v>
      </c>
      <c r="B38" s="315">
        <v>3.1075970320211814E-4</v>
      </c>
      <c r="C38" s="315">
        <v>3.1075970320211814E-4</v>
      </c>
      <c r="D38" s="315">
        <v>3.1075970320211814E-4</v>
      </c>
      <c r="E38" s="315">
        <v>3.1075970320211814E-4</v>
      </c>
      <c r="F38" s="315">
        <v>3.1075970320211814E-4</v>
      </c>
      <c r="G38" s="315">
        <v>3.1075970320211814E-4</v>
      </c>
      <c r="H38" s="315">
        <v>3.1075970320211814E-4</v>
      </c>
      <c r="I38" s="315">
        <v>3.1075970320211814E-4</v>
      </c>
      <c r="J38" s="315">
        <v>3.1075970320211814E-4</v>
      </c>
    </row>
    <row r="39" spans="1:20" x14ac:dyDescent="0.3">
      <c r="A39" s="83" t="s">
        <v>163</v>
      </c>
      <c r="B39" s="315">
        <v>8.6733359151412953E-5</v>
      </c>
      <c r="C39" s="315">
        <v>8.6733359151412953E-5</v>
      </c>
      <c r="D39" s="315">
        <v>8.6733359151412953E-5</v>
      </c>
      <c r="E39" s="315">
        <v>8.6733359151412953E-5</v>
      </c>
      <c r="F39" s="315">
        <v>8.6733359151412953E-5</v>
      </c>
      <c r="G39" s="315">
        <v>8.6733359151412953E-5</v>
      </c>
      <c r="H39" s="315">
        <v>8.6733359151412953E-5</v>
      </c>
      <c r="I39" s="315">
        <v>8.6733359151412953E-5</v>
      </c>
      <c r="J39" s="315">
        <v>8.6733359151412953E-5</v>
      </c>
    </row>
    <row r="40" spans="1:20" x14ac:dyDescent="0.3">
      <c r="A40" s="83" t="s">
        <v>165</v>
      </c>
      <c r="B40" s="315">
        <v>6.2924072151971947E-5</v>
      </c>
      <c r="C40" s="315">
        <v>6.2924072151971947E-5</v>
      </c>
      <c r="D40" s="315">
        <v>6.2924072151971947E-5</v>
      </c>
      <c r="E40" s="315">
        <v>6.2924072151971947E-5</v>
      </c>
      <c r="F40" s="315">
        <v>6.2924072151971947E-5</v>
      </c>
      <c r="G40" s="315">
        <v>6.2924072151971947E-5</v>
      </c>
      <c r="H40" s="315">
        <v>6.2924072151971947E-5</v>
      </c>
      <c r="I40" s="315">
        <v>6.2924072151971947E-5</v>
      </c>
      <c r="J40" s="315">
        <v>6.2924072151971947E-5</v>
      </c>
      <c r="O40" s="321"/>
      <c r="P40" s="321"/>
    </row>
    <row r="41" spans="1:20" x14ac:dyDescent="0.3">
      <c r="A41" s="84" t="s">
        <v>167</v>
      </c>
      <c r="B41" s="315">
        <v>0.2</v>
      </c>
      <c r="C41" s="315">
        <v>0.2</v>
      </c>
      <c r="D41" s="315">
        <v>0.2</v>
      </c>
      <c r="E41" s="315">
        <v>0.2</v>
      </c>
      <c r="F41" s="315">
        <v>0.2</v>
      </c>
      <c r="G41" s="315">
        <v>0.2</v>
      </c>
      <c r="H41" s="315">
        <v>0.2</v>
      </c>
      <c r="I41" s="315">
        <v>0.2</v>
      </c>
      <c r="J41" s="315">
        <v>0.2</v>
      </c>
      <c r="O41" s="320"/>
      <c r="P41" s="320"/>
    </row>
    <row r="42" spans="1:20" x14ac:dyDescent="0.3">
      <c r="A42" s="83" t="s">
        <v>168</v>
      </c>
      <c r="B42" s="315">
        <v>2.439015630520557E-4</v>
      </c>
      <c r="C42" s="315">
        <v>2.439015630520557E-4</v>
      </c>
      <c r="D42" s="315">
        <v>2.439015630520557E-4</v>
      </c>
      <c r="E42" s="315">
        <v>2.439015630520557E-4</v>
      </c>
      <c r="F42" s="315">
        <v>2.439015630520557E-4</v>
      </c>
      <c r="G42" s="315">
        <v>2.439015630520557E-4</v>
      </c>
      <c r="H42" s="315">
        <v>2.439015630520557E-4</v>
      </c>
      <c r="I42" s="315">
        <v>2.439015630520557E-4</v>
      </c>
      <c r="J42" s="315">
        <v>2.439015630520557E-4</v>
      </c>
    </row>
    <row r="43" spans="1:20" x14ac:dyDescent="0.3">
      <c r="A43" s="83" t="s">
        <v>170</v>
      </c>
      <c r="B43" s="315">
        <v>2.3959170998341588E-4</v>
      </c>
      <c r="C43" s="315">
        <v>2.3959170998341588E-4</v>
      </c>
      <c r="D43" s="315">
        <v>2.3959170998341588E-4</v>
      </c>
      <c r="E43" s="315">
        <v>2.3959170998341588E-4</v>
      </c>
      <c r="F43" s="315">
        <v>2.3959170998341588E-4</v>
      </c>
      <c r="G43" s="315">
        <v>2.3959170998341588E-4</v>
      </c>
      <c r="H43" s="315">
        <v>2.3959170998341588E-4</v>
      </c>
      <c r="I43" s="315">
        <v>2.3959170998341588E-4</v>
      </c>
      <c r="J43" s="315">
        <v>2.3959170998341588E-4</v>
      </c>
    </row>
    <row r="44" spans="1:20" x14ac:dyDescent="0.3">
      <c r="A44" s="83" t="s">
        <v>171</v>
      </c>
      <c r="B44" s="315">
        <v>0.06</v>
      </c>
      <c r="C44" s="315">
        <v>0.06</v>
      </c>
      <c r="D44" s="315">
        <v>0.06</v>
      </c>
      <c r="E44" s="315">
        <v>0.06</v>
      </c>
      <c r="F44" s="315">
        <v>0.06</v>
      </c>
      <c r="G44" s="315">
        <v>0.06</v>
      </c>
      <c r="H44" s="315">
        <v>0.06</v>
      </c>
      <c r="I44" s="315">
        <v>0.06</v>
      </c>
      <c r="J44" s="315">
        <v>0.06</v>
      </c>
      <c r="M44" s="113"/>
      <c r="N44" s="320"/>
      <c r="O44" s="320"/>
      <c r="P44" s="320"/>
      <c r="Q44" s="320"/>
    </row>
    <row r="45" spans="1:20" x14ac:dyDescent="0.3">
      <c r="A45" s="83" t="s">
        <v>172</v>
      </c>
      <c r="B45" s="315">
        <v>7.0000000000000007E-2</v>
      </c>
      <c r="C45" s="315">
        <v>7.0000000000000007E-2</v>
      </c>
      <c r="D45" s="315">
        <v>7.0000000000000007E-2</v>
      </c>
      <c r="E45" s="315">
        <v>7.0000000000000007E-2</v>
      </c>
      <c r="F45" s="315">
        <v>7.0000000000000007E-2</v>
      </c>
      <c r="G45" s="315">
        <v>7.0000000000000007E-2</v>
      </c>
      <c r="H45" s="315">
        <v>7.0000000000000007E-2</v>
      </c>
      <c r="I45" s="315">
        <v>7.0000000000000007E-2</v>
      </c>
      <c r="J45" s="315">
        <v>7.0000000000000007E-2</v>
      </c>
    </row>
    <row r="46" spans="1:20" x14ac:dyDescent="0.3">
      <c r="A46" s="83" t="s">
        <v>173</v>
      </c>
      <c r="B46" s="315">
        <v>0.14000000000000001</v>
      </c>
      <c r="C46" s="315">
        <v>0.14000000000000001</v>
      </c>
      <c r="D46" s="315">
        <v>0.14000000000000001</v>
      </c>
      <c r="E46" s="315">
        <v>0.14000000000000001</v>
      </c>
      <c r="F46" s="315">
        <v>0.14000000000000001</v>
      </c>
      <c r="G46" s="315">
        <v>0.14000000000000001</v>
      </c>
      <c r="H46" s="315">
        <v>0.14000000000000001</v>
      </c>
      <c r="I46" s="315">
        <v>0.14000000000000001</v>
      </c>
      <c r="J46" s="315">
        <v>0.14000000000000001</v>
      </c>
    </row>
    <row r="47" spans="1:20" x14ac:dyDescent="0.3">
      <c r="A47" s="83" t="s">
        <v>174</v>
      </c>
      <c r="B47" s="315">
        <v>0.03</v>
      </c>
      <c r="C47" s="315">
        <v>0.03</v>
      </c>
      <c r="D47" s="315">
        <v>0.03</v>
      </c>
      <c r="E47" s="315">
        <v>0.03</v>
      </c>
      <c r="F47" s="315">
        <v>0.03</v>
      </c>
      <c r="G47" s="315">
        <v>0.03</v>
      </c>
      <c r="H47" s="315">
        <v>0.03</v>
      </c>
      <c r="I47" s="315">
        <v>0.03</v>
      </c>
      <c r="J47" s="315">
        <v>0.03</v>
      </c>
    </row>
    <row r="48" spans="1:20" x14ac:dyDescent="0.3">
      <c r="A48" s="3"/>
      <c r="B48" s="12"/>
      <c r="C48" s="12"/>
      <c r="D48" s="12"/>
      <c r="E48" s="12"/>
      <c r="F48" s="12"/>
      <c r="G48" s="12"/>
      <c r="H48" s="12"/>
      <c r="I48" s="12"/>
      <c r="T48" s="86"/>
    </row>
    <row r="49" spans="1:23" x14ac:dyDescent="0.3">
      <c r="A49" s="83" t="s">
        <v>175</v>
      </c>
      <c r="B49" s="10">
        <f t="shared" ref="B49:J49" si="11">SUM(B34:B36)</f>
        <v>0.3</v>
      </c>
      <c r="C49" s="10">
        <f t="shared" si="11"/>
        <v>0.3</v>
      </c>
      <c r="D49" s="10">
        <f t="shared" si="11"/>
        <v>0.3</v>
      </c>
      <c r="E49" s="10">
        <f t="shared" si="11"/>
        <v>0.3</v>
      </c>
      <c r="F49" s="10">
        <f t="shared" si="11"/>
        <v>0.3</v>
      </c>
      <c r="G49" s="10">
        <f t="shared" si="11"/>
        <v>0.3</v>
      </c>
      <c r="H49" s="10">
        <f t="shared" si="11"/>
        <v>0.3</v>
      </c>
      <c r="I49" s="10">
        <f t="shared" si="11"/>
        <v>0.3</v>
      </c>
      <c r="J49" s="10">
        <f t="shared" si="11"/>
        <v>0.3</v>
      </c>
    </row>
    <row r="50" spans="1:23" x14ac:dyDescent="0.3">
      <c r="J50" s="163"/>
    </row>
    <row r="51" spans="1:23" x14ac:dyDescent="0.3">
      <c r="A51" s="120" t="s">
        <v>178</v>
      </c>
      <c r="B51" s="120"/>
      <c r="C51" s="120"/>
      <c r="D51" s="120"/>
      <c r="E51" s="120"/>
      <c r="F51" s="120"/>
      <c r="G51" s="120"/>
      <c r="H51" s="120"/>
      <c r="I51" s="120"/>
      <c r="J51" s="165"/>
      <c r="L51" s="164" t="s">
        <v>179</v>
      </c>
      <c r="M51" s="164" t="s">
        <v>180</v>
      </c>
      <c r="N51" s="5"/>
    </row>
    <row r="52" spans="1:23" x14ac:dyDescent="0.3">
      <c r="A52" s="3" t="s">
        <v>181</v>
      </c>
      <c r="B52" s="315">
        <f>0.15*365*1.1</f>
        <v>60.225000000000001</v>
      </c>
      <c r="C52" s="315">
        <f t="shared" ref="B52:J52" si="12">0.15*365*1.1</f>
        <v>60.225000000000001</v>
      </c>
      <c r="D52" s="315">
        <f t="shared" si="12"/>
        <v>60.225000000000001</v>
      </c>
      <c r="E52" s="315">
        <f t="shared" si="12"/>
        <v>60.225000000000001</v>
      </c>
      <c r="F52" s="315">
        <f t="shared" si="12"/>
        <v>60.225000000000001</v>
      </c>
      <c r="G52" s="315">
        <f t="shared" si="12"/>
        <v>60.225000000000001</v>
      </c>
      <c r="H52" s="315">
        <f t="shared" si="12"/>
        <v>60.225000000000001</v>
      </c>
      <c r="I52" s="315">
        <f t="shared" si="12"/>
        <v>60.225000000000001</v>
      </c>
      <c r="J52" s="315">
        <f t="shared" si="12"/>
        <v>60.225000000000001</v>
      </c>
      <c r="L52" s="368" t="s">
        <v>182</v>
      </c>
      <c r="M52" s="368" t="s">
        <v>183</v>
      </c>
      <c r="N52" s="5"/>
    </row>
    <row r="53" spans="1:23" x14ac:dyDescent="0.3">
      <c r="A53" s="3" t="s">
        <v>184</v>
      </c>
      <c r="B53" s="315">
        <f>2.85*B8/0.58*1.1</f>
        <v>7.1078017241379321</v>
      </c>
      <c r="C53" s="315">
        <f t="shared" ref="C53:I53" si="13">2.85*C8/0.58*1.1</f>
        <v>8.3780172413793128</v>
      </c>
      <c r="D53" s="315">
        <f t="shared" si="13"/>
        <v>8.3672068965517266</v>
      </c>
      <c r="E53" s="315">
        <f t="shared" si="13"/>
        <v>8.3672068965517266</v>
      </c>
      <c r="F53" s="315">
        <f t="shared" si="13"/>
        <v>8.3780172413793128</v>
      </c>
      <c r="G53" s="315">
        <f t="shared" si="13"/>
        <v>8.3672068965517266</v>
      </c>
      <c r="H53" s="315">
        <f t="shared" si="13"/>
        <v>8.4645000000000028</v>
      </c>
      <c r="I53" s="315">
        <f t="shared" si="13"/>
        <v>7.1078017241379321</v>
      </c>
      <c r="J53" s="315">
        <f>N22</f>
        <v>17.8</v>
      </c>
      <c r="L53" s="368" t="s">
        <v>182</v>
      </c>
      <c r="M53" s="368" t="s">
        <v>183</v>
      </c>
      <c r="N53" s="5"/>
    </row>
    <row r="54" spans="1:23" x14ac:dyDescent="0.3">
      <c r="J54" s="163"/>
      <c r="L54" s="87" t="s">
        <v>185</v>
      </c>
      <c r="M54" s="87"/>
    </row>
    <row r="55" spans="1:23" x14ac:dyDescent="0.3">
      <c r="A55" s="120" t="s">
        <v>15</v>
      </c>
      <c r="B55" s="120"/>
      <c r="C55" s="120"/>
      <c r="D55" s="120"/>
      <c r="E55" s="120"/>
      <c r="F55" s="120"/>
      <c r="G55" s="120"/>
      <c r="H55" s="120"/>
      <c r="I55" s="120"/>
      <c r="J55" s="165"/>
      <c r="L55" s="87"/>
    </row>
    <row r="56" spans="1:23" x14ac:dyDescent="0.3">
      <c r="A56" s="3" t="s">
        <v>186</v>
      </c>
      <c r="B56" s="315">
        <f t="shared" ref="B56:J56" si="14">0.18*2.7^0.97</f>
        <v>0.47173202028086225</v>
      </c>
      <c r="C56" s="315">
        <f t="shared" si="14"/>
        <v>0.47173202028086225</v>
      </c>
      <c r="D56" s="315">
        <f t="shared" si="14"/>
        <v>0.47173202028086225</v>
      </c>
      <c r="E56" s="315">
        <f t="shared" si="14"/>
        <v>0.47173202028086225</v>
      </c>
      <c r="F56" s="315">
        <f t="shared" si="14"/>
        <v>0.47173202028086225</v>
      </c>
      <c r="G56" s="315">
        <f t="shared" si="14"/>
        <v>0.47173202028086225</v>
      </c>
      <c r="H56" s="315">
        <f t="shared" si="14"/>
        <v>0.47173202028086225</v>
      </c>
      <c r="I56" s="315">
        <f t="shared" si="14"/>
        <v>0.47173202028086225</v>
      </c>
      <c r="J56" s="315">
        <f t="shared" si="14"/>
        <v>0.47173202028086225</v>
      </c>
      <c r="L56" s="368" t="s">
        <v>187</v>
      </c>
      <c r="M56" s="87"/>
      <c r="N56" s="367" t="s">
        <v>188</v>
      </c>
    </row>
    <row r="57" spans="1:23" x14ac:dyDescent="0.3">
      <c r="A57" s="3" t="s">
        <v>189</v>
      </c>
      <c r="B57" s="42">
        <f t="shared" ref="B57:J57" si="15">EF_ent_ferm_FR/1000*0.657</f>
        <v>3.0992793732452652E-4</v>
      </c>
      <c r="C57" s="42">
        <f t="shared" si="15"/>
        <v>3.0992793732452652E-4</v>
      </c>
      <c r="D57" s="42">
        <f t="shared" si="15"/>
        <v>3.0992793732452652E-4</v>
      </c>
      <c r="E57" s="42">
        <f t="shared" si="15"/>
        <v>3.0992793732452652E-4</v>
      </c>
      <c r="F57" s="42">
        <f t="shared" si="15"/>
        <v>3.0992793732452652E-4</v>
      </c>
      <c r="G57" s="42">
        <f t="shared" si="15"/>
        <v>3.0992793732452652E-4</v>
      </c>
      <c r="H57" s="42">
        <f t="shared" si="15"/>
        <v>3.0992793732452652E-4</v>
      </c>
      <c r="I57" s="42">
        <f t="shared" si="15"/>
        <v>3.0992793732452652E-4</v>
      </c>
      <c r="J57" s="42">
        <f t="shared" si="15"/>
        <v>3.0992793732452652E-4</v>
      </c>
      <c r="L57" s="87"/>
      <c r="M57" s="87"/>
      <c r="N57" s="87"/>
      <c r="P57" s="87"/>
    </row>
    <row r="58" spans="1:23" x14ac:dyDescent="0.3">
      <c r="J58" s="16"/>
      <c r="L58" s="87"/>
      <c r="M58" s="87"/>
      <c r="N58" s="87"/>
      <c r="P58" s="87"/>
    </row>
    <row r="59" spans="1:23" x14ac:dyDescent="0.3">
      <c r="A59" s="120" t="s">
        <v>190</v>
      </c>
      <c r="B59" s="120"/>
      <c r="C59" s="120"/>
      <c r="D59" s="120"/>
      <c r="E59" s="120"/>
      <c r="F59" s="120"/>
      <c r="G59" s="120"/>
      <c r="H59" s="120"/>
      <c r="I59" s="120"/>
      <c r="J59" s="165"/>
      <c r="L59" s="87"/>
    </row>
    <row r="60" spans="1:23" x14ac:dyDescent="0.3">
      <c r="A60" s="3" t="s">
        <v>191</v>
      </c>
      <c r="B60" s="351">
        <v>270</v>
      </c>
      <c r="C60" s="351">
        <v>270</v>
      </c>
      <c r="D60" s="351">
        <v>270</v>
      </c>
      <c r="E60" s="351">
        <v>270</v>
      </c>
      <c r="F60" s="351">
        <v>270</v>
      </c>
      <c r="G60" s="351">
        <v>270</v>
      </c>
      <c r="H60" s="351">
        <v>270</v>
      </c>
      <c r="I60" s="351">
        <v>270</v>
      </c>
      <c r="J60" s="351">
        <v>270</v>
      </c>
      <c r="L60" s="368" t="s">
        <v>192</v>
      </c>
    </row>
    <row r="61" spans="1:23" x14ac:dyDescent="0.3">
      <c r="A61" s="3" t="s">
        <v>193</v>
      </c>
      <c r="B61" s="369">
        <f>B60/0.58/B7/1000</f>
        <v>0.7273706896551726</v>
      </c>
      <c r="C61" s="369">
        <f t="shared" ref="C61:I61" si="16">C60/0.58/C7/1000</f>
        <v>0.7273706896551726</v>
      </c>
      <c r="D61" s="369">
        <f t="shared" si="16"/>
        <v>0.7273706896551726</v>
      </c>
      <c r="E61" s="369">
        <f t="shared" si="16"/>
        <v>0.7273706896551726</v>
      </c>
      <c r="F61" s="369">
        <f t="shared" si="16"/>
        <v>0.7273706896551726</v>
      </c>
      <c r="G61" s="369">
        <f t="shared" si="16"/>
        <v>0.7273706896551726</v>
      </c>
      <c r="H61" s="369">
        <f t="shared" si="16"/>
        <v>0.7273706896551726</v>
      </c>
      <c r="I61" s="369">
        <f t="shared" si="16"/>
        <v>0.7273706896551726</v>
      </c>
      <c r="J61" s="369">
        <f>V69</f>
        <v>0.34725003636552765</v>
      </c>
      <c r="L61" s="368" t="s">
        <v>194</v>
      </c>
    </row>
    <row r="62" spans="1:23" x14ac:dyDescent="0.3">
      <c r="L62" s="87"/>
    </row>
    <row r="63" spans="1:23" x14ac:dyDescent="0.3">
      <c r="A63" s="120" t="s">
        <v>195</v>
      </c>
      <c r="B63" s="120"/>
      <c r="C63" s="120"/>
      <c r="D63" s="120"/>
      <c r="E63" s="120"/>
      <c r="F63" s="120"/>
      <c r="G63" s="120"/>
      <c r="H63" s="120"/>
      <c r="I63" s="120"/>
      <c r="J63" s="165"/>
      <c r="L63" t="s">
        <v>196</v>
      </c>
      <c r="N63" s="157" t="s">
        <v>197</v>
      </c>
    </row>
    <row r="64" spans="1:23" x14ac:dyDescent="0.3">
      <c r="A64" s="3" t="s">
        <v>198</v>
      </c>
      <c r="B64" s="13">
        <v>0.4</v>
      </c>
      <c r="C64" s="13">
        <v>0.4</v>
      </c>
      <c r="D64" s="13">
        <v>0.4</v>
      </c>
      <c r="E64" s="13">
        <v>0.4</v>
      </c>
      <c r="F64" s="13">
        <v>0.4</v>
      </c>
      <c r="G64" s="13">
        <v>0.4</v>
      </c>
      <c r="H64" s="13">
        <v>0.4</v>
      </c>
      <c r="I64" s="13">
        <v>0.4</v>
      </c>
      <c r="J64" s="13">
        <v>0.4</v>
      </c>
      <c r="L64" s="228" t="s">
        <v>199</v>
      </c>
      <c r="Q64" t="s">
        <v>200</v>
      </c>
      <c r="R64" t="s">
        <v>201</v>
      </c>
      <c r="S64" t="s">
        <v>202</v>
      </c>
      <c r="T64" t="s">
        <v>203</v>
      </c>
      <c r="U64" t="s">
        <v>204</v>
      </c>
      <c r="V64" t="s">
        <v>205</v>
      </c>
      <c r="W64" t="s">
        <v>206</v>
      </c>
    </row>
    <row r="65" spans="1:23" x14ac:dyDescent="0.3">
      <c r="A65" s="3" t="s">
        <v>207</v>
      </c>
      <c r="B65" s="12">
        <v>0.02</v>
      </c>
      <c r="C65" s="12">
        <v>0.02</v>
      </c>
      <c r="D65" s="12">
        <v>0.02</v>
      </c>
      <c r="E65" s="12">
        <v>0.02</v>
      </c>
      <c r="F65" s="12">
        <v>0.02</v>
      </c>
      <c r="G65" s="12">
        <v>0.02</v>
      </c>
      <c r="H65" s="12">
        <v>0.02</v>
      </c>
      <c r="I65" s="12">
        <v>0.02</v>
      </c>
      <c r="J65" s="12">
        <v>0.02</v>
      </c>
      <c r="L65" s="228" t="s">
        <v>208</v>
      </c>
      <c r="N65" t="s">
        <v>209</v>
      </c>
      <c r="Q65">
        <v>237</v>
      </c>
      <c r="R65">
        <v>2000</v>
      </c>
      <c r="S65">
        <v>458</v>
      </c>
      <c r="T65">
        <v>500</v>
      </c>
      <c r="U65">
        <v>529</v>
      </c>
    </row>
    <row r="66" spans="1:23" x14ac:dyDescent="0.3">
      <c r="J66" s="163"/>
      <c r="N66" t="s">
        <v>210</v>
      </c>
      <c r="Q66">
        <v>4</v>
      </c>
      <c r="R66">
        <v>4</v>
      </c>
      <c r="S66">
        <v>3.11</v>
      </c>
      <c r="T66">
        <v>2.7</v>
      </c>
      <c r="U66">
        <v>3.5</v>
      </c>
      <c r="V66" s="5">
        <f>AVERAGE(Q66:U66)</f>
        <v>3.4619999999999997</v>
      </c>
      <c r="W66" s="5">
        <f>V66*0.58</f>
        <v>2.0079599999999997</v>
      </c>
    </row>
    <row r="67" spans="1:23" x14ac:dyDescent="0.3">
      <c r="A67" s="120" t="s">
        <v>211</v>
      </c>
      <c r="B67" s="120"/>
      <c r="C67" s="120"/>
      <c r="D67" s="120"/>
      <c r="E67" s="120"/>
      <c r="F67" s="120"/>
      <c r="G67" s="120"/>
      <c r="H67" s="120"/>
      <c r="I67" s="120"/>
      <c r="J67" s="165"/>
      <c r="L67" s="87"/>
      <c r="N67" t="s">
        <v>212</v>
      </c>
      <c r="Q67">
        <v>4200</v>
      </c>
      <c r="R67">
        <v>2362.5</v>
      </c>
      <c r="S67">
        <v>1944</v>
      </c>
      <c r="T67">
        <v>576</v>
      </c>
      <c r="U67">
        <v>960</v>
      </c>
    </row>
    <row r="68" spans="1:23" x14ac:dyDescent="0.3">
      <c r="A68" s="3" t="s">
        <v>213</v>
      </c>
      <c r="B68" s="18">
        <f>SUMPRODUCT(B69:B71,'Parameters, general'!$B$23:$B$25)</f>
        <v>9.5381405160222713E-2</v>
      </c>
      <c r="C68" s="18">
        <f>SUMPRODUCT(C69:C71,'Parameters, general'!$B$23:$B$25)</f>
        <v>0.49048549543962316</v>
      </c>
      <c r="D68" s="18">
        <f>SUMPRODUCT(D69:D71,'Parameters, general'!$B$23:$B$25)</f>
        <v>0.67841599837959998</v>
      </c>
      <c r="E68" s="18">
        <f>SUMPRODUCT(E69:E71,'Parameters, general'!$B$23:$B$25)</f>
        <v>0.47045713416211871</v>
      </c>
      <c r="F68" s="18">
        <f>SUMPRODUCT(F69:F71,'Parameters, general'!$B$23:$B$25)</f>
        <v>0.42738626455461243</v>
      </c>
      <c r="G68" s="18">
        <f>SUMPRODUCT(G69:G71,'Parameters, general'!$B$23:$B$25)</f>
        <v>0.52657781797980341</v>
      </c>
      <c r="H68" s="18">
        <f>SUMPRODUCT(H69:H71,'Parameters, general'!$B$23:$B$25)</f>
        <v>1.0319324183189464</v>
      </c>
      <c r="I68" s="18">
        <f>SUMPRODUCT(I69:I71,'Parameters, general'!$B$23:$B$25)</f>
        <v>0.29314059765558081</v>
      </c>
      <c r="J68" s="18">
        <f>SUMPRODUCT(J69:J71,'Parameters, general'!$B$23:$B$25)</f>
        <v>9.1599695300547013E-2</v>
      </c>
      <c r="L68" s="87" t="s">
        <v>214</v>
      </c>
      <c r="N68" t="s">
        <v>215</v>
      </c>
      <c r="Q68" s="10">
        <f>Q65/(Q66*Q67)</f>
        <v>1.4107142857142856E-2</v>
      </c>
      <c r="R68" s="10">
        <f>R65/(R66*R67)</f>
        <v>0.21164021164021163</v>
      </c>
      <c r="S68" s="10">
        <f t="shared" ref="S68:U68" si="17">S65/(S66*S67)</f>
        <v>7.5754568430524125E-2</v>
      </c>
      <c r="T68" s="10">
        <f t="shared" si="17"/>
        <v>0.32150205761316869</v>
      </c>
      <c r="U68" s="10">
        <f t="shared" si="17"/>
        <v>0.15744047619047619</v>
      </c>
      <c r="V68" s="10">
        <f>AVERAGE(Q68:U68)</f>
        <v>0.15608889134630469</v>
      </c>
    </row>
    <row r="69" spans="1:23" x14ac:dyDescent="0.3">
      <c r="A69" s="3" t="s">
        <v>216</v>
      </c>
      <c r="B69" s="130">
        <v>8.7112695367499993E-2</v>
      </c>
      <c r="C69" s="71">
        <v>0.46350339663360002</v>
      </c>
      <c r="D69" s="71">
        <v>0.63996298020209996</v>
      </c>
      <c r="E69" s="71">
        <v>0.43715184780049998</v>
      </c>
      <c r="F69" s="71">
        <v>0.37797633435819999</v>
      </c>
      <c r="G69" s="71">
        <v>0.49673189321139988</v>
      </c>
      <c r="H69" s="71">
        <v>0.9754510606115</v>
      </c>
      <c r="I69" s="71">
        <v>0.26811508139590001</v>
      </c>
      <c r="J69" s="71">
        <v>8.8450339728460003E-2</v>
      </c>
      <c r="L69" s="87"/>
      <c r="N69" t="s">
        <v>217</v>
      </c>
      <c r="V69" s="10">
        <f>V68/J7/0.58</f>
        <v>0.34725003636552765</v>
      </c>
    </row>
    <row r="70" spans="1:23" x14ac:dyDescent="0.3">
      <c r="A70" s="3" t="s">
        <v>218</v>
      </c>
      <c r="B70" s="129">
        <v>2.700762131814E-4</v>
      </c>
      <c r="C70" s="129">
        <v>8.866310670443999E-4</v>
      </c>
      <c r="D70" s="129">
        <v>1.2704162262849E-3</v>
      </c>
      <c r="E70" s="129">
        <v>1.1037499887663997E-3</v>
      </c>
      <c r="F70" s="129">
        <v>1.6431484401077997E-3</v>
      </c>
      <c r="G70" s="129">
        <v>9.8347245312259998E-4</v>
      </c>
      <c r="H70" s="129">
        <v>1.8794008186636402E-3</v>
      </c>
      <c r="I70" s="129">
        <v>8.28784824796E-4</v>
      </c>
      <c r="J70" s="129">
        <v>9.8278548655939986E-5</v>
      </c>
      <c r="L70" s="87"/>
    </row>
    <row r="71" spans="1:23" x14ac:dyDescent="0.3">
      <c r="A71" s="3" t="s">
        <v>219</v>
      </c>
      <c r="B71" s="90">
        <v>8.1643940709999986E-6</v>
      </c>
      <c r="C71" s="90">
        <v>2.0759000300000004E-5</v>
      </c>
      <c r="D71" s="90">
        <v>2.2022764229999999E-5</v>
      </c>
      <c r="E71" s="90">
        <v>1.5316173940000001E-5</v>
      </c>
      <c r="F71" s="90">
        <v>1.6448395599999999E-5</v>
      </c>
      <c r="G71" s="90">
        <v>1.9942432050000001E-5</v>
      </c>
      <c r="H71" s="90">
        <v>1.7600493009999999E-5</v>
      </c>
      <c r="I71" s="90">
        <v>1.213809188E-5</v>
      </c>
      <c r="J71" s="90">
        <v>8.172400819999999E-6</v>
      </c>
    </row>
    <row r="72" spans="1:23" x14ac:dyDescent="0.3">
      <c r="A72" s="3"/>
    </row>
    <row r="73" spans="1:23" x14ac:dyDescent="0.3">
      <c r="A73" s="120" t="s">
        <v>220</v>
      </c>
      <c r="B73" s="120"/>
      <c r="C73" s="120"/>
      <c r="D73" s="120"/>
      <c r="E73" s="120"/>
      <c r="F73" s="120"/>
      <c r="G73" s="120"/>
      <c r="H73" s="120"/>
      <c r="I73" s="120"/>
      <c r="J73" s="165"/>
      <c r="L73" s="87"/>
    </row>
    <row r="74" spans="1:23" x14ac:dyDescent="0.3">
      <c r="A74" s="3" t="s">
        <v>221</v>
      </c>
      <c r="B74" s="14">
        <v>0.19</v>
      </c>
      <c r="C74" s="14">
        <v>0.19</v>
      </c>
      <c r="D74" s="14">
        <v>0.19</v>
      </c>
      <c r="E74" s="14">
        <v>0.19</v>
      </c>
      <c r="F74" s="14">
        <v>0.19</v>
      </c>
      <c r="G74" s="14">
        <v>0.19</v>
      </c>
      <c r="H74" s="14">
        <v>0.19</v>
      </c>
      <c r="I74" s="14">
        <v>0.19</v>
      </c>
      <c r="J74" s="14">
        <v>0.19</v>
      </c>
      <c r="L74" s="87" t="s">
        <v>222</v>
      </c>
    </row>
    <row r="75" spans="1:23" x14ac:dyDescent="0.3">
      <c r="J75" s="12"/>
      <c r="L75" s="87"/>
    </row>
    <row r="76" spans="1:23" x14ac:dyDescent="0.3">
      <c r="A76" s="120" t="s">
        <v>223</v>
      </c>
      <c r="B76" s="120"/>
      <c r="C76" s="120"/>
      <c r="D76" s="120"/>
      <c r="E76" s="120"/>
      <c r="F76" s="120"/>
      <c r="G76" s="120"/>
      <c r="H76" s="120"/>
      <c r="I76" s="120"/>
      <c r="J76" s="175"/>
      <c r="L76" s="87"/>
    </row>
    <row r="77" spans="1:23" x14ac:dyDescent="0.3">
      <c r="A77" s="3" t="s">
        <v>224</v>
      </c>
      <c r="B77" s="103">
        <v>0.3</v>
      </c>
      <c r="C77" s="103">
        <v>0.3</v>
      </c>
      <c r="D77" s="103">
        <v>0.3</v>
      </c>
      <c r="E77" s="103">
        <v>0.3</v>
      </c>
      <c r="F77" s="103">
        <v>0.3</v>
      </c>
      <c r="G77" s="103">
        <v>0.3</v>
      </c>
      <c r="H77" s="103">
        <v>0.3</v>
      </c>
      <c r="I77" s="103">
        <v>0.3</v>
      </c>
      <c r="J77" s="103">
        <v>0.6</v>
      </c>
      <c r="L77" s="87" t="s">
        <v>222</v>
      </c>
    </row>
    <row r="78" spans="1:23" x14ac:dyDescent="0.3">
      <c r="A78" s="3" t="s">
        <v>225</v>
      </c>
      <c r="B78" s="104">
        <v>0.7</v>
      </c>
      <c r="C78" s="104">
        <v>0.7</v>
      </c>
      <c r="D78" s="104">
        <v>0.7</v>
      </c>
      <c r="E78" s="104">
        <v>0.7</v>
      </c>
      <c r="F78" s="104">
        <v>0.7</v>
      </c>
      <c r="G78" s="104">
        <v>0.7</v>
      </c>
      <c r="H78" s="104">
        <v>0.7</v>
      </c>
      <c r="I78" s="104">
        <v>0.7</v>
      </c>
      <c r="J78" s="104">
        <v>0.4</v>
      </c>
    </row>
    <row r="79" spans="1:23" x14ac:dyDescent="0.3">
      <c r="J79" s="12"/>
    </row>
    <row r="80" spans="1:23" x14ac:dyDescent="0.3">
      <c r="A80" s="120" t="s">
        <v>226</v>
      </c>
      <c r="B80" s="120"/>
      <c r="C80" s="120"/>
      <c r="D80" s="120"/>
      <c r="E80" s="120"/>
      <c r="F80" s="120"/>
      <c r="G80" s="120"/>
      <c r="H80" s="120"/>
      <c r="I80" s="120"/>
      <c r="J80" s="165"/>
    </row>
    <row r="81" spans="1:15" x14ac:dyDescent="0.3">
      <c r="A81" s="85" t="s">
        <v>227</v>
      </c>
      <c r="B81" s="30">
        <v>1.6E-2</v>
      </c>
      <c r="C81" s="30">
        <v>1.6E-2</v>
      </c>
      <c r="D81" s="30">
        <v>1.6E-2</v>
      </c>
      <c r="E81" s="30">
        <v>1.6E-2</v>
      </c>
      <c r="F81" s="30">
        <v>1.6E-2</v>
      </c>
      <c r="G81" s="30">
        <v>1.6E-2</v>
      </c>
      <c r="H81" s="30">
        <v>1.6E-2</v>
      </c>
      <c r="I81" s="30">
        <v>1.6E-2</v>
      </c>
      <c r="J81" s="30">
        <v>1.6E-2</v>
      </c>
    </row>
    <row r="82" spans="1:15" x14ac:dyDescent="0.3">
      <c r="A82" s="85" t="s">
        <v>228</v>
      </c>
      <c r="B82" s="30">
        <v>6.0000000000000001E-3</v>
      </c>
      <c r="C82" s="30">
        <v>6.0000000000000001E-3</v>
      </c>
      <c r="D82" s="30">
        <v>6.0000000000000001E-3</v>
      </c>
      <c r="E82" s="30">
        <v>6.0000000000000001E-3</v>
      </c>
      <c r="F82" s="30">
        <v>6.0000000000000001E-3</v>
      </c>
      <c r="G82" s="30">
        <v>6.0000000000000001E-3</v>
      </c>
      <c r="H82" s="30">
        <v>6.0000000000000001E-3</v>
      </c>
      <c r="I82" s="30">
        <v>6.0000000000000001E-3</v>
      </c>
      <c r="J82" s="30">
        <v>6.0000000000000001E-3</v>
      </c>
    </row>
    <row r="83" spans="1:15" x14ac:dyDescent="0.3">
      <c r="A83" s="3" t="s">
        <v>229</v>
      </c>
      <c r="B83" s="4">
        <f t="shared" ref="B83:J83" si="18">B81-B82</f>
        <v>0.01</v>
      </c>
      <c r="C83" s="4">
        <f t="shared" si="18"/>
        <v>0.01</v>
      </c>
      <c r="D83" s="4">
        <f t="shared" si="18"/>
        <v>0.01</v>
      </c>
      <c r="E83" s="4">
        <f t="shared" si="18"/>
        <v>0.01</v>
      </c>
      <c r="F83" s="4">
        <f t="shared" si="18"/>
        <v>0.01</v>
      </c>
      <c r="G83" s="4">
        <f t="shared" ref="G83" si="19">G81-G82</f>
        <v>0.01</v>
      </c>
      <c r="H83" s="4">
        <f t="shared" si="18"/>
        <v>0.01</v>
      </c>
      <c r="I83" s="4">
        <f t="shared" si="18"/>
        <v>0.01</v>
      </c>
      <c r="J83" s="71">
        <f t="shared" si="18"/>
        <v>0.01</v>
      </c>
    </row>
    <row r="84" spans="1:15" x14ac:dyDescent="0.3">
      <c r="A84" s="85" t="s">
        <v>230</v>
      </c>
      <c r="B84" s="31">
        <v>0.1</v>
      </c>
      <c r="C84" s="31">
        <v>0.1</v>
      </c>
      <c r="D84" s="31">
        <v>0.1</v>
      </c>
      <c r="E84" s="31">
        <v>0.1</v>
      </c>
      <c r="F84" s="31">
        <v>0.1</v>
      </c>
      <c r="G84" s="31">
        <v>0.1</v>
      </c>
      <c r="H84" s="31">
        <v>0.1</v>
      </c>
      <c r="I84" s="31">
        <v>0.1</v>
      </c>
      <c r="J84" s="105">
        <v>0.1</v>
      </c>
    </row>
    <row r="85" spans="1:15" x14ac:dyDescent="0.3">
      <c r="A85" s="3"/>
      <c r="J85" s="12"/>
      <c r="O85" t="s">
        <v>231</v>
      </c>
    </row>
    <row r="86" spans="1:15" x14ac:dyDescent="0.3">
      <c r="A86" s="120" t="s">
        <v>232</v>
      </c>
      <c r="B86" s="120"/>
      <c r="C86" s="120"/>
      <c r="D86" s="120"/>
      <c r="E86" s="120"/>
      <c r="F86" s="120"/>
      <c r="G86" s="120"/>
      <c r="H86" s="120"/>
      <c r="I86" s="120"/>
      <c r="J86" s="175"/>
      <c r="L86" s="87"/>
    </row>
    <row r="87" spans="1:15" x14ac:dyDescent="0.3">
      <c r="A87" s="85" t="s">
        <v>233</v>
      </c>
      <c r="B87" s="35">
        <v>0</v>
      </c>
      <c r="C87" s="35">
        <v>0</v>
      </c>
      <c r="D87" s="35">
        <v>0</v>
      </c>
      <c r="E87" s="35">
        <v>0</v>
      </c>
      <c r="F87" s="35">
        <v>0</v>
      </c>
      <c r="G87" s="35">
        <v>0</v>
      </c>
      <c r="H87" s="35">
        <v>0</v>
      </c>
      <c r="I87" s="35">
        <v>0</v>
      </c>
      <c r="J87" s="35">
        <v>0</v>
      </c>
      <c r="L87" s="87" t="s">
        <v>234</v>
      </c>
    </row>
    <row r="88" spans="1:15" x14ac:dyDescent="0.3">
      <c r="J88" s="12"/>
      <c r="L88" s="87"/>
    </row>
    <row r="89" spans="1:15" x14ac:dyDescent="0.3">
      <c r="A89" s="120" t="s">
        <v>235</v>
      </c>
      <c r="B89" s="120"/>
      <c r="C89" s="120"/>
      <c r="D89" s="120"/>
      <c r="E89" s="120"/>
      <c r="F89" s="120"/>
      <c r="G89" s="120"/>
      <c r="H89" s="120"/>
      <c r="I89" s="120"/>
      <c r="J89" s="165"/>
      <c r="L89" s="87"/>
    </row>
    <row r="90" spans="1:15" x14ac:dyDescent="0.3">
      <c r="A90" s="85" t="s">
        <v>236</v>
      </c>
      <c r="B90" s="105">
        <v>33.6</v>
      </c>
      <c r="C90" s="105">
        <v>33.6</v>
      </c>
      <c r="D90" s="105">
        <v>33.6</v>
      </c>
      <c r="E90" s="105">
        <v>33.6</v>
      </c>
      <c r="F90" s="105">
        <v>33.6</v>
      </c>
      <c r="G90" s="105">
        <v>33.6</v>
      </c>
      <c r="H90" s="105">
        <v>33.6</v>
      </c>
      <c r="I90" s="105">
        <v>33.6</v>
      </c>
      <c r="J90" s="105">
        <v>33.6</v>
      </c>
      <c r="L90" s="87" t="s">
        <v>237</v>
      </c>
    </row>
    <row r="91" spans="1:15" x14ac:dyDescent="0.3">
      <c r="A91" s="85" t="s">
        <v>238</v>
      </c>
      <c r="B91" s="105">
        <v>16.399999999999999</v>
      </c>
      <c r="C91" s="105">
        <v>16.399999999999999</v>
      </c>
      <c r="D91" s="105">
        <v>16.399999999999999</v>
      </c>
      <c r="E91" s="105">
        <v>16.399999999999999</v>
      </c>
      <c r="F91" s="105">
        <v>16.399999999999999</v>
      </c>
      <c r="G91" s="105">
        <v>16.399999999999999</v>
      </c>
      <c r="H91" s="105">
        <v>16.399999999999999</v>
      </c>
      <c r="I91" s="105">
        <v>16.399999999999999</v>
      </c>
      <c r="J91" s="105">
        <v>16.399999999999999</v>
      </c>
      <c r="L91" s="87"/>
    </row>
    <row r="92" spans="1:15" x14ac:dyDescent="0.3">
      <c r="L92" s="87"/>
    </row>
    <row r="93" spans="1:15" x14ac:dyDescent="0.3">
      <c r="A93" s="120" t="s">
        <v>239</v>
      </c>
      <c r="B93" s="120"/>
      <c r="C93" s="120"/>
      <c r="D93" s="120"/>
      <c r="E93" s="120"/>
      <c r="F93" s="120"/>
      <c r="G93" s="120"/>
      <c r="H93" s="120"/>
      <c r="I93" s="120"/>
      <c r="J93" s="165"/>
      <c r="L93" s="87"/>
    </row>
    <row r="94" spans="1:15" x14ac:dyDescent="0.3">
      <c r="A94" s="85" t="s">
        <v>240</v>
      </c>
      <c r="B94" s="204"/>
      <c r="C94" s="204"/>
      <c r="D94" s="204"/>
      <c r="E94" s="204"/>
      <c r="F94" s="204"/>
      <c r="G94" s="204"/>
      <c r="H94" s="204"/>
      <c r="I94" s="204"/>
      <c r="J94" s="204"/>
      <c r="L94" s="87"/>
    </row>
    <row r="95" spans="1:15" x14ac:dyDescent="0.3">
      <c r="J95" s="163"/>
      <c r="L95" s="87"/>
    </row>
    <row r="96" spans="1:15" x14ac:dyDescent="0.3">
      <c r="A96" s="85"/>
      <c r="B96" s="12"/>
      <c r="C96" s="12"/>
      <c r="D96" s="12"/>
      <c r="E96" s="12"/>
      <c r="F96" s="12"/>
      <c r="G96" s="12"/>
      <c r="H96" s="12"/>
      <c r="I96" s="12"/>
      <c r="J96" s="12"/>
      <c r="L96" s="87"/>
    </row>
    <row r="97" spans="1:12" x14ac:dyDescent="0.3">
      <c r="A97" s="3"/>
      <c r="B97" s="12"/>
      <c r="C97" s="12"/>
      <c r="D97" s="12"/>
      <c r="E97" s="12"/>
      <c r="F97" s="12"/>
      <c r="G97" s="12"/>
      <c r="H97" s="12"/>
      <c r="I97" s="12"/>
      <c r="J97" s="12"/>
      <c r="L97" s="87"/>
    </row>
    <row r="98" spans="1:12" x14ac:dyDescent="0.3">
      <c r="A98" s="3"/>
      <c r="B98" s="12"/>
      <c r="C98" s="12"/>
      <c r="D98" s="12"/>
      <c r="E98" s="12"/>
      <c r="F98" s="12"/>
      <c r="G98" s="12"/>
      <c r="H98" s="12"/>
      <c r="I98" s="12"/>
      <c r="J98" s="12"/>
      <c r="L98" s="87"/>
    </row>
    <row r="99" spans="1:12" x14ac:dyDescent="0.3">
      <c r="A99" s="3"/>
      <c r="B99" s="12"/>
      <c r="C99" s="12"/>
      <c r="D99" s="12"/>
      <c r="E99" s="12"/>
      <c r="F99" s="12"/>
      <c r="G99" s="12"/>
      <c r="H99" s="12"/>
      <c r="I99" s="12"/>
      <c r="J99" s="12"/>
      <c r="L99" s="87"/>
    </row>
    <row r="100" spans="1:12" x14ac:dyDescent="0.3">
      <c r="A100" s="3"/>
      <c r="B100" s="161"/>
      <c r="C100" s="161"/>
      <c r="D100" s="161"/>
      <c r="E100" s="161"/>
      <c r="F100" s="161"/>
      <c r="G100" s="161"/>
      <c r="H100" s="161"/>
      <c r="I100" s="161"/>
      <c r="J100" s="224"/>
      <c r="L100" s="87"/>
    </row>
    <row r="101" spans="1:12" x14ac:dyDescent="0.3">
      <c r="A101" s="3"/>
      <c r="B101" s="225"/>
      <c r="C101" s="225"/>
      <c r="D101" s="225"/>
      <c r="E101" s="225"/>
      <c r="F101" s="225"/>
      <c r="G101" s="225"/>
      <c r="H101" s="225"/>
      <c r="I101" s="225"/>
      <c r="J101" s="109"/>
      <c r="L101" s="87"/>
    </row>
    <row r="102" spans="1:12" x14ac:dyDescent="0.3">
      <c r="A102" s="3"/>
      <c r="B102" s="227"/>
      <c r="C102" s="227"/>
      <c r="D102" s="227"/>
      <c r="E102" s="227"/>
      <c r="F102" s="227"/>
      <c r="G102" s="227"/>
      <c r="H102" s="227"/>
      <c r="I102" s="227"/>
      <c r="J102" s="227"/>
      <c r="L102" s="87"/>
    </row>
    <row r="103" spans="1:12" x14ac:dyDescent="0.3">
      <c r="F103" s="131"/>
      <c r="G103" s="131"/>
      <c r="L103" s="87"/>
    </row>
    <row r="104" spans="1:12" x14ac:dyDescent="0.3">
      <c r="J104" s="16"/>
      <c r="L104" s="87"/>
    </row>
  </sheetData>
  <phoneticPr fontId="78"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sheetPr>
  <dimension ref="A1:AE165"/>
  <sheetViews>
    <sheetView tabSelected="1" zoomScale="75" zoomScaleNormal="80" workbookViewId="0">
      <selection activeCell="U39" sqref="U39"/>
    </sheetView>
  </sheetViews>
  <sheetFormatPr defaultColWidth="8.6640625" defaultRowHeight="14.4" x14ac:dyDescent="0.3"/>
  <cols>
    <col min="1" max="1" width="65.44140625" customWidth="1"/>
    <col min="2" max="21" width="8.6640625" customWidth="1"/>
  </cols>
  <sheetData>
    <row r="1" spans="1:31" x14ac:dyDescent="0.3">
      <c r="B1" s="15" t="s">
        <v>241</v>
      </c>
      <c r="O1" s="10"/>
      <c r="U1" s="10"/>
    </row>
    <row r="2" spans="1:31" ht="18" x14ac:dyDescent="0.35">
      <c r="A2" s="1" t="s">
        <v>242</v>
      </c>
      <c r="C2" s="10"/>
      <c r="E2" s="10"/>
    </row>
    <row r="3" spans="1:31" x14ac:dyDescent="0.3">
      <c r="B3" t="s">
        <v>67</v>
      </c>
      <c r="D3" t="s">
        <v>68</v>
      </c>
      <c r="F3" t="s">
        <v>69</v>
      </c>
      <c r="H3" t="s">
        <v>70</v>
      </c>
      <c r="J3" t="s">
        <v>71</v>
      </c>
      <c r="L3" t="s">
        <v>72</v>
      </c>
      <c r="N3" t="s">
        <v>73</v>
      </c>
      <c r="P3" t="s">
        <v>74</v>
      </c>
      <c r="R3" t="s">
        <v>75</v>
      </c>
      <c r="V3" t="s">
        <v>243</v>
      </c>
      <c r="AE3" t="s">
        <v>244</v>
      </c>
    </row>
    <row r="4" spans="1:31" x14ac:dyDescent="0.3">
      <c r="A4" s="406"/>
      <c r="B4" s="407" t="s">
        <v>28</v>
      </c>
      <c r="C4" s="408"/>
      <c r="D4" s="408" t="s">
        <v>25</v>
      </c>
      <c r="E4" s="409"/>
      <c r="F4" s="408" t="s">
        <v>21</v>
      </c>
      <c r="G4" s="409"/>
      <c r="H4" s="408" t="s">
        <v>24</v>
      </c>
      <c r="I4" s="409"/>
      <c r="J4" s="407" t="s">
        <v>23</v>
      </c>
      <c r="K4" s="409"/>
      <c r="L4" s="408" t="s">
        <v>20</v>
      </c>
      <c r="M4" s="409"/>
      <c r="N4" s="408" t="s">
        <v>22</v>
      </c>
      <c r="O4" s="409"/>
      <c r="P4" s="407" t="s">
        <v>26</v>
      </c>
      <c r="Q4" s="409"/>
      <c r="R4" s="407" t="s">
        <v>27</v>
      </c>
      <c r="S4" s="409"/>
      <c r="V4" t="s">
        <v>28</v>
      </c>
      <c r="W4" t="s">
        <v>25</v>
      </c>
      <c r="X4" t="s">
        <v>21</v>
      </c>
      <c r="Y4" t="s">
        <v>114</v>
      </c>
      <c r="Z4" t="s">
        <v>23</v>
      </c>
      <c r="AA4" t="s">
        <v>20</v>
      </c>
      <c r="AB4" t="s">
        <v>22</v>
      </c>
      <c r="AC4" t="s">
        <v>26</v>
      </c>
      <c r="AE4" s="262" t="s">
        <v>245</v>
      </c>
    </row>
    <row r="5" spans="1:31" x14ac:dyDescent="0.3">
      <c r="A5" s="213"/>
      <c r="B5" s="232" t="s">
        <v>246</v>
      </c>
      <c r="C5" s="176" t="s">
        <v>247</v>
      </c>
      <c r="D5" s="232" t="s">
        <v>246</v>
      </c>
      <c r="E5" s="176" t="s">
        <v>247</v>
      </c>
      <c r="F5" s="232" t="s">
        <v>246</v>
      </c>
      <c r="G5" s="176" t="s">
        <v>247</v>
      </c>
      <c r="H5" s="232" t="s">
        <v>246</v>
      </c>
      <c r="I5" s="176" t="s">
        <v>247</v>
      </c>
      <c r="J5" s="232" t="s">
        <v>246</v>
      </c>
      <c r="K5" s="176" t="s">
        <v>247</v>
      </c>
      <c r="L5" s="232" t="s">
        <v>246</v>
      </c>
      <c r="M5" s="176" t="s">
        <v>247</v>
      </c>
      <c r="N5" s="232" t="s">
        <v>246</v>
      </c>
      <c r="O5" s="176" t="s">
        <v>247</v>
      </c>
      <c r="P5" s="166" t="s">
        <v>246</v>
      </c>
      <c r="Q5" s="176" t="s">
        <v>247</v>
      </c>
      <c r="R5" s="166" t="s">
        <v>246</v>
      </c>
      <c r="S5" s="176" t="s">
        <v>247</v>
      </c>
    </row>
    <row r="6" spans="1:31" x14ac:dyDescent="0.3">
      <c r="A6" s="357" t="s">
        <v>248</v>
      </c>
      <c r="B6" s="199">
        <v>2.0408163265219999E-2</v>
      </c>
      <c r="C6" s="200">
        <v>2.0408163265219999E-2</v>
      </c>
      <c r="D6" s="199">
        <v>2.0408163265219999E-2</v>
      </c>
      <c r="E6" s="200">
        <v>2.0408163265219999E-2</v>
      </c>
      <c r="F6" s="233">
        <v>1</v>
      </c>
      <c r="G6" s="178">
        <v>1</v>
      </c>
      <c r="H6" s="233">
        <v>1</v>
      </c>
      <c r="I6" s="178">
        <v>1</v>
      </c>
      <c r="J6" s="233">
        <v>1</v>
      </c>
      <c r="K6" s="178">
        <v>1</v>
      </c>
      <c r="L6" s="233">
        <v>1</v>
      </c>
      <c r="M6" s="178">
        <v>1</v>
      </c>
      <c r="N6" s="233">
        <v>1</v>
      </c>
      <c r="O6" s="178">
        <v>0</v>
      </c>
      <c r="P6" s="233">
        <v>1</v>
      </c>
      <c r="Q6" s="178">
        <v>1</v>
      </c>
      <c r="R6" s="233">
        <v>1</v>
      </c>
      <c r="S6" s="178">
        <v>1</v>
      </c>
      <c r="U6" s="157" t="s">
        <v>249</v>
      </c>
      <c r="V6" s="167" t="s">
        <v>250</v>
      </c>
      <c r="W6" s="167" t="s">
        <v>251</v>
      </c>
      <c r="X6" s="167" t="s">
        <v>250</v>
      </c>
      <c r="Y6" s="167" t="s">
        <v>250</v>
      </c>
      <c r="Z6" s="167" t="s">
        <v>250</v>
      </c>
      <c r="AA6" s="167" t="s">
        <v>250</v>
      </c>
      <c r="AB6" s="167" t="s">
        <v>250</v>
      </c>
      <c r="AC6" s="167" t="s">
        <v>250</v>
      </c>
      <c r="AD6" t="s">
        <v>245</v>
      </c>
    </row>
    <row r="7" spans="1:31" x14ac:dyDescent="0.3">
      <c r="A7" s="358" t="s">
        <v>252</v>
      </c>
      <c r="B7" s="199">
        <v>0.97959183673100003</v>
      </c>
      <c r="C7" s="200">
        <v>0.97959183673100003</v>
      </c>
      <c r="D7" s="199">
        <v>0.97959183673100003</v>
      </c>
      <c r="E7" s="200">
        <v>0.97959183673100003</v>
      </c>
      <c r="F7" s="233">
        <v>0</v>
      </c>
      <c r="G7" s="178">
        <v>0</v>
      </c>
      <c r="H7" s="233">
        <v>0</v>
      </c>
      <c r="I7" s="178">
        <v>0</v>
      </c>
      <c r="J7" s="233">
        <v>0</v>
      </c>
      <c r="K7" s="178">
        <v>0</v>
      </c>
      <c r="L7" s="233">
        <v>0</v>
      </c>
      <c r="M7" s="178">
        <v>0</v>
      </c>
      <c r="N7" s="233">
        <v>0</v>
      </c>
      <c r="O7" s="178">
        <v>0</v>
      </c>
      <c r="P7" s="233">
        <v>0</v>
      </c>
      <c r="Q7" s="178">
        <v>0</v>
      </c>
      <c r="R7" s="233">
        <v>0</v>
      </c>
      <c r="S7" s="178">
        <v>0</v>
      </c>
      <c r="V7" s="167" t="s">
        <v>250</v>
      </c>
      <c r="W7" s="167" t="s">
        <v>251</v>
      </c>
      <c r="X7" s="167" t="s">
        <v>250</v>
      </c>
      <c r="Y7" s="167" t="s">
        <v>250</v>
      </c>
      <c r="Z7" s="167" t="s">
        <v>250</v>
      </c>
      <c r="AA7" s="167" t="s">
        <v>250</v>
      </c>
      <c r="AB7" s="167" t="s">
        <v>250</v>
      </c>
      <c r="AC7" s="167" t="s">
        <v>250</v>
      </c>
    </row>
    <row r="8" spans="1:31" x14ac:dyDescent="0.3">
      <c r="A8" s="358" t="s">
        <v>253</v>
      </c>
      <c r="B8" s="199">
        <v>0</v>
      </c>
      <c r="C8" s="200">
        <v>0</v>
      </c>
      <c r="D8" s="199">
        <v>0</v>
      </c>
      <c r="E8" s="200">
        <v>0</v>
      </c>
      <c r="F8" s="233">
        <v>0</v>
      </c>
      <c r="G8" s="178">
        <v>0</v>
      </c>
      <c r="H8" s="233">
        <v>0</v>
      </c>
      <c r="I8" s="178">
        <v>0</v>
      </c>
      <c r="J8" s="233">
        <v>0</v>
      </c>
      <c r="K8" s="178">
        <v>0</v>
      </c>
      <c r="L8" s="233">
        <v>0</v>
      </c>
      <c r="M8" s="178">
        <v>0</v>
      </c>
      <c r="N8" s="233">
        <v>0</v>
      </c>
      <c r="O8" s="178">
        <v>1</v>
      </c>
      <c r="P8" s="233">
        <v>0</v>
      </c>
      <c r="Q8" s="178">
        <v>0</v>
      </c>
      <c r="R8" s="233">
        <v>0</v>
      </c>
      <c r="S8" s="178">
        <v>0</v>
      </c>
      <c r="V8" s="167" t="s">
        <v>250</v>
      </c>
      <c r="W8" s="167" t="s">
        <v>251</v>
      </c>
      <c r="X8" s="167" t="s">
        <v>250</v>
      </c>
      <c r="Y8" s="167" t="s">
        <v>250</v>
      </c>
      <c r="Z8" s="167" t="s">
        <v>250</v>
      </c>
      <c r="AA8" s="167" t="s">
        <v>250</v>
      </c>
      <c r="AB8" s="167" t="s">
        <v>250</v>
      </c>
      <c r="AC8" s="167" t="s">
        <v>250</v>
      </c>
    </row>
    <row r="9" spans="1:31" x14ac:dyDescent="0.3">
      <c r="A9" s="358" t="s">
        <v>254</v>
      </c>
      <c r="B9" s="199">
        <v>0</v>
      </c>
      <c r="C9" s="200">
        <v>0</v>
      </c>
      <c r="D9" s="199">
        <v>0</v>
      </c>
      <c r="E9" s="200">
        <v>0</v>
      </c>
      <c r="F9" s="233">
        <v>0</v>
      </c>
      <c r="G9" s="178">
        <v>0</v>
      </c>
      <c r="H9" s="233">
        <v>0</v>
      </c>
      <c r="I9" s="178">
        <v>0</v>
      </c>
      <c r="J9" s="233">
        <v>0</v>
      </c>
      <c r="K9" s="178">
        <v>0</v>
      </c>
      <c r="L9" s="233">
        <v>0</v>
      </c>
      <c r="M9" s="178">
        <v>0</v>
      </c>
      <c r="N9" s="233">
        <v>0</v>
      </c>
      <c r="O9" s="178">
        <v>0</v>
      </c>
      <c r="P9" s="233">
        <v>0</v>
      </c>
      <c r="Q9" s="178">
        <v>0</v>
      </c>
      <c r="R9" s="233">
        <v>0</v>
      </c>
      <c r="S9" s="178">
        <v>0</v>
      </c>
      <c r="V9" s="167" t="s">
        <v>250</v>
      </c>
      <c r="W9" s="167" t="s">
        <v>251</v>
      </c>
      <c r="X9" s="167" t="s">
        <v>250</v>
      </c>
      <c r="Y9" s="167" t="s">
        <v>250</v>
      </c>
      <c r="Z9" s="167" t="s">
        <v>250</v>
      </c>
      <c r="AA9" s="167" t="s">
        <v>250</v>
      </c>
      <c r="AB9" s="167" t="s">
        <v>250</v>
      </c>
      <c r="AC9" s="167" t="s">
        <v>250</v>
      </c>
    </row>
    <row r="10" spans="1:31" x14ac:dyDescent="0.3">
      <c r="A10" s="214"/>
      <c r="B10" s="233"/>
      <c r="C10" s="233"/>
      <c r="D10" s="179"/>
      <c r="E10" s="178"/>
      <c r="F10" s="233"/>
      <c r="G10" s="178"/>
      <c r="H10" s="233"/>
      <c r="I10" s="178"/>
      <c r="J10" s="233"/>
      <c r="K10" s="178"/>
      <c r="L10" s="233"/>
      <c r="M10" s="178"/>
      <c r="N10" s="233"/>
      <c r="O10" s="178"/>
      <c r="P10" s="177"/>
      <c r="Q10" s="178"/>
      <c r="R10" s="177"/>
      <c r="S10" s="178"/>
    </row>
    <row r="11" spans="1:31" x14ac:dyDescent="0.3">
      <c r="A11" s="215" t="s">
        <v>255</v>
      </c>
      <c r="B11" s="144"/>
      <c r="C11" s="144"/>
      <c r="D11" s="226"/>
      <c r="E11" s="234"/>
      <c r="F11" s="144"/>
      <c r="G11" s="234"/>
      <c r="H11" s="144"/>
      <c r="I11" s="234"/>
      <c r="J11" s="144"/>
      <c r="K11" s="234"/>
      <c r="L11" s="144"/>
      <c r="M11" s="234"/>
      <c r="N11" s="144"/>
      <c r="O11" s="234"/>
      <c r="P11" s="226"/>
      <c r="Q11" s="234"/>
      <c r="R11" s="226"/>
      <c r="S11" s="234"/>
    </row>
    <row r="12" spans="1:31" x14ac:dyDescent="0.3">
      <c r="A12" s="216" t="s">
        <v>256</v>
      </c>
      <c r="B12" s="235"/>
      <c r="C12" s="235"/>
      <c r="D12" s="181"/>
      <c r="E12" s="182"/>
      <c r="F12" s="235"/>
      <c r="G12" s="182"/>
      <c r="H12" s="235"/>
      <c r="I12" s="182"/>
      <c r="J12" s="235"/>
      <c r="K12" s="182"/>
      <c r="L12" s="235"/>
      <c r="M12" s="182"/>
      <c r="N12" s="235"/>
      <c r="O12" s="182"/>
      <c r="P12" s="181"/>
      <c r="Q12" s="182"/>
      <c r="R12" s="181"/>
      <c r="S12" s="182"/>
    </row>
    <row r="13" spans="1:31" x14ac:dyDescent="0.3">
      <c r="A13" s="217" t="s">
        <v>257</v>
      </c>
      <c r="B13" s="71">
        <v>0.01</v>
      </c>
      <c r="D13" s="183">
        <v>0.02</v>
      </c>
      <c r="E13" s="180"/>
      <c r="F13" s="306">
        <v>0.04</v>
      </c>
      <c r="G13" s="180"/>
      <c r="H13" s="306">
        <v>0.02</v>
      </c>
      <c r="I13" s="180"/>
      <c r="J13" s="306">
        <v>0.02</v>
      </c>
      <c r="K13" s="180"/>
      <c r="L13" s="306">
        <v>0.02</v>
      </c>
      <c r="M13" s="180"/>
      <c r="N13" s="306"/>
      <c r="O13" s="180"/>
      <c r="P13" s="375">
        <v>2.3068563822068601E-2</v>
      </c>
      <c r="Q13" s="180"/>
      <c r="R13" s="375">
        <v>0.02</v>
      </c>
      <c r="S13" s="180"/>
      <c r="V13" s="167" t="s">
        <v>258</v>
      </c>
      <c r="W13" s="167" t="s">
        <v>259</v>
      </c>
      <c r="X13" s="167" t="s">
        <v>259</v>
      </c>
      <c r="Y13" s="167" t="s">
        <v>259</v>
      </c>
      <c r="Z13" s="167" t="s">
        <v>259</v>
      </c>
      <c r="AA13" s="167" t="s">
        <v>259</v>
      </c>
      <c r="AB13" s="167"/>
      <c r="AC13" s="167" t="s">
        <v>258</v>
      </c>
    </row>
    <row r="14" spans="1:31" x14ac:dyDescent="0.3">
      <c r="A14" s="218" t="s">
        <v>260</v>
      </c>
      <c r="B14" s="71">
        <v>0.01</v>
      </c>
      <c r="D14" s="183">
        <v>0.02</v>
      </c>
      <c r="E14" s="180"/>
      <c r="F14" s="306"/>
      <c r="G14" s="180"/>
      <c r="H14" s="306"/>
      <c r="I14" s="180"/>
      <c r="J14" s="71"/>
      <c r="K14" s="180"/>
      <c r="L14" s="306"/>
      <c r="M14" s="180"/>
      <c r="N14" s="306"/>
      <c r="O14" s="180"/>
      <c r="P14" s="375"/>
      <c r="Q14" s="180"/>
      <c r="R14" s="375"/>
      <c r="S14" s="180"/>
      <c r="V14" s="167" t="s">
        <v>258</v>
      </c>
      <c r="W14" s="167" t="s">
        <v>261</v>
      </c>
      <c r="X14" s="167" t="s">
        <v>262</v>
      </c>
      <c r="Y14" s="167"/>
      <c r="Z14" s="167"/>
      <c r="AA14" s="167" t="s">
        <v>262</v>
      </c>
      <c r="AB14" s="167"/>
      <c r="AC14" s="167"/>
    </row>
    <row r="15" spans="1:31" x14ac:dyDescent="0.3">
      <c r="A15" s="217" t="s">
        <v>263</v>
      </c>
      <c r="B15" s="71"/>
      <c r="D15" s="183"/>
      <c r="E15" s="180"/>
      <c r="F15" s="306"/>
      <c r="G15" s="180"/>
      <c r="H15" s="306"/>
      <c r="I15" s="180"/>
      <c r="J15" s="306"/>
      <c r="K15" s="180"/>
      <c r="L15" s="306"/>
      <c r="M15" s="180"/>
      <c r="N15" s="306">
        <v>0.02</v>
      </c>
      <c r="O15" s="180"/>
      <c r="P15" s="375"/>
      <c r="Q15" s="180"/>
      <c r="R15" s="375"/>
      <c r="S15" s="180"/>
      <c r="V15" s="167"/>
      <c r="W15" s="167" t="s">
        <v>258</v>
      </c>
      <c r="X15" s="167" t="s">
        <v>262</v>
      </c>
      <c r="Y15" s="167"/>
      <c r="Z15" s="167"/>
      <c r="AA15" s="167" t="s">
        <v>262</v>
      </c>
      <c r="AB15" s="167" t="s">
        <v>264</v>
      </c>
      <c r="AC15" s="167"/>
    </row>
    <row r="16" spans="1:31" x14ac:dyDescent="0.3">
      <c r="A16" s="217" t="s">
        <v>265</v>
      </c>
      <c r="B16" s="183"/>
      <c r="D16" s="183"/>
      <c r="E16" s="180"/>
      <c r="F16" s="306"/>
      <c r="G16" s="180"/>
      <c r="H16" s="306"/>
      <c r="I16" s="180"/>
      <c r="J16" s="306"/>
      <c r="K16" s="180"/>
      <c r="L16" s="306"/>
      <c r="M16" s="180"/>
      <c r="N16" s="306"/>
      <c r="O16" s="180"/>
      <c r="P16" s="183"/>
      <c r="Q16" s="180"/>
      <c r="R16" s="183"/>
      <c r="S16" s="180"/>
      <c r="V16" s="167"/>
      <c r="W16" s="167" t="s">
        <v>258</v>
      </c>
      <c r="X16" s="167" t="s">
        <v>262</v>
      </c>
      <c r="Y16" s="167"/>
      <c r="Z16" s="167"/>
      <c r="AA16" s="167" t="s">
        <v>262</v>
      </c>
      <c r="AB16" s="167"/>
      <c r="AC16" s="167" t="s">
        <v>258</v>
      </c>
    </row>
    <row r="17" spans="1:29" x14ac:dyDescent="0.3">
      <c r="A17" s="217" t="s">
        <v>266</v>
      </c>
      <c r="B17" s="305">
        <v>0.87</v>
      </c>
      <c r="C17" s="180"/>
      <c r="D17" s="305">
        <v>0.87</v>
      </c>
      <c r="E17" s="180"/>
      <c r="F17" s="305">
        <v>0.87</v>
      </c>
      <c r="G17" s="180"/>
      <c r="H17" s="305">
        <v>0.87</v>
      </c>
      <c r="I17" s="180"/>
      <c r="J17" s="305">
        <v>0.87</v>
      </c>
      <c r="K17" s="180"/>
      <c r="L17" s="305">
        <v>0.87</v>
      </c>
      <c r="M17" s="180"/>
      <c r="N17" s="305">
        <v>0.87</v>
      </c>
      <c r="O17" s="180"/>
      <c r="P17" s="184">
        <v>0.87</v>
      </c>
      <c r="Q17" s="180"/>
      <c r="R17" s="184">
        <v>0.87</v>
      </c>
      <c r="S17" s="180"/>
      <c r="V17" t="s">
        <v>267</v>
      </c>
      <c r="W17" t="s">
        <v>267</v>
      </c>
      <c r="X17" t="s">
        <v>267</v>
      </c>
      <c r="Y17" t="s">
        <v>267</v>
      </c>
      <c r="Z17" s="167" t="s">
        <v>258</v>
      </c>
      <c r="AA17" t="s">
        <v>267</v>
      </c>
      <c r="AB17" t="s">
        <v>267</v>
      </c>
      <c r="AC17" t="s">
        <v>267</v>
      </c>
    </row>
    <row r="18" spans="1:29" x14ac:dyDescent="0.3">
      <c r="A18" s="217" t="s">
        <v>268</v>
      </c>
      <c r="B18" s="305">
        <v>0.32</v>
      </c>
      <c r="C18" s="200">
        <v>0.32</v>
      </c>
      <c r="D18" s="305">
        <v>0.32</v>
      </c>
      <c r="E18" s="200">
        <v>0.32</v>
      </c>
      <c r="F18" s="305">
        <v>0.32</v>
      </c>
      <c r="G18" s="200">
        <v>0.32</v>
      </c>
      <c r="H18" s="305">
        <v>0.32</v>
      </c>
      <c r="I18" s="302">
        <v>0.32</v>
      </c>
      <c r="J18" s="305">
        <v>0.32</v>
      </c>
      <c r="K18" s="302">
        <v>0.32</v>
      </c>
      <c r="L18" s="305">
        <v>0.32</v>
      </c>
      <c r="M18" s="302">
        <v>0.32</v>
      </c>
      <c r="N18" s="305">
        <v>0.32</v>
      </c>
      <c r="O18" s="302">
        <v>0.32</v>
      </c>
      <c r="P18" s="305">
        <v>0.32</v>
      </c>
      <c r="Q18" s="302">
        <v>0.32</v>
      </c>
      <c r="R18" s="305">
        <v>0.32</v>
      </c>
      <c r="S18" s="302">
        <v>0.32</v>
      </c>
      <c r="T18" s="6"/>
      <c r="V18" s="167" t="s">
        <v>269</v>
      </c>
      <c r="W18" s="167" t="s">
        <v>269</v>
      </c>
      <c r="X18" s="167" t="s">
        <v>259</v>
      </c>
      <c r="Y18" s="167" t="s">
        <v>269</v>
      </c>
      <c r="Z18" s="167" t="s">
        <v>269</v>
      </c>
      <c r="AA18" s="167" t="s">
        <v>259</v>
      </c>
      <c r="AB18" s="167" t="s">
        <v>264</v>
      </c>
      <c r="AC18" s="167" t="s">
        <v>269</v>
      </c>
    </row>
    <row r="19" spans="1:29" x14ac:dyDescent="0.3">
      <c r="A19" s="217"/>
      <c r="B19" s="305"/>
      <c r="C19" s="180"/>
      <c r="D19" s="305"/>
      <c r="E19" s="180"/>
      <c r="F19" s="305"/>
      <c r="G19" s="180"/>
      <c r="H19" s="305"/>
      <c r="I19" s="180"/>
      <c r="J19" s="305"/>
      <c r="K19" s="180"/>
      <c r="L19" s="305"/>
      <c r="M19" s="180"/>
      <c r="N19" s="305"/>
      <c r="O19" s="180"/>
      <c r="P19" s="184"/>
      <c r="Q19" s="180"/>
      <c r="R19" s="184"/>
      <c r="S19" s="180"/>
    </row>
    <row r="20" spans="1:29" x14ac:dyDescent="0.3">
      <c r="A20" s="166" t="s">
        <v>270</v>
      </c>
      <c r="B20" s="199">
        <v>0.1</v>
      </c>
      <c r="C20" s="200">
        <v>0.1</v>
      </c>
      <c r="D20" s="14">
        <v>0.1</v>
      </c>
      <c r="E20" s="200">
        <v>0.1</v>
      </c>
      <c r="F20" s="14">
        <v>0.1</v>
      </c>
      <c r="G20" s="200">
        <v>0.1</v>
      </c>
      <c r="H20" s="14">
        <v>0.1</v>
      </c>
      <c r="I20" s="200">
        <v>0.1</v>
      </c>
      <c r="J20" s="14">
        <v>0.1</v>
      </c>
      <c r="K20" s="200">
        <v>0.1</v>
      </c>
      <c r="L20" s="14">
        <v>0.1</v>
      </c>
      <c r="M20" s="200">
        <v>0.1</v>
      </c>
      <c r="N20" s="14">
        <v>0.1</v>
      </c>
      <c r="O20" s="200">
        <v>0.1</v>
      </c>
      <c r="P20" s="14">
        <v>0.1</v>
      </c>
      <c r="Q20" s="200">
        <v>0.1</v>
      </c>
      <c r="R20" s="14">
        <v>0.1</v>
      </c>
      <c r="S20" s="200">
        <v>0.1</v>
      </c>
      <c r="V20" s="167" t="s">
        <v>269</v>
      </c>
      <c r="W20" s="167" t="s">
        <v>269</v>
      </c>
      <c r="X20" s="167" t="s">
        <v>259</v>
      </c>
      <c r="Y20" s="167" t="s">
        <v>269</v>
      </c>
      <c r="Z20" s="167" t="s">
        <v>269</v>
      </c>
      <c r="AA20" s="167" t="s">
        <v>269</v>
      </c>
      <c r="AB20" s="167" t="s">
        <v>264</v>
      </c>
      <c r="AC20" s="167" t="s">
        <v>269</v>
      </c>
    </row>
    <row r="21" spans="1:29" x14ac:dyDescent="0.3">
      <c r="A21" s="213"/>
      <c r="B21" s="179"/>
      <c r="D21" s="179"/>
      <c r="E21" s="180"/>
      <c r="H21" s="179"/>
      <c r="J21" s="179"/>
      <c r="L21" s="179"/>
      <c r="N21" s="179"/>
      <c r="P21" s="179"/>
      <c r="Q21" s="180"/>
      <c r="R21" s="179"/>
      <c r="S21" s="180"/>
    </row>
    <row r="22" spans="1:29" x14ac:dyDescent="0.3">
      <c r="A22" s="219" t="s">
        <v>271</v>
      </c>
      <c r="B22" s="106"/>
      <c r="C22" s="106"/>
      <c r="D22" s="187"/>
      <c r="E22" s="106"/>
      <c r="F22" s="187"/>
      <c r="G22" s="188"/>
      <c r="H22" s="187"/>
      <c r="I22" s="188"/>
      <c r="J22" s="187"/>
      <c r="K22" s="106"/>
      <c r="L22" s="187"/>
      <c r="M22" s="188"/>
      <c r="N22" s="187"/>
      <c r="O22" s="106"/>
      <c r="P22" s="187"/>
      <c r="Q22" s="188"/>
      <c r="R22" s="187"/>
      <c r="S22" s="188"/>
      <c r="V22" s="167" t="s">
        <v>272</v>
      </c>
    </row>
    <row r="23" spans="1:29" x14ac:dyDescent="0.3">
      <c r="A23" s="218" t="s">
        <v>273</v>
      </c>
      <c r="B23" s="198">
        <f>Production!$B$5*B6*$B$20*365</f>
        <v>0.74489795918053003</v>
      </c>
      <c r="C23" s="118">
        <f>(Production!$B$6+Production!$B$7)*C6*$C$20*'Parameters, country spec'!$B$11/2</f>
        <v>7.1267632093632711</v>
      </c>
      <c r="D23" s="198">
        <f>Production!$C$5*D6*$D$20*365</f>
        <v>0.74489795918053003</v>
      </c>
      <c r="E23" s="118">
        <f>(Production!$C$6+Production!$C$7)*E6*$E$20*'Parameters, country spec'!$C$11/2</f>
        <v>7.1267632093632711</v>
      </c>
      <c r="F23" s="198">
        <f>Production!$D$5*F6*$F$20*365</f>
        <v>36.5</v>
      </c>
      <c r="G23" s="118">
        <f>(Production!$D$6+Production!$D$7)*G6*$G$20*'Parameters, country spec'!$D$11/2</f>
        <v>349.211397260274</v>
      </c>
      <c r="H23" s="198">
        <f>Production!$E$5*H6*$H$20*365</f>
        <v>36.5</v>
      </c>
      <c r="I23" s="118">
        <f>(Production!$E$6+Production!$E$7)*I6*$I$20*'Parameters, country spec'!$E$11/2</f>
        <v>349.211397260274</v>
      </c>
      <c r="J23" s="198">
        <f>Production!$F$5*J6*$J$20*365</f>
        <v>36.5</v>
      </c>
      <c r="K23" s="118">
        <f>(Production!$F$6+Production!$F$7)*K6*$K$20*'Parameters, country spec'!$F$11/2</f>
        <v>349.211397260274</v>
      </c>
      <c r="L23" s="198">
        <f>Production!$G$5*L6*$L$20*365</f>
        <v>36.5</v>
      </c>
      <c r="M23" s="118">
        <f>(Production!$G$6+Production!$G$7)*M6*$M$20*'Parameters, country spec'!$G$11/2</f>
        <v>349.211397260274</v>
      </c>
      <c r="N23" s="198">
        <f>Production!$H$5*N6*$N$20*365</f>
        <v>36.5</v>
      </c>
      <c r="O23" s="118">
        <f>(Production!$H$6+Production!$H$7)*O6*$O$20*'Parameters, country spec'!$H$11/2</f>
        <v>0</v>
      </c>
      <c r="P23" s="198">
        <f>Production!$I$5*P6*$P$20*365</f>
        <v>36.5</v>
      </c>
      <c r="Q23" s="319">
        <f>(Production!$I$6+Production!$I$7)*Q6*$Q$20*'Parameters, country spec'!$I$11/2</f>
        <v>349.211397260274</v>
      </c>
      <c r="R23" s="198">
        <f>Production!$I$5*R6*$P$20*365</f>
        <v>36.5</v>
      </c>
      <c r="S23" s="319">
        <f>(Production!$I$6+Production!$I$7)*S6*$Q$20*'Parameters, country spec'!$J$11/2</f>
        <v>349.211397260274</v>
      </c>
    </row>
    <row r="24" spans="1:29" x14ac:dyDescent="0.3">
      <c r="A24" s="218" t="s">
        <v>274</v>
      </c>
      <c r="B24" s="198">
        <f>Production!$B$5*B7*$B$20*365</f>
        <v>35.755102040681507</v>
      </c>
      <c r="C24" s="118">
        <f>(Production!$B$6+Production!$B$7)*C7*$C$20*'Parameters, country spec'!$B$11/2</f>
        <v>342.0846340495907</v>
      </c>
      <c r="D24" s="198">
        <f>Production!$C$5*D7*$D$20*365</f>
        <v>35.755102040681507</v>
      </c>
      <c r="E24" s="118">
        <f>(Production!$C$6+Production!$C$7)*E7*$E$20*'Parameters, country spec'!$C$11/2</f>
        <v>342.0846340495907</v>
      </c>
      <c r="F24" s="198">
        <f>Production!$D$5*F7*$F$20*365</f>
        <v>0</v>
      </c>
      <c r="G24" s="118">
        <f>(Production!$D$6+Production!$D$7)*G7*$G$20*'Parameters, country spec'!$D$11/2</f>
        <v>0</v>
      </c>
      <c r="H24" s="198">
        <f>Production!$E$5*H7*$H$20*365</f>
        <v>0</v>
      </c>
      <c r="I24" s="118">
        <f>(Production!$E$6+Production!$E$7)*I7*$I$20*'Parameters, country spec'!$E$11/2</f>
        <v>0</v>
      </c>
      <c r="J24" s="198">
        <f>Production!$F$5*J7*$J$20*365</f>
        <v>0</v>
      </c>
      <c r="K24" s="118">
        <f>(Production!$F$6+Production!$F$7)*K7*$K$20*'Parameters, country spec'!$F$11/2</f>
        <v>0</v>
      </c>
      <c r="L24" s="198">
        <f>Production!$G$5*L7*$L$20*365</f>
        <v>0</v>
      </c>
      <c r="M24" s="118">
        <f>(Production!$G$6+Production!$G$7)*M7*$M$20*'Parameters, country spec'!$G$11/2</f>
        <v>0</v>
      </c>
      <c r="N24" s="198">
        <f>Production!$H$5*N7*$N$20*365</f>
        <v>0</v>
      </c>
      <c r="O24" s="118">
        <f>(Production!$H$6+Production!$H$7)*O7*$O$20*'Parameters, country spec'!$H$11/2</f>
        <v>0</v>
      </c>
      <c r="P24" s="198">
        <f>Production!$I$5*P7*$P$20*365</f>
        <v>0</v>
      </c>
      <c r="Q24" s="319">
        <f>(Production!$I$6+Production!$I$7)*Q7*$Q$20*'Parameters, country spec'!$I$11/2</f>
        <v>0</v>
      </c>
      <c r="R24" s="198">
        <f>Production!$I$5*R7*$P$20*365</f>
        <v>0</v>
      </c>
      <c r="S24" s="319">
        <f>(Production!$I$6+Production!$I$7)*S7*$Q$20*'Parameters, country spec'!$J$11/2</f>
        <v>0</v>
      </c>
    </row>
    <row r="25" spans="1:29" x14ac:dyDescent="0.3">
      <c r="A25" s="218" t="s">
        <v>275</v>
      </c>
      <c r="B25" s="198">
        <f>Production!$B$5*B8*$B$20*365</f>
        <v>0</v>
      </c>
      <c r="C25" s="118">
        <f>(Production!$B$6+Production!$B$7)*C8*$C$20*'Parameters, country spec'!$B$11/2</f>
        <v>0</v>
      </c>
      <c r="D25" s="198">
        <f>Production!$C$5*D8*$D$20*365</f>
        <v>0</v>
      </c>
      <c r="E25" s="118">
        <f>(Production!$C$6+Production!$C$7)*E8*$E$20*'Parameters, country spec'!$C$11/2</f>
        <v>0</v>
      </c>
      <c r="F25" s="198">
        <f>Production!$D$5*F8*$F$20*365</f>
        <v>0</v>
      </c>
      <c r="G25" s="118">
        <f>(Production!$D$6+Production!$D$7)*G8*$G$20*'Parameters, country spec'!$D$11/2</f>
        <v>0</v>
      </c>
      <c r="H25" s="198">
        <f>Production!$E$5*H8*$H$20*365</f>
        <v>0</v>
      </c>
      <c r="I25" s="118">
        <f>(Production!$E$6+Production!$E$7)*I8*$I$20*'Parameters, country spec'!$E$11/2</f>
        <v>0</v>
      </c>
      <c r="J25" s="198">
        <f>Production!$F$5*J8*$J$20*365</f>
        <v>0</v>
      </c>
      <c r="K25" s="118">
        <f>(Production!$F$6+Production!$F$7)*K8*$K$20*'Parameters, country spec'!$F$11/2</f>
        <v>0</v>
      </c>
      <c r="L25" s="198">
        <f>Production!$G$5*L8*$L$20*365</f>
        <v>0</v>
      </c>
      <c r="M25" s="118">
        <f>(Production!$G$6+Production!$G$7)*M8*$M$20*'Parameters, country spec'!$G$11/2</f>
        <v>0</v>
      </c>
      <c r="N25" s="198">
        <f>Production!$H$5*N8*$N$20*365</f>
        <v>0</v>
      </c>
      <c r="O25" s="118">
        <f>(Production!$H$6+Production!$H$7)*O8*$O$20*'Parameters, country spec'!$H$11/2</f>
        <v>349.211397260274</v>
      </c>
      <c r="P25" s="198">
        <f>Production!$I$5*P8*$P$20*365</f>
        <v>0</v>
      </c>
      <c r="Q25" s="319">
        <f>(Production!$I$6+Production!$I$7)*Q8*$Q$20*'Parameters, country spec'!$I$11/2</f>
        <v>0</v>
      </c>
      <c r="R25" s="198">
        <f>Production!$I$5*R8*$P$20*365</f>
        <v>0</v>
      </c>
      <c r="S25" s="319">
        <f>(Production!$I$6+Production!$I$7)*S8*$Q$20*'Parameters, country spec'!$J$11/2</f>
        <v>0</v>
      </c>
    </row>
    <row r="26" spans="1:29" x14ac:dyDescent="0.3">
      <c r="A26" s="218" t="s">
        <v>152</v>
      </c>
      <c r="B26" s="198">
        <f>Production!$B$5*B9*$B$20*365</f>
        <v>0</v>
      </c>
      <c r="C26" s="118">
        <f>(Production!$B$6+Production!$B$7)*C9*$C$20*'Parameters, country spec'!$B$11/2</f>
        <v>0</v>
      </c>
      <c r="D26" s="198">
        <f>Production!$C$5*D9*$D$20*365</f>
        <v>0</v>
      </c>
      <c r="E26" s="118">
        <f>(Production!$C$6+Production!$C$7)*E9*$E$20*'Parameters, country spec'!$C$11/2</f>
        <v>0</v>
      </c>
      <c r="F26" s="198">
        <f>Production!$D$5*F9*$F$20*365</f>
        <v>0</v>
      </c>
      <c r="G26" s="118">
        <f>(Production!$D$6+Production!$D$7)*G9*$G$20*'Parameters, country spec'!$D$11/2</f>
        <v>0</v>
      </c>
      <c r="H26" s="198">
        <f>Production!$E$5*H9*$H$20*365</f>
        <v>0</v>
      </c>
      <c r="I26" s="118">
        <f>(Production!$E$6+Production!$E$7)*I9*$I$20*'Parameters, country spec'!$E$11/2</f>
        <v>0</v>
      </c>
      <c r="J26" s="198">
        <f>Production!$F$5*J9*$J$20*365</f>
        <v>0</v>
      </c>
      <c r="K26" s="118">
        <f>(Production!$F$6+Production!$F$7)*K9*$K$20*'Parameters, country spec'!$F$11/2</f>
        <v>0</v>
      </c>
      <c r="L26" s="198">
        <f>Production!$G$5*L9*$L$20*365</f>
        <v>0</v>
      </c>
      <c r="M26" s="118">
        <f>(Production!$G$6+Production!$G$7)*M9*$M$20*'Parameters, country spec'!$G$11/2</f>
        <v>0</v>
      </c>
      <c r="N26" s="198">
        <f>Production!$H$5*N9*$N$20*365</f>
        <v>0</v>
      </c>
      <c r="O26" s="118">
        <f>(Production!$H$6+Production!$H$7)*O9*$O$20*'Parameters, country spec'!$H$11/2</f>
        <v>0</v>
      </c>
      <c r="P26" s="198">
        <f>Production!$I$5*P9*$P$20*365</f>
        <v>0</v>
      </c>
      <c r="Q26" s="319">
        <f>(Production!$I$6+Production!$I$7)*Q9*$Q$20*'Parameters, country spec'!$I$11/2</f>
        <v>0</v>
      </c>
      <c r="R26" s="198">
        <f>Production!$I$5*R9*$P$20*365</f>
        <v>0</v>
      </c>
      <c r="S26" s="319">
        <f>(Production!$I$6+Production!$I$7)*S9*$Q$20*'Parameters, country spec'!$J$11/2</f>
        <v>0</v>
      </c>
    </row>
    <row r="27" spans="1:29" x14ac:dyDescent="0.3">
      <c r="A27" s="213"/>
      <c r="B27" s="179"/>
      <c r="C27" s="190"/>
      <c r="D27" s="179"/>
      <c r="E27" s="190"/>
      <c r="F27" s="179"/>
      <c r="G27" s="190"/>
      <c r="H27" s="179"/>
      <c r="I27" s="190"/>
      <c r="J27" s="179"/>
      <c r="K27" s="190"/>
      <c r="L27" s="179"/>
      <c r="M27" s="190"/>
      <c r="N27" s="179"/>
      <c r="O27" s="190"/>
      <c r="P27" s="179"/>
      <c r="Q27" s="190"/>
      <c r="R27" s="179"/>
      <c r="S27" s="190"/>
    </row>
    <row r="28" spans="1:29" x14ac:dyDescent="0.3">
      <c r="A28" s="220" t="s">
        <v>276</v>
      </c>
      <c r="B28" s="187"/>
      <c r="C28" s="303"/>
      <c r="D28" s="106"/>
      <c r="E28" s="236"/>
      <c r="F28" s="187"/>
      <c r="G28" s="303"/>
      <c r="H28" s="187"/>
      <c r="I28" s="303"/>
      <c r="J28" s="187"/>
      <c r="K28" s="236"/>
      <c r="L28" s="187"/>
      <c r="M28" s="236"/>
      <c r="N28" s="187"/>
      <c r="O28" s="236"/>
      <c r="P28" s="187"/>
      <c r="Q28" s="303"/>
      <c r="R28" s="187"/>
      <c r="S28" s="303"/>
    </row>
    <row r="29" spans="1:29" x14ac:dyDescent="0.3">
      <c r="A29" s="218" t="s">
        <v>273</v>
      </c>
      <c r="B29" s="191">
        <f>B23*$B$18*0.67*B13</f>
        <v>1.5970612244830566E-3</v>
      </c>
      <c r="C29" s="192">
        <f>C23*$C$18*0.67*B13</f>
        <v>1.5279780320874854E-2</v>
      </c>
      <c r="D29" s="10">
        <f>D23*$D$18*0.67*D13</f>
        <v>3.1941224489661132E-3</v>
      </c>
      <c r="E29" s="10">
        <f>E23*$E$18*0.67*D13</f>
        <v>3.0559560641749708E-2</v>
      </c>
      <c r="F29" s="191">
        <f>F23*$F$18*0.67*F13</f>
        <v>0.31302400000000002</v>
      </c>
      <c r="G29" s="192">
        <f>G23*$G$18*0.67*F13</f>
        <v>2.9948369429041102</v>
      </c>
      <c r="H29" s="10">
        <f>H23*$H$18*0.67*H13</f>
        <v>0.15651200000000001</v>
      </c>
      <c r="I29" s="192">
        <f>I23*$I$18*0.67*H13</f>
        <v>1.4974184714520551</v>
      </c>
      <c r="J29" s="191">
        <f>J23*$J$18*0.67*J13</f>
        <v>0.15651200000000001</v>
      </c>
      <c r="K29" s="10">
        <f>K23*$K$18*0.67*J13</f>
        <v>1.4974184714520551</v>
      </c>
      <c r="L29" s="191">
        <f>L23*$L$18*0.67*L13</f>
        <v>0.15651200000000001</v>
      </c>
      <c r="M29" s="10">
        <f>M23*$M$18*0.67*L13</f>
        <v>1.4974184714520551</v>
      </c>
      <c r="N29" s="191">
        <f>N23*$N$18*0.67*N13</f>
        <v>0</v>
      </c>
      <c r="O29" s="10">
        <f>O23*$O$18*0.67*N13</f>
        <v>0</v>
      </c>
      <c r="P29" s="191">
        <f>P23*$P$18*0.67*P13</f>
        <v>0.18052535304598005</v>
      </c>
      <c r="Q29" s="192">
        <f>Q23*$Q$18*0.67*P13</f>
        <v>1.7271646788518069</v>
      </c>
      <c r="R29" s="191">
        <f>R23*$P$18*0.67*R13</f>
        <v>0.15651200000000001</v>
      </c>
      <c r="S29" s="192">
        <f>S23*$Q$18*0.67*R13</f>
        <v>1.4974184714520551</v>
      </c>
      <c r="V29" s="10"/>
      <c r="W29" s="10"/>
      <c r="X29" s="10"/>
    </row>
    <row r="30" spans="1:29" x14ac:dyDescent="0.3">
      <c r="A30" s="218" t="s">
        <v>274</v>
      </c>
      <c r="B30" s="191">
        <f>B24*$B$18*0.67*B14</f>
        <v>7.6658938775221161E-2</v>
      </c>
      <c r="C30" s="192">
        <f>C24*$C$18*0.67*B14</f>
        <v>0.73342945540232252</v>
      </c>
      <c r="D30" s="10">
        <f>D24*$D$18*0.67*D14</f>
        <v>0.15331787755044232</v>
      </c>
      <c r="E30" s="10">
        <f>E24*$E$18*0.67*D14</f>
        <v>1.466858910804645</v>
      </c>
      <c r="F30" s="191">
        <f>F24*$F$18*0.67*F14</f>
        <v>0</v>
      </c>
      <c r="G30" s="192">
        <f>G24*$G$18*0.67*F14</f>
        <v>0</v>
      </c>
      <c r="H30" s="10">
        <f>H24*$H$18*0.67*H14</f>
        <v>0</v>
      </c>
      <c r="I30" s="192">
        <f>I24*$I$18*0.67*H14</f>
        <v>0</v>
      </c>
      <c r="J30" s="191">
        <f>J24*$J$18*0.67*J14</f>
        <v>0</v>
      </c>
      <c r="K30" s="10">
        <f>K24*$K$18*0.67*J14</f>
        <v>0</v>
      </c>
      <c r="L30" s="191">
        <f>L24*$L$18*0.67*L14</f>
        <v>0</v>
      </c>
      <c r="M30" s="10">
        <f>M24*$M$18*0.67*L14</f>
        <v>0</v>
      </c>
      <c r="N30" s="191">
        <f>N24*$N$18*0.67*N14</f>
        <v>0</v>
      </c>
      <c r="O30" s="10">
        <f>O24*$O$18*0.67*N14</f>
        <v>0</v>
      </c>
      <c r="P30" s="191">
        <f>P24*$P$18*0.67*P14</f>
        <v>0</v>
      </c>
      <c r="Q30" s="192">
        <f>Q24*$Q$18*0.67*P14</f>
        <v>0</v>
      </c>
      <c r="R30" s="191">
        <f>R24*$P$18*0.67*R14</f>
        <v>0</v>
      </c>
      <c r="S30" s="192">
        <f>S24*$Q$18*0.67*R14</f>
        <v>0</v>
      </c>
      <c r="V30" s="10"/>
      <c r="W30" s="10"/>
      <c r="X30" s="10"/>
    </row>
    <row r="31" spans="1:29" x14ac:dyDescent="0.3">
      <c r="A31" s="218" t="s">
        <v>277</v>
      </c>
      <c r="B31" s="191">
        <f>B25*$B$18*0.67*B15</f>
        <v>0</v>
      </c>
      <c r="C31" s="192">
        <f>C25*$C$18*0.67*B15</f>
        <v>0</v>
      </c>
      <c r="D31" s="10">
        <f>D25*$D$18*0.67*D15</f>
        <v>0</v>
      </c>
      <c r="E31" s="10">
        <f>E25*$E$18*0.67*D15</f>
        <v>0</v>
      </c>
      <c r="F31" s="191">
        <f>F25*$F$18*0.67*F15</f>
        <v>0</v>
      </c>
      <c r="G31" s="192">
        <f>G25*$G$18*0.67*F15</f>
        <v>0</v>
      </c>
      <c r="H31" s="10">
        <f>H25*$H$18*0.67*H15</f>
        <v>0</v>
      </c>
      <c r="I31" s="192">
        <f>I25*$I$18*0.67*H15</f>
        <v>0</v>
      </c>
      <c r="J31" s="191">
        <f>J25*$J$18*0.67*J15</f>
        <v>0</v>
      </c>
      <c r="K31" s="10">
        <f>K25*$K$18*0.67*J15</f>
        <v>0</v>
      </c>
      <c r="L31" s="191">
        <f>L25*$L$18*0.67*L15</f>
        <v>0</v>
      </c>
      <c r="M31" s="10">
        <f>M25*$M$18*0.67*L16</f>
        <v>0</v>
      </c>
      <c r="N31" s="191">
        <f>N25*$N$18*0.67*N15</f>
        <v>0</v>
      </c>
      <c r="O31" s="10">
        <f>O25*$O$18*0.67*N15</f>
        <v>1.4974184714520551</v>
      </c>
      <c r="P31" s="191">
        <f>P25*$P$18*0.67*P15</f>
        <v>0</v>
      </c>
      <c r="Q31" s="192">
        <f>Q25*$Q$18*0.67*P15</f>
        <v>0</v>
      </c>
      <c r="R31" s="191">
        <f>R25*$P$18*0.67*R15</f>
        <v>0</v>
      </c>
      <c r="S31" s="192">
        <f>S25*$Q$18*0.67*R15</f>
        <v>0</v>
      </c>
      <c r="V31" s="10"/>
      <c r="W31" s="10"/>
      <c r="X31" s="10"/>
    </row>
    <row r="32" spans="1:29" x14ac:dyDescent="0.3">
      <c r="A32" s="218" t="s">
        <v>152</v>
      </c>
      <c r="B32" s="191">
        <f>B26*$B$18*0.67*B16</f>
        <v>0</v>
      </c>
      <c r="C32" s="192">
        <f>C26*$B$18*0.67*B16</f>
        <v>0</v>
      </c>
      <c r="D32" s="10">
        <f>D26*$D$18*0.67*D16</f>
        <v>0</v>
      </c>
      <c r="E32" s="10">
        <f>E26*$E$18*0.67*D16</f>
        <v>0</v>
      </c>
      <c r="F32" s="191">
        <f>F26*$F$18*0.67*F16</f>
        <v>0</v>
      </c>
      <c r="G32" s="192">
        <f>G26*$G$18*0.67*F16</f>
        <v>0</v>
      </c>
      <c r="H32" s="10">
        <f>H26*$H$18*0.67*H16</f>
        <v>0</v>
      </c>
      <c r="I32" s="192">
        <f>I26*$I$18*0.67*H16</f>
        <v>0</v>
      </c>
      <c r="J32" s="191">
        <f>J26*$J$18*0.67*J16</f>
        <v>0</v>
      </c>
      <c r="K32" s="10">
        <f>K26*$K$18*0.67*J16</f>
        <v>0</v>
      </c>
      <c r="L32" s="191">
        <f>L26*$L$18*0.67*L16</f>
        <v>0</v>
      </c>
      <c r="M32" s="10">
        <f>M26*$M$18*0.67*L16</f>
        <v>0</v>
      </c>
      <c r="N32" s="191">
        <f>N26*$N$18*0.67*N16</f>
        <v>0</v>
      </c>
      <c r="O32" s="10">
        <f>O26*$O$18*0.67*N16</f>
        <v>0</v>
      </c>
      <c r="P32" s="191">
        <f>P26*$P$18*0.67*P16</f>
        <v>0</v>
      </c>
      <c r="Q32" s="192">
        <f>Q26*$Q$18*0.67*P16</f>
        <v>0</v>
      </c>
      <c r="R32" s="191">
        <f>R26*$P$18*0.67*R16</f>
        <v>0</v>
      </c>
      <c r="S32" s="192">
        <f>S26*$Q$18*0.67*R16</f>
        <v>0</v>
      </c>
      <c r="V32" s="10"/>
      <c r="W32" s="10"/>
      <c r="X32" s="10"/>
    </row>
    <row r="33" spans="1:25" x14ac:dyDescent="0.3">
      <c r="A33" s="218" t="s">
        <v>123</v>
      </c>
      <c r="B33" s="191"/>
      <c r="C33" s="192">
        <f>SUM(B29:C32)</f>
        <v>0.82696523572290159</v>
      </c>
      <c r="D33" s="10"/>
      <c r="E33" s="192">
        <f>SUM(D29:E32)</f>
        <v>1.6539304714458032</v>
      </c>
      <c r="F33" s="191"/>
      <c r="G33" s="192">
        <f>SUM(F29:G32)</f>
        <v>3.3078609429041101</v>
      </c>
      <c r="H33" s="191"/>
      <c r="I33" s="192">
        <f>SUM(H29:I32)</f>
        <v>1.6539304714520551</v>
      </c>
      <c r="J33" s="191"/>
      <c r="K33" s="192">
        <f>SUM(J29:K32)</f>
        <v>1.6539304714520551</v>
      </c>
      <c r="L33" s="191"/>
      <c r="M33" s="192">
        <f>SUM(L29:M32)</f>
        <v>1.6539304714520551</v>
      </c>
      <c r="N33" s="191"/>
      <c r="O33" s="192">
        <f>SUM(N29:O32)</f>
        <v>1.4974184714520551</v>
      </c>
      <c r="P33" s="191"/>
      <c r="Q33" s="192">
        <f>SUM(P29:Q32)</f>
        <v>1.907690031897787</v>
      </c>
      <c r="R33" s="191"/>
      <c r="S33" s="192">
        <f>SUM(R29:S32)</f>
        <v>1.6539304714520551</v>
      </c>
      <c r="V33" s="10"/>
      <c r="W33" s="10"/>
      <c r="X33" s="10"/>
    </row>
    <row r="34" spans="1:25" x14ac:dyDescent="0.3">
      <c r="A34" s="218" t="s">
        <v>278</v>
      </c>
      <c r="B34" s="191"/>
      <c r="C34" s="193">
        <f>C33/Production!B8</f>
        <v>1.3052019624530686E-2</v>
      </c>
      <c r="D34" s="10"/>
      <c r="E34" s="10">
        <f>E33/Production!C23</f>
        <v>2.7636185626083234E-2</v>
      </c>
      <c r="F34" s="191"/>
      <c r="G34" s="10">
        <f>G33/Production!D23</f>
        <v>5.5342088729567807E-2</v>
      </c>
      <c r="H34" s="191"/>
      <c r="I34" s="10">
        <f>I33/Production!E23</f>
        <v>2.7671044364783903E-2</v>
      </c>
      <c r="J34" s="191"/>
      <c r="K34" s="10">
        <f>K33/Production!F23</f>
        <v>2.76361856261877E-2</v>
      </c>
      <c r="L34" s="191"/>
      <c r="M34" s="10">
        <f>M33/Production!G23</f>
        <v>2.7671044364783903E-2</v>
      </c>
      <c r="N34" s="191"/>
      <c r="O34" s="10">
        <f>O33/Production!H23</f>
        <v>2.4771317686147359E-2</v>
      </c>
      <c r="P34" s="191"/>
      <c r="Q34" s="192">
        <f>Q33/Production!I23</f>
        <v>3.7414494817848198E-2</v>
      </c>
      <c r="R34" s="191"/>
      <c r="S34" s="192">
        <f>S33/Production!J23</f>
        <v>3.3736918658285049E-2</v>
      </c>
      <c r="U34" t="s">
        <v>279</v>
      </c>
      <c r="V34" s="4"/>
      <c r="W34" s="4"/>
      <c r="X34" s="4"/>
    </row>
    <row r="35" spans="1:25" x14ac:dyDescent="0.3">
      <c r="A35" s="218" t="s">
        <v>280</v>
      </c>
      <c r="B35" s="391"/>
      <c r="C35" s="392">
        <f>C33/Production!B23</f>
        <v>1.6218822769501626E-2</v>
      </c>
      <c r="D35" s="389"/>
      <c r="E35" s="392">
        <f>E33/Production!C23</f>
        <v>2.7636185626083234E-2</v>
      </c>
      <c r="F35" s="391"/>
      <c r="G35" s="392">
        <f>G34/Production!D23</f>
        <v>9.2589949753523859E-4</v>
      </c>
      <c r="H35" s="391"/>
      <c r="I35" s="392">
        <f>I33/Production!E23</f>
        <v>2.7671044364783903E-2</v>
      </c>
      <c r="J35" s="391"/>
      <c r="K35" s="392">
        <f>K33/Production!F23</f>
        <v>2.76361856261877E-2</v>
      </c>
      <c r="L35" s="391"/>
      <c r="M35" s="392">
        <f>M33/Production!G23</f>
        <v>2.7671044364783903E-2</v>
      </c>
      <c r="N35" s="391"/>
      <c r="O35" s="392">
        <f>O33/Production!H23</f>
        <v>2.4771317686147359E-2</v>
      </c>
      <c r="P35" s="391"/>
      <c r="Q35" s="392">
        <f>Q33/Production!I23</f>
        <v>3.7414494817848198E-2</v>
      </c>
      <c r="R35" s="391"/>
      <c r="S35" s="392">
        <f>S33/Production!J23</f>
        <v>3.3736918658285049E-2</v>
      </c>
    </row>
    <row r="36" spans="1:25" x14ac:dyDescent="0.3">
      <c r="A36" s="218"/>
      <c r="B36" s="179"/>
      <c r="C36" s="180"/>
      <c r="F36" s="179"/>
      <c r="H36" s="179"/>
      <c r="J36" s="179"/>
      <c r="L36" s="179"/>
      <c r="N36" s="179"/>
      <c r="P36" s="179"/>
      <c r="Q36" s="180"/>
      <c r="R36" s="179"/>
      <c r="S36" s="180"/>
    </row>
    <row r="37" spans="1:25" x14ac:dyDescent="0.3">
      <c r="A37" s="215" t="s">
        <v>281</v>
      </c>
      <c r="B37" s="226"/>
      <c r="C37" s="234"/>
      <c r="D37" s="144"/>
      <c r="E37" s="144"/>
      <c r="F37" s="226"/>
      <c r="G37" s="144"/>
      <c r="H37" s="226"/>
      <c r="I37" s="144"/>
      <c r="J37" s="226"/>
      <c r="K37" s="144"/>
      <c r="L37" s="226"/>
      <c r="M37" s="144"/>
      <c r="N37" s="226"/>
      <c r="O37" s="144"/>
      <c r="P37" s="226"/>
      <c r="Q37" s="234"/>
      <c r="R37" s="226"/>
      <c r="S37" s="234"/>
    </row>
    <row r="38" spans="1:25" x14ac:dyDescent="0.3">
      <c r="A38" s="220" t="s">
        <v>282</v>
      </c>
      <c r="B38" s="187"/>
      <c r="C38" s="188"/>
      <c r="D38" s="106"/>
      <c r="E38" s="106"/>
      <c r="F38" s="187"/>
      <c r="G38" s="106"/>
      <c r="H38" s="187"/>
      <c r="I38" s="106"/>
      <c r="J38" s="187"/>
      <c r="K38" s="106"/>
      <c r="L38" s="187"/>
      <c r="M38" s="106"/>
      <c r="N38" s="187"/>
      <c r="O38" s="106"/>
      <c r="P38" s="187"/>
      <c r="Q38" s="188"/>
      <c r="R38" s="187"/>
      <c r="S38" s="188"/>
      <c r="U38" s="157" t="s">
        <v>283</v>
      </c>
    </row>
    <row r="39" spans="1:25" x14ac:dyDescent="0.3">
      <c r="A39" s="218" t="s">
        <v>284</v>
      </c>
      <c r="B39" s="233">
        <v>7.53</v>
      </c>
      <c r="C39" s="309">
        <f>B39/365*'Parameters, country spec'!B11/2</f>
        <v>1.1552876712328768</v>
      </c>
      <c r="D39" s="310">
        <v>8.1</v>
      </c>
      <c r="E39" s="309">
        <f>D39/365*'Parameters, country spec'!C11/2</f>
        <v>1.2427397260273971</v>
      </c>
      <c r="F39" s="310">
        <v>8.1</v>
      </c>
      <c r="G39" s="309">
        <f>F39/365*'Parameters, country spec'!D11/2</f>
        <v>1.2427397260273971</v>
      </c>
      <c r="H39" s="310">
        <v>8.1</v>
      </c>
      <c r="I39" s="309">
        <f>H39/365*'Parameters, country spec'!E11/2</f>
        <v>1.2427397260273971</v>
      </c>
      <c r="J39" s="310">
        <v>8.1</v>
      </c>
      <c r="K39" s="309">
        <f>J39/365*'Parameters, country spec'!F11/2</f>
        <v>1.2427397260273971</v>
      </c>
      <c r="L39" s="310">
        <v>8.1</v>
      </c>
      <c r="M39" s="309">
        <f>L39/365*'Parameters, country spec'!G11/2</f>
        <v>1.2427397260273971</v>
      </c>
      <c r="N39" s="310">
        <v>8.1</v>
      </c>
      <c r="O39" s="309">
        <f>N39/365*'Parameters, country spec'!H11/2</f>
        <v>1.2427397260273971</v>
      </c>
      <c r="P39" s="310">
        <v>8.1</v>
      </c>
      <c r="Q39" s="309">
        <f>P39/365*'Parameters, country spec'!I11/2</f>
        <v>1.2427397260273971</v>
      </c>
      <c r="R39" s="310">
        <v>8.1</v>
      </c>
      <c r="S39" s="309">
        <f>R39/365*'Parameters, country spec'!J11/2</f>
        <v>1.2427397260273971</v>
      </c>
      <c r="U39" s="167" t="s">
        <v>285</v>
      </c>
      <c r="Y39" t="s">
        <v>286</v>
      </c>
    </row>
    <row r="40" spans="1:25" x14ac:dyDescent="0.3">
      <c r="A40" s="218" t="s">
        <v>287</v>
      </c>
      <c r="B40" s="194">
        <v>0.7</v>
      </c>
      <c r="C40" s="237">
        <v>0.7</v>
      </c>
      <c r="D40" s="194">
        <v>0.7</v>
      </c>
      <c r="E40" s="237">
        <v>0.7</v>
      </c>
      <c r="F40" s="194">
        <v>0.7</v>
      </c>
      <c r="G40" s="237">
        <v>0.7</v>
      </c>
      <c r="H40" s="194">
        <v>0.7</v>
      </c>
      <c r="I40" s="237">
        <v>0.7</v>
      </c>
      <c r="J40" s="194">
        <v>0.7</v>
      </c>
      <c r="K40" s="237">
        <v>0.7</v>
      </c>
      <c r="L40" s="194">
        <v>0.7</v>
      </c>
      <c r="M40" s="237">
        <v>0.7</v>
      </c>
      <c r="N40" s="194">
        <v>0.7</v>
      </c>
      <c r="O40" s="237">
        <v>0.7</v>
      </c>
      <c r="P40" s="194">
        <v>0.7</v>
      </c>
      <c r="Q40" s="195">
        <v>0.7</v>
      </c>
      <c r="R40" s="194">
        <v>0.7</v>
      </c>
      <c r="S40" s="195">
        <v>0.7</v>
      </c>
      <c r="T40" s="6"/>
      <c r="U40" s="167" t="s">
        <v>288</v>
      </c>
      <c r="X40" t="s">
        <v>289</v>
      </c>
    </row>
    <row r="41" spans="1:25" x14ac:dyDescent="0.3">
      <c r="A41" s="218"/>
      <c r="B41" s="194"/>
      <c r="C41" s="237"/>
      <c r="D41" s="194"/>
      <c r="E41" s="237"/>
      <c r="F41" s="194"/>
      <c r="G41" s="237"/>
      <c r="H41" s="194"/>
      <c r="I41" s="237"/>
      <c r="J41" s="194"/>
      <c r="K41" s="237"/>
      <c r="L41" s="194"/>
      <c r="M41" s="237"/>
      <c r="N41" s="194"/>
      <c r="O41" s="237"/>
      <c r="P41" s="194"/>
      <c r="Q41" s="195"/>
      <c r="R41" s="194"/>
      <c r="S41" s="195"/>
      <c r="U41" s="167" t="s">
        <v>272</v>
      </c>
    </row>
    <row r="42" spans="1:25" x14ac:dyDescent="0.3">
      <c r="A42" s="220" t="s">
        <v>290</v>
      </c>
      <c r="B42" s="187"/>
      <c r="C42" s="106"/>
      <c r="D42" s="187"/>
      <c r="E42" s="106"/>
      <c r="F42" s="187"/>
      <c r="G42" s="106"/>
      <c r="H42" s="187"/>
      <c r="I42" s="106"/>
      <c r="J42" s="187"/>
      <c r="K42" s="106"/>
      <c r="L42" s="187"/>
      <c r="M42" s="106"/>
      <c r="N42" s="187"/>
      <c r="O42" s="106"/>
      <c r="P42" s="187"/>
      <c r="Q42" s="188"/>
      <c r="R42" s="187"/>
      <c r="S42" s="188"/>
    </row>
    <row r="43" spans="1:25" x14ac:dyDescent="0.3">
      <c r="A43" s="218" t="s">
        <v>273</v>
      </c>
      <c r="B43" s="229">
        <f>Production!$B$5*B6*$B$39</f>
        <v>0.1536734693871066</v>
      </c>
      <c r="C43" s="17">
        <f>(Production!$B$6+Production!$B$7)*C6*$C$39</f>
        <v>1.4702610127809708</v>
      </c>
      <c r="D43" s="229">
        <f>Production!$C$5*D6*$D$39</f>
        <v>0.16530612244828199</v>
      </c>
      <c r="E43" s="17">
        <f>(Production!$C$6+Production!$C$7)*E6*$E$39</f>
        <v>1.5815556711189724</v>
      </c>
      <c r="F43" s="229">
        <f>Production!$D$5*F6*$F$39</f>
        <v>8.1</v>
      </c>
      <c r="G43" s="17">
        <f>(Production!$D$6+Production!$D$7)*G6*$G$39</f>
        <v>77.496227885156685</v>
      </c>
      <c r="H43" s="229">
        <f>Production!$E$5*H6*$H$39</f>
        <v>8.1</v>
      </c>
      <c r="I43" s="17">
        <f>(Production!$E$6+Production!$E$7)*I6*$I$39</f>
        <v>77.496227885156685</v>
      </c>
      <c r="J43" s="229">
        <f>Production!$F$5*J6*$J$39</f>
        <v>8.1</v>
      </c>
      <c r="K43" s="17">
        <f>(Production!$F$6+Production!$F$7)*K6*$K$39</f>
        <v>77.496227885156685</v>
      </c>
      <c r="L43" s="229">
        <f>Production!$G$5*L6*$L$39</f>
        <v>8.1</v>
      </c>
      <c r="M43" s="17">
        <f>(Production!$G$6+Production!$G$7)*M6*$M$39</f>
        <v>77.496227885156685</v>
      </c>
      <c r="N43" s="229">
        <f>Production!$H$5*N6*$N$39</f>
        <v>8.1</v>
      </c>
      <c r="O43" s="17">
        <f>(Production!$H$6+Production!$H$7)*O6*$O$39</f>
        <v>0</v>
      </c>
      <c r="P43" s="229">
        <f>Production!$I$5*P6*$P$39</f>
        <v>8.1</v>
      </c>
      <c r="Q43" s="304">
        <f>(Production!$I$6+Production!$I$7)*Q6*$Q$39</f>
        <v>77.496227885156685</v>
      </c>
      <c r="R43" s="229">
        <f>Production!$I$5*R6*$P$39</f>
        <v>8.1</v>
      </c>
      <c r="S43" s="304">
        <f>(Production!$I$6+Production!$I$7)*S6*$Q$39</f>
        <v>77.496227885156685</v>
      </c>
      <c r="T43" s="6"/>
    </row>
    <row r="44" spans="1:25" x14ac:dyDescent="0.3">
      <c r="A44" s="218" t="s">
        <v>274</v>
      </c>
      <c r="B44" s="229">
        <f>Production!$B$5*B7*$B$39</f>
        <v>7.3763265305844303</v>
      </c>
      <c r="C44" s="17">
        <f>(Production!$B$6+Production!$B$7)*C7*$C$39</f>
        <v>70.572528613518301</v>
      </c>
      <c r="D44" s="229">
        <f>Production!$C$5*D7*$D$39</f>
        <v>7.9346938775210996</v>
      </c>
      <c r="E44" s="17">
        <f>(Production!$C$6+Production!$C$7)*E7*$E$39</f>
        <v>75.91467221374478</v>
      </c>
      <c r="F44" s="229">
        <f>Production!$D$5*F7*$F$39</f>
        <v>0</v>
      </c>
      <c r="G44" s="17">
        <f>(Production!$D$6+Production!$D$7)*G7*$G$39</f>
        <v>0</v>
      </c>
      <c r="H44" s="229">
        <f>Production!$E$5*H7*$H$39</f>
        <v>0</v>
      </c>
      <c r="I44" s="17">
        <f>(Production!$E$6+Production!$E$7)*I7*$I$39</f>
        <v>0</v>
      </c>
      <c r="J44" s="229">
        <f>Production!$F$5*J7*$J$39</f>
        <v>0</v>
      </c>
      <c r="K44" s="17">
        <f>(Production!$F$6+Production!$F$7)*K7*$K$39</f>
        <v>0</v>
      </c>
      <c r="L44" s="229">
        <f>Production!$G$5*L7*$L$39</f>
        <v>0</v>
      </c>
      <c r="M44" s="17">
        <f>(Production!$G$6+Production!$G$7)*M7*$M$39</f>
        <v>0</v>
      </c>
      <c r="N44" s="229">
        <f>Production!$H$5*N7*$N$39</f>
        <v>0</v>
      </c>
      <c r="O44" s="17">
        <f>(Production!$H$6+Production!$H$7)*O7*$O$39</f>
        <v>0</v>
      </c>
      <c r="P44" s="229">
        <f>Production!$I$5*P7*$P$39</f>
        <v>0</v>
      </c>
      <c r="Q44" s="304">
        <f>(Production!$I$6+Production!$I$7)*Q7*$Q$39</f>
        <v>0</v>
      </c>
      <c r="R44" s="229">
        <f>Production!$I$5*R7*$P$39</f>
        <v>0</v>
      </c>
      <c r="S44" s="304">
        <f>(Production!$I$6+Production!$I$7)*S7*$Q$39</f>
        <v>0</v>
      </c>
    </row>
    <row r="45" spans="1:25" x14ac:dyDescent="0.3">
      <c r="A45" s="218" t="s">
        <v>275</v>
      </c>
      <c r="B45" s="229">
        <f>Production!$B$5*B8*$B$39</f>
        <v>0</v>
      </c>
      <c r="C45" s="17">
        <f>(Production!$B$6+Production!$B$7)*C8*$C$39</f>
        <v>0</v>
      </c>
      <c r="D45" s="229">
        <f>Production!$C$5*D8*$D$39</f>
        <v>0</v>
      </c>
      <c r="E45" s="17">
        <f>(Production!$C$6+Production!$C$7)*E8*$E$39</f>
        <v>0</v>
      </c>
      <c r="F45" s="229">
        <f>Production!$D$5*F8*$F$39</f>
        <v>0</v>
      </c>
      <c r="G45" s="17">
        <f>(Production!$D$6+Production!$D$7)*G8*$G$39</f>
        <v>0</v>
      </c>
      <c r="H45" s="229">
        <f>Production!$E$5*H8*$H$39</f>
        <v>0</v>
      </c>
      <c r="I45" s="17">
        <f>(Production!$E$6+Production!$E$7)*I8*$I$39</f>
        <v>0</v>
      </c>
      <c r="J45" s="229">
        <f>Production!$F$5*J8*$J$39</f>
        <v>0</v>
      </c>
      <c r="K45" s="17">
        <f>(Production!$F$6+Production!$F$7)*K8*$K$39</f>
        <v>0</v>
      </c>
      <c r="L45" s="229">
        <f>Production!$G$5*L8*$L$39</f>
        <v>0</v>
      </c>
      <c r="M45" s="17">
        <f>(Production!$G$6+Production!$G$7)*M8*$M$39</f>
        <v>0</v>
      </c>
      <c r="N45" s="229">
        <f>Production!$H$5*N8*$N$39</f>
        <v>0</v>
      </c>
      <c r="O45" s="17">
        <f>(Production!$H$6+Production!$H$7)*O8*$O$39</f>
        <v>77.496227885156685</v>
      </c>
      <c r="P45" s="229">
        <f>Production!$I$5*P8*$P$39</f>
        <v>0</v>
      </c>
      <c r="Q45" s="304">
        <f>(Production!$I$6+Production!$I$7)*Q8*$Q$39</f>
        <v>0</v>
      </c>
      <c r="R45" s="229">
        <f>Production!$I$5*R8*$P$39</f>
        <v>0</v>
      </c>
      <c r="S45" s="304">
        <f>(Production!$I$6+Production!$I$7)*S8*$Q$39</f>
        <v>0</v>
      </c>
    </row>
    <row r="46" spans="1:25" x14ac:dyDescent="0.3">
      <c r="A46" s="218" t="s">
        <v>152</v>
      </c>
      <c r="B46" s="229">
        <f>Production!$B$5*B9*$B$39</f>
        <v>0</v>
      </c>
      <c r="C46" s="17">
        <f>(Production!$B$6+Production!$B$7)*C9*$C$39</f>
        <v>0</v>
      </c>
      <c r="D46" s="229">
        <f>Production!$C$5*D9*$D$39</f>
        <v>0</v>
      </c>
      <c r="E46" s="17">
        <f>(Production!$C$6+Production!$C$7)*E9*$E$39</f>
        <v>0</v>
      </c>
      <c r="F46" s="229">
        <f>Production!$D$5*F9*$F$39</f>
        <v>0</v>
      </c>
      <c r="G46" s="17">
        <f>(Production!$D$6+Production!$D$7)*G9*$G$39</f>
        <v>0</v>
      </c>
      <c r="H46" s="229">
        <f>Production!$E$5*H9*$H$39</f>
        <v>0</v>
      </c>
      <c r="I46" s="17">
        <f>(Production!$E$6+Production!$E$7)*I9*$I$39</f>
        <v>0</v>
      </c>
      <c r="J46" s="229">
        <f>Production!$F$5*J9*$J$39</f>
        <v>0</v>
      </c>
      <c r="K46" s="17">
        <f>(Production!$F$6+Production!$F$7)*K9*$K$39</f>
        <v>0</v>
      </c>
      <c r="L46" s="229">
        <f>Production!$G$5*L9*$L$39</f>
        <v>0</v>
      </c>
      <c r="M46" s="17">
        <f>(Production!$G$6+Production!$G$7)*M9*$M$39</f>
        <v>0</v>
      </c>
      <c r="N46" s="229">
        <f>Production!$H$5*N9*$N$39</f>
        <v>0</v>
      </c>
      <c r="O46" s="17">
        <f>(Production!$H$6+Production!$H$7)*O9*$O$39</f>
        <v>0</v>
      </c>
      <c r="P46" s="229">
        <f>Production!$I$5*P9*$P$39</f>
        <v>0</v>
      </c>
      <c r="Q46" s="304">
        <f>(Production!$I$6+Production!$I$7)*Q9*$Q$39</f>
        <v>0</v>
      </c>
      <c r="R46" s="229">
        <f>Production!$I$5*R9*$P$39</f>
        <v>0</v>
      </c>
      <c r="S46" s="304">
        <f>(Production!$I$6+Production!$I$7)*S9*$Q$39</f>
        <v>0</v>
      </c>
    </row>
    <row r="47" spans="1:25" x14ac:dyDescent="0.3">
      <c r="A47" s="218" t="s">
        <v>291</v>
      </c>
      <c r="B47" s="229"/>
      <c r="C47" s="17">
        <f>SUM(B43:C46)</f>
        <v>79.572789626270804</v>
      </c>
      <c r="D47" s="229"/>
      <c r="E47" s="17">
        <f>SUM(D43:E46)</f>
        <v>85.596227884833127</v>
      </c>
      <c r="F47" s="229"/>
      <c r="G47" s="17">
        <f>SUM(F43:G46)</f>
        <v>85.596227885156679</v>
      </c>
      <c r="H47" s="229"/>
      <c r="I47" s="17">
        <f>SUM(H43:I46)</f>
        <v>85.596227885156679</v>
      </c>
      <c r="J47" s="229"/>
      <c r="K47" s="17">
        <f>SUM(J43:K46)</f>
        <v>85.596227885156679</v>
      </c>
      <c r="L47" s="229"/>
      <c r="M47" s="17">
        <f>SUM(L43:M46)</f>
        <v>85.596227885156679</v>
      </c>
      <c r="N47" s="229"/>
      <c r="O47" s="17">
        <f>SUM(N43:O46)</f>
        <v>85.596227885156679</v>
      </c>
      <c r="P47" s="229"/>
      <c r="Q47" s="17">
        <f>SUM(P43:Q46)</f>
        <v>85.596227885156679</v>
      </c>
      <c r="R47" s="229"/>
      <c r="S47" s="304">
        <f>SUM(R43:S46)</f>
        <v>85.596227885156679</v>
      </c>
    </row>
    <row r="48" spans="1:25" x14ac:dyDescent="0.3">
      <c r="A48" s="218" t="s">
        <v>292</v>
      </c>
      <c r="B48" s="229"/>
      <c r="C48" s="17">
        <f>C47/Production!B23</f>
        <v>1.5606181692694137</v>
      </c>
      <c r="D48" s="229"/>
      <c r="E48" s="17">
        <f>E47/Production!C23</f>
        <v>1.4302616002049309</v>
      </c>
      <c r="F48" s="229"/>
      <c r="G48" s="17">
        <f>G47/Production!D23</f>
        <v>1.4320656521848136</v>
      </c>
      <c r="H48" s="229"/>
      <c r="I48" s="17">
        <f>I47/Production!E23</f>
        <v>1.4320656521848136</v>
      </c>
      <c r="J48" s="229"/>
      <c r="K48" s="17">
        <f>K47/Production!F23</f>
        <v>1.4302616002103372</v>
      </c>
      <c r="L48" s="229"/>
      <c r="M48" s="17">
        <f>M47/Production!G23</f>
        <v>1.4320656521848136</v>
      </c>
      <c r="N48" s="229"/>
      <c r="O48" s="17">
        <f>O47/Production!H23</f>
        <v>1.4159911835620567</v>
      </c>
      <c r="P48" s="229"/>
      <c r="Q48" s="17">
        <f>Q47/Production!I23</f>
        <v>1.6787526123678662</v>
      </c>
      <c r="R48" s="229"/>
      <c r="S48" s="304">
        <f>S47/Production!J23</f>
        <v>1.7459941802041301</v>
      </c>
    </row>
    <row r="49" spans="1:24" x14ac:dyDescent="0.3">
      <c r="A49" s="213"/>
      <c r="B49" s="179"/>
      <c r="D49" s="179"/>
      <c r="F49" s="179"/>
      <c r="H49" s="179"/>
      <c r="J49" s="179"/>
      <c r="L49" s="179"/>
      <c r="N49" s="179"/>
      <c r="P49" s="179"/>
      <c r="Q49" s="180"/>
      <c r="R49" s="179"/>
      <c r="S49" s="180"/>
    </row>
    <row r="50" spans="1:24" x14ac:dyDescent="0.3">
      <c r="A50" s="220" t="s">
        <v>293</v>
      </c>
      <c r="B50" s="187"/>
      <c r="C50" s="106"/>
      <c r="D50" s="187"/>
      <c r="E50" s="106"/>
      <c r="F50" s="187"/>
      <c r="G50" s="106"/>
      <c r="H50" s="187"/>
      <c r="I50" s="106"/>
      <c r="J50" s="187"/>
      <c r="K50" s="106"/>
      <c r="L50" s="187"/>
      <c r="M50" s="106"/>
      <c r="N50" s="187"/>
      <c r="O50" s="106"/>
      <c r="P50" s="187"/>
      <c r="Q50" s="188"/>
      <c r="R50" s="187"/>
      <c r="S50" s="188"/>
      <c r="U50" s="157" t="s">
        <v>294</v>
      </c>
    </row>
    <row r="51" spans="1:24" x14ac:dyDescent="0.3">
      <c r="A51" s="218" t="s">
        <v>273</v>
      </c>
      <c r="B51" s="196">
        <f>B43*$B$40</f>
        <v>0.10757142857097461</v>
      </c>
      <c r="C51" s="5">
        <f>C43*$C$40</f>
        <v>1.0291827089466794</v>
      </c>
      <c r="D51" s="196">
        <f>D43*$D$40</f>
        <v>0.11571428571379738</v>
      </c>
      <c r="E51" s="5">
        <f>E43*$E$40</f>
        <v>1.1070889697832806</v>
      </c>
      <c r="F51" s="196">
        <f>F43*$F$40</f>
        <v>5.669999999999999</v>
      </c>
      <c r="G51" s="5">
        <f>G43*$G$40</f>
        <v>54.247359519609674</v>
      </c>
      <c r="H51" s="196">
        <f>H43*$H$40</f>
        <v>5.669999999999999</v>
      </c>
      <c r="I51" s="5">
        <f>I43*$I$40</f>
        <v>54.247359519609674</v>
      </c>
      <c r="J51" s="196">
        <f>J43*$J$40</f>
        <v>5.669999999999999</v>
      </c>
      <c r="K51" s="5">
        <f>K43*$K$40</f>
        <v>54.247359519609674</v>
      </c>
      <c r="L51" s="196">
        <f>L43*$L$40</f>
        <v>5.669999999999999</v>
      </c>
      <c r="M51" s="5">
        <f>M43*$M$40</f>
        <v>54.247359519609674</v>
      </c>
      <c r="N51" s="196">
        <f>N43*$N$40</f>
        <v>5.669999999999999</v>
      </c>
      <c r="O51" s="5">
        <f>O43*$O$40</f>
        <v>0</v>
      </c>
      <c r="P51" s="196">
        <f>P43*$P$40</f>
        <v>5.669999999999999</v>
      </c>
      <c r="Q51" s="197">
        <f>Q43*$Q$40</f>
        <v>54.247359519609674</v>
      </c>
      <c r="R51" s="196">
        <f>R43*$P$40</f>
        <v>5.669999999999999</v>
      </c>
      <c r="S51" s="197">
        <f>S43*$Q$40</f>
        <v>54.247359519609674</v>
      </c>
    </row>
    <row r="52" spans="1:24" x14ac:dyDescent="0.3">
      <c r="A52" s="218" t="s">
        <v>274</v>
      </c>
      <c r="B52" s="196">
        <f>B44*$B$40</f>
        <v>5.1634285714091011</v>
      </c>
      <c r="C52" s="5">
        <f>C44*$C$40</f>
        <v>49.400770029462805</v>
      </c>
      <c r="D52" s="196">
        <f>D44*$D$40</f>
        <v>5.5542857142647692</v>
      </c>
      <c r="E52" s="5">
        <f>E44*$E$40</f>
        <v>53.140270549621341</v>
      </c>
      <c r="F52" s="196">
        <f>F44*$F$40</f>
        <v>0</v>
      </c>
      <c r="G52" s="5">
        <f>G44*$G$40</f>
        <v>0</v>
      </c>
      <c r="H52" s="196">
        <f>H44*$H$40</f>
        <v>0</v>
      </c>
      <c r="I52" s="5">
        <f>I44*$I$40</f>
        <v>0</v>
      </c>
      <c r="J52" s="196">
        <f>J44*$J$40</f>
        <v>0</v>
      </c>
      <c r="K52" s="5">
        <f>K44*$K$40</f>
        <v>0</v>
      </c>
      <c r="L52" s="196">
        <f>L44*$L$40</f>
        <v>0</v>
      </c>
      <c r="M52" s="5">
        <f>M44*$M$40</f>
        <v>0</v>
      </c>
      <c r="N52" s="196">
        <f>N44*$N$40</f>
        <v>0</v>
      </c>
      <c r="O52" s="5">
        <f>O44*$O$40</f>
        <v>0</v>
      </c>
      <c r="P52" s="196">
        <f t="shared" ref="P52" si="0">P44*$P$40</f>
        <v>0</v>
      </c>
      <c r="Q52" s="197">
        <f>Q44*$Q$40</f>
        <v>0</v>
      </c>
      <c r="R52" s="196">
        <f t="shared" ref="R52" si="1">R44*$P$40</f>
        <v>0</v>
      </c>
      <c r="S52" s="197">
        <f t="shared" ref="S52" si="2">S44*$Q$40</f>
        <v>0</v>
      </c>
    </row>
    <row r="53" spans="1:24" x14ac:dyDescent="0.3">
      <c r="A53" s="218" t="s">
        <v>275</v>
      </c>
      <c r="B53" s="196">
        <f>B45*$B$40</f>
        <v>0</v>
      </c>
      <c r="C53" s="5">
        <f>C45*$C$40</f>
        <v>0</v>
      </c>
      <c r="D53" s="196">
        <f>D45*$D$40</f>
        <v>0</v>
      </c>
      <c r="E53" s="5">
        <f>E45*$E$40</f>
        <v>0</v>
      </c>
      <c r="F53" s="196">
        <f>F45*$F$40</f>
        <v>0</v>
      </c>
      <c r="G53" s="5">
        <f>G45*$G$40</f>
        <v>0</v>
      </c>
      <c r="H53" s="196">
        <f>H45*$H$40</f>
        <v>0</v>
      </c>
      <c r="I53" s="5">
        <f>I45*$I$40</f>
        <v>0</v>
      </c>
      <c r="J53" s="196">
        <f>J45*$J$40</f>
        <v>0</v>
      </c>
      <c r="K53" s="5">
        <f>K45*$K$40</f>
        <v>0</v>
      </c>
      <c r="L53" s="196">
        <f>L45*$L$40</f>
        <v>0</v>
      </c>
      <c r="M53" s="5">
        <f>M45*$M$40</f>
        <v>0</v>
      </c>
      <c r="N53" s="196">
        <f>N45*$N$40</f>
        <v>0</v>
      </c>
      <c r="O53" s="5">
        <f>O45*$O$40</f>
        <v>54.247359519609674</v>
      </c>
      <c r="P53" s="196">
        <f>P45*$P$40</f>
        <v>0</v>
      </c>
      <c r="Q53" s="197">
        <f>Q45*$Q$40</f>
        <v>0</v>
      </c>
      <c r="R53" s="196">
        <f>R45*$P$40</f>
        <v>0</v>
      </c>
      <c r="S53" s="197">
        <f>S45*$Q$40</f>
        <v>0</v>
      </c>
    </row>
    <row r="54" spans="1:24" x14ac:dyDescent="0.3">
      <c r="A54" s="218" t="s">
        <v>152</v>
      </c>
      <c r="B54" s="196">
        <f>B46*$B$40</f>
        <v>0</v>
      </c>
      <c r="C54" s="5">
        <f>C46*$C$40</f>
        <v>0</v>
      </c>
      <c r="D54" s="196">
        <f>D46*$D$40</f>
        <v>0</v>
      </c>
      <c r="E54" s="5">
        <f>E46*$E$40</f>
        <v>0</v>
      </c>
      <c r="F54" s="196">
        <f>F46*$F$40</f>
        <v>0</v>
      </c>
      <c r="G54" s="5">
        <f>G46*$G$40</f>
        <v>0</v>
      </c>
      <c r="H54" s="196">
        <f>H46*$H$40</f>
        <v>0</v>
      </c>
      <c r="I54" s="5">
        <f>I46*$I$40</f>
        <v>0</v>
      </c>
      <c r="J54" s="196">
        <f>J46*$J$40</f>
        <v>0</v>
      </c>
      <c r="K54" s="5">
        <f>K46*$K$40</f>
        <v>0</v>
      </c>
      <c r="L54" s="196">
        <f>L46*$L$40</f>
        <v>0</v>
      </c>
      <c r="M54" s="5">
        <f>M46*$M$40</f>
        <v>0</v>
      </c>
      <c r="N54" s="196">
        <f>N46*$N$40</f>
        <v>0</v>
      </c>
      <c r="O54" s="5">
        <f>O46*$O$40</f>
        <v>0</v>
      </c>
      <c r="P54" s="196">
        <f>P46*$P$40</f>
        <v>0</v>
      </c>
      <c r="Q54" s="197">
        <f>Q46*$Q$40</f>
        <v>0</v>
      </c>
      <c r="R54" s="196">
        <f>R46*$P$40</f>
        <v>0</v>
      </c>
      <c r="S54" s="197">
        <f t="shared" ref="S54" si="3">S46*$Q$40</f>
        <v>0</v>
      </c>
    </row>
    <row r="55" spans="1:24" x14ac:dyDescent="0.3">
      <c r="A55" s="213"/>
      <c r="B55" s="179"/>
      <c r="D55" s="179"/>
      <c r="F55" s="179"/>
      <c r="H55" s="179"/>
      <c r="J55" s="179"/>
      <c r="L55" s="179"/>
      <c r="N55" s="179"/>
      <c r="P55" s="179"/>
      <c r="Q55" s="180"/>
      <c r="R55" s="179"/>
      <c r="S55" s="180"/>
    </row>
    <row r="56" spans="1:24" x14ac:dyDescent="0.3">
      <c r="A56" s="220" t="s">
        <v>295</v>
      </c>
      <c r="B56" s="187"/>
      <c r="C56" s="106"/>
      <c r="D56" s="187"/>
      <c r="E56" s="106"/>
      <c r="F56" s="187"/>
      <c r="G56" s="106"/>
      <c r="H56" s="187"/>
      <c r="I56" s="106"/>
      <c r="J56" s="187"/>
      <c r="K56" s="106"/>
      <c r="L56" s="187"/>
      <c r="M56" s="106"/>
      <c r="N56" s="187"/>
      <c r="O56" s="106"/>
      <c r="P56" s="187"/>
      <c r="Q56" s="188"/>
      <c r="R56" s="187"/>
      <c r="S56" s="188"/>
      <c r="U56" s="157" t="s">
        <v>296</v>
      </c>
    </row>
    <row r="57" spans="1:24" x14ac:dyDescent="0.3">
      <c r="A57" s="218" t="s">
        <v>273</v>
      </c>
      <c r="B57" s="196">
        <f t="shared" ref="B57:S57" si="4">B51*B62</f>
        <v>2.1514285714194923E-2</v>
      </c>
      <c r="C57" s="5">
        <f t="shared" si="4"/>
        <v>0.20583654178933589</v>
      </c>
      <c r="D57" s="196">
        <f t="shared" si="4"/>
        <v>2.3142857142759477E-2</v>
      </c>
      <c r="E57" s="5">
        <f t="shared" si="4"/>
        <v>0.22141779395665614</v>
      </c>
      <c r="F57" s="196">
        <f t="shared" si="4"/>
        <v>1.1339999999999999</v>
      </c>
      <c r="G57" s="5">
        <f t="shared" si="4"/>
        <v>10.849471903921936</v>
      </c>
      <c r="H57" s="196">
        <f t="shared" si="4"/>
        <v>1.1339999999999999</v>
      </c>
      <c r="I57" s="5">
        <f t="shared" si="4"/>
        <v>10.849471903921936</v>
      </c>
      <c r="J57" s="196">
        <f t="shared" si="4"/>
        <v>1.1339999999999999</v>
      </c>
      <c r="K57" s="5">
        <f t="shared" si="4"/>
        <v>10.849471903921936</v>
      </c>
      <c r="L57" s="196">
        <f t="shared" si="4"/>
        <v>1.1339999999999999</v>
      </c>
      <c r="M57" s="5">
        <f t="shared" si="4"/>
        <v>10.849471903921936</v>
      </c>
      <c r="N57" s="196">
        <f t="shared" si="4"/>
        <v>1.1339999999999999</v>
      </c>
      <c r="O57" s="5">
        <f t="shared" si="4"/>
        <v>0</v>
      </c>
      <c r="P57" s="196">
        <f t="shared" si="4"/>
        <v>1.1339999999999999</v>
      </c>
      <c r="Q57" s="197">
        <f t="shared" si="4"/>
        <v>10.849471903921936</v>
      </c>
      <c r="R57" s="196">
        <f t="shared" si="4"/>
        <v>1.1339999999999999</v>
      </c>
      <c r="S57" s="197">
        <f t="shared" si="4"/>
        <v>10.849471903921936</v>
      </c>
    </row>
    <row r="58" spans="1:24" x14ac:dyDescent="0.3">
      <c r="A58" s="218" t="s">
        <v>274</v>
      </c>
      <c r="B58" s="196">
        <f t="shared" ref="B58:S58" si="5">B52*B63</f>
        <v>2.1170057142777314</v>
      </c>
      <c r="C58" s="5">
        <f t="shared" si="5"/>
        <v>20.254315712079748</v>
      </c>
      <c r="D58" s="196">
        <f t="shared" si="5"/>
        <v>2.2772571428485553</v>
      </c>
      <c r="E58" s="5">
        <f t="shared" si="5"/>
        <v>21.787510925344748</v>
      </c>
      <c r="F58" s="196">
        <f t="shared" si="5"/>
        <v>0</v>
      </c>
      <c r="G58" s="5">
        <f t="shared" si="5"/>
        <v>0</v>
      </c>
      <c r="H58" s="196">
        <f t="shared" si="5"/>
        <v>0</v>
      </c>
      <c r="I58" s="5">
        <f t="shared" si="5"/>
        <v>0</v>
      </c>
      <c r="J58" s="196">
        <f t="shared" si="5"/>
        <v>0</v>
      </c>
      <c r="K58" s="5">
        <f t="shared" si="5"/>
        <v>0</v>
      </c>
      <c r="L58" s="196">
        <f t="shared" si="5"/>
        <v>0</v>
      </c>
      <c r="M58" s="5">
        <f t="shared" si="5"/>
        <v>0</v>
      </c>
      <c r="N58" s="196">
        <f t="shared" si="5"/>
        <v>0</v>
      </c>
      <c r="O58" s="5">
        <f t="shared" si="5"/>
        <v>0</v>
      </c>
      <c r="P58" s="196">
        <f t="shared" si="5"/>
        <v>0</v>
      </c>
      <c r="Q58" s="197">
        <f t="shared" si="5"/>
        <v>0</v>
      </c>
      <c r="R58" s="196">
        <f t="shared" si="5"/>
        <v>0</v>
      </c>
      <c r="S58" s="197">
        <f t="shared" si="5"/>
        <v>0</v>
      </c>
    </row>
    <row r="59" spans="1:24" x14ac:dyDescent="0.3">
      <c r="A59" s="218" t="s">
        <v>275</v>
      </c>
      <c r="B59" s="196">
        <f t="shared" ref="B59:S59" si="6">B53*B62</f>
        <v>0</v>
      </c>
      <c r="C59" s="5">
        <f t="shared" si="6"/>
        <v>0</v>
      </c>
      <c r="D59" s="196">
        <f t="shared" si="6"/>
        <v>0</v>
      </c>
      <c r="E59" s="5">
        <f t="shared" si="6"/>
        <v>0</v>
      </c>
      <c r="F59" s="196">
        <f t="shared" si="6"/>
        <v>0</v>
      </c>
      <c r="G59" s="5">
        <f t="shared" si="6"/>
        <v>0</v>
      </c>
      <c r="H59" s="196">
        <f t="shared" si="6"/>
        <v>0</v>
      </c>
      <c r="I59" s="5">
        <f t="shared" si="6"/>
        <v>0</v>
      </c>
      <c r="J59" s="196">
        <f t="shared" si="6"/>
        <v>0</v>
      </c>
      <c r="K59" s="5">
        <f t="shared" si="6"/>
        <v>0</v>
      </c>
      <c r="L59" s="196">
        <f t="shared" si="6"/>
        <v>0</v>
      </c>
      <c r="M59" s="5">
        <f t="shared" si="6"/>
        <v>0</v>
      </c>
      <c r="N59" s="196">
        <f t="shared" si="6"/>
        <v>0</v>
      </c>
      <c r="O59" s="5">
        <f t="shared" si="6"/>
        <v>10.849471903921936</v>
      </c>
      <c r="P59" s="196">
        <f t="shared" si="6"/>
        <v>0</v>
      </c>
      <c r="Q59" s="197">
        <f t="shared" si="6"/>
        <v>0</v>
      </c>
      <c r="R59" s="196">
        <f t="shared" si="6"/>
        <v>0</v>
      </c>
      <c r="S59" s="197">
        <f t="shared" si="6"/>
        <v>0</v>
      </c>
      <c r="U59" s="87" t="s">
        <v>297</v>
      </c>
    </row>
    <row r="60" spans="1:24" x14ac:dyDescent="0.3">
      <c r="A60" s="218" t="s">
        <v>123</v>
      </c>
      <c r="B60" s="196"/>
      <c r="C60" s="5">
        <f>SUM(B57:C59)</f>
        <v>22.598672253861011</v>
      </c>
      <c r="D60" s="196"/>
      <c r="E60" s="5">
        <f>SUM(D57:E59)</f>
        <v>24.309328719292719</v>
      </c>
      <c r="F60" s="196"/>
      <c r="G60" s="5">
        <f>SUM(F57:G59)</f>
        <v>11.983471903921936</v>
      </c>
      <c r="H60" s="196"/>
      <c r="I60" s="5">
        <f>SUM(H57:I59)</f>
        <v>11.983471903921936</v>
      </c>
      <c r="J60" s="196"/>
      <c r="K60" s="5">
        <f>SUM(J57:K59)</f>
        <v>11.983471903921936</v>
      </c>
      <c r="L60" s="196"/>
      <c r="M60" s="5">
        <f>SUM(L57:M59)</f>
        <v>11.983471903921936</v>
      </c>
      <c r="N60" s="196"/>
      <c r="O60" s="5">
        <f>SUM(N57:O59)</f>
        <v>11.983471903921936</v>
      </c>
      <c r="P60" s="196"/>
      <c r="Q60" s="197">
        <f>SUM(P57:Q59)</f>
        <v>11.983471903921936</v>
      </c>
      <c r="R60" s="196"/>
      <c r="S60" s="197">
        <f>SUM(R57:S59)</f>
        <v>11.983471903921936</v>
      </c>
      <c r="U60" s="87"/>
    </row>
    <row r="61" spans="1:24" x14ac:dyDescent="0.3">
      <c r="A61" s="218"/>
      <c r="B61" s="198"/>
      <c r="D61" s="198"/>
      <c r="F61" s="198"/>
      <c r="H61" s="198"/>
      <c r="J61" s="198"/>
      <c r="L61" s="198"/>
      <c r="N61" s="198"/>
      <c r="P61" s="198"/>
      <c r="Q61" s="180"/>
      <c r="R61" s="198"/>
      <c r="S61" s="180"/>
    </row>
    <row r="62" spans="1:24" x14ac:dyDescent="0.3">
      <c r="A62" s="221" t="s">
        <v>298</v>
      </c>
      <c r="B62" s="199">
        <v>0.2</v>
      </c>
      <c r="C62" s="14">
        <v>0.2</v>
      </c>
      <c r="D62" s="199">
        <v>0.2</v>
      </c>
      <c r="E62" s="14">
        <v>0.2</v>
      </c>
      <c r="F62" s="199">
        <v>0.2</v>
      </c>
      <c r="G62" s="14">
        <v>0.2</v>
      </c>
      <c r="H62" s="199">
        <v>0.2</v>
      </c>
      <c r="I62" s="14">
        <v>0.2</v>
      </c>
      <c r="J62" s="199">
        <v>0.2</v>
      </c>
      <c r="K62" s="14">
        <v>0.2</v>
      </c>
      <c r="L62" s="199">
        <v>0.2</v>
      </c>
      <c r="M62" s="14">
        <v>0.2</v>
      </c>
      <c r="N62" s="199">
        <v>0.2</v>
      </c>
      <c r="O62" s="14">
        <v>0.2</v>
      </c>
      <c r="P62" s="199">
        <v>0.2</v>
      </c>
      <c r="Q62" s="14">
        <v>0.2</v>
      </c>
      <c r="R62" s="199">
        <v>0.2</v>
      </c>
      <c r="S62" s="200">
        <v>0.2</v>
      </c>
      <c r="U62" s="167" t="s">
        <v>299</v>
      </c>
      <c r="X62" t="s">
        <v>300</v>
      </c>
    </row>
    <row r="63" spans="1:24" x14ac:dyDescent="0.3">
      <c r="A63" s="221" t="s">
        <v>301</v>
      </c>
      <c r="B63" s="199">
        <v>0.41</v>
      </c>
      <c r="C63" s="14">
        <v>0.41</v>
      </c>
      <c r="D63" s="199">
        <v>0.41</v>
      </c>
      <c r="E63" s="14">
        <v>0.41</v>
      </c>
      <c r="F63" s="199">
        <v>0.41</v>
      </c>
      <c r="G63" s="14">
        <v>0.41</v>
      </c>
      <c r="H63" s="199">
        <v>0.41</v>
      </c>
      <c r="I63" s="14">
        <v>0.41</v>
      </c>
      <c r="J63" s="199">
        <v>0.41</v>
      </c>
      <c r="K63" s="14">
        <v>0.41</v>
      </c>
      <c r="L63" s="199">
        <v>0.41</v>
      </c>
      <c r="M63" s="14">
        <v>0.41</v>
      </c>
      <c r="N63" s="199">
        <v>0.41</v>
      </c>
      <c r="O63" s="14">
        <v>0.41</v>
      </c>
      <c r="P63" s="199">
        <v>0.41</v>
      </c>
      <c r="Q63" s="14">
        <v>0.41</v>
      </c>
      <c r="R63" s="199">
        <v>0.41</v>
      </c>
      <c r="S63" s="200">
        <v>0.41</v>
      </c>
    </row>
    <row r="64" spans="1:24" x14ac:dyDescent="0.3">
      <c r="A64" s="213"/>
      <c r="B64" s="179"/>
      <c r="D64" s="179"/>
      <c r="E64" s="98"/>
      <c r="F64" s="179"/>
      <c r="H64" s="179"/>
      <c r="J64" s="179"/>
      <c r="L64" s="179"/>
      <c r="N64" s="179"/>
      <c r="P64" s="179"/>
      <c r="Q64" s="180"/>
      <c r="R64" s="179"/>
      <c r="S64" s="180"/>
    </row>
    <row r="65" spans="1:21" x14ac:dyDescent="0.3">
      <c r="A65" s="220" t="s">
        <v>302</v>
      </c>
      <c r="B65" s="187"/>
      <c r="C65" s="106"/>
      <c r="D65" s="187"/>
      <c r="E65" s="106"/>
      <c r="F65" s="187"/>
      <c r="G65" s="106"/>
      <c r="H65" s="187"/>
      <c r="I65" s="106"/>
      <c r="J65" s="187"/>
      <c r="K65" s="106"/>
      <c r="L65" s="187"/>
      <c r="M65" s="106"/>
      <c r="N65" s="187"/>
      <c r="O65" s="106"/>
      <c r="P65" s="187"/>
      <c r="Q65" s="188"/>
      <c r="R65" s="187"/>
      <c r="S65" s="188"/>
    </row>
    <row r="66" spans="1:21" x14ac:dyDescent="0.3">
      <c r="A66" s="218" t="s">
        <v>273</v>
      </c>
      <c r="B66" s="196">
        <f t="shared" ref="B66:S66" si="7">B51-B57</f>
        <v>8.6057142856779692E-2</v>
      </c>
      <c r="C66" s="10">
        <f t="shared" si="7"/>
        <v>0.82334616715734354</v>
      </c>
      <c r="D66" s="196">
        <f t="shared" si="7"/>
        <v>9.2571428571037909E-2</v>
      </c>
      <c r="E66" s="10">
        <f t="shared" si="7"/>
        <v>0.88567117582662447</v>
      </c>
      <c r="F66" s="196">
        <f t="shared" si="7"/>
        <v>4.5359999999999996</v>
      </c>
      <c r="G66" s="10">
        <f t="shared" si="7"/>
        <v>43.397887615687736</v>
      </c>
      <c r="H66" s="196">
        <f t="shared" si="7"/>
        <v>4.5359999999999996</v>
      </c>
      <c r="I66" s="10">
        <f t="shared" si="7"/>
        <v>43.397887615687736</v>
      </c>
      <c r="J66" s="196">
        <f t="shared" si="7"/>
        <v>4.5359999999999996</v>
      </c>
      <c r="K66" s="10">
        <f t="shared" si="7"/>
        <v>43.397887615687736</v>
      </c>
      <c r="L66" s="196">
        <f t="shared" si="7"/>
        <v>4.5359999999999996</v>
      </c>
      <c r="M66" s="10">
        <f t="shared" si="7"/>
        <v>43.397887615687736</v>
      </c>
      <c r="N66" s="196">
        <f t="shared" si="7"/>
        <v>4.5359999999999996</v>
      </c>
      <c r="O66" s="10">
        <f t="shared" si="7"/>
        <v>0</v>
      </c>
      <c r="P66" s="196">
        <f t="shared" si="7"/>
        <v>4.5359999999999996</v>
      </c>
      <c r="Q66" s="192">
        <f t="shared" si="7"/>
        <v>43.397887615687736</v>
      </c>
      <c r="R66" s="196">
        <f t="shared" si="7"/>
        <v>4.5359999999999996</v>
      </c>
      <c r="S66" s="192">
        <f t="shared" si="7"/>
        <v>43.397887615687736</v>
      </c>
    </row>
    <row r="67" spans="1:21" x14ac:dyDescent="0.3">
      <c r="A67" s="218" t="s">
        <v>274</v>
      </c>
      <c r="B67" s="196">
        <f t="shared" ref="B67:S67" si="8">B52-B58</f>
        <v>3.0464228571313696</v>
      </c>
      <c r="C67" s="10">
        <f t="shared" si="8"/>
        <v>29.146454317383057</v>
      </c>
      <c r="D67" s="196">
        <f t="shared" si="8"/>
        <v>3.277028571416214</v>
      </c>
      <c r="E67" s="10">
        <f t="shared" si="8"/>
        <v>31.352759624276594</v>
      </c>
      <c r="F67" s="196">
        <f t="shared" si="8"/>
        <v>0</v>
      </c>
      <c r="G67" s="10">
        <f t="shared" si="8"/>
        <v>0</v>
      </c>
      <c r="H67" s="196">
        <f t="shared" si="8"/>
        <v>0</v>
      </c>
      <c r="I67" s="10">
        <f t="shared" si="8"/>
        <v>0</v>
      </c>
      <c r="J67" s="196">
        <f t="shared" si="8"/>
        <v>0</v>
      </c>
      <c r="K67" s="10">
        <f t="shared" si="8"/>
        <v>0</v>
      </c>
      <c r="L67" s="196">
        <f t="shared" si="8"/>
        <v>0</v>
      </c>
      <c r="M67" s="10">
        <f t="shared" si="8"/>
        <v>0</v>
      </c>
      <c r="N67" s="196">
        <f t="shared" si="8"/>
        <v>0</v>
      </c>
      <c r="O67" s="10">
        <f t="shared" si="8"/>
        <v>0</v>
      </c>
      <c r="P67" s="196">
        <f t="shared" si="8"/>
        <v>0</v>
      </c>
      <c r="Q67" s="192">
        <f t="shared" si="8"/>
        <v>0</v>
      </c>
      <c r="R67" s="196">
        <f t="shared" si="8"/>
        <v>0</v>
      </c>
      <c r="S67" s="192">
        <f t="shared" si="8"/>
        <v>0</v>
      </c>
    </row>
    <row r="68" spans="1:21" x14ac:dyDescent="0.3">
      <c r="A68" s="218" t="s">
        <v>275</v>
      </c>
      <c r="B68" s="196">
        <f t="shared" ref="B68:S68" si="9">B53-B59</f>
        <v>0</v>
      </c>
      <c r="C68" s="10">
        <f t="shared" si="9"/>
        <v>0</v>
      </c>
      <c r="D68" s="196">
        <f t="shared" si="9"/>
        <v>0</v>
      </c>
      <c r="E68" s="10">
        <f t="shared" si="9"/>
        <v>0</v>
      </c>
      <c r="F68" s="196">
        <f t="shared" si="9"/>
        <v>0</v>
      </c>
      <c r="G68" s="10">
        <f t="shared" si="9"/>
        <v>0</v>
      </c>
      <c r="H68" s="196">
        <f t="shared" si="9"/>
        <v>0</v>
      </c>
      <c r="I68" s="10">
        <f t="shared" si="9"/>
        <v>0</v>
      </c>
      <c r="J68" s="196">
        <f t="shared" si="9"/>
        <v>0</v>
      </c>
      <c r="K68" s="10">
        <f t="shared" si="9"/>
        <v>0</v>
      </c>
      <c r="L68" s="196">
        <f t="shared" si="9"/>
        <v>0</v>
      </c>
      <c r="M68" s="10">
        <f t="shared" si="9"/>
        <v>0</v>
      </c>
      <c r="N68" s="196">
        <f t="shared" si="9"/>
        <v>0</v>
      </c>
      <c r="O68" s="10">
        <f t="shared" si="9"/>
        <v>43.397887615687736</v>
      </c>
      <c r="P68" s="196">
        <f t="shared" si="9"/>
        <v>0</v>
      </c>
      <c r="Q68" s="192">
        <f t="shared" si="9"/>
        <v>0</v>
      </c>
      <c r="R68" s="196">
        <f t="shared" si="9"/>
        <v>0</v>
      </c>
      <c r="S68" s="192">
        <f t="shared" si="9"/>
        <v>0</v>
      </c>
    </row>
    <row r="69" spans="1:21" x14ac:dyDescent="0.3">
      <c r="A69" s="213"/>
      <c r="B69" s="179"/>
      <c r="D69" s="179"/>
      <c r="F69" s="179"/>
      <c r="H69" s="179"/>
      <c r="J69" s="179"/>
      <c r="L69" s="179"/>
      <c r="N69" s="179"/>
      <c r="P69" s="179"/>
      <c r="Q69" s="180"/>
      <c r="R69" s="179"/>
      <c r="S69" s="180"/>
    </row>
    <row r="70" spans="1:21" x14ac:dyDescent="0.3">
      <c r="A70" s="220" t="s">
        <v>303</v>
      </c>
      <c r="B70" s="201"/>
      <c r="C70" s="106"/>
      <c r="D70" s="201"/>
      <c r="E70" s="106"/>
      <c r="F70" s="201"/>
      <c r="G70" s="106"/>
      <c r="H70" s="201"/>
      <c r="I70" s="106"/>
      <c r="J70" s="201"/>
      <c r="K70" s="106"/>
      <c r="L70" s="201"/>
      <c r="M70" s="106"/>
      <c r="N70" s="201"/>
      <c r="O70" s="106"/>
      <c r="P70" s="201"/>
      <c r="Q70" s="188"/>
      <c r="R70" s="201"/>
      <c r="S70" s="188"/>
      <c r="U70" s="157" t="s">
        <v>304</v>
      </c>
    </row>
    <row r="71" spans="1:21" x14ac:dyDescent="0.3">
      <c r="A71" s="218" t="s">
        <v>273</v>
      </c>
      <c r="B71" s="202">
        <f t="shared" ref="B71:Q71" si="10">B66</f>
        <v>8.6057142856779692E-2</v>
      </c>
      <c r="C71" s="17">
        <f t="shared" si="10"/>
        <v>0.82334616715734354</v>
      </c>
      <c r="D71" s="202">
        <f t="shared" si="10"/>
        <v>9.2571428571037909E-2</v>
      </c>
      <c r="E71" s="17">
        <f t="shared" si="10"/>
        <v>0.88567117582662447</v>
      </c>
      <c r="F71" s="202">
        <f t="shared" si="10"/>
        <v>4.5359999999999996</v>
      </c>
      <c r="G71" s="17">
        <f t="shared" si="10"/>
        <v>43.397887615687736</v>
      </c>
      <c r="H71" s="202">
        <f t="shared" si="10"/>
        <v>4.5359999999999996</v>
      </c>
      <c r="I71" s="17">
        <f t="shared" si="10"/>
        <v>43.397887615687736</v>
      </c>
      <c r="J71" s="202">
        <f t="shared" si="10"/>
        <v>4.5359999999999996</v>
      </c>
      <c r="K71" s="17">
        <f t="shared" si="10"/>
        <v>43.397887615687736</v>
      </c>
      <c r="L71" s="202">
        <f t="shared" si="10"/>
        <v>4.5359999999999996</v>
      </c>
      <c r="M71" s="17">
        <f t="shared" si="10"/>
        <v>43.397887615687736</v>
      </c>
      <c r="N71" s="202">
        <f t="shared" si="10"/>
        <v>4.5359999999999996</v>
      </c>
      <c r="O71" s="17">
        <f t="shared" si="10"/>
        <v>0</v>
      </c>
      <c r="P71" s="202">
        <f t="shared" si="10"/>
        <v>4.5359999999999996</v>
      </c>
      <c r="Q71" s="304">
        <f t="shared" si="10"/>
        <v>43.397887615687736</v>
      </c>
      <c r="R71" s="202">
        <f t="shared" ref="R71:S71" si="11">R66</f>
        <v>4.5359999999999996</v>
      </c>
      <c r="S71" s="304">
        <f t="shared" si="11"/>
        <v>43.397887615687736</v>
      </c>
    </row>
    <row r="72" spans="1:21" x14ac:dyDescent="0.3">
      <c r="A72" s="218" t="s">
        <v>274</v>
      </c>
      <c r="B72" s="196">
        <f t="shared" ref="B72:S72" si="12">B67+((B44-B52)*B75)</f>
        <v>3.2677126530489025</v>
      </c>
      <c r="C72" s="10">
        <f t="shared" si="12"/>
        <v>31.263630175788606</v>
      </c>
      <c r="D72" s="196">
        <f t="shared" si="12"/>
        <v>3.5150693877418471</v>
      </c>
      <c r="E72" s="10">
        <f t="shared" si="12"/>
        <v>33.630199790688934</v>
      </c>
      <c r="F72" s="196">
        <f t="shared" si="12"/>
        <v>0</v>
      </c>
      <c r="G72" s="10">
        <f t="shared" si="12"/>
        <v>0</v>
      </c>
      <c r="H72" s="196">
        <f t="shared" si="12"/>
        <v>0</v>
      </c>
      <c r="I72" s="10">
        <f t="shared" si="12"/>
        <v>0</v>
      </c>
      <c r="J72" s="196">
        <f t="shared" si="12"/>
        <v>0</v>
      </c>
      <c r="K72" s="10">
        <f t="shared" si="12"/>
        <v>0</v>
      </c>
      <c r="L72" s="196">
        <f t="shared" si="12"/>
        <v>0</v>
      </c>
      <c r="M72" s="10">
        <f t="shared" si="12"/>
        <v>0</v>
      </c>
      <c r="N72" s="196">
        <f t="shared" si="12"/>
        <v>0</v>
      </c>
      <c r="O72" s="10">
        <f t="shared" si="12"/>
        <v>0</v>
      </c>
      <c r="P72" s="196">
        <f t="shared" si="12"/>
        <v>0</v>
      </c>
      <c r="Q72" s="192">
        <f t="shared" si="12"/>
        <v>0</v>
      </c>
      <c r="R72" s="196">
        <f t="shared" si="12"/>
        <v>0</v>
      </c>
      <c r="S72" s="192">
        <f t="shared" si="12"/>
        <v>0</v>
      </c>
    </row>
    <row r="73" spans="1:21" x14ac:dyDescent="0.3">
      <c r="A73" s="218" t="s">
        <v>277</v>
      </c>
      <c r="B73" s="196">
        <f t="shared" ref="B73:Q73" si="13">B68</f>
        <v>0</v>
      </c>
      <c r="C73" s="10">
        <f t="shared" si="13"/>
        <v>0</v>
      </c>
      <c r="D73" s="196">
        <f t="shared" si="13"/>
        <v>0</v>
      </c>
      <c r="E73" s="10">
        <f t="shared" si="13"/>
        <v>0</v>
      </c>
      <c r="F73" s="196">
        <f t="shared" si="13"/>
        <v>0</v>
      </c>
      <c r="G73" s="10">
        <f t="shared" si="13"/>
        <v>0</v>
      </c>
      <c r="H73" s="196">
        <f t="shared" si="13"/>
        <v>0</v>
      </c>
      <c r="I73" s="10">
        <f t="shared" si="13"/>
        <v>0</v>
      </c>
      <c r="J73" s="196">
        <f t="shared" si="13"/>
        <v>0</v>
      </c>
      <c r="K73" s="10">
        <f t="shared" si="13"/>
        <v>0</v>
      </c>
      <c r="L73" s="196">
        <f t="shared" si="13"/>
        <v>0</v>
      </c>
      <c r="M73" s="10">
        <f t="shared" si="13"/>
        <v>0</v>
      </c>
      <c r="N73" s="196">
        <f t="shared" si="13"/>
        <v>0</v>
      </c>
      <c r="O73" s="10">
        <f t="shared" si="13"/>
        <v>43.397887615687736</v>
      </c>
      <c r="P73" s="196">
        <f t="shared" si="13"/>
        <v>0</v>
      </c>
      <c r="Q73" s="192">
        <f t="shared" si="13"/>
        <v>0</v>
      </c>
      <c r="R73" s="196">
        <f t="shared" ref="R73:S73" si="14">R68</f>
        <v>0</v>
      </c>
      <c r="S73" s="192">
        <f t="shared" si="14"/>
        <v>0</v>
      </c>
    </row>
    <row r="74" spans="1:21" x14ac:dyDescent="0.3">
      <c r="A74" s="213"/>
      <c r="B74" s="179"/>
      <c r="D74" s="179"/>
      <c r="F74" s="179"/>
      <c r="H74" s="179"/>
      <c r="J74" s="179"/>
      <c r="L74" s="179"/>
      <c r="N74" s="179"/>
      <c r="P74" s="179"/>
      <c r="Q74" s="180"/>
      <c r="R74" s="179"/>
      <c r="S74" s="180"/>
    </row>
    <row r="75" spans="1:21" x14ac:dyDescent="0.3">
      <c r="A75" s="218" t="s">
        <v>305</v>
      </c>
      <c r="B75" s="185">
        <v>0.1</v>
      </c>
      <c r="C75" s="12">
        <v>0.1</v>
      </c>
      <c r="D75" s="185">
        <v>0.1</v>
      </c>
      <c r="E75" s="12">
        <v>0.1</v>
      </c>
      <c r="F75" s="185">
        <v>0.1</v>
      </c>
      <c r="G75" s="12">
        <v>0.1</v>
      </c>
      <c r="H75" s="185">
        <v>0.1</v>
      </c>
      <c r="I75" s="12">
        <v>0.1</v>
      </c>
      <c r="J75" s="185">
        <v>0.1</v>
      </c>
      <c r="K75" s="12">
        <v>0.1</v>
      </c>
      <c r="L75" s="185">
        <v>0.1</v>
      </c>
      <c r="M75" s="12">
        <v>0.1</v>
      </c>
      <c r="N75" s="185">
        <v>0.1</v>
      </c>
      <c r="O75" s="12">
        <v>0.1</v>
      </c>
      <c r="P75" s="185">
        <v>0.1</v>
      </c>
      <c r="Q75" s="186">
        <v>0.1</v>
      </c>
      <c r="R75" s="185">
        <v>0.1</v>
      </c>
      <c r="S75" s="186">
        <v>0.1</v>
      </c>
      <c r="T75" s="12"/>
      <c r="U75" s="167" t="s">
        <v>306</v>
      </c>
    </row>
    <row r="76" spans="1:21" x14ac:dyDescent="0.3">
      <c r="A76" s="218" t="s">
        <v>307</v>
      </c>
      <c r="B76" s="185"/>
      <c r="C76" s="12"/>
      <c r="D76" s="185"/>
      <c r="E76" s="12"/>
      <c r="F76" s="185"/>
      <c r="G76" s="12"/>
      <c r="H76" s="185"/>
      <c r="I76" s="12"/>
      <c r="J76" s="185"/>
      <c r="K76" s="12"/>
      <c r="L76" s="185"/>
      <c r="M76" s="12"/>
      <c r="N76" s="185"/>
      <c r="O76" s="12"/>
      <c r="P76" s="185"/>
      <c r="Q76" s="186"/>
      <c r="R76" s="185"/>
      <c r="S76" s="186"/>
      <c r="T76" s="12"/>
      <c r="U76" s="167"/>
    </row>
    <row r="77" spans="1:21" x14ac:dyDescent="0.3">
      <c r="A77" s="213"/>
      <c r="B77" s="179"/>
      <c r="D77" s="179"/>
      <c r="F77" s="179"/>
      <c r="H77" s="179"/>
      <c r="J77" s="179"/>
      <c r="L77" s="179"/>
      <c r="N77" s="179"/>
      <c r="P77" s="179"/>
      <c r="Q77" s="180"/>
      <c r="R77" s="179"/>
      <c r="S77" s="180"/>
    </row>
    <row r="78" spans="1:21" x14ac:dyDescent="0.3">
      <c r="A78" s="223" t="s">
        <v>308</v>
      </c>
      <c r="B78" s="187"/>
      <c r="C78" s="106"/>
      <c r="D78" s="187"/>
      <c r="E78" s="106"/>
      <c r="F78" s="187"/>
      <c r="G78" s="106"/>
      <c r="H78" s="187"/>
      <c r="I78" s="106"/>
      <c r="J78" s="187"/>
      <c r="K78" s="106"/>
      <c r="L78" s="187"/>
      <c r="M78" s="106"/>
      <c r="N78" s="187"/>
      <c r="O78" s="106"/>
      <c r="P78" s="187"/>
      <c r="Q78" s="188"/>
      <c r="R78" s="187"/>
      <c r="S78" s="188"/>
      <c r="U78" s="157" t="s">
        <v>309</v>
      </c>
    </row>
    <row r="79" spans="1:21" x14ac:dyDescent="0.3">
      <c r="A79" s="218" t="s">
        <v>273</v>
      </c>
      <c r="B79" s="203">
        <f t="shared" ref="B79:S79" si="15">B71*B84</f>
        <v>6.8845714285423751E-3</v>
      </c>
      <c r="C79" s="4">
        <f t="shared" si="15"/>
        <v>6.586769337258748E-2</v>
      </c>
      <c r="D79" s="203">
        <f t="shared" si="15"/>
        <v>7.4057142856830327E-3</v>
      </c>
      <c r="E79" s="4">
        <f t="shared" si="15"/>
        <v>7.0853694066129957E-2</v>
      </c>
      <c r="F79" s="203">
        <f t="shared" si="15"/>
        <v>0.36287999999999998</v>
      </c>
      <c r="G79" s="4">
        <f t="shared" si="15"/>
        <v>3.4718310092550189</v>
      </c>
      <c r="H79" s="203">
        <f t="shared" si="15"/>
        <v>0.36287999999999998</v>
      </c>
      <c r="I79" s="4">
        <f t="shared" si="15"/>
        <v>3.4718310092550189</v>
      </c>
      <c r="J79" s="203">
        <f t="shared" si="15"/>
        <v>0.36287999999999998</v>
      </c>
      <c r="K79" s="4">
        <f t="shared" si="15"/>
        <v>3.4718310092550189</v>
      </c>
      <c r="L79" s="203">
        <f t="shared" si="15"/>
        <v>0.36287999999999998</v>
      </c>
      <c r="M79" s="4">
        <f t="shared" si="15"/>
        <v>3.4718310092550189</v>
      </c>
      <c r="N79" s="203">
        <f t="shared" si="15"/>
        <v>0.36287999999999998</v>
      </c>
      <c r="O79" s="4">
        <f t="shared" si="15"/>
        <v>0</v>
      </c>
      <c r="P79" s="203">
        <f t="shared" si="15"/>
        <v>0.36287999999999998</v>
      </c>
      <c r="Q79" s="193">
        <f t="shared" si="15"/>
        <v>3.4718310092550189</v>
      </c>
      <c r="R79" s="203">
        <f t="shared" si="15"/>
        <v>0.36287999999999998</v>
      </c>
      <c r="S79" s="193">
        <f t="shared" si="15"/>
        <v>3.4718310092550189</v>
      </c>
    </row>
    <row r="80" spans="1:21" x14ac:dyDescent="0.3">
      <c r="A80" s="218" t="s">
        <v>274</v>
      </c>
      <c r="B80" s="203">
        <f t="shared" ref="B80:S80" si="16">B72*B85</f>
        <v>0.45747977142684637</v>
      </c>
      <c r="C80" s="4">
        <f t="shared" si="16"/>
        <v>4.3769082246104052</v>
      </c>
      <c r="D80" s="203">
        <f t="shared" si="16"/>
        <v>0.49210971428385863</v>
      </c>
      <c r="E80" s="4">
        <f t="shared" si="16"/>
        <v>4.7082279706964512</v>
      </c>
      <c r="F80" s="203">
        <f t="shared" si="16"/>
        <v>0</v>
      </c>
      <c r="G80" s="4">
        <f t="shared" si="16"/>
        <v>0</v>
      </c>
      <c r="H80" s="203">
        <f t="shared" si="16"/>
        <v>0</v>
      </c>
      <c r="I80" s="4">
        <f t="shared" si="16"/>
        <v>0</v>
      </c>
      <c r="J80" s="203">
        <f t="shared" si="16"/>
        <v>0</v>
      </c>
      <c r="K80" s="4">
        <f t="shared" si="16"/>
        <v>0</v>
      </c>
      <c r="L80" s="203">
        <f t="shared" si="16"/>
        <v>0</v>
      </c>
      <c r="M80" s="4">
        <f t="shared" si="16"/>
        <v>0</v>
      </c>
      <c r="N80" s="203">
        <f t="shared" si="16"/>
        <v>0</v>
      </c>
      <c r="O80" s="4">
        <f t="shared" si="16"/>
        <v>0</v>
      </c>
      <c r="P80" s="203">
        <f t="shared" si="16"/>
        <v>0</v>
      </c>
      <c r="Q80" s="193">
        <f t="shared" si="16"/>
        <v>0</v>
      </c>
      <c r="R80" s="203">
        <f t="shared" si="16"/>
        <v>0</v>
      </c>
      <c r="S80" s="193">
        <f t="shared" si="16"/>
        <v>0</v>
      </c>
    </row>
    <row r="81" spans="1:25" x14ac:dyDescent="0.3">
      <c r="A81" s="218" t="s">
        <v>275</v>
      </c>
      <c r="B81" s="203">
        <f t="shared" ref="B81:S81" si="17">B73*B84</f>
        <v>0</v>
      </c>
      <c r="C81" s="4">
        <f t="shared" si="17"/>
        <v>0</v>
      </c>
      <c r="D81" s="203">
        <f t="shared" si="17"/>
        <v>0</v>
      </c>
      <c r="E81" s="4">
        <f t="shared" si="17"/>
        <v>0</v>
      </c>
      <c r="F81" s="203">
        <f t="shared" si="17"/>
        <v>0</v>
      </c>
      <c r="G81" s="4">
        <f t="shared" si="17"/>
        <v>0</v>
      </c>
      <c r="H81" s="203">
        <f t="shared" si="17"/>
        <v>0</v>
      </c>
      <c r="I81" s="4">
        <f t="shared" si="17"/>
        <v>0</v>
      </c>
      <c r="J81" s="203">
        <f t="shared" si="17"/>
        <v>0</v>
      </c>
      <c r="K81" s="4">
        <f t="shared" si="17"/>
        <v>0</v>
      </c>
      <c r="L81" s="203">
        <f t="shared" si="17"/>
        <v>0</v>
      </c>
      <c r="M81" s="4">
        <f t="shared" si="17"/>
        <v>0</v>
      </c>
      <c r="N81" s="203">
        <f t="shared" si="17"/>
        <v>0</v>
      </c>
      <c r="O81" s="4">
        <f t="shared" si="17"/>
        <v>3.4718310092550189</v>
      </c>
      <c r="P81" s="203">
        <f t="shared" si="17"/>
        <v>0</v>
      </c>
      <c r="Q81" s="193">
        <f t="shared" si="17"/>
        <v>0</v>
      </c>
      <c r="R81" s="203">
        <f t="shared" si="17"/>
        <v>0</v>
      </c>
      <c r="S81" s="193">
        <f t="shared" si="17"/>
        <v>0</v>
      </c>
      <c r="U81" s="87" t="s">
        <v>297</v>
      </c>
    </row>
    <row r="82" spans="1:25" x14ac:dyDescent="0.3">
      <c r="A82" s="218" t="s">
        <v>123</v>
      </c>
      <c r="B82" s="189"/>
      <c r="C82" s="115">
        <f>SUM(B79:C81)</f>
        <v>4.9071402608383812</v>
      </c>
      <c r="D82" s="189"/>
      <c r="E82" s="115">
        <f>SUM(D79:E81)</f>
        <v>5.2785970933321229</v>
      </c>
      <c r="F82" s="189"/>
      <c r="G82" s="115">
        <f>SUM(F79:G81)</f>
        <v>3.834711009255019</v>
      </c>
      <c r="H82" s="189"/>
      <c r="I82" s="115">
        <f>SUM(H79:I81)</f>
        <v>3.834711009255019</v>
      </c>
      <c r="J82" s="189"/>
      <c r="K82" s="115">
        <f>SUM(J79:K81)</f>
        <v>3.834711009255019</v>
      </c>
      <c r="L82" s="189"/>
      <c r="M82" s="115">
        <f>SUM(L79:M81)</f>
        <v>3.834711009255019</v>
      </c>
      <c r="N82" s="189"/>
      <c r="O82" s="115">
        <f>SUM(N79:O81)</f>
        <v>3.834711009255019</v>
      </c>
      <c r="P82" s="189"/>
      <c r="Q82" s="190">
        <f>SUM(P79:Q81)</f>
        <v>3.834711009255019</v>
      </c>
      <c r="R82" s="189"/>
      <c r="S82" s="190">
        <f>SUM(R79:S81)</f>
        <v>3.834711009255019</v>
      </c>
    </row>
    <row r="83" spans="1:25" x14ac:dyDescent="0.3">
      <c r="A83" s="218"/>
      <c r="B83" s="189"/>
      <c r="C83" s="115"/>
      <c r="D83" s="189"/>
      <c r="E83" s="115"/>
      <c r="F83" s="189"/>
      <c r="G83" s="115"/>
      <c r="H83" s="189"/>
      <c r="I83" s="115"/>
      <c r="J83" s="189"/>
      <c r="K83" s="115"/>
      <c r="L83" s="189"/>
      <c r="M83" s="115"/>
      <c r="N83" s="189"/>
      <c r="O83" s="115"/>
      <c r="P83" s="189"/>
      <c r="Q83" s="190"/>
      <c r="R83" s="189"/>
      <c r="S83" s="190"/>
      <c r="U83" s="87"/>
    </row>
    <row r="84" spans="1:25" x14ac:dyDescent="0.3">
      <c r="A84" s="221" t="s">
        <v>310</v>
      </c>
      <c r="B84" s="199">
        <v>0.08</v>
      </c>
      <c r="C84" s="14">
        <v>0.08</v>
      </c>
      <c r="D84" s="199">
        <v>0.08</v>
      </c>
      <c r="E84" s="14">
        <v>0.08</v>
      </c>
      <c r="F84" s="199">
        <v>0.08</v>
      </c>
      <c r="G84" s="14">
        <v>0.08</v>
      </c>
      <c r="H84" s="199">
        <v>0.08</v>
      </c>
      <c r="I84" s="14">
        <v>0.08</v>
      </c>
      <c r="J84" s="199">
        <v>0.08</v>
      </c>
      <c r="K84" s="14">
        <v>0.08</v>
      </c>
      <c r="L84" s="199">
        <v>0.08</v>
      </c>
      <c r="M84" s="14">
        <v>0.08</v>
      </c>
      <c r="N84" s="199">
        <v>0.08</v>
      </c>
      <c r="O84" s="14">
        <v>0.08</v>
      </c>
      <c r="P84" s="199">
        <v>0.08</v>
      </c>
      <c r="Q84" s="14">
        <v>0.08</v>
      </c>
      <c r="R84" s="199">
        <v>0.08</v>
      </c>
      <c r="S84" s="200">
        <v>0.08</v>
      </c>
      <c r="U84" s="167" t="s">
        <v>299</v>
      </c>
      <c r="X84" t="s">
        <v>300</v>
      </c>
    </row>
    <row r="85" spans="1:25" x14ac:dyDescent="0.3">
      <c r="A85" s="221" t="s">
        <v>311</v>
      </c>
      <c r="B85" s="199">
        <v>0.14000000000000001</v>
      </c>
      <c r="C85" s="14">
        <v>0.14000000000000001</v>
      </c>
      <c r="D85" s="199">
        <v>0.14000000000000001</v>
      </c>
      <c r="E85" s="14">
        <v>0.14000000000000001</v>
      </c>
      <c r="F85" s="199">
        <v>0.14000000000000001</v>
      </c>
      <c r="G85" s="14">
        <v>0.14000000000000001</v>
      </c>
      <c r="H85" s="199">
        <v>0.14000000000000001</v>
      </c>
      <c r="I85" s="14">
        <v>0.14000000000000001</v>
      </c>
      <c r="J85" s="199">
        <v>0.14000000000000001</v>
      </c>
      <c r="K85" s="14">
        <v>0.14000000000000001</v>
      </c>
      <c r="L85" s="199">
        <v>0.14000000000000001</v>
      </c>
      <c r="M85" s="14">
        <v>0.14000000000000001</v>
      </c>
      <c r="N85" s="199">
        <v>0.14000000000000001</v>
      </c>
      <c r="O85" s="14">
        <v>0.14000000000000001</v>
      </c>
      <c r="P85" s="199">
        <v>0.14000000000000001</v>
      </c>
      <c r="Q85" s="14">
        <v>0.14000000000000001</v>
      </c>
      <c r="R85" s="199">
        <v>0.14000000000000001</v>
      </c>
      <c r="S85" s="200">
        <v>0.14000000000000001</v>
      </c>
      <c r="U85" s="167" t="s">
        <v>299</v>
      </c>
    </row>
    <row r="86" spans="1:25" x14ac:dyDescent="0.3">
      <c r="A86" s="213"/>
      <c r="B86" s="179"/>
      <c r="D86" s="179"/>
      <c r="F86" s="179"/>
      <c r="H86" s="179"/>
      <c r="J86" s="179"/>
      <c r="L86" s="179"/>
      <c r="N86" s="179"/>
      <c r="P86" s="179"/>
      <c r="Q86" s="180"/>
      <c r="R86" s="179"/>
      <c r="S86" s="180"/>
    </row>
    <row r="87" spans="1:25" x14ac:dyDescent="0.3">
      <c r="A87" s="223" t="s">
        <v>312</v>
      </c>
      <c r="B87" s="187"/>
      <c r="C87" s="106"/>
      <c r="D87" s="187"/>
      <c r="E87" s="106"/>
      <c r="F87" s="187"/>
      <c r="G87" s="106"/>
      <c r="H87" s="187"/>
      <c r="I87" s="106"/>
      <c r="J87" s="187"/>
      <c r="K87" s="106"/>
      <c r="L87" s="187"/>
      <c r="M87" s="106"/>
      <c r="N87" s="187"/>
      <c r="O87" s="106"/>
      <c r="P87" s="187"/>
      <c r="Q87" s="188"/>
      <c r="R87" s="187"/>
      <c r="S87" s="188"/>
    </row>
    <row r="88" spans="1:25" x14ac:dyDescent="0.3">
      <c r="A88" s="218" t="s">
        <v>273</v>
      </c>
      <c r="B88" s="191">
        <f t="shared" ref="B88:S88" si="18">B71*B94</f>
        <v>1.7211428571355938E-4</v>
      </c>
      <c r="C88" s="10">
        <f t="shared" si="18"/>
        <v>1.6466923343146872E-3</v>
      </c>
      <c r="D88" s="191">
        <f t="shared" si="18"/>
        <v>1.8514285714207583E-4</v>
      </c>
      <c r="E88" s="10">
        <f t="shared" si="18"/>
        <v>1.771342351653249E-3</v>
      </c>
      <c r="F88" s="191">
        <f t="shared" si="18"/>
        <v>9.0720000000000002E-3</v>
      </c>
      <c r="G88" s="10">
        <f t="shared" si="18"/>
        <v>8.679577523137548E-2</v>
      </c>
      <c r="H88" s="191">
        <f t="shared" si="18"/>
        <v>9.0720000000000002E-3</v>
      </c>
      <c r="I88" s="10">
        <f t="shared" si="18"/>
        <v>8.679577523137548E-2</v>
      </c>
      <c r="J88" s="191">
        <f t="shared" si="18"/>
        <v>9.0720000000000002E-3</v>
      </c>
      <c r="K88" s="10">
        <f t="shared" si="18"/>
        <v>8.679577523137548E-2</v>
      </c>
      <c r="L88" s="191">
        <f t="shared" si="18"/>
        <v>9.0720000000000002E-3</v>
      </c>
      <c r="M88" s="10">
        <f t="shared" si="18"/>
        <v>8.679577523137548E-2</v>
      </c>
      <c r="N88" s="191">
        <f t="shared" si="18"/>
        <v>9.0720000000000002E-3</v>
      </c>
      <c r="O88" s="10">
        <f t="shared" si="18"/>
        <v>0</v>
      </c>
      <c r="P88" s="191">
        <f t="shared" si="18"/>
        <v>9.0720000000000002E-3</v>
      </c>
      <c r="Q88" s="192">
        <f t="shared" si="18"/>
        <v>8.679577523137548E-2</v>
      </c>
      <c r="R88" s="191">
        <f t="shared" si="18"/>
        <v>9.0720000000000002E-3</v>
      </c>
      <c r="S88" s="192">
        <f t="shared" si="18"/>
        <v>8.679577523137548E-2</v>
      </c>
    </row>
    <row r="89" spans="1:25" x14ac:dyDescent="0.3">
      <c r="A89" s="218" t="s">
        <v>274</v>
      </c>
      <c r="B89" s="191">
        <f t="shared" ref="B89:S89" si="19">B72*B95</f>
        <v>0</v>
      </c>
      <c r="C89" s="10">
        <f t="shared" si="19"/>
        <v>0</v>
      </c>
      <c r="D89" s="191">
        <f t="shared" si="19"/>
        <v>0</v>
      </c>
      <c r="E89" s="10">
        <f t="shared" si="19"/>
        <v>0</v>
      </c>
      <c r="F89" s="191">
        <f t="shared" si="19"/>
        <v>0</v>
      </c>
      <c r="G89" s="10">
        <f t="shared" si="19"/>
        <v>0</v>
      </c>
      <c r="H89" s="191">
        <f t="shared" si="19"/>
        <v>0</v>
      </c>
      <c r="I89" s="10">
        <f t="shared" si="19"/>
        <v>0</v>
      </c>
      <c r="J89" s="191">
        <f t="shared" si="19"/>
        <v>0</v>
      </c>
      <c r="K89" s="10">
        <f t="shared" si="19"/>
        <v>0</v>
      </c>
      <c r="L89" s="191">
        <f t="shared" si="19"/>
        <v>0</v>
      </c>
      <c r="M89" s="10">
        <f t="shared" si="19"/>
        <v>0</v>
      </c>
      <c r="N89" s="191">
        <f t="shared" si="19"/>
        <v>0</v>
      </c>
      <c r="O89" s="10">
        <f t="shared" si="19"/>
        <v>0</v>
      </c>
      <c r="P89" s="191">
        <f t="shared" si="19"/>
        <v>0</v>
      </c>
      <c r="Q89" s="192">
        <f t="shared" si="19"/>
        <v>0</v>
      </c>
      <c r="R89" s="191">
        <f t="shared" si="19"/>
        <v>0</v>
      </c>
      <c r="S89" s="192">
        <f t="shared" si="19"/>
        <v>0</v>
      </c>
    </row>
    <row r="90" spans="1:25" x14ac:dyDescent="0.3">
      <c r="A90" s="218" t="s">
        <v>275</v>
      </c>
      <c r="B90" s="191">
        <f t="shared" ref="B90:S90" si="20">B73*B94</f>
        <v>0</v>
      </c>
      <c r="C90" s="10">
        <f t="shared" si="20"/>
        <v>0</v>
      </c>
      <c r="D90" s="191">
        <f t="shared" si="20"/>
        <v>0</v>
      </c>
      <c r="E90" s="10">
        <f t="shared" si="20"/>
        <v>0</v>
      </c>
      <c r="F90" s="191">
        <f t="shared" si="20"/>
        <v>0</v>
      </c>
      <c r="G90" s="10">
        <f t="shared" si="20"/>
        <v>0</v>
      </c>
      <c r="H90" s="191">
        <f t="shared" si="20"/>
        <v>0</v>
      </c>
      <c r="I90" s="10">
        <f t="shared" si="20"/>
        <v>0</v>
      </c>
      <c r="J90" s="191">
        <f t="shared" si="20"/>
        <v>0</v>
      </c>
      <c r="K90" s="10">
        <f t="shared" si="20"/>
        <v>0</v>
      </c>
      <c r="L90" s="191">
        <f t="shared" si="20"/>
        <v>0</v>
      </c>
      <c r="M90" s="10">
        <f t="shared" si="20"/>
        <v>0</v>
      </c>
      <c r="N90" s="191">
        <f t="shared" si="20"/>
        <v>0</v>
      </c>
      <c r="O90" s="10">
        <f t="shared" si="20"/>
        <v>8.679577523137548E-2</v>
      </c>
      <c r="P90" s="191">
        <f t="shared" si="20"/>
        <v>0</v>
      </c>
      <c r="Q90" s="192">
        <f t="shared" si="20"/>
        <v>0</v>
      </c>
      <c r="R90" s="191">
        <f t="shared" si="20"/>
        <v>0</v>
      </c>
      <c r="S90" s="192">
        <f t="shared" si="20"/>
        <v>0</v>
      </c>
      <c r="U90" s="87" t="s">
        <v>297</v>
      </c>
    </row>
    <row r="91" spans="1:25" x14ac:dyDescent="0.3">
      <c r="A91" s="218" t="s">
        <v>123</v>
      </c>
      <c r="B91" s="191"/>
      <c r="C91" s="10">
        <f>SUM(B88:C90)</f>
        <v>1.8188066200282467E-3</v>
      </c>
      <c r="D91" s="191"/>
      <c r="E91" s="10">
        <f>SUM(D88:E90)</f>
        <v>1.9564852087953248E-3</v>
      </c>
      <c r="F91" s="191"/>
      <c r="G91" s="10">
        <f>SUM(F88:G90)</f>
        <v>9.5867775231375477E-2</v>
      </c>
      <c r="H91" s="191"/>
      <c r="I91" s="10">
        <f>SUM(H88:I90)</f>
        <v>9.5867775231375477E-2</v>
      </c>
      <c r="J91" s="191"/>
      <c r="K91" s="10">
        <f>SUM(J88:K90)</f>
        <v>9.5867775231375477E-2</v>
      </c>
      <c r="L91" s="191"/>
      <c r="M91" s="10">
        <f>SUM(L88:M90)</f>
        <v>9.5867775231375477E-2</v>
      </c>
      <c r="N91" s="191"/>
      <c r="O91" s="10">
        <f>SUM(N88:O90)</f>
        <v>9.5867775231375477E-2</v>
      </c>
      <c r="P91" s="191"/>
      <c r="Q91" s="192">
        <f>SUM(P88:Q90)</f>
        <v>9.5867775231375477E-2</v>
      </c>
      <c r="R91" s="191"/>
      <c r="S91" s="192">
        <f>SUM(R88:S90)</f>
        <v>9.5867775231375477E-2</v>
      </c>
    </row>
    <row r="92" spans="1:25" x14ac:dyDescent="0.3">
      <c r="A92" s="218" t="s">
        <v>313</v>
      </c>
      <c r="B92" s="377"/>
      <c r="C92" s="380">
        <f>C91/Production!B23</f>
        <v>3.5671272440428044E-5</v>
      </c>
      <c r="D92" s="381"/>
      <c r="E92" s="381">
        <f>E91/Production!C23</f>
        <v>3.2691693718955465E-5</v>
      </c>
      <c r="F92" s="377"/>
      <c r="G92" s="379">
        <f>G91/Production!D23</f>
        <v>1.6039135304469912E-3</v>
      </c>
      <c r="H92" s="377"/>
      <c r="I92" s="379">
        <f>I91/Production!E23</f>
        <v>1.6039135304469912E-3</v>
      </c>
      <c r="J92" s="377"/>
      <c r="K92" s="379">
        <f>K91/Production!F23</f>
        <v>1.6018929922355777E-3</v>
      </c>
      <c r="L92" s="377"/>
      <c r="M92" s="379">
        <f>M91/Production!G23</f>
        <v>1.6039135304469912E-3</v>
      </c>
      <c r="N92" s="377"/>
      <c r="O92" s="379">
        <f>O91/Production!H23</f>
        <v>1.5859101255895035E-3</v>
      </c>
      <c r="P92" s="377"/>
      <c r="Q92" s="378">
        <f>Q91/Production!I23</f>
        <v>1.8802029258520099E-3</v>
      </c>
      <c r="R92" s="377"/>
      <c r="S92" s="378">
        <f>S91/Production!J23</f>
        <v>1.9555134818286255E-3</v>
      </c>
    </row>
    <row r="93" spans="1:25" x14ac:dyDescent="0.3">
      <c r="A93" s="213"/>
      <c r="B93" s="179"/>
      <c r="D93" s="179"/>
      <c r="F93" s="179"/>
      <c r="H93" s="179"/>
      <c r="J93" s="179"/>
      <c r="L93" s="179"/>
      <c r="N93" s="179"/>
      <c r="P93" s="179"/>
      <c r="Q93" s="180"/>
      <c r="R93" s="179"/>
      <c r="S93" s="180"/>
    </row>
    <row r="94" spans="1:25" x14ac:dyDescent="0.3">
      <c r="A94" s="221" t="s">
        <v>314</v>
      </c>
      <c r="B94" s="375">
        <v>2E-3</v>
      </c>
      <c r="C94" s="71">
        <v>2E-3</v>
      </c>
      <c r="D94" s="375">
        <v>2E-3</v>
      </c>
      <c r="E94" s="71">
        <v>2E-3</v>
      </c>
      <c r="F94" s="375">
        <v>2E-3</v>
      </c>
      <c r="G94" s="71">
        <v>2E-3</v>
      </c>
      <c r="H94" s="375">
        <v>2E-3</v>
      </c>
      <c r="I94" s="71">
        <v>2E-3</v>
      </c>
      <c r="J94" s="375">
        <v>2E-3</v>
      </c>
      <c r="K94" s="71">
        <v>2E-3</v>
      </c>
      <c r="L94" s="375">
        <v>2E-3</v>
      </c>
      <c r="M94" s="71">
        <v>2E-3</v>
      </c>
      <c r="N94" s="375">
        <v>2E-3</v>
      </c>
      <c r="O94" s="71">
        <v>2E-3</v>
      </c>
      <c r="P94" s="375">
        <v>2E-3</v>
      </c>
      <c r="Q94" s="71">
        <v>2E-3</v>
      </c>
      <c r="R94" s="375">
        <v>2E-3</v>
      </c>
      <c r="S94" s="394">
        <v>2E-3</v>
      </c>
      <c r="T94" s="14"/>
      <c r="U94" s="167" t="s">
        <v>315</v>
      </c>
      <c r="V94" s="6"/>
      <c r="W94" s="6"/>
      <c r="Y94" s="87" t="s">
        <v>316</v>
      </c>
    </row>
    <row r="95" spans="1:25" x14ac:dyDescent="0.3">
      <c r="A95" s="221" t="s">
        <v>317</v>
      </c>
      <c r="B95" s="376">
        <v>0</v>
      </c>
      <c r="C95" s="204">
        <v>0</v>
      </c>
      <c r="D95" s="376">
        <v>0</v>
      </c>
      <c r="E95" s="204">
        <v>0</v>
      </c>
      <c r="F95" s="376">
        <v>0</v>
      </c>
      <c r="G95" s="204">
        <v>0</v>
      </c>
      <c r="H95" s="376">
        <v>0</v>
      </c>
      <c r="I95" s="204">
        <v>0</v>
      </c>
      <c r="J95" s="376">
        <v>0</v>
      </c>
      <c r="K95" s="204">
        <v>0</v>
      </c>
      <c r="L95" s="376">
        <v>0</v>
      </c>
      <c r="M95" s="204">
        <v>0</v>
      </c>
      <c r="N95" s="376">
        <v>0</v>
      </c>
      <c r="O95" s="204">
        <v>0</v>
      </c>
      <c r="P95" s="376">
        <v>0</v>
      </c>
      <c r="Q95" s="204">
        <v>0</v>
      </c>
      <c r="R95" s="376">
        <v>0</v>
      </c>
      <c r="S95" s="395">
        <v>0</v>
      </c>
      <c r="T95" s="204"/>
      <c r="U95" s="167" t="s">
        <v>318</v>
      </c>
    </row>
    <row r="96" spans="1:25" x14ac:dyDescent="0.3">
      <c r="A96" s="213"/>
      <c r="B96" s="179"/>
      <c r="D96" s="179"/>
      <c r="F96" s="179"/>
      <c r="H96" s="179"/>
      <c r="J96" s="179"/>
      <c r="L96" s="179"/>
      <c r="N96" s="179"/>
      <c r="P96" s="179"/>
      <c r="Q96" s="180"/>
      <c r="R96" s="179"/>
      <c r="S96" s="180"/>
    </row>
    <row r="97" spans="1:21" x14ac:dyDescent="0.3">
      <c r="A97" s="223" t="s">
        <v>319</v>
      </c>
      <c r="B97" s="187"/>
      <c r="C97" s="106"/>
      <c r="D97" s="187"/>
      <c r="E97" s="106"/>
      <c r="F97" s="187"/>
      <c r="G97" s="106"/>
      <c r="H97" s="187"/>
      <c r="I97" s="106"/>
      <c r="J97" s="187"/>
      <c r="K97" s="106"/>
      <c r="L97" s="187"/>
      <c r="M97" s="106"/>
      <c r="N97" s="187"/>
      <c r="O97" s="106"/>
      <c r="P97" s="187"/>
      <c r="Q97" s="188"/>
      <c r="R97" s="187"/>
      <c r="S97" s="188"/>
    </row>
    <row r="98" spans="1:21" x14ac:dyDescent="0.3">
      <c r="A98" s="218" t="s">
        <v>273</v>
      </c>
      <c r="B98" s="191">
        <f t="shared" ref="B98:S98" si="21">B71*(B102+B104)</f>
        <v>2.6677714285601704E-2</v>
      </c>
      <c r="C98" s="10">
        <f t="shared" si="21"/>
        <v>0.25523731181877651</v>
      </c>
      <c r="D98" s="191">
        <f t="shared" si="21"/>
        <v>2.8697142857021751E-2</v>
      </c>
      <c r="E98" s="10">
        <f t="shared" si="21"/>
        <v>0.27455806450625359</v>
      </c>
      <c r="F98" s="191">
        <f t="shared" si="21"/>
        <v>1.4061599999999999</v>
      </c>
      <c r="G98" s="10">
        <f t="shared" si="21"/>
        <v>13.453345160863199</v>
      </c>
      <c r="H98" s="191">
        <f t="shared" si="21"/>
        <v>1.4061599999999999</v>
      </c>
      <c r="I98" s="10">
        <f t="shared" si="21"/>
        <v>13.453345160863199</v>
      </c>
      <c r="J98" s="191">
        <f t="shared" si="21"/>
        <v>1.4061599999999999</v>
      </c>
      <c r="K98" s="10">
        <f t="shared" si="21"/>
        <v>13.453345160863199</v>
      </c>
      <c r="L98" s="191">
        <f t="shared" si="21"/>
        <v>1.4061599999999999</v>
      </c>
      <c r="M98" s="10">
        <f t="shared" si="21"/>
        <v>13.453345160863199</v>
      </c>
      <c r="N98" s="191">
        <f t="shared" si="21"/>
        <v>1.4061599999999999</v>
      </c>
      <c r="O98" s="10">
        <f t="shared" si="21"/>
        <v>0</v>
      </c>
      <c r="P98" s="191">
        <f t="shared" si="21"/>
        <v>1.4061599999999999</v>
      </c>
      <c r="Q98" s="192">
        <f t="shared" si="21"/>
        <v>13.453345160863199</v>
      </c>
      <c r="R98" s="191">
        <f t="shared" si="21"/>
        <v>1.4061599999999999</v>
      </c>
      <c r="S98" s="192">
        <f t="shared" si="21"/>
        <v>13.453345160863199</v>
      </c>
    </row>
    <row r="99" spans="1:21" x14ac:dyDescent="0.3">
      <c r="A99" s="218" t="s">
        <v>274</v>
      </c>
      <c r="B99" s="191">
        <f t="shared" ref="B99:S99" si="22">B72*(B103+B105)</f>
        <v>1.0129909224451597E-2</v>
      </c>
      <c r="C99" s="10">
        <f t="shared" si="22"/>
        <v>9.6917253544944681E-2</v>
      </c>
      <c r="D99" s="191">
        <f t="shared" si="22"/>
        <v>1.0896715101999726E-2</v>
      </c>
      <c r="E99" s="10">
        <f t="shared" si="22"/>
        <v>0.1042536193511357</v>
      </c>
      <c r="F99" s="191">
        <f t="shared" si="22"/>
        <v>0</v>
      </c>
      <c r="G99" s="10">
        <f t="shared" si="22"/>
        <v>0</v>
      </c>
      <c r="H99" s="191">
        <f t="shared" si="22"/>
        <v>0</v>
      </c>
      <c r="I99" s="10">
        <f t="shared" si="22"/>
        <v>0</v>
      </c>
      <c r="J99" s="191">
        <f t="shared" si="22"/>
        <v>0</v>
      </c>
      <c r="K99" s="10">
        <f t="shared" si="22"/>
        <v>0</v>
      </c>
      <c r="L99" s="191">
        <f t="shared" si="22"/>
        <v>0</v>
      </c>
      <c r="M99" s="10">
        <f t="shared" si="22"/>
        <v>0</v>
      </c>
      <c r="N99" s="191">
        <f t="shared" si="22"/>
        <v>0</v>
      </c>
      <c r="O99" s="10">
        <f t="shared" si="22"/>
        <v>0</v>
      </c>
      <c r="P99" s="191">
        <f t="shared" si="22"/>
        <v>0</v>
      </c>
      <c r="Q99" s="192">
        <f t="shared" si="22"/>
        <v>0</v>
      </c>
      <c r="R99" s="191">
        <f t="shared" si="22"/>
        <v>0</v>
      </c>
      <c r="S99" s="192">
        <f t="shared" si="22"/>
        <v>0</v>
      </c>
    </row>
    <row r="100" spans="1:21" x14ac:dyDescent="0.3">
      <c r="A100" s="218" t="s">
        <v>275</v>
      </c>
      <c r="B100" s="191">
        <f t="shared" ref="B100:S100" si="23">B73*(B102+B104)</f>
        <v>0</v>
      </c>
      <c r="C100" s="10">
        <f t="shared" si="23"/>
        <v>0</v>
      </c>
      <c r="D100" s="191">
        <f t="shared" si="23"/>
        <v>0</v>
      </c>
      <c r="E100" s="10">
        <f t="shared" si="23"/>
        <v>0</v>
      </c>
      <c r="F100" s="191">
        <f t="shared" si="23"/>
        <v>0</v>
      </c>
      <c r="G100" s="10">
        <f t="shared" si="23"/>
        <v>0</v>
      </c>
      <c r="H100" s="191">
        <f t="shared" si="23"/>
        <v>0</v>
      </c>
      <c r="I100" s="10">
        <f t="shared" si="23"/>
        <v>0</v>
      </c>
      <c r="J100" s="191">
        <f t="shared" si="23"/>
        <v>0</v>
      </c>
      <c r="K100" s="10">
        <f t="shared" si="23"/>
        <v>0</v>
      </c>
      <c r="L100" s="191">
        <f t="shared" si="23"/>
        <v>0</v>
      </c>
      <c r="M100" s="10">
        <f t="shared" si="23"/>
        <v>0</v>
      </c>
      <c r="N100" s="191">
        <f t="shared" si="23"/>
        <v>0</v>
      </c>
      <c r="O100" s="10">
        <f t="shared" si="23"/>
        <v>13.453345160863199</v>
      </c>
      <c r="P100" s="191">
        <f t="shared" si="23"/>
        <v>0</v>
      </c>
      <c r="Q100" s="192">
        <f t="shared" si="23"/>
        <v>0</v>
      </c>
      <c r="R100" s="191">
        <f t="shared" si="23"/>
        <v>0</v>
      </c>
      <c r="S100" s="192">
        <f t="shared" si="23"/>
        <v>0</v>
      </c>
      <c r="U100" s="87" t="s">
        <v>297</v>
      </c>
    </row>
    <row r="101" spans="1:21" x14ac:dyDescent="0.3">
      <c r="A101" s="213"/>
      <c r="B101" s="179"/>
      <c r="D101" s="179"/>
      <c r="F101" s="179"/>
      <c r="H101" s="179"/>
      <c r="J101" s="179"/>
      <c r="L101" s="179"/>
      <c r="N101" s="179"/>
      <c r="P101" s="179"/>
      <c r="Q101" s="180"/>
      <c r="R101" s="179"/>
      <c r="S101" s="180"/>
    </row>
    <row r="102" spans="1:21" x14ac:dyDescent="0.3">
      <c r="A102" s="221" t="s">
        <v>320</v>
      </c>
      <c r="B102" s="199">
        <v>0.01</v>
      </c>
      <c r="C102" s="14">
        <v>0.01</v>
      </c>
      <c r="D102" s="199">
        <v>0.01</v>
      </c>
      <c r="E102" s="14">
        <v>0.01</v>
      </c>
      <c r="F102" s="199">
        <v>0.01</v>
      </c>
      <c r="G102" s="14">
        <v>0.01</v>
      </c>
      <c r="H102" s="199">
        <v>0.01</v>
      </c>
      <c r="I102" s="14">
        <v>0.01</v>
      </c>
      <c r="J102" s="199">
        <v>0.01</v>
      </c>
      <c r="K102" s="14">
        <v>0.01</v>
      </c>
      <c r="L102" s="199">
        <v>0.01</v>
      </c>
      <c r="M102" s="14">
        <v>0.01</v>
      </c>
      <c r="N102" s="199">
        <v>0.01</v>
      </c>
      <c r="O102" s="14">
        <v>0.01</v>
      </c>
      <c r="P102" s="199">
        <v>0.01</v>
      </c>
      <c r="Q102" s="200">
        <v>0.01</v>
      </c>
      <c r="R102" s="199">
        <v>0.01</v>
      </c>
      <c r="S102" s="200">
        <v>0.01</v>
      </c>
      <c r="U102" s="167" t="s">
        <v>321</v>
      </c>
    </row>
    <row r="103" spans="1:21" x14ac:dyDescent="0.3">
      <c r="A103" s="221" t="s">
        <v>322</v>
      </c>
      <c r="B103" s="205">
        <v>1E-4</v>
      </c>
      <c r="C103" s="130">
        <v>1E-4</v>
      </c>
      <c r="D103" s="205">
        <v>1E-4</v>
      </c>
      <c r="E103" s="130">
        <v>1E-4</v>
      </c>
      <c r="F103" s="205">
        <v>1E-4</v>
      </c>
      <c r="G103" s="130">
        <v>1E-4</v>
      </c>
      <c r="H103" s="205">
        <v>1E-4</v>
      </c>
      <c r="I103" s="130">
        <v>1E-4</v>
      </c>
      <c r="J103" s="205">
        <v>1E-4</v>
      </c>
      <c r="K103" s="130">
        <v>1E-4</v>
      </c>
      <c r="L103" s="205">
        <v>1E-4</v>
      </c>
      <c r="M103" s="130">
        <v>1E-4</v>
      </c>
      <c r="N103" s="205">
        <v>1E-4</v>
      </c>
      <c r="O103" s="130">
        <v>1E-4</v>
      </c>
      <c r="P103" s="205">
        <v>1E-4</v>
      </c>
      <c r="Q103" s="206">
        <v>1E-4</v>
      </c>
      <c r="R103" s="205">
        <v>1E-4</v>
      </c>
      <c r="S103" s="206">
        <v>1E-4</v>
      </c>
      <c r="U103" s="167" t="s">
        <v>321</v>
      </c>
    </row>
    <row r="104" spans="1:21" x14ac:dyDescent="0.3">
      <c r="A104" s="221" t="s">
        <v>323</v>
      </c>
      <c r="B104" s="185">
        <v>0.3</v>
      </c>
      <c r="C104" s="12">
        <v>0.3</v>
      </c>
      <c r="D104" s="185">
        <v>0.3</v>
      </c>
      <c r="E104" s="12">
        <v>0.3</v>
      </c>
      <c r="F104" s="185">
        <v>0.3</v>
      </c>
      <c r="G104" s="12">
        <v>0.3</v>
      </c>
      <c r="H104" s="185">
        <v>0.3</v>
      </c>
      <c r="I104" s="12">
        <v>0.3</v>
      </c>
      <c r="J104" s="185">
        <v>0.3</v>
      </c>
      <c r="K104" s="12">
        <v>0.3</v>
      </c>
      <c r="L104" s="185">
        <v>0.3</v>
      </c>
      <c r="M104" s="12">
        <v>0.3</v>
      </c>
      <c r="N104" s="185">
        <v>0.3</v>
      </c>
      <c r="O104" s="12">
        <v>0.3</v>
      </c>
      <c r="P104" s="185">
        <v>0.3</v>
      </c>
      <c r="Q104" s="186">
        <v>0.3</v>
      </c>
      <c r="R104" s="185">
        <v>0.3</v>
      </c>
      <c r="S104" s="186">
        <v>0.3</v>
      </c>
      <c r="U104" s="167" t="s">
        <v>321</v>
      </c>
    </row>
    <row r="105" spans="1:21" x14ac:dyDescent="0.3">
      <c r="A105" s="221" t="s">
        <v>324</v>
      </c>
      <c r="B105" s="185">
        <v>3.0000000000000001E-3</v>
      </c>
      <c r="C105" s="12">
        <v>3.0000000000000001E-3</v>
      </c>
      <c r="D105" s="185">
        <v>3.0000000000000001E-3</v>
      </c>
      <c r="E105" s="12">
        <v>3.0000000000000001E-3</v>
      </c>
      <c r="F105" s="185">
        <v>3.0000000000000001E-3</v>
      </c>
      <c r="G105" s="12">
        <v>3.0000000000000001E-3</v>
      </c>
      <c r="H105" s="185">
        <v>3.0000000000000001E-3</v>
      </c>
      <c r="I105" s="12">
        <v>3.0000000000000001E-3</v>
      </c>
      <c r="J105" s="185">
        <v>3.0000000000000001E-3</v>
      </c>
      <c r="K105" s="12">
        <v>3.0000000000000001E-3</v>
      </c>
      <c r="L105" s="185">
        <v>3.0000000000000001E-3</v>
      </c>
      <c r="M105" s="12">
        <v>3.0000000000000001E-3</v>
      </c>
      <c r="N105" s="185">
        <v>3.0000000000000001E-3</v>
      </c>
      <c r="O105" s="12">
        <v>3.0000000000000001E-3</v>
      </c>
      <c r="P105" s="185">
        <v>3.0000000000000001E-3</v>
      </c>
      <c r="Q105" s="186">
        <v>3.0000000000000001E-3</v>
      </c>
      <c r="R105" s="185">
        <v>3.0000000000000001E-3</v>
      </c>
      <c r="S105" s="186">
        <v>3.0000000000000001E-3</v>
      </c>
      <c r="U105" s="167" t="s">
        <v>321</v>
      </c>
    </row>
    <row r="106" spans="1:21" x14ac:dyDescent="0.3">
      <c r="A106" s="213"/>
      <c r="B106" s="179"/>
      <c r="D106" s="179"/>
      <c r="F106" s="179"/>
      <c r="H106" s="179"/>
      <c r="J106" s="179"/>
      <c r="L106" s="179"/>
      <c r="N106" s="179"/>
      <c r="P106" s="179"/>
      <c r="Q106" s="180"/>
      <c r="R106" s="179"/>
      <c r="S106" s="180"/>
    </row>
    <row r="107" spans="1:21" x14ac:dyDescent="0.3">
      <c r="A107" s="220" t="s">
        <v>325</v>
      </c>
      <c r="B107" s="187"/>
      <c r="C107" s="106"/>
      <c r="D107" s="187"/>
      <c r="E107" s="106"/>
      <c r="F107" s="187"/>
      <c r="G107" s="106"/>
      <c r="H107" s="187"/>
      <c r="I107" s="106"/>
      <c r="J107" s="187"/>
      <c r="K107" s="106"/>
      <c r="L107" s="187"/>
      <c r="M107" s="106"/>
      <c r="N107" s="187"/>
      <c r="O107" s="106"/>
      <c r="P107" s="187"/>
      <c r="Q107" s="188"/>
      <c r="R107" s="187"/>
      <c r="S107" s="188"/>
    </row>
    <row r="108" spans="1:21" x14ac:dyDescent="0.3">
      <c r="A108" s="218" t="s">
        <v>273</v>
      </c>
      <c r="B108" s="196">
        <f t="shared" ref="B108:S108" si="24">B71-B79-B88-B98</f>
        <v>5.2322742856922053E-2</v>
      </c>
      <c r="C108" s="5">
        <f t="shared" si="24"/>
        <v>0.50059446963166487</v>
      </c>
      <c r="D108" s="196">
        <f t="shared" si="24"/>
        <v>5.6283428571191049E-2</v>
      </c>
      <c r="E108" s="5">
        <f t="shared" si="24"/>
        <v>0.53848807490258777</v>
      </c>
      <c r="F108" s="196">
        <f t="shared" si="24"/>
        <v>2.7578880000000003</v>
      </c>
      <c r="G108" s="5">
        <f t="shared" si="24"/>
        <v>26.385915670338143</v>
      </c>
      <c r="H108" s="196">
        <f t="shared" si="24"/>
        <v>2.7578880000000003</v>
      </c>
      <c r="I108" s="5">
        <f t="shared" si="24"/>
        <v>26.385915670338143</v>
      </c>
      <c r="J108" s="196">
        <f t="shared" si="24"/>
        <v>2.7578880000000003</v>
      </c>
      <c r="K108" s="5">
        <f t="shared" si="24"/>
        <v>26.385915670338143</v>
      </c>
      <c r="L108" s="196">
        <f t="shared" si="24"/>
        <v>2.7578880000000003</v>
      </c>
      <c r="M108" s="5">
        <f t="shared" si="24"/>
        <v>26.385915670338143</v>
      </c>
      <c r="N108" s="196">
        <f t="shared" si="24"/>
        <v>2.7578880000000003</v>
      </c>
      <c r="O108" s="5">
        <f t="shared" si="24"/>
        <v>0</v>
      </c>
      <c r="P108" s="196">
        <f t="shared" si="24"/>
        <v>2.7578880000000003</v>
      </c>
      <c r="Q108" s="197">
        <f t="shared" si="24"/>
        <v>26.385915670338143</v>
      </c>
      <c r="R108" s="196">
        <f t="shared" si="24"/>
        <v>2.7578880000000003</v>
      </c>
      <c r="S108" s="197">
        <f t="shared" si="24"/>
        <v>26.385915670338143</v>
      </c>
    </row>
    <row r="109" spans="1:21" x14ac:dyDescent="0.3">
      <c r="A109" s="218" t="s">
        <v>274</v>
      </c>
      <c r="B109" s="196">
        <f t="shared" ref="B109:S109" si="25">B72-B80-B89-B99</f>
        <v>2.8001029723976045</v>
      </c>
      <c r="C109" s="5">
        <f t="shared" si="25"/>
        <v>26.789804697633258</v>
      </c>
      <c r="D109" s="196">
        <f t="shared" si="25"/>
        <v>3.0120629583559886</v>
      </c>
      <c r="E109" s="5">
        <f t="shared" si="25"/>
        <v>28.817718200641345</v>
      </c>
      <c r="F109" s="196">
        <f t="shared" si="25"/>
        <v>0</v>
      </c>
      <c r="G109" s="5">
        <f t="shared" si="25"/>
        <v>0</v>
      </c>
      <c r="H109" s="196">
        <f t="shared" si="25"/>
        <v>0</v>
      </c>
      <c r="I109" s="5">
        <f t="shared" si="25"/>
        <v>0</v>
      </c>
      <c r="J109" s="196">
        <f t="shared" si="25"/>
        <v>0</v>
      </c>
      <c r="K109" s="5">
        <f t="shared" si="25"/>
        <v>0</v>
      </c>
      <c r="L109" s="196">
        <f t="shared" si="25"/>
        <v>0</v>
      </c>
      <c r="M109" s="5">
        <f t="shared" si="25"/>
        <v>0</v>
      </c>
      <c r="N109" s="196">
        <f t="shared" si="25"/>
        <v>0</v>
      </c>
      <c r="O109" s="5">
        <f t="shared" si="25"/>
        <v>0</v>
      </c>
      <c r="P109" s="196">
        <f t="shared" si="25"/>
        <v>0</v>
      </c>
      <c r="Q109" s="197">
        <f t="shared" si="25"/>
        <v>0</v>
      </c>
      <c r="R109" s="196">
        <f t="shared" si="25"/>
        <v>0</v>
      </c>
      <c r="S109" s="197">
        <f t="shared" si="25"/>
        <v>0</v>
      </c>
    </row>
    <row r="110" spans="1:21" x14ac:dyDescent="0.3">
      <c r="A110" s="218" t="s">
        <v>275</v>
      </c>
      <c r="B110" s="196">
        <f t="shared" ref="B110:S110" si="26">B73-B81-B90-B100</f>
        <v>0</v>
      </c>
      <c r="C110" s="5">
        <f t="shared" si="26"/>
        <v>0</v>
      </c>
      <c r="D110" s="196">
        <f t="shared" si="26"/>
        <v>0</v>
      </c>
      <c r="E110" s="5">
        <f t="shared" si="26"/>
        <v>0</v>
      </c>
      <c r="F110" s="196">
        <f t="shared" si="26"/>
        <v>0</v>
      </c>
      <c r="G110" s="197">
        <f t="shared" si="26"/>
        <v>0</v>
      </c>
      <c r="H110" s="196">
        <f t="shared" si="26"/>
        <v>0</v>
      </c>
      <c r="I110" s="5">
        <f t="shared" si="26"/>
        <v>0</v>
      </c>
      <c r="J110" s="196">
        <f t="shared" si="26"/>
        <v>0</v>
      </c>
      <c r="K110" s="5">
        <f t="shared" si="26"/>
        <v>0</v>
      </c>
      <c r="L110" s="196">
        <f t="shared" si="26"/>
        <v>0</v>
      </c>
      <c r="M110" s="5">
        <f t="shared" si="26"/>
        <v>0</v>
      </c>
      <c r="N110" s="196">
        <f t="shared" si="26"/>
        <v>0</v>
      </c>
      <c r="O110" s="5">
        <f t="shared" si="26"/>
        <v>26.385915670338143</v>
      </c>
      <c r="P110" s="196">
        <f t="shared" si="26"/>
        <v>0</v>
      </c>
      <c r="Q110" s="197">
        <f t="shared" si="26"/>
        <v>0</v>
      </c>
      <c r="R110" s="196">
        <f t="shared" si="26"/>
        <v>0</v>
      </c>
      <c r="S110" s="197">
        <f t="shared" si="26"/>
        <v>0</v>
      </c>
    </row>
    <row r="111" spans="1:21" x14ac:dyDescent="0.3">
      <c r="A111" s="221"/>
      <c r="B111" s="196"/>
      <c r="C111" s="5"/>
      <c r="D111" s="196"/>
      <c r="E111" s="5"/>
      <c r="F111" s="196"/>
      <c r="G111" s="5"/>
      <c r="H111" s="196"/>
      <c r="I111" s="5"/>
      <c r="J111" s="196"/>
      <c r="K111" s="5"/>
      <c r="L111" s="196"/>
      <c r="M111" s="5"/>
      <c r="N111" s="196"/>
      <c r="O111" s="5"/>
      <c r="P111" s="196"/>
      <c r="Q111" s="197"/>
      <c r="R111" s="196"/>
      <c r="S111" s="197"/>
    </row>
    <row r="112" spans="1:21" x14ac:dyDescent="0.3">
      <c r="A112" s="223" t="s">
        <v>326</v>
      </c>
      <c r="B112" s="207"/>
      <c r="C112" s="208"/>
      <c r="D112" s="207"/>
      <c r="E112" s="208"/>
      <c r="F112" s="207"/>
      <c r="G112" s="208"/>
      <c r="H112" s="207"/>
      <c r="I112" s="208"/>
      <c r="J112" s="207"/>
      <c r="K112" s="208"/>
      <c r="L112" s="207"/>
      <c r="M112" s="208"/>
      <c r="N112" s="207"/>
      <c r="O112" s="208"/>
      <c r="P112" s="207"/>
      <c r="Q112" s="209"/>
      <c r="R112" s="207"/>
      <c r="S112" s="209"/>
      <c r="U112" s="157" t="s">
        <v>327</v>
      </c>
    </row>
    <row r="113" spans="1:24" x14ac:dyDescent="0.3">
      <c r="A113" s="218" t="s">
        <v>273</v>
      </c>
      <c r="B113" s="196">
        <f t="shared" ref="B113:S113" si="27">B108*B118</f>
        <v>2.3545234285614926E-2</v>
      </c>
      <c r="C113" s="5">
        <f t="shared" si="27"/>
        <v>0.22526751133424919</v>
      </c>
      <c r="D113" s="196">
        <f t="shared" si="27"/>
        <v>2.5327542857035971E-2</v>
      </c>
      <c r="E113" s="5">
        <f t="shared" si="27"/>
        <v>0.24231963370616449</v>
      </c>
      <c r="F113" s="196">
        <f t="shared" si="27"/>
        <v>1.2410496000000002</v>
      </c>
      <c r="G113" s="5">
        <f t="shared" si="27"/>
        <v>11.873662051652165</v>
      </c>
      <c r="H113" s="196">
        <f t="shared" si="27"/>
        <v>1.2410496000000002</v>
      </c>
      <c r="I113" s="5">
        <f t="shared" si="27"/>
        <v>11.873662051652165</v>
      </c>
      <c r="J113" s="196">
        <f t="shared" si="27"/>
        <v>1.2410496000000002</v>
      </c>
      <c r="K113" s="5">
        <f t="shared" si="27"/>
        <v>11.873662051652165</v>
      </c>
      <c r="L113" s="196">
        <f t="shared" si="27"/>
        <v>1.2410496000000002</v>
      </c>
      <c r="M113" s="5">
        <f t="shared" si="27"/>
        <v>11.873662051652165</v>
      </c>
      <c r="N113" s="196">
        <f t="shared" si="27"/>
        <v>1.2410496000000002</v>
      </c>
      <c r="O113" s="5">
        <f t="shared" si="27"/>
        <v>0</v>
      </c>
      <c r="P113" s="196">
        <f t="shared" si="27"/>
        <v>1.2410496000000002</v>
      </c>
      <c r="Q113" s="197">
        <f t="shared" si="27"/>
        <v>11.873662051652165</v>
      </c>
      <c r="R113" s="196">
        <f t="shared" si="27"/>
        <v>1.2410496000000002</v>
      </c>
      <c r="S113" s="197">
        <f t="shared" si="27"/>
        <v>11.873662051652165</v>
      </c>
    </row>
    <row r="114" spans="1:24" x14ac:dyDescent="0.3">
      <c r="A114" s="218" t="s">
        <v>274</v>
      </c>
      <c r="B114" s="196">
        <f t="shared" ref="B114:S114" si="28">B109*B119</f>
        <v>1.9320710509543471</v>
      </c>
      <c r="C114" s="5">
        <f t="shared" si="28"/>
        <v>18.484965241366947</v>
      </c>
      <c r="D114" s="196">
        <f t="shared" si="28"/>
        <v>2.0783234412656322</v>
      </c>
      <c r="E114" s="5">
        <f t="shared" si="28"/>
        <v>19.884225558442527</v>
      </c>
      <c r="F114" s="196">
        <f t="shared" si="28"/>
        <v>0</v>
      </c>
      <c r="G114" s="5">
        <f t="shared" si="28"/>
        <v>0</v>
      </c>
      <c r="H114" s="196">
        <f t="shared" si="28"/>
        <v>0</v>
      </c>
      <c r="I114" s="5">
        <f t="shared" si="28"/>
        <v>0</v>
      </c>
      <c r="J114" s="196">
        <f t="shared" si="28"/>
        <v>0</v>
      </c>
      <c r="K114" s="5">
        <f t="shared" si="28"/>
        <v>0</v>
      </c>
      <c r="L114" s="196">
        <f t="shared" si="28"/>
        <v>0</v>
      </c>
      <c r="M114" s="5">
        <f t="shared" si="28"/>
        <v>0</v>
      </c>
      <c r="N114" s="196">
        <f t="shared" si="28"/>
        <v>0</v>
      </c>
      <c r="O114" s="5">
        <f t="shared" si="28"/>
        <v>0</v>
      </c>
      <c r="P114" s="196">
        <f t="shared" si="28"/>
        <v>0</v>
      </c>
      <c r="Q114" s="197">
        <f t="shared" si="28"/>
        <v>0</v>
      </c>
      <c r="R114" s="196">
        <f t="shared" si="28"/>
        <v>0</v>
      </c>
      <c r="S114" s="197">
        <f t="shared" si="28"/>
        <v>0</v>
      </c>
    </row>
    <row r="115" spans="1:24" x14ac:dyDescent="0.3">
      <c r="A115" s="218" t="s">
        <v>275</v>
      </c>
      <c r="B115" s="196">
        <f t="shared" ref="B115:S115" si="29">B110*B118</f>
        <v>0</v>
      </c>
      <c r="C115" s="5">
        <f t="shared" si="29"/>
        <v>0</v>
      </c>
      <c r="D115" s="196">
        <f t="shared" si="29"/>
        <v>0</v>
      </c>
      <c r="E115" s="5">
        <f t="shared" si="29"/>
        <v>0</v>
      </c>
      <c r="F115" s="196">
        <f t="shared" si="29"/>
        <v>0</v>
      </c>
      <c r="G115" s="5">
        <f t="shared" si="29"/>
        <v>0</v>
      </c>
      <c r="H115" s="196">
        <f t="shared" si="29"/>
        <v>0</v>
      </c>
      <c r="I115" s="5">
        <f t="shared" si="29"/>
        <v>0</v>
      </c>
      <c r="J115" s="196">
        <f t="shared" si="29"/>
        <v>0</v>
      </c>
      <c r="K115" s="5">
        <f t="shared" si="29"/>
        <v>0</v>
      </c>
      <c r="L115" s="196">
        <f t="shared" si="29"/>
        <v>0</v>
      </c>
      <c r="M115" s="5">
        <f t="shared" si="29"/>
        <v>0</v>
      </c>
      <c r="N115" s="196">
        <f t="shared" si="29"/>
        <v>0</v>
      </c>
      <c r="O115" s="5">
        <f t="shared" si="29"/>
        <v>11.873662051652165</v>
      </c>
      <c r="P115" s="196">
        <f t="shared" si="29"/>
        <v>0</v>
      </c>
      <c r="Q115" s="197">
        <f t="shared" si="29"/>
        <v>0</v>
      </c>
      <c r="R115" s="196">
        <f t="shared" si="29"/>
        <v>0</v>
      </c>
      <c r="S115" s="197">
        <f t="shared" si="29"/>
        <v>0</v>
      </c>
    </row>
    <row r="116" spans="1:24" x14ac:dyDescent="0.3">
      <c r="A116" s="218" t="s">
        <v>123</v>
      </c>
      <c r="B116" s="196"/>
      <c r="C116" s="5">
        <f>SUM(B113:C115)</f>
        <v>20.665849037941157</v>
      </c>
      <c r="D116" s="196"/>
      <c r="E116" s="5">
        <f>SUM(D113:E115)</f>
        <v>22.23019617627136</v>
      </c>
      <c r="F116" s="196"/>
      <c r="G116" s="5">
        <f>SUM(F113:G115)</f>
        <v>13.114711651652165</v>
      </c>
      <c r="H116" s="196"/>
      <c r="I116" s="5">
        <f>SUM(H113:I115)</f>
        <v>13.114711651652165</v>
      </c>
      <c r="J116" s="196"/>
      <c r="K116" s="5">
        <f>SUM(J113:K115)</f>
        <v>13.114711651652165</v>
      </c>
      <c r="L116" s="196"/>
      <c r="M116" s="5">
        <f>SUM(L113:M115)</f>
        <v>13.114711651652165</v>
      </c>
      <c r="N116" s="196"/>
      <c r="O116" s="5">
        <f>SUM(N113:O115)</f>
        <v>13.114711651652165</v>
      </c>
      <c r="P116" s="196"/>
      <c r="Q116" s="197">
        <f>SUM(P113:Q115)</f>
        <v>13.114711651652165</v>
      </c>
      <c r="R116" s="196"/>
      <c r="S116" s="197">
        <f>SUM(R113:S115)</f>
        <v>13.114711651652165</v>
      </c>
    </row>
    <row r="117" spans="1:24" x14ac:dyDescent="0.3">
      <c r="A117" s="218"/>
      <c r="B117" s="196"/>
      <c r="C117" s="5"/>
      <c r="D117" s="196"/>
      <c r="E117" s="5"/>
      <c r="F117" s="196"/>
      <c r="G117" s="5"/>
      <c r="H117" s="196"/>
      <c r="I117" s="5"/>
      <c r="J117" s="196"/>
      <c r="K117" s="5"/>
      <c r="L117" s="196"/>
      <c r="M117" s="5"/>
      <c r="N117" s="196"/>
      <c r="O117" s="5"/>
      <c r="P117" s="196"/>
      <c r="Q117" s="197"/>
      <c r="R117" s="196"/>
      <c r="S117" s="197"/>
    </row>
    <row r="118" spans="1:24" x14ac:dyDescent="0.3">
      <c r="A118" s="221" t="s">
        <v>328</v>
      </c>
      <c r="B118" s="199">
        <v>0.45</v>
      </c>
      <c r="C118" s="14">
        <v>0.45</v>
      </c>
      <c r="D118" s="199">
        <v>0.45</v>
      </c>
      <c r="E118" s="14">
        <v>0.45</v>
      </c>
      <c r="F118" s="199">
        <v>0.45</v>
      </c>
      <c r="G118" s="14">
        <v>0.45</v>
      </c>
      <c r="H118" s="199">
        <v>0.45</v>
      </c>
      <c r="I118" s="14">
        <v>0.45</v>
      </c>
      <c r="J118" s="199">
        <v>0.45</v>
      </c>
      <c r="K118" s="14">
        <v>0.45</v>
      </c>
      <c r="L118" s="199">
        <v>0.45</v>
      </c>
      <c r="M118" s="14">
        <v>0.45</v>
      </c>
      <c r="N118" s="199">
        <v>0.45</v>
      </c>
      <c r="O118" s="14">
        <v>0.45</v>
      </c>
      <c r="P118" s="199">
        <v>0.45</v>
      </c>
      <c r="Q118" s="14">
        <v>0.45</v>
      </c>
      <c r="R118" s="199">
        <v>0.45</v>
      </c>
      <c r="S118" s="200">
        <v>0.45</v>
      </c>
      <c r="U118" s="167" t="s">
        <v>299</v>
      </c>
      <c r="X118" t="s">
        <v>329</v>
      </c>
    </row>
    <row r="119" spans="1:24" x14ac:dyDescent="0.3">
      <c r="A119" s="221" t="s">
        <v>330</v>
      </c>
      <c r="B119" s="199">
        <v>0.69</v>
      </c>
      <c r="C119" s="14">
        <v>0.69</v>
      </c>
      <c r="D119" s="199">
        <v>0.69</v>
      </c>
      <c r="E119" s="14">
        <v>0.69</v>
      </c>
      <c r="F119" s="199">
        <v>0.69</v>
      </c>
      <c r="G119" s="14">
        <v>0.69</v>
      </c>
      <c r="H119" s="199">
        <v>0.69</v>
      </c>
      <c r="I119" s="14">
        <v>0.69</v>
      </c>
      <c r="J119" s="199">
        <v>0.69</v>
      </c>
      <c r="K119" s="14">
        <v>0.69</v>
      </c>
      <c r="L119" s="199">
        <v>0.69</v>
      </c>
      <c r="M119" s="14">
        <v>0.69</v>
      </c>
      <c r="N119" s="199">
        <v>0.69</v>
      </c>
      <c r="O119" s="14">
        <v>0.69</v>
      </c>
      <c r="P119" s="199">
        <v>0.69</v>
      </c>
      <c r="Q119" s="14">
        <v>0.69</v>
      </c>
      <c r="R119" s="199">
        <v>0.69</v>
      </c>
      <c r="S119" s="200">
        <v>0.69</v>
      </c>
      <c r="U119" s="167" t="s">
        <v>299</v>
      </c>
      <c r="X119" t="s">
        <v>329</v>
      </c>
    </row>
    <row r="120" spans="1:24" x14ac:dyDescent="0.3">
      <c r="A120" s="218" t="s">
        <v>331</v>
      </c>
      <c r="B120" s="388">
        <v>0.01</v>
      </c>
      <c r="C120" s="389"/>
      <c r="D120" s="388">
        <v>0.01</v>
      </c>
      <c r="E120" s="389"/>
      <c r="F120" s="388">
        <v>0.01</v>
      </c>
      <c r="G120" s="389"/>
      <c r="H120" s="388">
        <v>0.01</v>
      </c>
      <c r="I120" s="389"/>
      <c r="J120" s="388">
        <v>0.01</v>
      </c>
      <c r="K120" s="389"/>
      <c r="L120" s="388">
        <v>0.01</v>
      </c>
      <c r="M120" s="389"/>
      <c r="N120" s="388">
        <v>0.01</v>
      </c>
      <c r="O120" s="389"/>
      <c r="P120" s="388">
        <v>0.01</v>
      </c>
      <c r="Q120" s="390"/>
      <c r="R120" s="388">
        <v>0.01</v>
      </c>
      <c r="S120" s="390"/>
      <c r="U120" s="167" t="s">
        <v>332</v>
      </c>
    </row>
    <row r="121" spans="1:24" x14ac:dyDescent="0.3">
      <c r="A121" s="213"/>
      <c r="B121" s="179"/>
      <c r="D121" s="179"/>
      <c r="F121" s="179"/>
      <c r="H121" s="179"/>
      <c r="J121" s="179"/>
      <c r="L121" s="179"/>
      <c r="N121" s="179"/>
      <c r="P121" s="179"/>
      <c r="Q121" s="180"/>
      <c r="R121" s="179"/>
      <c r="S121" s="180"/>
    </row>
    <row r="122" spans="1:24" x14ac:dyDescent="0.3">
      <c r="A122" s="220" t="s">
        <v>333</v>
      </c>
      <c r="B122" s="187"/>
      <c r="C122" s="106"/>
      <c r="D122" s="187"/>
      <c r="E122" s="106"/>
      <c r="F122" s="187"/>
      <c r="G122" s="106"/>
      <c r="H122" s="187"/>
      <c r="I122" s="106"/>
      <c r="J122" s="187"/>
      <c r="K122" s="106"/>
      <c r="L122" s="187"/>
      <c r="M122" s="106"/>
      <c r="N122" s="187"/>
      <c r="O122" s="106"/>
      <c r="P122" s="187"/>
      <c r="Q122" s="188"/>
      <c r="R122" s="187"/>
      <c r="S122" s="188"/>
      <c r="U122" s="313" t="s">
        <v>334</v>
      </c>
    </row>
    <row r="123" spans="1:24" x14ac:dyDescent="0.3">
      <c r="A123" s="218" t="s">
        <v>273</v>
      </c>
      <c r="B123" s="196">
        <f t="shared" ref="B123:S123" si="30">B108-B113</f>
        <v>2.8777508571307127E-2</v>
      </c>
      <c r="C123" s="5">
        <f t="shared" si="30"/>
        <v>0.27532695829741571</v>
      </c>
      <c r="D123" s="196">
        <f t="shared" si="30"/>
        <v>3.0955885714155078E-2</v>
      </c>
      <c r="E123" s="5">
        <f t="shared" si="30"/>
        <v>0.29616844119642327</v>
      </c>
      <c r="F123" s="196">
        <f t="shared" si="30"/>
        <v>1.5168384000000001</v>
      </c>
      <c r="G123" s="5">
        <f t="shared" si="30"/>
        <v>14.512253618685978</v>
      </c>
      <c r="H123" s="196">
        <f t="shared" si="30"/>
        <v>1.5168384000000001</v>
      </c>
      <c r="I123" s="5">
        <f t="shared" si="30"/>
        <v>14.512253618685978</v>
      </c>
      <c r="J123" s="196">
        <f t="shared" si="30"/>
        <v>1.5168384000000001</v>
      </c>
      <c r="K123" s="5">
        <f t="shared" si="30"/>
        <v>14.512253618685978</v>
      </c>
      <c r="L123" s="196">
        <f t="shared" si="30"/>
        <v>1.5168384000000001</v>
      </c>
      <c r="M123" s="5">
        <f t="shared" si="30"/>
        <v>14.512253618685978</v>
      </c>
      <c r="N123" s="196">
        <f t="shared" si="30"/>
        <v>1.5168384000000001</v>
      </c>
      <c r="O123" s="5">
        <f t="shared" si="30"/>
        <v>0</v>
      </c>
      <c r="P123" s="196">
        <f t="shared" si="30"/>
        <v>1.5168384000000001</v>
      </c>
      <c r="Q123" s="197">
        <f t="shared" si="30"/>
        <v>14.512253618685978</v>
      </c>
      <c r="R123" s="196">
        <f t="shared" si="30"/>
        <v>1.5168384000000001</v>
      </c>
      <c r="S123" s="197">
        <f t="shared" si="30"/>
        <v>14.512253618685978</v>
      </c>
    </row>
    <row r="124" spans="1:24" x14ac:dyDescent="0.3">
      <c r="A124" s="218" t="s">
        <v>274</v>
      </c>
      <c r="B124" s="196">
        <f t="shared" ref="B124:S124" si="31">B109-B114</f>
        <v>0.86803192144325747</v>
      </c>
      <c r="C124" s="5">
        <f t="shared" si="31"/>
        <v>8.3048394562663113</v>
      </c>
      <c r="D124" s="196">
        <f t="shared" si="31"/>
        <v>0.93373951709035641</v>
      </c>
      <c r="E124" s="5">
        <f t="shared" si="31"/>
        <v>8.9334926421988179</v>
      </c>
      <c r="F124" s="196">
        <f t="shared" si="31"/>
        <v>0</v>
      </c>
      <c r="G124" s="5">
        <f t="shared" si="31"/>
        <v>0</v>
      </c>
      <c r="H124" s="196">
        <f t="shared" si="31"/>
        <v>0</v>
      </c>
      <c r="I124" s="5">
        <f t="shared" si="31"/>
        <v>0</v>
      </c>
      <c r="J124" s="196">
        <f t="shared" si="31"/>
        <v>0</v>
      </c>
      <c r="K124" s="5">
        <f t="shared" si="31"/>
        <v>0</v>
      </c>
      <c r="L124" s="196">
        <f t="shared" si="31"/>
        <v>0</v>
      </c>
      <c r="M124" s="5">
        <f t="shared" si="31"/>
        <v>0</v>
      </c>
      <c r="N124" s="196">
        <f t="shared" si="31"/>
        <v>0</v>
      </c>
      <c r="O124" s="5">
        <f t="shared" si="31"/>
        <v>0</v>
      </c>
      <c r="P124" s="196">
        <f t="shared" si="31"/>
        <v>0</v>
      </c>
      <c r="Q124" s="197">
        <f t="shared" si="31"/>
        <v>0</v>
      </c>
      <c r="R124" s="196">
        <f t="shared" si="31"/>
        <v>0</v>
      </c>
      <c r="S124" s="197">
        <f t="shared" si="31"/>
        <v>0</v>
      </c>
    </row>
    <row r="125" spans="1:24" x14ac:dyDescent="0.3">
      <c r="A125" s="218" t="s">
        <v>275</v>
      </c>
      <c r="B125" s="196">
        <f t="shared" ref="B125:S125" si="32">B110-B115</f>
        <v>0</v>
      </c>
      <c r="C125" s="5">
        <f t="shared" si="32"/>
        <v>0</v>
      </c>
      <c r="D125" s="196">
        <f t="shared" si="32"/>
        <v>0</v>
      </c>
      <c r="E125" s="5">
        <f t="shared" si="32"/>
        <v>0</v>
      </c>
      <c r="F125" s="196">
        <f t="shared" si="32"/>
        <v>0</v>
      </c>
      <c r="G125" s="5">
        <f t="shared" si="32"/>
        <v>0</v>
      </c>
      <c r="H125" s="196">
        <f t="shared" si="32"/>
        <v>0</v>
      </c>
      <c r="I125" s="5">
        <f t="shared" si="32"/>
        <v>0</v>
      </c>
      <c r="J125" s="196">
        <f t="shared" si="32"/>
        <v>0</v>
      </c>
      <c r="K125" s="5">
        <f t="shared" si="32"/>
        <v>0</v>
      </c>
      <c r="L125" s="196">
        <f t="shared" si="32"/>
        <v>0</v>
      </c>
      <c r="M125" s="5">
        <f t="shared" si="32"/>
        <v>0</v>
      </c>
      <c r="N125" s="196">
        <f t="shared" si="32"/>
        <v>0</v>
      </c>
      <c r="O125" s="5">
        <f t="shared" si="32"/>
        <v>14.512253618685978</v>
      </c>
      <c r="P125" s="196">
        <f t="shared" si="32"/>
        <v>0</v>
      </c>
      <c r="Q125" s="197">
        <f t="shared" si="32"/>
        <v>0</v>
      </c>
      <c r="R125" s="196">
        <f t="shared" si="32"/>
        <v>0</v>
      </c>
      <c r="S125" s="197">
        <f t="shared" si="32"/>
        <v>0</v>
      </c>
    </row>
    <row r="126" spans="1:24" x14ac:dyDescent="0.3">
      <c r="A126" s="222"/>
      <c r="B126" s="196"/>
      <c r="C126" s="5"/>
      <c r="D126" s="196"/>
      <c r="E126" s="5"/>
      <c r="F126" s="196"/>
      <c r="G126" s="5"/>
      <c r="H126" s="196"/>
      <c r="I126" s="5"/>
      <c r="J126" s="196"/>
      <c r="K126" s="5"/>
      <c r="L126" s="196"/>
      <c r="M126" s="5"/>
      <c r="N126" s="196"/>
      <c r="O126" s="5"/>
      <c r="P126" s="196"/>
      <c r="Q126" s="197"/>
      <c r="R126" s="196"/>
      <c r="S126" s="197"/>
    </row>
    <row r="127" spans="1:24" x14ac:dyDescent="0.3">
      <c r="A127" s="220" t="s">
        <v>335</v>
      </c>
      <c r="B127" s="187"/>
      <c r="C127" s="106"/>
      <c r="D127" s="187"/>
      <c r="E127" s="106"/>
      <c r="F127" s="187"/>
      <c r="G127" s="106"/>
      <c r="H127" s="187"/>
      <c r="I127" s="106"/>
      <c r="J127" s="187"/>
      <c r="K127" s="106"/>
      <c r="L127" s="187"/>
      <c r="M127" s="106"/>
      <c r="N127" s="187"/>
      <c r="O127" s="106"/>
      <c r="P127" s="187"/>
      <c r="Q127" s="188"/>
      <c r="R127" s="187"/>
      <c r="S127" s="188"/>
      <c r="U127" s="313" t="s">
        <v>336</v>
      </c>
    </row>
    <row r="128" spans="1:24" x14ac:dyDescent="0.3">
      <c r="A128" s="314" t="s">
        <v>337</v>
      </c>
      <c r="B128" s="196">
        <f t="shared" ref="B128:S128" si="33">B54*B131</f>
        <v>0</v>
      </c>
      <c r="C128" s="5">
        <f t="shared" si="33"/>
        <v>0</v>
      </c>
      <c r="D128" s="196">
        <f t="shared" si="33"/>
        <v>0</v>
      </c>
      <c r="E128" s="5">
        <f t="shared" si="33"/>
        <v>0</v>
      </c>
      <c r="F128" s="196">
        <f t="shared" si="33"/>
        <v>0</v>
      </c>
      <c r="G128" s="5">
        <f t="shared" si="33"/>
        <v>0</v>
      </c>
      <c r="H128" s="196">
        <f t="shared" si="33"/>
        <v>0</v>
      </c>
      <c r="I128" s="5">
        <f t="shared" si="33"/>
        <v>0</v>
      </c>
      <c r="J128" s="196">
        <f t="shared" si="33"/>
        <v>0</v>
      </c>
      <c r="K128" s="5">
        <f t="shared" si="33"/>
        <v>0</v>
      </c>
      <c r="L128" s="196">
        <f t="shared" si="33"/>
        <v>0</v>
      </c>
      <c r="M128" s="5">
        <f t="shared" si="33"/>
        <v>0</v>
      </c>
      <c r="N128" s="196">
        <f t="shared" si="33"/>
        <v>0</v>
      </c>
      <c r="O128" s="5">
        <f t="shared" si="33"/>
        <v>0</v>
      </c>
      <c r="P128" s="196">
        <f t="shared" si="33"/>
        <v>0</v>
      </c>
      <c r="Q128" s="197">
        <f t="shared" si="33"/>
        <v>0</v>
      </c>
      <c r="R128" s="196">
        <f t="shared" si="33"/>
        <v>0</v>
      </c>
      <c r="S128" s="197">
        <f t="shared" si="33"/>
        <v>0</v>
      </c>
    </row>
    <row r="129" spans="1:21" x14ac:dyDescent="0.3">
      <c r="A129" s="314"/>
      <c r="B129" s="196"/>
      <c r="C129" s="5">
        <f>SUM(B128:C128)</f>
        <v>0</v>
      </c>
      <c r="D129" s="196"/>
      <c r="E129" s="5">
        <f>SUM(D128:E128)</f>
        <v>0</v>
      </c>
      <c r="F129" s="196"/>
      <c r="G129" s="5">
        <f>SUM(F128:G128)</f>
        <v>0</v>
      </c>
      <c r="H129" s="196"/>
      <c r="I129" s="5">
        <f>SUM(H128:I128)</f>
        <v>0</v>
      </c>
      <c r="J129" s="196"/>
      <c r="K129" s="5">
        <f>SUM(J128:K128)</f>
        <v>0</v>
      </c>
      <c r="L129" s="196"/>
      <c r="M129" s="5">
        <f>SUM(L128:M128)</f>
        <v>0</v>
      </c>
      <c r="N129" s="196"/>
      <c r="O129" s="5">
        <f>SUM(N128:O128)</f>
        <v>0</v>
      </c>
      <c r="P129" s="196"/>
      <c r="Q129" s="197">
        <f>SUM(P128:Q128)</f>
        <v>0</v>
      </c>
      <c r="R129" s="196"/>
      <c r="S129" s="197">
        <f>SUM(R128:S128)</f>
        <v>0</v>
      </c>
    </row>
    <row r="130" spans="1:21" x14ac:dyDescent="0.3">
      <c r="A130" s="218"/>
      <c r="B130" s="196"/>
      <c r="C130" s="5"/>
      <c r="D130" s="196"/>
      <c r="E130" s="5"/>
      <c r="F130" s="196"/>
      <c r="G130" s="5"/>
      <c r="H130" s="196"/>
      <c r="I130" s="5"/>
      <c r="J130" s="196"/>
      <c r="K130" s="5"/>
      <c r="L130" s="196"/>
      <c r="M130" s="5"/>
      <c r="N130" s="196"/>
      <c r="O130" s="5"/>
      <c r="P130" s="196"/>
      <c r="Q130" s="197"/>
      <c r="R130" s="196"/>
      <c r="S130" s="197"/>
    </row>
    <row r="131" spans="1:21" x14ac:dyDescent="0.3">
      <c r="A131" s="213" t="s">
        <v>338</v>
      </c>
      <c r="B131" s="199">
        <v>0.14000000000000001</v>
      </c>
      <c r="C131" s="14">
        <v>0.14000000000000001</v>
      </c>
      <c r="D131" s="199">
        <v>0.14000000000000001</v>
      </c>
      <c r="E131" s="14">
        <v>0.14000000000000001</v>
      </c>
      <c r="F131" s="199">
        <v>0.14000000000000001</v>
      </c>
      <c r="G131" s="14">
        <v>0.14000000000000001</v>
      </c>
      <c r="H131" s="199">
        <v>0.14000000000000001</v>
      </c>
      <c r="I131" s="14">
        <v>0.14000000000000001</v>
      </c>
      <c r="J131" s="199">
        <v>0.14000000000000001</v>
      </c>
      <c r="K131" s="14">
        <v>0.14000000000000001</v>
      </c>
      <c r="L131" s="199">
        <v>0.14000000000000001</v>
      </c>
      <c r="M131" s="14">
        <v>0.14000000000000001</v>
      </c>
      <c r="N131" s="199">
        <v>0.14000000000000001</v>
      </c>
      <c r="O131" s="14">
        <v>0.14000000000000001</v>
      </c>
      <c r="P131" s="199">
        <v>0.14000000000000001</v>
      </c>
      <c r="Q131" s="200">
        <v>0.14000000000000001</v>
      </c>
      <c r="R131" s="199">
        <v>0.14000000000000001</v>
      </c>
      <c r="S131" s="200">
        <v>0.14000000000000001</v>
      </c>
      <c r="U131" s="167" t="s">
        <v>299</v>
      </c>
    </row>
    <row r="132" spans="1:21" x14ac:dyDescent="0.3">
      <c r="A132" s="220" t="s">
        <v>339</v>
      </c>
      <c r="B132" s="207"/>
      <c r="C132" s="208"/>
      <c r="D132" s="207"/>
      <c r="E132" s="208"/>
      <c r="F132" s="207"/>
      <c r="G132" s="208"/>
      <c r="H132" s="207"/>
      <c r="I132" s="208"/>
      <c r="J132" s="207"/>
      <c r="K132" s="208"/>
      <c r="L132" s="207"/>
      <c r="M132" s="208"/>
      <c r="N132" s="207"/>
      <c r="O132" s="208"/>
      <c r="P132" s="207"/>
      <c r="Q132" s="209"/>
      <c r="R132" s="207"/>
      <c r="S132" s="209"/>
    </row>
    <row r="133" spans="1:21" x14ac:dyDescent="0.3">
      <c r="A133" s="218" t="s">
        <v>273</v>
      </c>
      <c r="B133" s="196">
        <f t="shared" ref="B133:S133" si="34">B57+B79+B88+B98+B113</f>
        <v>7.8793919999667478E-2</v>
      </c>
      <c r="C133" s="5">
        <f t="shared" si="34"/>
        <v>0.75385575064926369</v>
      </c>
      <c r="D133" s="196">
        <f t="shared" si="34"/>
        <v>8.4758399999642298E-2</v>
      </c>
      <c r="E133" s="5">
        <f t="shared" si="34"/>
        <v>0.81092052858685748</v>
      </c>
      <c r="F133" s="196">
        <f t="shared" si="34"/>
        <v>4.1531615999999998</v>
      </c>
      <c r="G133" s="5">
        <f t="shared" si="34"/>
        <v>39.735105900923692</v>
      </c>
      <c r="H133" s="196">
        <f t="shared" si="34"/>
        <v>4.1531615999999998</v>
      </c>
      <c r="I133" s="5">
        <f t="shared" si="34"/>
        <v>39.735105900923692</v>
      </c>
      <c r="J133" s="196">
        <f t="shared" si="34"/>
        <v>4.1531615999999998</v>
      </c>
      <c r="K133" s="5">
        <f t="shared" si="34"/>
        <v>39.735105900923692</v>
      </c>
      <c r="L133" s="196">
        <f t="shared" si="34"/>
        <v>4.1531615999999998</v>
      </c>
      <c r="M133" s="5">
        <f t="shared" si="34"/>
        <v>39.735105900923692</v>
      </c>
      <c r="N133" s="196">
        <f t="shared" si="34"/>
        <v>4.1531615999999998</v>
      </c>
      <c r="O133" s="5">
        <f t="shared" si="34"/>
        <v>0</v>
      </c>
      <c r="P133" s="196">
        <f t="shared" si="34"/>
        <v>4.1531615999999998</v>
      </c>
      <c r="Q133" s="197">
        <f t="shared" si="34"/>
        <v>39.735105900923692</v>
      </c>
      <c r="R133" s="196">
        <f t="shared" si="34"/>
        <v>4.1531615999999998</v>
      </c>
      <c r="S133" s="197">
        <f t="shared" si="34"/>
        <v>39.735105900923692</v>
      </c>
    </row>
    <row r="134" spans="1:21" x14ac:dyDescent="0.3">
      <c r="A134" s="218" t="s">
        <v>274</v>
      </c>
      <c r="B134" s="196">
        <f t="shared" ref="B134:S134" si="35">B58+B80+B89+B99+B114</f>
        <v>4.5166864458833764</v>
      </c>
      <c r="C134" s="5">
        <f t="shared" si="35"/>
        <v>43.213106431602043</v>
      </c>
      <c r="D134" s="196">
        <f t="shared" si="35"/>
        <v>4.8585870135000455</v>
      </c>
      <c r="E134" s="5">
        <f t="shared" si="35"/>
        <v>46.484218073834867</v>
      </c>
      <c r="F134" s="196">
        <f t="shared" si="35"/>
        <v>0</v>
      </c>
      <c r="G134" s="5">
        <f t="shared" si="35"/>
        <v>0</v>
      </c>
      <c r="H134" s="196">
        <f t="shared" si="35"/>
        <v>0</v>
      </c>
      <c r="I134" s="5">
        <f t="shared" si="35"/>
        <v>0</v>
      </c>
      <c r="J134" s="196">
        <f t="shared" si="35"/>
        <v>0</v>
      </c>
      <c r="K134" s="5">
        <f t="shared" si="35"/>
        <v>0</v>
      </c>
      <c r="L134" s="196">
        <f t="shared" si="35"/>
        <v>0</v>
      </c>
      <c r="M134" s="5">
        <f t="shared" si="35"/>
        <v>0</v>
      </c>
      <c r="N134" s="196">
        <f t="shared" si="35"/>
        <v>0</v>
      </c>
      <c r="O134" s="5">
        <f t="shared" si="35"/>
        <v>0</v>
      </c>
      <c r="P134" s="196">
        <f t="shared" si="35"/>
        <v>0</v>
      </c>
      <c r="Q134" s="197">
        <f t="shared" si="35"/>
        <v>0</v>
      </c>
      <c r="R134" s="196">
        <f t="shared" si="35"/>
        <v>0</v>
      </c>
      <c r="S134" s="197">
        <f t="shared" si="35"/>
        <v>0</v>
      </c>
    </row>
    <row r="135" spans="1:21" x14ac:dyDescent="0.3">
      <c r="A135" s="218" t="s">
        <v>275</v>
      </c>
      <c r="B135" s="196">
        <f t="shared" ref="B135:S135" si="36">B59+B81+B90+B100+B115</f>
        <v>0</v>
      </c>
      <c r="C135" s="5">
        <f t="shared" si="36"/>
        <v>0</v>
      </c>
      <c r="D135" s="196">
        <f t="shared" si="36"/>
        <v>0</v>
      </c>
      <c r="E135" s="5">
        <f t="shared" si="36"/>
        <v>0</v>
      </c>
      <c r="F135" s="196">
        <f t="shared" si="36"/>
        <v>0</v>
      </c>
      <c r="G135" s="5">
        <f t="shared" si="36"/>
        <v>0</v>
      </c>
      <c r="H135" s="196">
        <f t="shared" si="36"/>
        <v>0</v>
      </c>
      <c r="I135" s="5">
        <f t="shared" si="36"/>
        <v>0</v>
      </c>
      <c r="J135" s="196">
        <f t="shared" si="36"/>
        <v>0</v>
      </c>
      <c r="K135" s="5">
        <f t="shared" si="36"/>
        <v>0</v>
      </c>
      <c r="L135" s="196">
        <f t="shared" si="36"/>
        <v>0</v>
      </c>
      <c r="M135" s="5">
        <f t="shared" si="36"/>
        <v>0</v>
      </c>
      <c r="N135" s="196">
        <f t="shared" si="36"/>
        <v>0</v>
      </c>
      <c r="O135" s="5">
        <f t="shared" si="36"/>
        <v>39.735105900923692</v>
      </c>
      <c r="P135" s="196">
        <f t="shared" si="36"/>
        <v>0</v>
      </c>
      <c r="Q135" s="197">
        <f t="shared" si="36"/>
        <v>0</v>
      </c>
      <c r="R135" s="196">
        <f t="shared" si="36"/>
        <v>0</v>
      </c>
      <c r="S135" s="197">
        <f t="shared" si="36"/>
        <v>0</v>
      </c>
    </row>
    <row r="136" spans="1:21" x14ac:dyDescent="0.3">
      <c r="A136" s="218" t="s">
        <v>152</v>
      </c>
      <c r="B136" s="196">
        <f t="shared" ref="B136:Q136" si="37">B128</f>
        <v>0</v>
      </c>
      <c r="C136" s="5">
        <f t="shared" si="37"/>
        <v>0</v>
      </c>
      <c r="D136" s="196">
        <f t="shared" si="37"/>
        <v>0</v>
      </c>
      <c r="E136" s="5">
        <f t="shared" si="37"/>
        <v>0</v>
      </c>
      <c r="F136" s="196">
        <f t="shared" si="37"/>
        <v>0</v>
      </c>
      <c r="G136" s="5">
        <f t="shared" si="37"/>
        <v>0</v>
      </c>
      <c r="H136" s="196">
        <f t="shared" si="37"/>
        <v>0</v>
      </c>
      <c r="I136" s="5">
        <f t="shared" si="37"/>
        <v>0</v>
      </c>
      <c r="J136" s="196">
        <f t="shared" si="37"/>
        <v>0</v>
      </c>
      <c r="K136" s="5">
        <f t="shared" si="37"/>
        <v>0</v>
      </c>
      <c r="L136" s="196">
        <f t="shared" si="37"/>
        <v>0</v>
      </c>
      <c r="M136" s="5">
        <f t="shared" si="37"/>
        <v>0</v>
      </c>
      <c r="N136" s="196">
        <f t="shared" si="37"/>
        <v>0</v>
      </c>
      <c r="O136" s="5">
        <f t="shared" si="37"/>
        <v>0</v>
      </c>
      <c r="P136" s="196">
        <f t="shared" si="37"/>
        <v>0</v>
      </c>
      <c r="Q136" s="197">
        <f t="shared" si="37"/>
        <v>0</v>
      </c>
      <c r="R136" s="196">
        <f t="shared" ref="R136:S136" si="38">R128</f>
        <v>0</v>
      </c>
      <c r="S136" s="197">
        <f t="shared" si="38"/>
        <v>0</v>
      </c>
    </row>
    <row r="137" spans="1:21" x14ac:dyDescent="0.3">
      <c r="A137" s="218"/>
      <c r="B137" s="179"/>
      <c r="D137" s="179"/>
      <c r="F137" s="179"/>
      <c r="H137" s="179"/>
      <c r="L137" s="179"/>
      <c r="N137" s="179"/>
      <c r="P137" s="179"/>
      <c r="Q137" s="180"/>
      <c r="R137" s="179"/>
      <c r="S137" s="180"/>
    </row>
    <row r="138" spans="1:21" x14ac:dyDescent="0.3">
      <c r="A138" s="220" t="s">
        <v>340</v>
      </c>
      <c r="B138" s="187"/>
      <c r="C138" s="106"/>
      <c r="D138" s="187"/>
      <c r="E138" s="106"/>
      <c r="F138" s="187"/>
      <c r="G138" s="106"/>
      <c r="H138" s="187"/>
      <c r="I138" s="106"/>
      <c r="J138" s="106"/>
      <c r="K138" s="106"/>
      <c r="L138" s="187"/>
      <c r="M138" s="106"/>
      <c r="N138" s="187"/>
      <c r="O138" s="106"/>
      <c r="P138" s="187"/>
      <c r="Q138" s="188"/>
      <c r="R138" s="187"/>
      <c r="S138" s="188"/>
    </row>
    <row r="139" spans="1:21" x14ac:dyDescent="0.3">
      <c r="A139" s="218" t="s">
        <v>273</v>
      </c>
      <c r="B139" s="196">
        <f t="shared" ref="B139:S139" si="39">B43-B133</f>
        <v>7.4879549387439126E-2</v>
      </c>
      <c r="C139" s="5">
        <f t="shared" si="39"/>
        <v>0.71640526213170708</v>
      </c>
      <c r="D139" s="196">
        <f t="shared" si="39"/>
        <v>8.0547722448639697E-2</v>
      </c>
      <c r="E139" s="5">
        <f t="shared" si="39"/>
        <v>0.77063514253211496</v>
      </c>
      <c r="F139" s="196">
        <f t="shared" si="39"/>
        <v>3.9468383999999999</v>
      </c>
      <c r="G139" s="5">
        <f t="shared" si="39"/>
        <v>37.761121984232993</v>
      </c>
      <c r="H139" s="196">
        <f t="shared" si="39"/>
        <v>3.9468383999999999</v>
      </c>
      <c r="I139" s="5">
        <f t="shared" si="39"/>
        <v>37.761121984232993</v>
      </c>
      <c r="J139" s="5">
        <f t="shared" si="39"/>
        <v>3.9468383999999999</v>
      </c>
      <c r="K139" s="5">
        <f t="shared" si="39"/>
        <v>37.761121984232993</v>
      </c>
      <c r="L139" s="196">
        <f t="shared" si="39"/>
        <v>3.9468383999999999</v>
      </c>
      <c r="M139" s="5">
        <f t="shared" si="39"/>
        <v>37.761121984232993</v>
      </c>
      <c r="N139" s="196">
        <f t="shared" si="39"/>
        <v>3.9468383999999999</v>
      </c>
      <c r="O139" s="5">
        <f t="shared" si="39"/>
        <v>0</v>
      </c>
      <c r="P139" s="196">
        <f t="shared" si="39"/>
        <v>3.9468383999999999</v>
      </c>
      <c r="Q139" s="197">
        <f t="shared" si="39"/>
        <v>37.761121984232993</v>
      </c>
      <c r="R139" s="196">
        <f t="shared" si="39"/>
        <v>3.9468383999999999</v>
      </c>
      <c r="S139" s="197">
        <f t="shared" si="39"/>
        <v>37.761121984232993</v>
      </c>
    </row>
    <row r="140" spans="1:21" x14ac:dyDescent="0.3">
      <c r="A140" s="218" t="s">
        <v>274</v>
      </c>
      <c r="B140" s="196">
        <f t="shared" ref="B140:S140" si="40">B44-B134</f>
        <v>2.8596400847010539</v>
      </c>
      <c r="C140" s="5">
        <f t="shared" si="40"/>
        <v>27.359422181916258</v>
      </c>
      <c r="D140" s="196">
        <f t="shared" si="40"/>
        <v>3.076106864021054</v>
      </c>
      <c r="E140" s="5">
        <f t="shared" si="40"/>
        <v>29.430454139909912</v>
      </c>
      <c r="F140" s="196">
        <f t="shared" si="40"/>
        <v>0</v>
      </c>
      <c r="G140" s="5">
        <f t="shared" si="40"/>
        <v>0</v>
      </c>
      <c r="H140" s="196">
        <f t="shared" si="40"/>
        <v>0</v>
      </c>
      <c r="I140" s="5">
        <f t="shared" si="40"/>
        <v>0</v>
      </c>
      <c r="J140" s="196">
        <f t="shared" si="40"/>
        <v>0</v>
      </c>
      <c r="K140" s="5">
        <f t="shared" si="40"/>
        <v>0</v>
      </c>
      <c r="L140" s="196">
        <f t="shared" si="40"/>
        <v>0</v>
      </c>
      <c r="M140" s="5">
        <f t="shared" si="40"/>
        <v>0</v>
      </c>
      <c r="N140" s="196">
        <f t="shared" si="40"/>
        <v>0</v>
      </c>
      <c r="O140" s="5">
        <f t="shared" si="40"/>
        <v>0</v>
      </c>
      <c r="P140" s="196">
        <f t="shared" si="40"/>
        <v>0</v>
      </c>
      <c r="Q140" s="197">
        <f t="shared" si="40"/>
        <v>0</v>
      </c>
      <c r="R140" s="196">
        <f t="shared" si="40"/>
        <v>0</v>
      </c>
      <c r="S140" s="197">
        <f t="shared" si="40"/>
        <v>0</v>
      </c>
    </row>
    <row r="141" spans="1:21" x14ac:dyDescent="0.3">
      <c r="A141" s="218" t="s">
        <v>275</v>
      </c>
      <c r="B141" s="196">
        <f t="shared" ref="B141:S141" si="41">B45-B135</f>
        <v>0</v>
      </c>
      <c r="C141" s="5">
        <f t="shared" si="41"/>
        <v>0</v>
      </c>
      <c r="D141" s="196">
        <f t="shared" si="41"/>
        <v>0</v>
      </c>
      <c r="E141" s="5">
        <f t="shared" si="41"/>
        <v>0</v>
      </c>
      <c r="F141" s="196">
        <f t="shared" si="41"/>
        <v>0</v>
      </c>
      <c r="G141" s="5">
        <f t="shared" si="41"/>
        <v>0</v>
      </c>
      <c r="H141" s="196">
        <f t="shared" si="41"/>
        <v>0</v>
      </c>
      <c r="I141" s="5">
        <f t="shared" si="41"/>
        <v>0</v>
      </c>
      <c r="J141" s="196">
        <f t="shared" si="41"/>
        <v>0</v>
      </c>
      <c r="K141" s="5">
        <f t="shared" si="41"/>
        <v>0</v>
      </c>
      <c r="L141" s="196">
        <f t="shared" si="41"/>
        <v>0</v>
      </c>
      <c r="M141" s="5">
        <f t="shared" si="41"/>
        <v>0</v>
      </c>
      <c r="N141" s="196">
        <f t="shared" si="41"/>
        <v>0</v>
      </c>
      <c r="O141" s="5">
        <f t="shared" si="41"/>
        <v>37.761121984232993</v>
      </c>
      <c r="P141" s="196">
        <f t="shared" si="41"/>
        <v>0</v>
      </c>
      <c r="Q141" s="197">
        <f t="shared" si="41"/>
        <v>0</v>
      </c>
      <c r="R141" s="196">
        <f t="shared" si="41"/>
        <v>0</v>
      </c>
      <c r="S141" s="197">
        <f t="shared" si="41"/>
        <v>0</v>
      </c>
    </row>
    <row r="142" spans="1:21" x14ac:dyDescent="0.3">
      <c r="A142" s="218" t="s">
        <v>152</v>
      </c>
      <c r="B142" s="196">
        <f t="shared" ref="B142:S142" si="42">B46-B136</f>
        <v>0</v>
      </c>
      <c r="C142" s="5">
        <f t="shared" si="42"/>
        <v>0</v>
      </c>
      <c r="D142" s="196">
        <f t="shared" si="42"/>
        <v>0</v>
      </c>
      <c r="E142" s="5">
        <f t="shared" si="42"/>
        <v>0</v>
      </c>
      <c r="F142" s="196">
        <f t="shared" si="42"/>
        <v>0</v>
      </c>
      <c r="G142" s="5">
        <f t="shared" si="42"/>
        <v>0</v>
      </c>
      <c r="H142" s="196">
        <f t="shared" si="42"/>
        <v>0</v>
      </c>
      <c r="I142" s="5">
        <f t="shared" si="42"/>
        <v>0</v>
      </c>
      <c r="J142" s="196">
        <f t="shared" si="42"/>
        <v>0</v>
      </c>
      <c r="K142" s="5">
        <f t="shared" si="42"/>
        <v>0</v>
      </c>
      <c r="L142" s="196">
        <f t="shared" si="42"/>
        <v>0</v>
      </c>
      <c r="M142" s="5">
        <f t="shared" si="42"/>
        <v>0</v>
      </c>
      <c r="N142" s="196">
        <f t="shared" si="42"/>
        <v>0</v>
      </c>
      <c r="O142" s="5">
        <f t="shared" si="42"/>
        <v>0</v>
      </c>
      <c r="P142" s="196">
        <f t="shared" si="42"/>
        <v>0</v>
      </c>
      <c r="Q142" s="197">
        <f t="shared" si="42"/>
        <v>0</v>
      </c>
      <c r="R142" s="196">
        <f t="shared" si="42"/>
        <v>0</v>
      </c>
      <c r="S142" s="197">
        <f t="shared" si="42"/>
        <v>0</v>
      </c>
    </row>
    <row r="143" spans="1:21" x14ac:dyDescent="0.3">
      <c r="A143" s="221" t="s">
        <v>341</v>
      </c>
      <c r="B143" s="210"/>
      <c r="C143" s="5">
        <f>SUM(B139:C142)</f>
        <v>31.010347078136459</v>
      </c>
      <c r="D143" s="210"/>
      <c r="E143" s="5">
        <f>SUM(D139:E142)</f>
        <v>33.357743868911719</v>
      </c>
      <c r="F143" s="210"/>
      <c r="G143" s="5">
        <f>SUM(F139:G142)</f>
        <v>41.70796038423299</v>
      </c>
      <c r="H143" s="210"/>
      <c r="I143" s="5">
        <f>SUM(H139:I142)</f>
        <v>41.70796038423299</v>
      </c>
      <c r="J143" s="210"/>
      <c r="K143" s="5">
        <f>SUM(J139:K142)</f>
        <v>41.70796038423299</v>
      </c>
      <c r="L143" s="210"/>
      <c r="M143" s="5">
        <f>SUM(L139:M142)</f>
        <v>41.70796038423299</v>
      </c>
      <c r="N143" s="210"/>
      <c r="O143" s="5">
        <f>SUM(N139:O142)</f>
        <v>41.70796038423299</v>
      </c>
      <c r="P143" s="210"/>
      <c r="Q143" s="197">
        <f>SUM(P139:Q142)</f>
        <v>41.70796038423299</v>
      </c>
      <c r="R143" s="210"/>
      <c r="S143" s="197">
        <f>SUM(R139:S142)</f>
        <v>41.70796038423299</v>
      </c>
    </row>
    <row r="144" spans="1:21" x14ac:dyDescent="0.3">
      <c r="A144" s="213"/>
      <c r="B144" s="179"/>
      <c r="D144" s="179"/>
      <c r="F144" s="179"/>
      <c r="H144" s="179"/>
      <c r="J144" s="179"/>
      <c r="L144" s="179"/>
      <c r="N144" s="179"/>
      <c r="P144" s="179"/>
      <c r="Q144" s="180"/>
      <c r="R144" s="179"/>
      <c r="S144" s="180"/>
    </row>
    <row r="145" spans="1:21" x14ac:dyDescent="0.3">
      <c r="A145" s="220" t="s">
        <v>342</v>
      </c>
      <c r="B145" s="187"/>
      <c r="C145" s="106"/>
      <c r="D145" s="187"/>
      <c r="E145" s="106"/>
      <c r="F145" s="187"/>
      <c r="G145" s="106"/>
      <c r="H145" s="187"/>
      <c r="I145" s="106"/>
      <c r="J145" s="187"/>
      <c r="K145" s="106"/>
      <c r="L145" s="187"/>
      <c r="M145" s="106"/>
      <c r="N145" s="187"/>
      <c r="O145" s="106"/>
      <c r="P145" s="187"/>
      <c r="Q145" s="188"/>
      <c r="R145" s="187"/>
      <c r="S145" s="188"/>
    </row>
    <row r="146" spans="1:21" x14ac:dyDescent="0.3">
      <c r="A146" s="218" t="s">
        <v>343</v>
      </c>
      <c r="B146" s="196">
        <f>C143</f>
        <v>31.010347078136459</v>
      </c>
      <c r="C146" s="5"/>
      <c r="D146" s="196">
        <f>E143</f>
        <v>33.357743868911719</v>
      </c>
      <c r="E146" s="5"/>
      <c r="F146" s="196">
        <f>G143</f>
        <v>41.70796038423299</v>
      </c>
      <c r="G146" s="5"/>
      <c r="H146" s="196">
        <f>I143</f>
        <v>41.70796038423299</v>
      </c>
      <c r="I146" s="5"/>
      <c r="J146" s="196">
        <f>K143</f>
        <v>41.70796038423299</v>
      </c>
      <c r="K146" s="5"/>
      <c r="L146" s="196">
        <f>M143</f>
        <v>41.70796038423299</v>
      </c>
      <c r="M146" s="5"/>
      <c r="N146" s="196">
        <f>O143</f>
        <v>41.70796038423299</v>
      </c>
      <c r="O146" s="5"/>
      <c r="P146" s="196">
        <f>Q143</f>
        <v>41.70796038423299</v>
      </c>
      <c r="Q146" s="197"/>
      <c r="R146" s="196">
        <f>S143</f>
        <v>41.70796038423299</v>
      </c>
      <c r="S146" s="197"/>
      <c r="T146" s="6"/>
    </row>
    <row r="147" spans="1:21" x14ac:dyDescent="0.3">
      <c r="A147" s="218" t="s">
        <v>344</v>
      </c>
      <c r="B147" s="196">
        <f>Excreted_N_after_losses_FR/((Production!$B$5*'Parameters, country spec'!$B$52*('EFP per kg feed'!F20)+(Production!$B$6+Production!$B$7)*'Parameters, country spec'!$B$53*('EFP per kg feed'!F21))+(Production!$B$5*'Parameters, country spec'!$B$52*'Parameters, country spec'!B16*'Forage crops, footprints'!F8+(Production!$B$6+Production!$B$7)*'Parameters, country spec'!$B$53*'Parameters, country spec'!B34*'Forage crops, footprints'!F8))*10000</f>
        <v>408.21447889559181</v>
      </c>
      <c r="C147" s="5"/>
      <c r="D147" s="196">
        <f>Excreted_N_after_losses_DE/((Production!$C$5*'Parameters, country spec'!$C$52*('EFP per kg feed'!F36)+(Production!$C$6+Production!$C$7)*'Parameters, country spec'!$C$53*('EFP per kg feed'!F37))+(Production!$C$5*'Parameters, country spec'!$C$52*'Parameters, country spec'!C16*'Forage crops, footprints'!F9+(Production!$C$6+Production!$C$7)*'Parameters, country spec'!$C$53*'Parameters, country spec'!DA34*'Forage crops, footprints'!F9))*10000</f>
        <v>384.52875977311908</v>
      </c>
      <c r="E147" s="5"/>
      <c r="F147" s="196">
        <f>Excreted_N_after_losses_GR/((Production!$D$5*'Parameters, country spec'!$D$52*('EFP per kg feed'!F52)+(Production!$D$6+Production!$D$7)*'Parameters, country spec'!$D$53*('EFP per kg feed'!F53))+(Production!$D$5*'Parameters, country spec'!$D$52*'Parameters, country spec'!D16*'Forage crops, footprints'!F10+(Production!$D$6+Production!$D$7)*'Parameters, country spec'!$D$53*'Parameters, country spec'!D34*'Forage crops, footprints'!F10))*10000</f>
        <v>242.74239320479265</v>
      </c>
      <c r="G147" s="5"/>
      <c r="H147" s="196">
        <f>Excreted_N_after_losses_HU/((Production!$E$5*'Parameters, country spec'!$E$52*('EFP per kg feed'!F68)+(Production!$E$6+Production!$E$7)*'Parameters, country spec'!$E$53*('EFP per kg feed'!F69))+(Production!$E$5*'Parameters, country spec'!$E$52*'Parameters, country spec'!E16*'Forage crops, footprints'!F11+(Production!$E$6+Production!$E$7)*'Parameters, country spec'!$E$53*'Parameters, country spec'!E34*'Forage crops, footprints'!F11))*10000</f>
        <v>330.53023324996741</v>
      </c>
      <c r="I147" s="5"/>
      <c r="J147" s="196">
        <f>Excreted_N_after_losses_IT/((Production!$F$5*'Parameters, country spec'!$F$52*('EFP per kg feed'!F84)+(Production!$F$6+Production!$F$7)*'Parameters, country spec'!$F$53*('EFP per kg feed'!F85))+(Production!$F$5*'Parameters, country spec'!$F$52*'Parameters, country spec'!F16*'Forage crops, footprints'!F12+(Production!$F$6+Production!$F$7)*'Parameters, country spec'!$F$53*'Parameters, country spec'!F34*'Forage crops, footprints'!F12))*10000</f>
        <v>351.59042540294882</v>
      </c>
      <c r="K147" s="5"/>
      <c r="L147" s="196">
        <f>Excreted_N_after_losses_NL/((Production!$G$5*'Parameters, country spec'!$G$52*('EFP per kg feed'!F100)+(Production!$G$6+Production!$G$7)*'Parameters, country spec'!$G$53*('EFP per kg feed'!F101))+(Production!$G$5*'Parameters, country spec'!$G$52*'Parameters, country spec'!G16*'Forage crops, footprints'!F13+(Production!$G$6+Production!$G$7)*'Parameters, country spec'!$G$53*'Parameters, country spec'!G34*'Forage crops, footprints'!F13))*10000</f>
        <v>438.65752732125128</v>
      </c>
      <c r="M147" s="5"/>
      <c r="N147" s="196">
        <f>Excreted_N_after_losses_PL/((Production!$H$5*'Parameters, country spec'!$H$52*('EFP per kg feed'!F116)+(Production!$H$6+Production!$H$7)*'Parameters, country spec'!$H$53*('EFP per kg feed'!F117))+(Production!$H$5*'Parameters, country spec'!$H$52*'Parameters, country spec'!H16*'Forage crops, footprints'!F14+(Production!$H$6+Production!$H$7)*'Parameters, country spec'!$H$53*'Parameters, country spec'!H34*'Forage crops, footprints'!F14))*10000</f>
        <v>355.9561082791937</v>
      </c>
      <c r="O147" s="5"/>
      <c r="P147" s="196">
        <f>Excreted_N_after_losses_ES/((Production!$I$5*'Parameters, country spec'!$I$52*('EFP per kg feed'!F132)+(Production!$I$6+Production!$I$7)*'Parameters, country spec'!$I$53*('EFP per kg feed'!F133))+(Production!$I$5*'Parameters, country spec'!$I$52*'Parameters, country spec'!I16*'Forage crops, footprints'!F15+(Production!$I$6+Production!$I$7)*'Parameters, country spec'!$I$53*'Parameters, country spec'!I34*'Forage crops, footprints'!F15))*10000</f>
        <v>349.01117084678634</v>
      </c>
      <c r="Q147" s="197"/>
      <c r="R147" s="196">
        <f>Excreted_N_after_losses_SE/((Production!$J$5*'Parameters, country spec'!$J$52*('EFP per kg feed'!F132)+(Production!$J$6+Production!$J$7)*'Parameters, country spec'!$J$53*('EFP per kg feed'!F133))+(Production!$J$5*'Parameters, country spec'!$J$52*'Parameters, country spec'!J16*'Forage crops, footprints'!F15+(Production!$J$6+Production!$J$7)*'Parameters, country spec'!$J$53*'Parameters, country spec'!J34*'Forage crops, footprints'!F15))*10000</f>
        <v>276.68954128878391</v>
      </c>
      <c r="S147" s="197"/>
    </row>
    <row r="148" spans="1:21" x14ac:dyDescent="0.3">
      <c r="A148" s="218"/>
      <c r="B148" s="196"/>
      <c r="C148" s="5"/>
      <c r="D148" s="196"/>
      <c r="E148" s="5"/>
      <c r="F148" s="196"/>
      <c r="G148" s="5"/>
      <c r="H148" s="196"/>
      <c r="I148" s="5"/>
      <c r="J148" s="196"/>
      <c r="K148" s="5"/>
      <c r="L148" s="196"/>
      <c r="M148" s="5"/>
      <c r="N148" s="196"/>
      <c r="O148" s="5"/>
      <c r="P148" s="196"/>
      <c r="Q148" s="197"/>
      <c r="R148" s="196"/>
      <c r="S148" s="197"/>
    </row>
    <row r="149" spans="1:21" x14ac:dyDescent="0.3">
      <c r="A149" s="220" t="s">
        <v>345</v>
      </c>
      <c r="B149" s="207"/>
      <c r="C149" s="208"/>
      <c r="D149" s="207"/>
      <c r="E149" s="208"/>
      <c r="F149" s="207"/>
      <c r="G149" s="208"/>
      <c r="H149" s="207"/>
      <c r="I149" s="208"/>
      <c r="J149" s="207"/>
      <c r="K149" s="208"/>
      <c r="L149" s="207"/>
      <c r="M149" s="208"/>
      <c r="N149" s="207"/>
      <c r="O149" s="208"/>
      <c r="P149" s="207"/>
      <c r="Q149" s="209"/>
      <c r="R149" s="207"/>
      <c r="S149" s="209"/>
    </row>
    <row r="150" spans="1:21" x14ac:dyDescent="0.3">
      <c r="A150" s="218" t="s">
        <v>346</v>
      </c>
      <c r="B150" s="196"/>
      <c r="C150" s="5">
        <f>Excreted_N_after_losses_FR*'Parameters, country spec'!B82*44/28</f>
        <v>0.29238327245100088</v>
      </c>
      <c r="D150" s="196"/>
      <c r="E150" s="5">
        <f>Excreted_N_after_losses_DE*'Parameters, country spec'!C82*44/28</f>
        <v>0.31451587076402482</v>
      </c>
      <c r="F150" s="196"/>
      <c r="G150" s="5">
        <f>Excreted_N_after_losses_GR*'Parameters, country spec'!D82*44/28</f>
        <v>0.39324648362276821</v>
      </c>
      <c r="H150" s="196"/>
      <c r="I150" s="5">
        <f>Excreted_N_after_losses_HU*'Parameters, country spec'!E82*44/28</f>
        <v>0.39324648362276821</v>
      </c>
      <c r="J150" s="196"/>
      <c r="K150" s="5">
        <f>Excreted_N_after_losses_IT*'Parameters, country spec'!F82*44/28</f>
        <v>0.39324648362276821</v>
      </c>
      <c r="L150" s="196"/>
      <c r="M150" s="5">
        <f>Excreted_N_after_losses_NL*'Parameters, country spec'!G82*44/28</f>
        <v>0.39324648362276821</v>
      </c>
      <c r="N150" s="196"/>
      <c r="O150" s="5">
        <f>Excreted_N_after_losses_PL*'Parameters, country spec'!H82*44/28</f>
        <v>0.39324648362276821</v>
      </c>
      <c r="P150" s="196"/>
      <c r="Q150" s="197">
        <f>Excreted_N_after_losses_ES*'Parameters, country spec'!I82*44/28</f>
        <v>0.39324648362276821</v>
      </c>
      <c r="R150" s="196"/>
      <c r="S150" s="197">
        <f>Excreted_N_after_losses_SE*'Parameters, country spec'!J82*44/28</f>
        <v>0.39324648362276821</v>
      </c>
    </row>
    <row r="151" spans="1:21" x14ac:dyDescent="0.3">
      <c r="A151" s="218" t="s">
        <v>313</v>
      </c>
      <c r="B151" s="196"/>
      <c r="C151" s="4">
        <f>C150/Production!B23</f>
        <v>5.7343552930666022E-3</v>
      </c>
      <c r="D151" s="196"/>
      <c r="E151" s="4">
        <f>E150/Production!C23</f>
        <v>5.2553714541491957E-3</v>
      </c>
      <c r="F151" s="196"/>
      <c r="G151" s="4">
        <f>G150/Production!D23</f>
        <v>6.5792009292068515E-3</v>
      </c>
      <c r="H151" s="196"/>
      <c r="I151" s="4">
        <f>I150/Production!E23</f>
        <v>6.5792009292068515E-3</v>
      </c>
      <c r="J151" s="196"/>
      <c r="K151" s="4">
        <f>K150/Production!F23</f>
        <v>6.5709127474403908E-3</v>
      </c>
      <c r="L151" s="196"/>
      <c r="M151" s="4">
        <f>M150/Production!G23</f>
        <v>6.5792009292068515E-3</v>
      </c>
      <c r="N151" s="196"/>
      <c r="O151" s="4">
        <f>O150/Production!H23</f>
        <v>6.5053515503477165E-3</v>
      </c>
      <c r="P151" s="196"/>
      <c r="Q151" s="4">
        <f>Q150/Production!I23</f>
        <v>7.7125310074636945E-3</v>
      </c>
      <c r="R151" s="196"/>
      <c r="S151" s="193">
        <f>S150/Production!J23</f>
        <v>8.0214524489595762E-3</v>
      </c>
    </row>
    <row r="152" spans="1:21" x14ac:dyDescent="0.3">
      <c r="A152" s="220" t="s">
        <v>347</v>
      </c>
      <c r="B152" s="207"/>
      <c r="C152" s="208"/>
      <c r="D152" s="207"/>
      <c r="E152" s="208"/>
      <c r="F152" s="207"/>
      <c r="G152" s="208"/>
      <c r="H152" s="207"/>
      <c r="I152" s="208"/>
      <c r="J152" s="207"/>
      <c r="K152" s="208"/>
      <c r="L152" s="207"/>
      <c r="M152" s="208"/>
      <c r="N152" s="207"/>
      <c r="O152" s="208"/>
      <c r="P152" s="207"/>
      <c r="Q152" s="209"/>
      <c r="R152" s="207"/>
      <c r="S152" s="209"/>
    </row>
    <row r="153" spans="1:21" x14ac:dyDescent="0.3">
      <c r="A153" s="218" t="s">
        <v>348</v>
      </c>
      <c r="B153" s="196"/>
      <c r="C153" s="5">
        <f>(C60+C82+C116+C129)*17/14</f>
        <v>58.494160456777813</v>
      </c>
      <c r="D153" s="196"/>
      <c r="E153" s="5">
        <f>(E60+E82+E116+E129)*17/14</f>
        <v>62.922005272231104</v>
      </c>
      <c r="F153" s="196"/>
      <c r="G153" s="5">
        <f>(G60+G82+G116+G129)*17/14</f>
        <v>35.132800543006788</v>
      </c>
      <c r="H153" s="196"/>
      <c r="I153" s="5">
        <f>(I60+I82+I116+I129)*17/14</f>
        <v>35.132800543006788</v>
      </c>
      <c r="J153" s="196"/>
      <c r="K153" s="5">
        <f>(K60+K82+K116+K129)*17/14</f>
        <v>35.132800543006788</v>
      </c>
      <c r="L153" s="196"/>
      <c r="M153" s="5">
        <f>(M60+M82+M116+M129)*17/14</f>
        <v>35.132800543006788</v>
      </c>
      <c r="N153" s="196"/>
      <c r="O153" s="5">
        <f>(O60+O82+O116+O129)*17/14</f>
        <v>35.132800543006788</v>
      </c>
      <c r="P153" s="196"/>
      <c r="Q153" s="197">
        <f>(Q60+Q82+Q116+Q129)*17/14</f>
        <v>35.132800543006788</v>
      </c>
      <c r="R153" s="196"/>
      <c r="S153" s="197">
        <f>(S60+S82+S116+S129)*17/14</f>
        <v>35.132800543006788</v>
      </c>
    </row>
    <row r="154" spans="1:21" x14ac:dyDescent="0.3">
      <c r="A154" s="232" t="s">
        <v>349</v>
      </c>
      <c r="B154" s="179"/>
      <c r="C154" s="192">
        <f>C153/Production!B23</f>
        <v>1.1472143936860255</v>
      </c>
      <c r="D154" s="10"/>
      <c r="E154" s="10">
        <f>E153/Production!C23</f>
        <v>1.0513889475345752</v>
      </c>
      <c r="F154" s="191"/>
      <c r="G154" s="192">
        <f>G153/Production!D23</f>
        <v>0.58778848280795237</v>
      </c>
      <c r="H154" s="10"/>
      <c r="I154" s="10">
        <f>I153/Production!E23</f>
        <v>0.58778848280795237</v>
      </c>
      <c r="J154" s="191"/>
      <c r="K154" s="192">
        <f>K153/Production!F23</f>
        <v>0.5870480132831325</v>
      </c>
      <c r="L154" s="10"/>
      <c r="M154" s="10">
        <f>M153/Production!G23</f>
        <v>0.58778848280795237</v>
      </c>
      <c r="N154" s="191"/>
      <c r="O154" s="10">
        <f>O153/Production!H23</f>
        <v>0.58119074931067904</v>
      </c>
      <c r="P154" s="191"/>
      <c r="Q154" s="192">
        <f>Q153/Production!I23</f>
        <v>0.68904065224116595</v>
      </c>
      <c r="R154" s="10"/>
      <c r="S154" s="192">
        <f>S153/Production!J23</f>
        <v>0.71663981927642473</v>
      </c>
    </row>
    <row r="155" spans="1:21" x14ac:dyDescent="0.3">
      <c r="A155" s="387" t="s">
        <v>350</v>
      </c>
      <c r="B155" s="207"/>
      <c r="C155" s="209"/>
      <c r="D155" s="208"/>
      <c r="E155" s="208"/>
      <c r="F155" s="207"/>
      <c r="G155" s="209"/>
      <c r="H155" s="208"/>
      <c r="I155" s="208"/>
      <c r="J155" s="207"/>
      <c r="K155" s="209"/>
      <c r="L155" s="208"/>
      <c r="M155" s="208"/>
      <c r="N155" s="207"/>
      <c r="O155" s="208"/>
      <c r="P155" s="207"/>
      <c r="Q155" s="209"/>
      <c r="R155" s="208"/>
      <c r="S155" s="209"/>
    </row>
    <row r="156" spans="1:21" x14ac:dyDescent="0.3">
      <c r="A156" s="218" t="s">
        <v>348</v>
      </c>
      <c r="B156" s="196"/>
      <c r="C156" s="5">
        <f>C47*0.12</f>
        <v>9.5487347551524966</v>
      </c>
      <c r="D156" s="196"/>
      <c r="E156" s="5">
        <f>E47*0.12</f>
        <v>10.271547346179975</v>
      </c>
      <c r="F156" s="196"/>
      <c r="G156" s="5">
        <f>G47*0.12</f>
        <v>10.271547346218801</v>
      </c>
      <c r="H156" s="196"/>
      <c r="I156" s="5">
        <f>I47*0.12</f>
        <v>10.271547346218801</v>
      </c>
      <c r="J156" s="196"/>
      <c r="K156" s="5">
        <f>K47*0.12</f>
        <v>10.271547346218801</v>
      </c>
      <c r="L156" s="196"/>
      <c r="M156" s="5">
        <f>M47*0.12</f>
        <v>10.271547346218801</v>
      </c>
      <c r="N156" s="196"/>
      <c r="O156" s="5">
        <f>O47*0.12</f>
        <v>10.271547346218801</v>
      </c>
      <c r="P156" s="196"/>
      <c r="Q156" s="5">
        <f>Q47*0.12</f>
        <v>10.271547346218801</v>
      </c>
      <c r="R156" s="196"/>
      <c r="S156" s="5">
        <f>S47*0.12</f>
        <v>10.271547346218801</v>
      </c>
      <c r="U156" t="s">
        <v>351</v>
      </c>
    </row>
    <row r="157" spans="1:21" x14ac:dyDescent="0.3">
      <c r="A157" s="382" t="s">
        <v>349</v>
      </c>
      <c r="B157" s="383"/>
      <c r="C157" s="384">
        <f>C48*0.12</f>
        <v>0.18727418031232962</v>
      </c>
      <c r="D157" s="385"/>
      <c r="E157" s="384">
        <f>E48*0.12</f>
        <v>0.17163139202459171</v>
      </c>
      <c r="F157" s="385"/>
      <c r="G157" s="384">
        <f>G48*0.12</f>
        <v>0.17184787826217762</v>
      </c>
      <c r="H157" s="385"/>
      <c r="I157" s="384">
        <f>I48*0.12</f>
        <v>0.17184787826217762</v>
      </c>
      <c r="J157" s="385"/>
      <c r="K157" s="384">
        <f>K48*0.12</f>
        <v>0.17163139202524047</v>
      </c>
      <c r="L157" s="385"/>
      <c r="M157" s="384">
        <f>M48*0.12</f>
        <v>0.17184787826217762</v>
      </c>
      <c r="N157" s="385"/>
      <c r="O157" s="384">
        <f>O48*0.12</f>
        <v>0.16991894202744678</v>
      </c>
      <c r="P157" s="385"/>
      <c r="Q157" s="384">
        <f>Q48*0.12</f>
        <v>0.20145031348414394</v>
      </c>
      <c r="R157" s="385"/>
      <c r="S157" s="386">
        <f>S48*0.12</f>
        <v>0.20951930162449561</v>
      </c>
      <c r="U157" t="s">
        <v>352</v>
      </c>
    </row>
    <row r="165" spans="16:18" x14ac:dyDescent="0.3">
      <c r="P165" s="157"/>
      <c r="R165" s="157"/>
    </row>
  </sheetData>
  <phoneticPr fontId="78" type="noConversion"/>
  <hyperlinks>
    <hyperlink ref="AE4" r:id="rId1" xr:uid="{2587F3D6-9035-4271-ABD3-A9AC7B62589F}"/>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theme="4" tint="0.79998168889431442"/>
  </sheetPr>
  <dimension ref="A1:T149"/>
  <sheetViews>
    <sheetView zoomScale="80" zoomScaleNormal="90" workbookViewId="0">
      <selection activeCell="G112" sqref="G112"/>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0.33203125" customWidth="1"/>
    <col min="6" max="6" width="12.6640625" style="15" customWidth="1"/>
    <col min="7" max="11" width="12.6640625" customWidth="1"/>
    <col min="12" max="12" width="14.33203125" customWidth="1"/>
    <col min="13" max="18" width="12.6640625" customWidth="1"/>
    <col min="19" max="19" width="8.6640625" style="3"/>
  </cols>
  <sheetData>
    <row r="1" spans="1:20" x14ac:dyDescent="0.3">
      <c r="F1" s="6"/>
    </row>
    <row r="2" spans="1:20" ht="21" x14ac:dyDescent="0.4">
      <c r="A2" s="2" t="s">
        <v>353</v>
      </c>
      <c r="G2" t="s">
        <v>354</v>
      </c>
    </row>
    <row r="3" spans="1:20" x14ac:dyDescent="0.3">
      <c r="I3" s="7"/>
      <c r="J3" s="7"/>
      <c r="K3" s="7"/>
      <c r="L3" s="7"/>
      <c r="M3" s="7"/>
      <c r="N3" s="7"/>
      <c r="O3" s="7"/>
      <c r="P3" s="7"/>
    </row>
    <row r="4" spans="1:20" ht="28.8" x14ac:dyDescent="0.3">
      <c r="A4" s="140" t="s">
        <v>355</v>
      </c>
      <c r="B4" s="132"/>
      <c r="C4" s="132"/>
      <c r="D4" s="132"/>
      <c r="E4" s="132"/>
      <c r="F4" s="259" t="s">
        <v>82</v>
      </c>
      <c r="G4" s="133" t="s">
        <v>83</v>
      </c>
      <c r="H4" s="134"/>
      <c r="I4" s="133" t="s">
        <v>84</v>
      </c>
      <c r="J4" s="94"/>
      <c r="K4" s="133" t="s">
        <v>85</v>
      </c>
      <c r="L4" s="94"/>
      <c r="M4" s="94"/>
      <c r="N4" s="94"/>
      <c r="O4" s="95" t="s">
        <v>86</v>
      </c>
      <c r="P4" s="95" t="s">
        <v>87</v>
      </c>
      <c r="Q4" s="135" t="s">
        <v>88</v>
      </c>
      <c r="R4" s="133" t="s">
        <v>356</v>
      </c>
      <c r="S4" s="308" t="s">
        <v>356</v>
      </c>
    </row>
    <row r="5" spans="1:20" ht="47.25" customHeight="1" x14ac:dyDescent="0.3">
      <c r="A5" s="88" t="s">
        <v>44</v>
      </c>
      <c r="B5" s="88" t="s">
        <v>355</v>
      </c>
      <c r="C5" s="88" t="s">
        <v>357</v>
      </c>
      <c r="D5" s="88" t="s">
        <v>47</v>
      </c>
      <c r="E5" s="136" t="s">
        <v>48</v>
      </c>
      <c r="F5" s="260"/>
      <c r="G5" s="89" t="s">
        <v>8</v>
      </c>
      <c r="H5" s="89" t="s">
        <v>9</v>
      </c>
      <c r="I5" s="89" t="s">
        <v>95</v>
      </c>
      <c r="J5" s="89" t="s">
        <v>358</v>
      </c>
      <c r="K5" s="89" t="s">
        <v>97</v>
      </c>
      <c r="L5" s="89" t="s">
        <v>98</v>
      </c>
      <c r="M5" s="89" t="s">
        <v>99</v>
      </c>
      <c r="N5" s="89" t="s">
        <v>100</v>
      </c>
      <c r="O5" s="89" t="s">
        <v>101</v>
      </c>
      <c r="P5" s="89" t="s">
        <v>87</v>
      </c>
      <c r="Q5" s="136" t="s">
        <v>359</v>
      </c>
      <c r="R5" s="89" t="s">
        <v>118</v>
      </c>
      <c r="S5" s="89" t="s">
        <v>360</v>
      </c>
    </row>
    <row r="6" spans="1:20" x14ac:dyDescent="0.3">
      <c r="B6" s="16" t="s">
        <v>152</v>
      </c>
      <c r="C6" s="15" t="s">
        <v>361</v>
      </c>
      <c r="D6" s="21" t="s">
        <v>28</v>
      </c>
      <c r="E6" s="21" t="s">
        <v>67</v>
      </c>
      <c r="F6" s="107">
        <f>SUM(G6:Q6)</f>
        <v>5.8137943724220723E-2</v>
      </c>
      <c r="G6" s="18">
        <f>'Forage crops, CF'!F8</f>
        <v>1.8033196435898471E-2</v>
      </c>
      <c r="H6" s="18">
        <f>'Forage crops, CF'!G8</f>
        <v>2.7E-2</v>
      </c>
      <c r="I6" s="18">
        <f>'Forage crops, CF'!H8</f>
        <v>0</v>
      </c>
      <c r="J6" s="18">
        <f>'Forage crops, CF'!I8</f>
        <v>0</v>
      </c>
      <c r="K6" s="18">
        <f>'Forage crops, CF'!J8</f>
        <v>1.3104747288322258E-2</v>
      </c>
      <c r="L6" s="18">
        <f>'Forage crops, CF'!K8</f>
        <v>0</v>
      </c>
      <c r="M6" s="18">
        <f>'Forage crops, CF'!L8</f>
        <v>0</v>
      </c>
      <c r="N6" s="18">
        <f>'Forage crops, CF'!M8</f>
        <v>0</v>
      </c>
      <c r="O6" s="18">
        <f>'Forage crops, CF'!N8</f>
        <v>0</v>
      </c>
      <c r="P6" s="18">
        <f>'Forage crops, CF'!O8</f>
        <v>0</v>
      </c>
      <c r="Q6" s="18">
        <f>'Forage crops, CF'!P8</f>
        <v>0</v>
      </c>
      <c r="R6" s="138">
        <f>'Parameters, country spec'!B16</f>
        <v>0</v>
      </c>
      <c r="S6" s="138">
        <f>'Parameters, country spec'!B34</f>
        <v>0</v>
      </c>
      <c r="T6" s="18"/>
    </row>
    <row r="7" spans="1:20" x14ac:dyDescent="0.3">
      <c r="B7" s="16" t="s">
        <v>154</v>
      </c>
      <c r="C7" s="15" t="s">
        <v>361</v>
      </c>
      <c r="D7" s="21" t="s">
        <v>28</v>
      </c>
      <c r="E7" s="21" t="s">
        <v>67</v>
      </c>
      <c r="F7" s="278">
        <f>SUM(G7:Q7)</f>
        <v>0.1152552491010753</v>
      </c>
      <c r="G7" s="18">
        <f>'Forage crops, CF'!F58</f>
        <v>1.8290244595307845E-2</v>
      </c>
      <c r="H7" s="18">
        <f>'Forage crops, CF'!G58</f>
        <v>2.7E-2</v>
      </c>
      <c r="I7" s="18">
        <f>'Forage crops, CF'!H58</f>
        <v>0</v>
      </c>
      <c r="J7" s="18">
        <f>'Forage crops, CF'!I58</f>
        <v>0</v>
      </c>
      <c r="K7" s="18">
        <f>'Forage crops, CF'!J58</f>
        <v>1.6437442716420066E-2</v>
      </c>
      <c r="L7" s="18">
        <f>'Forage crops, CF'!K58</f>
        <v>0</v>
      </c>
      <c r="M7" s="18">
        <f>'Forage crops, CF'!L58</f>
        <v>6.8275617893473915E-3</v>
      </c>
      <c r="N7" s="18">
        <f>'Forage crops, CF'!M58</f>
        <v>0</v>
      </c>
      <c r="O7" s="18">
        <f>'Forage crops, CF'!N58</f>
        <v>0</v>
      </c>
      <c r="P7" s="18">
        <f>'Forage crops, CF'!O58</f>
        <v>4.6700000000000005E-2</v>
      </c>
      <c r="Q7" s="18">
        <f>'Forage crops, CF'!P58</f>
        <v>0</v>
      </c>
      <c r="R7" s="138">
        <f>'Parameters, country spec'!B17</f>
        <v>0</v>
      </c>
      <c r="S7" s="138">
        <f>'Parameters, country spec'!B35</f>
        <v>0</v>
      </c>
      <c r="T7" s="18"/>
    </row>
    <row r="8" spans="1:20" x14ac:dyDescent="0.3">
      <c r="B8" s="16" t="s">
        <v>362</v>
      </c>
      <c r="C8" s="15" t="s">
        <v>361</v>
      </c>
      <c r="D8" s="21" t="s">
        <v>28</v>
      </c>
      <c r="E8" s="21" t="s">
        <v>67</v>
      </c>
      <c r="F8" s="278">
        <f>SUM(G8:Q8)</f>
        <v>0.10311928856970713</v>
      </c>
      <c r="G8" s="18">
        <f>'Forage crops, CF'!F108*'Forage, input data per ha'!$E$67+'Forage crops, CF'!F158*'Forage, input data per ha'!$G$67</f>
        <v>1.6340525210420186E-2</v>
      </c>
      <c r="H8" s="18">
        <f>'Forage crops, CF'!G108*'Forage, input data per ha'!$E$67+'Forage crops, CF'!G158*'Forage, input data per ha'!$G$67</f>
        <v>2.7E-2</v>
      </c>
      <c r="I8" s="18">
        <f>'Forage crops, CF'!H108*'Forage, input data per ha'!$E$67+'Forage crops, CF'!H158*'Forage, input data per ha'!$G$67</f>
        <v>0</v>
      </c>
      <c r="J8" s="18">
        <f>'Forage crops, CF'!I108*'Forage, input data per ha'!$E$67+'Forage crops, CF'!I158*'Forage, input data per ha'!$G$67</f>
        <v>0</v>
      </c>
      <c r="K8" s="18">
        <f>'Forage crops, CF'!J108*'Forage, input data per ha'!$E$67+'Forage crops, CF'!J158*'Forage, input data per ha'!$G$67</f>
        <v>1.3078763359286942E-2</v>
      </c>
      <c r="L8" s="18">
        <f>'Forage crops, CF'!K108*'Forage, input data per ha'!$E$67+'Forage crops, CF'!K158*'Forage, input data per ha'!$G$67</f>
        <v>0</v>
      </c>
      <c r="M8" s="18">
        <f>'Forage crops, CF'!L108*'Forage, input data per ha'!$E$67+'Forage crops, CF'!L158*'Forage, input data per ha'!$G$67</f>
        <v>0</v>
      </c>
      <c r="N8" s="18">
        <f>'Forage crops, CF'!M108*'Forage, input data per ha'!$E$67+'Forage crops, CF'!M158*'Forage, input data per ha'!$G$67</f>
        <v>0</v>
      </c>
      <c r="O8" s="18">
        <f>'Forage crops, CF'!N108*'Forage, input data per ha'!$E$67+'Forage crops, CF'!N158*'Forage, input data per ha'!$G$67</f>
        <v>0</v>
      </c>
      <c r="P8" s="18">
        <f>'Forage crops, CF'!O108*'Forage, input data per ha'!$E$67+'Forage crops, CF'!O158*'Forage, input data per ha'!$G$67</f>
        <v>4.6700000000000005E-2</v>
      </c>
      <c r="Q8" s="18">
        <f>'Forage crops, CF'!P108*'Forage, input data per ha'!$E$67+'Forage crops, CF'!P158*'Forage, input data per ha'!$G$67</f>
        <v>0</v>
      </c>
      <c r="R8" s="138">
        <f>'Parameters, country spec'!B18</f>
        <v>0.28000000000000003</v>
      </c>
      <c r="S8" s="138">
        <f>'Parameters, country spec'!B36</f>
        <v>0.3</v>
      </c>
      <c r="T8" s="18"/>
    </row>
    <row r="9" spans="1:20" x14ac:dyDescent="0.3">
      <c r="A9" s="20" t="s">
        <v>363</v>
      </c>
      <c r="B9" s="15" t="s">
        <v>159</v>
      </c>
      <c r="C9" s="15" t="s">
        <v>364</v>
      </c>
      <c r="D9" s="21" t="s">
        <v>28</v>
      </c>
      <c r="E9" s="21" t="s">
        <v>67</v>
      </c>
      <c r="F9" s="107">
        <f>SUM(G9:Q9)</f>
        <v>0.17100000000000001</v>
      </c>
      <c r="G9" s="71">
        <v>7.9000000000000001E-2</v>
      </c>
      <c r="H9" s="12">
        <v>2.7E-2</v>
      </c>
      <c r="I9" s="14">
        <v>0</v>
      </c>
      <c r="J9" s="12"/>
      <c r="K9" s="71">
        <v>0.03</v>
      </c>
      <c r="L9" s="12"/>
      <c r="M9" s="12">
        <v>0</v>
      </c>
      <c r="N9" s="71">
        <v>3.5000000000000003E-2</v>
      </c>
      <c r="O9" s="12"/>
      <c r="P9" s="12"/>
      <c r="R9" s="138">
        <f>'Parameters, country spec'!B19</f>
        <v>0.16</v>
      </c>
      <c r="S9" s="138">
        <f>'Parameters, country spec'!B37</f>
        <v>0.2</v>
      </c>
    </row>
    <row r="10" spans="1:20" x14ac:dyDescent="0.3">
      <c r="A10" s="20" t="s">
        <v>365</v>
      </c>
      <c r="B10" s="15" t="s">
        <v>161</v>
      </c>
      <c r="C10" s="15" t="s">
        <v>364</v>
      </c>
      <c r="D10" s="21" t="s">
        <v>28</v>
      </c>
      <c r="E10" s="21" t="s">
        <v>67</v>
      </c>
      <c r="F10" s="107">
        <f t="shared" ref="F10:F19" si="0">SUM(G10:Q10)</f>
        <v>0.16600000000000001</v>
      </c>
      <c r="G10" s="71">
        <v>7.6999999999999999E-2</v>
      </c>
      <c r="H10" s="12">
        <v>2.7E-2</v>
      </c>
      <c r="I10" s="14">
        <v>0</v>
      </c>
      <c r="J10" s="12"/>
      <c r="K10" s="71">
        <v>0.02</v>
      </c>
      <c r="L10" s="12"/>
      <c r="M10" s="12">
        <v>7.0000000000000001E-3</v>
      </c>
      <c r="N10" s="71">
        <v>3.5000000000000003E-2</v>
      </c>
      <c r="O10" s="12"/>
      <c r="P10" s="12"/>
      <c r="R10" s="138">
        <f>'Parameters, country spec'!B20</f>
        <v>3.1075970320211814E-4</v>
      </c>
      <c r="S10" s="138">
        <f>'Parameters, country spec'!B38</f>
        <v>3.1075970320211814E-4</v>
      </c>
    </row>
    <row r="11" spans="1:20" x14ac:dyDescent="0.3">
      <c r="A11" s="20" t="s">
        <v>366</v>
      </c>
      <c r="B11" s="15" t="s">
        <v>163</v>
      </c>
      <c r="C11" s="15" t="s">
        <v>364</v>
      </c>
      <c r="D11" s="21" t="s">
        <v>28</v>
      </c>
      <c r="E11" s="21" t="s">
        <v>67</v>
      </c>
      <c r="F11" s="107">
        <f t="shared" si="0"/>
        <v>0.17700000000000002</v>
      </c>
      <c r="G11" s="71">
        <v>7.0000000000000007E-2</v>
      </c>
      <c r="H11" s="12">
        <v>2.7E-2</v>
      </c>
      <c r="I11" s="14">
        <v>0</v>
      </c>
      <c r="J11" s="12"/>
      <c r="K11" s="71">
        <v>4.1000000000000002E-2</v>
      </c>
      <c r="L11" s="12"/>
      <c r="M11" s="12">
        <v>4.0000000000000001E-3</v>
      </c>
      <c r="N11" s="71">
        <v>3.5000000000000003E-2</v>
      </c>
      <c r="O11" s="12"/>
      <c r="P11" s="12"/>
      <c r="R11" s="138">
        <f>'Parameters, country spec'!B21</f>
        <v>8.6733359151412953E-5</v>
      </c>
      <c r="S11" s="138">
        <f>'Parameters, country spec'!B39</f>
        <v>8.6733359151412953E-5</v>
      </c>
    </row>
    <row r="12" spans="1:20" x14ac:dyDescent="0.3">
      <c r="A12" s="20" t="s">
        <v>367</v>
      </c>
      <c r="B12" s="15" t="s">
        <v>165</v>
      </c>
      <c r="C12" s="15" t="s">
        <v>364</v>
      </c>
      <c r="D12" s="21" t="s">
        <v>28</v>
      </c>
      <c r="E12" s="21" t="s">
        <v>67</v>
      </c>
      <c r="F12" s="107">
        <f t="shared" si="0"/>
        <v>0.16500000000000001</v>
      </c>
      <c r="G12" s="71">
        <v>6.2E-2</v>
      </c>
      <c r="H12" s="12">
        <v>2.7E-2</v>
      </c>
      <c r="I12" s="12">
        <v>0</v>
      </c>
      <c r="J12" s="12"/>
      <c r="K12" s="71">
        <v>4.1000000000000002E-2</v>
      </c>
      <c r="L12" s="12"/>
      <c r="M12" s="12">
        <v>0</v>
      </c>
      <c r="N12" s="71">
        <v>3.5000000000000003E-2</v>
      </c>
      <c r="O12" s="12"/>
      <c r="P12" s="12"/>
      <c r="R12" s="138">
        <f>'Parameters, country spec'!B22</f>
        <v>6.2924072151971947E-5</v>
      </c>
      <c r="S12" s="138">
        <f>'Parameters, country spec'!B40</f>
        <v>6.2924072151971947E-5</v>
      </c>
    </row>
    <row r="13" spans="1:20" x14ac:dyDescent="0.3">
      <c r="A13" s="20" t="s">
        <v>368</v>
      </c>
      <c r="B13" s="15" t="s">
        <v>167</v>
      </c>
      <c r="C13" s="15" t="s">
        <v>364</v>
      </c>
      <c r="D13" s="21" t="s">
        <v>28</v>
      </c>
      <c r="E13" s="21" t="s">
        <v>67</v>
      </c>
      <c r="F13" s="107">
        <f t="shared" si="0"/>
        <v>0.18</v>
      </c>
      <c r="G13" s="71">
        <v>9.0999999999999998E-2</v>
      </c>
      <c r="H13" s="12">
        <v>2.7E-2</v>
      </c>
      <c r="I13" s="12">
        <v>0</v>
      </c>
      <c r="J13" s="12"/>
      <c r="K13" s="71">
        <v>2.7E-2</v>
      </c>
      <c r="L13" s="12"/>
      <c r="M13" s="12">
        <v>0</v>
      </c>
      <c r="N13" s="71">
        <v>3.5000000000000003E-2</v>
      </c>
      <c r="O13" s="12"/>
      <c r="P13" s="12"/>
      <c r="R13" s="138">
        <f>'Parameters, country spec'!B23</f>
        <v>0.20500000000000002</v>
      </c>
      <c r="S13" s="138">
        <f>'Parameters, country spec'!B41</f>
        <v>0.2</v>
      </c>
    </row>
    <row r="14" spans="1:20" x14ac:dyDescent="0.3">
      <c r="A14" s="20" t="s">
        <v>369</v>
      </c>
      <c r="B14" s="15" t="s">
        <v>168</v>
      </c>
      <c r="C14" s="15" t="s">
        <v>370</v>
      </c>
      <c r="D14" s="21" t="s">
        <v>28</v>
      </c>
      <c r="E14" s="21" t="s">
        <v>67</v>
      </c>
      <c r="F14" s="107">
        <f t="shared" si="0"/>
        <v>0.115</v>
      </c>
      <c r="G14" s="71">
        <v>0</v>
      </c>
      <c r="H14" s="12">
        <v>2.7E-2</v>
      </c>
      <c r="I14" s="14">
        <v>0</v>
      </c>
      <c r="J14" s="12"/>
      <c r="K14" s="71">
        <v>5.0999999999999997E-2</v>
      </c>
      <c r="L14" s="14"/>
      <c r="M14" s="12">
        <v>2E-3</v>
      </c>
      <c r="N14" s="71">
        <v>3.5000000000000003E-2</v>
      </c>
      <c r="O14" s="12"/>
      <c r="P14" s="12"/>
      <c r="R14" s="138">
        <f>'Parameters, country spec'!B24</f>
        <v>2.439015630520557E-4</v>
      </c>
      <c r="S14" s="138">
        <f>'Parameters, country spec'!B42</f>
        <v>2.439015630520557E-4</v>
      </c>
    </row>
    <row r="15" spans="1:20" x14ac:dyDescent="0.3">
      <c r="A15" s="20" t="s">
        <v>371</v>
      </c>
      <c r="B15" s="15" t="s">
        <v>170</v>
      </c>
      <c r="C15" s="15" t="s">
        <v>370</v>
      </c>
      <c r="D15" s="21" t="s">
        <v>28</v>
      </c>
      <c r="E15" s="21" t="s">
        <v>67</v>
      </c>
      <c r="F15" s="107">
        <f t="shared" si="0"/>
        <v>0.13800000000000001</v>
      </c>
      <c r="G15" s="71">
        <v>4.0000000000000001E-3</v>
      </c>
      <c r="H15" s="12">
        <v>2.7E-2</v>
      </c>
      <c r="I15" s="14">
        <v>0</v>
      </c>
      <c r="J15" s="12"/>
      <c r="K15" s="71">
        <v>6.9000000000000006E-2</v>
      </c>
      <c r="L15" s="12"/>
      <c r="M15" s="12">
        <v>3.0000000000000001E-3</v>
      </c>
      <c r="N15" s="71">
        <v>3.5000000000000003E-2</v>
      </c>
      <c r="O15" s="12"/>
      <c r="P15" s="12"/>
      <c r="R15" s="138">
        <f>'Parameters, country spec'!B25</f>
        <v>2.3959170998341588E-4</v>
      </c>
      <c r="S15" s="138">
        <f>'Parameters, country spec'!B43</f>
        <v>2.3959170998341588E-4</v>
      </c>
    </row>
    <row r="16" spans="1:20" x14ac:dyDescent="0.3">
      <c r="B16" s="16" t="s">
        <v>171</v>
      </c>
      <c r="C16" s="15" t="s">
        <v>372</v>
      </c>
      <c r="D16" s="21" t="s">
        <v>28</v>
      </c>
      <c r="E16" s="21" t="s">
        <v>67</v>
      </c>
      <c r="F16" s="107">
        <f t="shared" si="0"/>
        <v>0.27628755742228495</v>
      </c>
      <c r="G16" s="18">
        <f>'Off-farm feed'!$F$74</f>
        <v>0.15910156565543246</v>
      </c>
      <c r="H16" s="18">
        <f>'Off-farm feed'!$G$74</f>
        <v>1.3034482758620692E-2</v>
      </c>
      <c r="I16" s="18">
        <f>'Off-farm feed'!$H$74</f>
        <v>0</v>
      </c>
      <c r="J16" s="18"/>
      <c r="K16" s="18">
        <f>'Off-farm feed'!$J$74</f>
        <v>2.4688740026345454E-2</v>
      </c>
      <c r="L16" s="18"/>
      <c r="M16" s="258">
        <f>'Off-farm feed'!$L$74</f>
        <v>1.931759303794134E-4</v>
      </c>
      <c r="N16" s="18">
        <f>'Off-farm feed'!$M$74</f>
        <v>3.6802128767029069E-2</v>
      </c>
      <c r="O16" s="18">
        <f>'Off-farm feed'!$N$74</f>
        <v>0</v>
      </c>
      <c r="P16" s="18">
        <f>'Off-farm feed'!$O$74</f>
        <v>2.6267464284477883E-2</v>
      </c>
      <c r="Q16" s="18">
        <f>'Off-farm feed'!$P$74</f>
        <v>1.6199999999999999E-2</v>
      </c>
      <c r="R16" s="138">
        <f>'Parameters, country spec'!B26</f>
        <v>0.09</v>
      </c>
      <c r="S16" s="138">
        <f>'Parameters, country spec'!B44</f>
        <v>0.06</v>
      </c>
    </row>
    <row r="17" spans="1:20" x14ac:dyDescent="0.3">
      <c r="B17" s="16" t="s">
        <v>373</v>
      </c>
      <c r="C17" s="15" t="s">
        <v>372</v>
      </c>
      <c r="D17" s="21" t="s">
        <v>28</v>
      </c>
      <c r="E17" s="21" t="s">
        <v>67</v>
      </c>
      <c r="F17" s="107">
        <f t="shared" si="0"/>
        <v>0.7061171705997602</v>
      </c>
      <c r="G17" s="18">
        <f>'Off-farm feed'!$F$23</f>
        <v>7.2632670993098931E-3</v>
      </c>
      <c r="H17" s="18">
        <f>'Off-farm feed'!$G$23</f>
        <v>2.1402439024390246E-2</v>
      </c>
      <c r="I17" s="18">
        <f>'Off-farm feed'!$H$23</f>
        <v>0</v>
      </c>
      <c r="J17" s="18"/>
      <c r="K17" s="18">
        <f>'Off-farm feed'!$J$23</f>
        <v>4.308361966433235E-2</v>
      </c>
      <c r="L17" s="18"/>
      <c r="M17" s="258">
        <f>'Off-farm feed'!$L$23</f>
        <v>1.7842060425123844E-4</v>
      </c>
      <c r="N17" s="18">
        <f>'Off-farm feed'!$M$23</f>
        <v>3.0432604948959403E-2</v>
      </c>
      <c r="O17" s="18">
        <f>'Off-farm feed'!$N$23</f>
        <v>0.31761120248475611</v>
      </c>
      <c r="P17" s="18">
        <f>'Off-farm feed'!$O$23</f>
        <v>3.5145616773760872E-2</v>
      </c>
      <c r="Q17" s="18">
        <f>'Off-farm feed'!$P$23</f>
        <v>0.251</v>
      </c>
      <c r="R17" s="138">
        <f>'Parameters, country spec'!B27</f>
        <v>9.5000000000000001E-2</v>
      </c>
      <c r="S17" s="138">
        <f>'Parameters, country spec'!B45</f>
        <v>7.0000000000000007E-2</v>
      </c>
    </row>
    <row r="18" spans="1:20" x14ac:dyDescent="0.3">
      <c r="B18" s="15" t="s">
        <v>173</v>
      </c>
      <c r="C18" s="15" t="s">
        <v>374</v>
      </c>
      <c r="D18" s="21" t="s">
        <v>28</v>
      </c>
      <c r="E18" s="21" t="s">
        <v>67</v>
      </c>
      <c r="F18" s="107">
        <f>SUM(G18:Q18)</f>
        <v>0.19784350000160197</v>
      </c>
      <c r="G18" s="71">
        <v>4.5495933369189799E-2</v>
      </c>
      <c r="H18" s="14">
        <v>1.3510799999999899E-2</v>
      </c>
      <c r="I18" s="14"/>
      <c r="J18" s="12"/>
      <c r="K18" s="71">
        <v>3.1270772847070999E-2</v>
      </c>
      <c r="L18" s="12"/>
      <c r="M18" s="12"/>
      <c r="N18" s="71"/>
      <c r="O18" s="12"/>
      <c r="P18" s="14">
        <v>0.102505251885267</v>
      </c>
      <c r="Q18" s="14">
        <v>5.06074190007427E-3</v>
      </c>
      <c r="R18" s="138">
        <f>'Parameters, country spec'!B28</f>
        <v>9.5000000000000001E-2</v>
      </c>
      <c r="S18" s="138">
        <f>'Parameters, country spec'!B46</f>
        <v>0.14000000000000001</v>
      </c>
    </row>
    <row r="19" spans="1:20" x14ac:dyDescent="0.3">
      <c r="A19" s="74"/>
      <c r="B19" s="15" t="s">
        <v>375</v>
      </c>
      <c r="C19" s="75" t="s">
        <v>376</v>
      </c>
      <c r="D19" s="21" t="s">
        <v>28</v>
      </c>
      <c r="E19" s="21" t="s">
        <v>67</v>
      </c>
      <c r="F19" s="107">
        <f t="shared" si="0"/>
        <v>0.15634544409791798</v>
      </c>
      <c r="G19" s="72">
        <f>SUMPRODUCT(G9:G17,$R9:$R17)</f>
        <v>4.6339010775023878E-2</v>
      </c>
      <c r="H19" s="72">
        <f t="shared" ref="H19:P19" si="1">SUMPRODUCT(H9:H17,$R9:$R17)</f>
        <v>1.3086820736596541E-2</v>
      </c>
      <c r="I19" s="72">
        <f t="shared" si="1"/>
        <v>0</v>
      </c>
      <c r="J19" s="72">
        <f t="shared" si="1"/>
        <v>0</v>
      </c>
      <c r="K19" s="72">
        <f>SUMPRODUCT(K9:K17,$R9:$R17)</f>
        <v>1.6691252426934654E-2</v>
      </c>
      <c r="L19" s="72">
        <f t="shared" si="1"/>
        <v>0</v>
      </c>
      <c r="M19" s="72">
        <f t="shared" si="1"/>
        <v>3.8064620753089698E-5</v>
      </c>
      <c r="N19" s="72">
        <f t="shared" si="1"/>
        <v>1.9011325923447696E-2</v>
      </c>
      <c r="O19" s="72">
        <f t="shared" si="1"/>
        <v>3.017306423605183E-2</v>
      </c>
      <c r="P19" s="72">
        <f t="shared" si="1"/>
        <v>5.7029053791102929E-3</v>
      </c>
      <c r="Q19" s="72">
        <f>SUMPRODUCT(Q9:Q17,$R9:$R17)</f>
        <v>2.5303000000000003E-2</v>
      </c>
      <c r="R19" s="138">
        <f>'Parameters, country spec'!B29</f>
        <v>7.0000000000000007E-2</v>
      </c>
      <c r="S19" s="138">
        <f>'Parameters, country spec'!B47</f>
        <v>0.03</v>
      </c>
    </row>
    <row r="20" spans="1:20" x14ac:dyDescent="0.3">
      <c r="A20" s="287"/>
      <c r="B20" s="288" t="s">
        <v>377</v>
      </c>
      <c r="C20" s="289"/>
      <c r="D20" s="290"/>
      <c r="E20" s="290"/>
      <c r="F20" s="291">
        <f>SUMPRODUCT(F6:F8,R6:R8)+SUMPRODUCT(F9:F19,R9:R19)/0.87</f>
        <v>0.24276392687414383</v>
      </c>
      <c r="G20" s="291">
        <f>SUMPRODUCT(G6:G8,R6:R8)+SUMPRODUCT(G9:G19,R9:R19)/0.87</f>
        <v>6.6534950736329812E-2</v>
      </c>
      <c r="H20" s="291">
        <f>SUMPRODUCT(H6:H8,R6:R8)+SUMPRODUCT(H9:H19,R9:R19)/0.87</f>
        <v>2.5130602515124473E-2</v>
      </c>
      <c r="I20" s="291">
        <f>SUMPRODUCT(I6:I8,R6:R8)+SUMPRODUCT(I9:I19,R9:R19)/0.87</f>
        <v>0</v>
      </c>
      <c r="J20" s="291">
        <f>SUMPRODUCT(J6:J8,R6:R8)+SUMPRODUCT(J9:J19,R9:R19)/0.87</f>
        <v>0</v>
      </c>
      <c r="K20" s="291">
        <f>SUMPRODUCT(K6:K8,R6:R8)+SUMPRODUCT(K9:K19,R9:R19)/0.87</f>
        <v>2.7605000312200142E-2</v>
      </c>
      <c r="L20" s="291">
        <f>SUMPRODUCT(L6:L8,R6:R8)+SUMPRODUCT(L9:L19,R9:R19)/0.87</f>
        <v>0</v>
      </c>
      <c r="M20" s="291">
        <f>SUMPRODUCT(M6:M8,R6:R8)+SUMPRODUCT(M9:M19,R9:R19)/0.87</f>
        <v>4.6815108282535605E-5</v>
      </c>
      <c r="N20" s="291">
        <f>SUMPRODUCT(N6:N8,R6:R8)+SUMPRODUCT(N9:N19,R9:R19)/0.87</f>
        <v>2.3381745675964405E-2</v>
      </c>
      <c r="O20" s="291">
        <f>SUMPRODUCT(O6:O8,R6:R8)+SUMPRODUCT(O9:O19,R9:R19)/0.87</f>
        <v>3.7109400842040757E-2</v>
      </c>
      <c r="P20" s="291">
        <f>SUMPRODUCT(P6:P8,R6:R8)+SUMPRODUCT(P9:P19,R9:R19)/0.87</f>
        <v>3.128302032729699E-2</v>
      </c>
      <c r="Q20" s="291">
        <f>SUMPRODUCT(Q6:Q8,R6:R8)+SUMPRODUCT(Q9:Q19,R9:R19)/0.87</f>
        <v>3.1672391356904667E-2</v>
      </c>
      <c r="R20" s="294"/>
      <c r="S20" s="295"/>
    </row>
    <row r="21" spans="1:20" x14ac:dyDescent="0.3">
      <c r="A21" s="137"/>
      <c r="B21" s="23" t="s">
        <v>378</v>
      </c>
      <c r="C21" s="24"/>
      <c r="D21" s="93"/>
      <c r="E21" s="93"/>
      <c r="F21" s="286">
        <f>SUMPRODUCT(F6:F8,S6:S8)+SUMPRODUCT(F9:F19,S9:S19)/0.87</f>
        <v>0.22488100660932278</v>
      </c>
      <c r="G21" s="286">
        <f>SUMPRODUCT(G6:G8,S6:S8)+SUMPRODUCT(G9:G19,S9:S19)/0.87</f>
        <v>6.4498689888201274E-2</v>
      </c>
      <c r="H21" s="286">
        <f>SUMPRODUCT(H6:H8,S6:S8)+SUMPRODUCT(H9:H19,S9:S19)/0.87</f>
        <v>2.5789473448650631E-2</v>
      </c>
      <c r="I21" s="286">
        <f>SUMPRODUCT(I6:I8,S6:S8)+SUMPRODUCT(I9:I19,S9:S19)/0.87</f>
        <v>0</v>
      </c>
      <c r="J21" s="286">
        <f>SUMPRODUCT(J6:J8,S6:S8)+SUMPRODUCT(J9:J19,S9:S19)/0.87</f>
        <v>0</v>
      </c>
      <c r="K21" s="286">
        <f>SUMPRODUCT(K6:K8,S6:S8)+SUMPRODUCT(K9:K19,S9:S19)/0.87</f>
        <v>2.7851382462882587E-2</v>
      </c>
      <c r="L21" s="286">
        <f>SUMPRODUCT(L6:L8,S6:S8)+SUMPRODUCT(L9:L19,S9:S19)/0.87</f>
        <v>0</v>
      </c>
      <c r="M21" s="286">
        <f>SUMPRODUCT(M6:M8,S6:S8)+SUMPRODUCT(M9:M19,S9:S19)/0.87</f>
        <v>3.327674294025175E-5</v>
      </c>
      <c r="N21" s="286">
        <f>SUMPRODUCT(N6:N8,S6:S8)+SUMPRODUCT(N9:N19,S9:S19)/0.87</f>
        <v>2.1772168637260083E-2</v>
      </c>
      <c r="O21" s="286">
        <f>SUMPRODUCT(O6:O8,S6:S8)+SUMPRODUCT(O9:O19,S9:S19)/0.87</f>
        <v>2.659537482875228E-2</v>
      </c>
      <c r="P21" s="286">
        <f>SUMPRODUCT(P6:P8,S6:S8)+SUMPRODUCT(P9:P19,S9:S19)/0.87</f>
        <v>3.5341107421313363E-2</v>
      </c>
      <c r="Q21" s="286">
        <f>SUMPRODUCT(Q6:Q8,S6:S8)+SUMPRODUCT(Q9:Q19,S9:S19)/0.87</f>
        <v>2.2999533179322299E-2</v>
      </c>
      <c r="R21" s="139"/>
      <c r="S21" s="139"/>
    </row>
    <row r="22" spans="1:20" x14ac:dyDescent="0.3">
      <c r="B22" s="16" t="s">
        <v>152</v>
      </c>
      <c r="C22" s="15" t="s">
        <v>361</v>
      </c>
      <c r="D22" s="21" t="s">
        <v>25</v>
      </c>
      <c r="E22" s="21" t="s">
        <v>68</v>
      </c>
      <c r="F22" s="107">
        <f>SUM(G22:Q22)</f>
        <v>6.1295513674652385E-2</v>
      </c>
      <c r="G22" s="18">
        <f>'Forage crops, CF'!F13</f>
        <v>2.1132412362766816E-2</v>
      </c>
      <c r="H22" s="18">
        <f>'Forage crops, CF'!G13</f>
        <v>2.7E-2</v>
      </c>
      <c r="I22" s="18">
        <f>'Forage crops, CF'!H13</f>
        <v>0</v>
      </c>
      <c r="J22" s="18">
        <f>'Forage crops, CF'!I13</f>
        <v>0</v>
      </c>
      <c r="K22" s="18">
        <f>'Forage crops, CF'!J13</f>
        <v>1.3163101311885569E-2</v>
      </c>
      <c r="L22" s="18">
        <f>'Forage crops, CF'!K13</f>
        <v>0</v>
      </c>
      <c r="M22" s="18">
        <f>'Forage crops, CF'!L13</f>
        <v>0</v>
      </c>
      <c r="N22" s="18">
        <f>'Forage crops, CF'!M13</f>
        <v>0</v>
      </c>
      <c r="O22" s="18">
        <f>'Forage crops, CF'!N13</f>
        <v>0</v>
      </c>
      <c r="P22" s="18">
        <f>'Forage crops, CF'!O13</f>
        <v>0</v>
      </c>
      <c r="Q22" s="18">
        <f>'Forage crops, CF'!P13</f>
        <v>0</v>
      </c>
      <c r="R22" s="138">
        <f>'Parameters, country spec'!C16</f>
        <v>0</v>
      </c>
      <c r="S22" s="138">
        <f>'Parameters, country spec'!C34</f>
        <v>0</v>
      </c>
      <c r="T22" s="18"/>
    </row>
    <row r="23" spans="1:20" x14ac:dyDescent="0.3">
      <c r="B23" s="16" t="s">
        <v>154</v>
      </c>
      <c r="C23" s="15" t="s">
        <v>361</v>
      </c>
      <c r="D23" s="21" t="s">
        <v>25</v>
      </c>
      <c r="E23" s="21" t="s">
        <v>68</v>
      </c>
      <c r="F23" s="107">
        <f>SUM(G23:Q23)</f>
        <v>0.10091146196851433</v>
      </c>
      <c r="G23" s="18">
        <f>'Forage crops, CF'!F63</f>
        <v>1.2251094124540752E-2</v>
      </c>
      <c r="H23" s="18">
        <f>'Forage crops, CF'!G63</f>
        <v>2.7E-2</v>
      </c>
      <c r="I23" s="18">
        <f>'Forage crops, CF'!H63</f>
        <v>0</v>
      </c>
      <c r="J23" s="18">
        <f>'Forage crops, CF'!I63</f>
        <v>0</v>
      </c>
      <c r="K23" s="18">
        <f>'Forage crops, CF'!J63</f>
        <v>1.3384776661816474E-2</v>
      </c>
      <c r="L23" s="18">
        <f>'Forage crops, CF'!K63</f>
        <v>0</v>
      </c>
      <c r="M23" s="18">
        <f>'Forage crops, CF'!L63</f>
        <v>1.5755911821570903E-3</v>
      </c>
      <c r="N23" s="18">
        <f>'Forage crops, CF'!M63</f>
        <v>0</v>
      </c>
      <c r="O23" s="18">
        <f>'Forage crops, CF'!N63</f>
        <v>0</v>
      </c>
      <c r="P23" s="18">
        <f>'Forage crops, CF'!O63</f>
        <v>4.6700000000000005E-2</v>
      </c>
      <c r="Q23" s="18">
        <f>'Forage crops, CF'!P63</f>
        <v>0</v>
      </c>
      <c r="R23" s="138">
        <f>'Parameters, country spec'!C17</f>
        <v>0</v>
      </c>
      <c r="S23" s="138">
        <f>'Parameters, country spec'!C35</f>
        <v>0</v>
      </c>
      <c r="T23" s="18"/>
    </row>
    <row r="24" spans="1:20" x14ac:dyDescent="0.3">
      <c r="B24" s="16" t="s">
        <v>362</v>
      </c>
      <c r="C24" s="15" t="s">
        <v>361</v>
      </c>
      <c r="D24" s="21" t="s">
        <v>25</v>
      </c>
      <c r="E24" s="21" t="s">
        <v>68</v>
      </c>
      <c r="F24" s="107">
        <f>SUM(G24:Q24)</f>
        <v>0.10563616893582056</v>
      </c>
      <c r="G24" s="18">
        <f>'Forage crops, CF'!F113*'Forage, input data per ha'!$E$68+'Forage crops, CF'!F163*'Forage, input data per ha'!$G$68</f>
        <v>1.8266539081179652E-2</v>
      </c>
      <c r="H24" s="18">
        <f>'Forage crops, CF'!G113*'Forage, input data per ha'!$E$68+'Forage crops, CF'!G163*'Forage, input data per ha'!$G$68</f>
        <v>2.7E-2</v>
      </c>
      <c r="I24" s="18">
        <f>'Forage crops, CF'!H113*'Forage, input data per ha'!$E$68+'Forage crops, CF'!H163*'Forage, input data per ha'!$G$68</f>
        <v>0</v>
      </c>
      <c r="J24" s="18">
        <f>'Forage crops, CF'!I113*'Forage, input data per ha'!$E$68+'Forage crops, CF'!I163*'Forage, input data per ha'!$G$68</f>
        <v>0</v>
      </c>
      <c r="K24" s="18">
        <f>'Forage crops, CF'!J113*'Forage, input data per ha'!$E$68+'Forage crops, CF'!J163*'Forage, input data per ha'!$G$68</f>
        <v>1.3669629854640911E-2</v>
      </c>
      <c r="L24" s="18">
        <f>'Forage crops, CF'!K113*'Forage, input data per ha'!$E$68+'Forage crops, CF'!K163*'Forage, input data per ha'!$G$68</f>
        <v>0</v>
      </c>
      <c r="M24" s="18">
        <f>'Forage crops, CF'!L113*'Forage, input data per ha'!$E$68+'Forage crops, CF'!L163*'Forage, input data per ha'!$G$68</f>
        <v>0</v>
      </c>
      <c r="N24" s="18">
        <f>'Forage crops, CF'!M113*'Forage, input data per ha'!$E$68+'Forage crops, CF'!M163*'Forage, input data per ha'!$G$68</f>
        <v>0</v>
      </c>
      <c r="O24" s="18">
        <f>'Forage crops, CF'!N113*'Forage, input data per ha'!$E$68+'Forage crops, CF'!N163*'Forage, input data per ha'!$G$68</f>
        <v>0</v>
      </c>
      <c r="P24" s="18">
        <f>'Forage crops, CF'!O113*'Forage, input data per ha'!$E$68+'Forage crops, CF'!O163*'Forage, input data per ha'!$G$68</f>
        <v>4.6699999999999998E-2</v>
      </c>
      <c r="Q24" s="18">
        <f>'Forage crops, CF'!P113*'Forage, input data per ha'!$E$68+'Forage crops, CF'!P163*'Forage, input data per ha'!$G$68</f>
        <v>0</v>
      </c>
      <c r="R24" s="138">
        <f>'Parameters, country spec'!C18</f>
        <v>0.28000000000000003</v>
      </c>
      <c r="S24" s="138">
        <f>'Parameters, country spec'!C36</f>
        <v>0.3</v>
      </c>
      <c r="T24" s="18"/>
    </row>
    <row r="25" spans="1:20" x14ac:dyDescent="0.3">
      <c r="A25" s="20" t="s">
        <v>363</v>
      </c>
      <c r="B25" s="15" t="s">
        <v>159</v>
      </c>
      <c r="C25" s="15" t="s">
        <v>364</v>
      </c>
      <c r="D25" s="21" t="s">
        <v>25</v>
      </c>
      <c r="E25" s="21" t="s">
        <v>68</v>
      </c>
      <c r="F25" s="107">
        <f>SUM(G25:Q25)</f>
        <v>0.17700000000000002</v>
      </c>
      <c r="G25" s="71">
        <v>7.9000000000000001E-2</v>
      </c>
      <c r="H25" s="12">
        <v>2.7E-2</v>
      </c>
      <c r="I25" s="14">
        <v>0</v>
      </c>
      <c r="J25" s="12"/>
      <c r="K25" s="71">
        <v>2.9000000000000001E-2</v>
      </c>
      <c r="L25" s="12"/>
      <c r="M25" s="12">
        <v>0</v>
      </c>
      <c r="N25" s="71">
        <v>4.2000000000000003E-2</v>
      </c>
      <c r="O25" s="12"/>
      <c r="P25" s="12"/>
      <c r="R25" s="138">
        <f>'Parameters, country spec'!C19</f>
        <v>0.16</v>
      </c>
      <c r="S25" s="138">
        <f>'Parameters, country spec'!C37</f>
        <v>0.2</v>
      </c>
    </row>
    <row r="26" spans="1:20" x14ac:dyDescent="0.3">
      <c r="A26" s="20" t="s">
        <v>365</v>
      </c>
      <c r="B26" s="15" t="s">
        <v>161</v>
      </c>
      <c r="C26" s="15" t="s">
        <v>364</v>
      </c>
      <c r="D26" s="21" t="s">
        <v>25</v>
      </c>
      <c r="E26" s="21" t="s">
        <v>68</v>
      </c>
      <c r="F26" s="107">
        <f t="shared" ref="F26:F35" si="2">SUM(G26:Q26)</f>
        <v>0.16700000000000001</v>
      </c>
      <c r="G26" s="71">
        <v>7.6999999999999999E-2</v>
      </c>
      <c r="H26" s="12">
        <v>2.7E-2</v>
      </c>
      <c r="I26" s="14">
        <v>0</v>
      </c>
      <c r="J26" s="12"/>
      <c r="K26" s="71">
        <v>1.9E-2</v>
      </c>
      <c r="L26" s="12"/>
      <c r="M26" s="12">
        <v>2E-3</v>
      </c>
      <c r="N26" s="71">
        <v>4.2000000000000003E-2</v>
      </c>
      <c r="O26" s="12"/>
      <c r="P26" s="12"/>
      <c r="R26" s="138">
        <f>'Parameters, country spec'!C20</f>
        <v>3.1075970320211814E-4</v>
      </c>
      <c r="S26" s="138">
        <f>'Parameters, country spec'!C38</f>
        <v>3.1075970320211814E-4</v>
      </c>
    </row>
    <row r="27" spans="1:20" x14ac:dyDescent="0.3">
      <c r="A27" s="20" t="s">
        <v>366</v>
      </c>
      <c r="B27" s="15" t="s">
        <v>163</v>
      </c>
      <c r="C27" s="15" t="s">
        <v>364</v>
      </c>
      <c r="D27" s="21" t="s">
        <v>25</v>
      </c>
      <c r="E27" s="21" t="s">
        <v>68</v>
      </c>
      <c r="F27" s="107">
        <f t="shared" si="2"/>
        <v>0.18100000000000002</v>
      </c>
      <c r="G27" s="71">
        <v>7.0000000000000007E-2</v>
      </c>
      <c r="H27" s="12">
        <v>2.7E-2</v>
      </c>
      <c r="I27" s="14">
        <v>0</v>
      </c>
      <c r="J27" s="12"/>
      <c r="K27" s="71">
        <v>4.2000000000000003E-2</v>
      </c>
      <c r="L27" s="12"/>
      <c r="M27" s="12">
        <v>0</v>
      </c>
      <c r="N27" s="71">
        <v>4.2000000000000003E-2</v>
      </c>
      <c r="O27" s="12"/>
      <c r="P27" s="12"/>
      <c r="R27" s="138">
        <f>'Parameters, country spec'!C21</f>
        <v>8.6733359151412953E-5</v>
      </c>
      <c r="S27" s="138">
        <f>'Parameters, country spec'!C39</f>
        <v>8.6733359151412953E-5</v>
      </c>
    </row>
    <row r="28" spans="1:20" x14ac:dyDescent="0.3">
      <c r="A28" s="20" t="s">
        <v>367</v>
      </c>
      <c r="B28" s="15" t="s">
        <v>165</v>
      </c>
      <c r="C28" s="15" t="s">
        <v>364</v>
      </c>
      <c r="D28" s="21" t="s">
        <v>25</v>
      </c>
      <c r="E28" s="21" t="s">
        <v>68</v>
      </c>
      <c r="F28" s="107">
        <f t="shared" si="2"/>
        <v>0.16700000000000001</v>
      </c>
      <c r="G28" s="71">
        <v>6.2E-2</v>
      </c>
      <c r="H28" s="12">
        <v>2.7E-2</v>
      </c>
      <c r="I28" s="12">
        <v>0</v>
      </c>
      <c r="J28" s="12"/>
      <c r="K28" s="71">
        <v>3.5999999999999997E-2</v>
      </c>
      <c r="L28" s="12"/>
      <c r="M28" s="12">
        <v>0</v>
      </c>
      <c r="N28" s="71">
        <v>4.2000000000000003E-2</v>
      </c>
      <c r="O28" s="12"/>
      <c r="P28" s="12"/>
      <c r="R28" s="138">
        <f>'Parameters, country spec'!C22</f>
        <v>6.2924072151971947E-5</v>
      </c>
      <c r="S28" s="138">
        <f>'Parameters, country spec'!C40</f>
        <v>6.2924072151971947E-5</v>
      </c>
    </row>
    <row r="29" spans="1:20" x14ac:dyDescent="0.3">
      <c r="A29" s="20" t="s">
        <v>368</v>
      </c>
      <c r="B29" s="15" t="s">
        <v>167</v>
      </c>
      <c r="C29" s="15" t="s">
        <v>364</v>
      </c>
      <c r="D29" s="21" t="s">
        <v>25</v>
      </c>
      <c r="E29" s="21" t="s">
        <v>68</v>
      </c>
      <c r="F29" s="107">
        <f t="shared" si="2"/>
        <v>0.186</v>
      </c>
      <c r="G29" s="71">
        <v>9.0999999999999998E-2</v>
      </c>
      <c r="H29" s="12">
        <v>2.7E-2</v>
      </c>
      <c r="I29" s="12">
        <v>0</v>
      </c>
      <c r="J29" s="12"/>
      <c r="K29" s="71">
        <v>2.5999999999999999E-2</v>
      </c>
      <c r="L29" s="12"/>
      <c r="M29" s="12">
        <v>0</v>
      </c>
      <c r="N29" s="71">
        <v>4.2000000000000003E-2</v>
      </c>
      <c r="O29" s="12"/>
      <c r="P29" s="12"/>
      <c r="R29" s="138">
        <f>'Parameters, country spec'!C23</f>
        <v>0.20500000000000002</v>
      </c>
      <c r="S29" s="138">
        <f>'Parameters, country spec'!C41</f>
        <v>0.2</v>
      </c>
    </row>
    <row r="30" spans="1:20" x14ac:dyDescent="0.3">
      <c r="A30" s="20" t="s">
        <v>369</v>
      </c>
      <c r="B30" s="15" t="s">
        <v>168</v>
      </c>
      <c r="C30" s="15" t="s">
        <v>370</v>
      </c>
      <c r="D30" s="21" t="s">
        <v>25</v>
      </c>
      <c r="E30" s="21" t="s">
        <v>68</v>
      </c>
      <c r="F30" s="107">
        <f t="shared" si="2"/>
        <v>0.122</v>
      </c>
      <c r="G30" s="71">
        <v>0</v>
      </c>
      <c r="H30" s="12">
        <v>2.7E-2</v>
      </c>
      <c r="I30" s="14">
        <v>0</v>
      </c>
      <c r="J30" s="12"/>
      <c r="K30" s="71">
        <v>5.2999999999999999E-2</v>
      </c>
      <c r="L30" s="14"/>
      <c r="M30" s="12">
        <v>0</v>
      </c>
      <c r="N30" s="71">
        <v>4.2000000000000003E-2</v>
      </c>
      <c r="O30" s="12"/>
      <c r="P30" s="12"/>
      <c r="R30" s="138">
        <f>'Parameters, country spec'!C24</f>
        <v>2.439015630520557E-4</v>
      </c>
      <c r="S30" s="138">
        <f>'Parameters, country spec'!C42</f>
        <v>2.439015630520557E-4</v>
      </c>
    </row>
    <row r="31" spans="1:20" x14ac:dyDescent="0.3">
      <c r="A31" s="20" t="s">
        <v>371</v>
      </c>
      <c r="B31" s="15" t="s">
        <v>170</v>
      </c>
      <c r="C31" s="15" t="s">
        <v>370</v>
      </c>
      <c r="D31" s="21" t="s">
        <v>25</v>
      </c>
      <c r="E31" s="21" t="s">
        <v>68</v>
      </c>
      <c r="F31" s="107">
        <f t="shared" si="2"/>
        <v>0.125</v>
      </c>
      <c r="G31" s="71">
        <v>4.0000000000000001E-3</v>
      </c>
      <c r="H31" s="12">
        <v>2.7E-2</v>
      </c>
      <c r="I31" s="14">
        <v>0</v>
      </c>
      <c r="J31" s="12"/>
      <c r="K31" s="71">
        <v>4.5999999999999999E-2</v>
      </c>
      <c r="L31" s="12"/>
      <c r="M31" s="12">
        <v>6.0000000000000001E-3</v>
      </c>
      <c r="N31" s="71">
        <v>4.2000000000000003E-2</v>
      </c>
      <c r="O31" s="12"/>
      <c r="P31" s="12"/>
      <c r="R31" s="138">
        <f>'Parameters, country spec'!C25</f>
        <v>2.3959170998341588E-4</v>
      </c>
      <c r="S31" s="138">
        <f>'Parameters, country spec'!C43</f>
        <v>2.3959170998341588E-4</v>
      </c>
    </row>
    <row r="32" spans="1:20" x14ac:dyDescent="0.3">
      <c r="B32" s="16" t="s">
        <v>171</v>
      </c>
      <c r="C32" s="15" t="s">
        <v>372</v>
      </c>
      <c r="D32" s="21" t="s">
        <v>25</v>
      </c>
      <c r="E32" s="21" t="s">
        <v>68</v>
      </c>
      <c r="F32" s="107">
        <f t="shared" si="2"/>
        <v>0.27628755742228495</v>
      </c>
      <c r="G32" s="18">
        <f>'Off-farm feed'!$F$74</f>
        <v>0.15910156565543246</v>
      </c>
      <c r="H32" s="18">
        <f>'Off-farm feed'!$G$74</f>
        <v>1.3034482758620692E-2</v>
      </c>
      <c r="I32" s="18">
        <f>'Off-farm feed'!$H$74</f>
        <v>0</v>
      </c>
      <c r="J32" s="18"/>
      <c r="K32" s="18">
        <f>'Off-farm feed'!$J$74</f>
        <v>2.4688740026345454E-2</v>
      </c>
      <c r="L32" s="18"/>
      <c r="M32" s="258">
        <f>'Off-farm feed'!$L$74</f>
        <v>1.931759303794134E-4</v>
      </c>
      <c r="N32" s="18">
        <f>'Off-farm feed'!$M$74</f>
        <v>3.6802128767029069E-2</v>
      </c>
      <c r="O32" s="18">
        <f>'Off-farm feed'!$N$74</f>
        <v>0</v>
      </c>
      <c r="P32" s="18">
        <f>'Off-farm feed'!$O$74</f>
        <v>2.6267464284477883E-2</v>
      </c>
      <c r="Q32" s="18">
        <f>'Off-farm feed'!$P$74</f>
        <v>1.6199999999999999E-2</v>
      </c>
      <c r="R32" s="138">
        <f>'Parameters, country spec'!C26</f>
        <v>0.09</v>
      </c>
      <c r="S32" s="138">
        <f>'Parameters, country spec'!C44</f>
        <v>0.06</v>
      </c>
    </row>
    <row r="33" spans="1:20" x14ac:dyDescent="0.3">
      <c r="B33" s="16" t="s">
        <v>373</v>
      </c>
      <c r="C33" s="15" t="s">
        <v>372</v>
      </c>
      <c r="D33" s="21" t="s">
        <v>25</v>
      </c>
      <c r="E33" s="21" t="s">
        <v>68</v>
      </c>
      <c r="F33" s="107">
        <f t="shared" si="2"/>
        <v>0.7061171705997602</v>
      </c>
      <c r="G33" s="18">
        <f>'Off-farm feed'!$F$23</f>
        <v>7.2632670993098931E-3</v>
      </c>
      <c r="H33" s="18">
        <f>'Off-farm feed'!$G$23</f>
        <v>2.1402439024390246E-2</v>
      </c>
      <c r="I33" s="18">
        <f>'Off-farm feed'!$H$23</f>
        <v>0</v>
      </c>
      <c r="J33" s="18"/>
      <c r="K33" s="18">
        <f>'Off-farm feed'!$J$23</f>
        <v>4.308361966433235E-2</v>
      </c>
      <c r="L33" s="18"/>
      <c r="M33" s="258">
        <f>'Off-farm feed'!$L$23</f>
        <v>1.7842060425123844E-4</v>
      </c>
      <c r="N33" s="18">
        <f>'Off-farm feed'!$M$23</f>
        <v>3.0432604948959403E-2</v>
      </c>
      <c r="O33" s="18">
        <f>'Off-farm feed'!$N$23</f>
        <v>0.31761120248475611</v>
      </c>
      <c r="P33" s="18">
        <f>'Off-farm feed'!$O$23</f>
        <v>3.5145616773760872E-2</v>
      </c>
      <c r="Q33" s="18">
        <f>'Off-farm feed'!$P$23</f>
        <v>0.251</v>
      </c>
      <c r="R33" s="138">
        <f>'Parameters, country spec'!C27</f>
        <v>9.5000000000000001E-2</v>
      </c>
      <c r="S33" s="138">
        <f>'Parameters, country spec'!C45</f>
        <v>7.0000000000000007E-2</v>
      </c>
    </row>
    <row r="34" spans="1:20" x14ac:dyDescent="0.3">
      <c r="B34" s="15" t="s">
        <v>173</v>
      </c>
      <c r="C34" s="15" t="s">
        <v>374</v>
      </c>
      <c r="D34" s="21" t="s">
        <v>25</v>
      </c>
      <c r="E34" s="21" t="s">
        <v>68</v>
      </c>
      <c r="F34" s="107">
        <f>SUM(G34:Q34)</f>
        <v>0.63069821539340787</v>
      </c>
      <c r="G34" s="71">
        <v>4.5323617744314898E-2</v>
      </c>
      <c r="H34" s="14">
        <v>1.3510799999999899E-2</v>
      </c>
      <c r="I34" s="14"/>
      <c r="J34" s="12"/>
      <c r="K34" s="71">
        <v>3.4582976842042798E-2</v>
      </c>
      <c r="L34" s="12"/>
      <c r="M34" s="12"/>
      <c r="N34" s="71"/>
      <c r="O34" s="12"/>
      <c r="P34" s="14">
        <v>0.52550926010708199</v>
      </c>
      <c r="Q34" s="14">
        <v>1.1771560699968301E-2</v>
      </c>
      <c r="R34" s="138">
        <f>'Parameters, country spec'!C28</f>
        <v>9.5000000000000001E-2</v>
      </c>
      <c r="S34" s="138">
        <f>'Parameters, country spec'!C46</f>
        <v>0.14000000000000001</v>
      </c>
    </row>
    <row r="35" spans="1:20" x14ac:dyDescent="0.3">
      <c r="A35" s="74"/>
      <c r="B35" s="15" t="s">
        <v>375</v>
      </c>
      <c r="C35" s="75" t="s">
        <v>376</v>
      </c>
      <c r="D35" s="21" t="s">
        <v>25</v>
      </c>
      <c r="E35" s="21" t="s">
        <v>68</v>
      </c>
      <c r="F35" s="107">
        <f t="shared" si="2"/>
        <v>0.15853482025791368</v>
      </c>
      <c r="G35" s="72">
        <f>SUMPRODUCT(G25:G33,$R25:$R33)</f>
        <v>4.6339010775023878E-2</v>
      </c>
      <c r="H35" s="72">
        <f t="shared" ref="H35:P35" si="3">SUMPRODUCT(H25:H33,$R25:$R33)</f>
        <v>1.3086820736596541E-2</v>
      </c>
      <c r="I35" s="72">
        <f t="shared" si="3"/>
        <v>0</v>
      </c>
      <c r="J35" s="72">
        <f t="shared" si="3"/>
        <v>0</v>
      </c>
      <c r="K35" s="72">
        <f>SUMPRODUCT(K25:K33,$R25:$R33)</f>
        <v>1.6320690974026331E-2</v>
      </c>
      <c r="L35" s="72">
        <f t="shared" si="3"/>
        <v>0</v>
      </c>
      <c r="M35" s="72">
        <f t="shared" si="3"/>
        <v>3.6394860804319593E-5</v>
      </c>
      <c r="N35" s="72">
        <f t="shared" si="3"/>
        <v>2.1572933296300483E-2</v>
      </c>
      <c r="O35" s="72">
        <f t="shared" si="3"/>
        <v>3.017306423605183E-2</v>
      </c>
      <c r="P35" s="72">
        <f t="shared" si="3"/>
        <v>5.7029053791102929E-3</v>
      </c>
      <c r="Q35" s="72">
        <f>SUMPRODUCT(Q25:Q33,$R25:$R33)</f>
        <v>2.5303000000000003E-2</v>
      </c>
      <c r="R35" s="138">
        <f>'Parameters, country spec'!C29</f>
        <v>7.0000000000000007E-2</v>
      </c>
      <c r="S35" s="138">
        <f>'Parameters, country spec'!C47</f>
        <v>0.03</v>
      </c>
    </row>
    <row r="36" spans="1:20" x14ac:dyDescent="0.3">
      <c r="A36" s="287"/>
      <c r="B36" s="288" t="s">
        <v>377</v>
      </c>
      <c r="C36" s="289"/>
      <c r="D36" s="290"/>
      <c r="E36" s="290"/>
      <c r="F36" s="291">
        <f>SUMPRODUCT(F22:F24,R22:R24)+SUMPRODUCT(F25:F35,R25:R35)/0.87</f>
        <v>0.29342707918518079</v>
      </c>
      <c r="G36" s="291">
        <f>SUMPRODUCT(G22:G24,R22:R24)+SUMPRODUCT(G25:G35,R25:R35)/0.87</f>
        <v>6.7055418546161871E-2</v>
      </c>
      <c r="H36" s="291">
        <f>SUMPRODUCT(H22:H24,R22:R24)+SUMPRODUCT(H25:H35,R25:R35)/0.87</f>
        <v>2.5130602515124473E-2</v>
      </c>
      <c r="I36" s="291">
        <f>SUMPRODUCT(I22:I24,R22:R24)+SUMPRODUCT(I25:I35,R25:R35)/0.87</f>
        <v>0</v>
      </c>
      <c r="J36" s="291">
        <f>SUMPRODUCT(J22:J24,R22:R24)+SUMPRODUCT(J25:J35,R25:R35)/0.87</f>
        <v>0</v>
      </c>
      <c r="K36" s="291">
        <f>SUMPRODUCT(K22:K24,R22:R24)+SUMPRODUCT(K25:K35,R25:R35)/0.87</f>
        <v>2.7676372384819271E-2</v>
      </c>
      <c r="L36" s="291">
        <f>SUMPRODUCT(L22:L24,R22:R24)+SUMPRODUCT(L25:L35,R25:R35)/0.87</f>
        <v>0</v>
      </c>
      <c r="M36" s="291">
        <f>SUMPRODUCT(M22:M24,R22:R24)+SUMPRODUCT(M25:M35,R25:R35)/0.87</f>
        <v>4.4761495471979268E-5</v>
      </c>
      <c r="N36" s="291">
        <f>SUMPRODUCT(N22:N24,R22:R24)+SUMPRODUCT(N25:N35,R25:R35)/0.87</f>
        <v>2.653222830694427E-2</v>
      </c>
      <c r="O36" s="291">
        <f>SUMPRODUCT(O22:O24,R22:R24)+SUMPRODUCT(O25:O35,R25:R35)/0.87</f>
        <v>3.7109400842040757E-2</v>
      </c>
      <c r="P36" s="291">
        <f>SUMPRODUCT(P22:P24,R22:R24)+SUMPRODUCT(P25:P35,R25:R35)/0.87</f>
        <v>7.747311317910438E-2</v>
      </c>
      <c r="Q36" s="291">
        <f>SUMPRODUCT(Q22:Q24,R22:R24)+SUMPRODUCT(Q25:Q35,R25:R35)/0.87</f>
        <v>3.2405181915513781E-2</v>
      </c>
      <c r="R36" s="294"/>
      <c r="S36" s="295"/>
    </row>
    <row r="37" spans="1:20" x14ac:dyDescent="0.3">
      <c r="A37" s="137"/>
      <c r="B37" s="23" t="s">
        <v>378</v>
      </c>
      <c r="C37" s="24"/>
      <c r="D37" s="93"/>
      <c r="E37" s="93"/>
      <c r="F37" s="286">
        <f>SUMPRODUCT(F22:F24,S22:S24)+SUMPRODUCT(F25:F35,S25:S35)/0.87</f>
        <v>0.29812425186817798</v>
      </c>
      <c r="G37" s="286">
        <f>SUMPRODUCT(G22:G24,S22:S24)+SUMPRODUCT(G25:G35,S25:S35)/0.87</f>
        <v>6.5048765098299835E-2</v>
      </c>
      <c r="H37" s="286">
        <f>SUMPRODUCT(H22:H24,S22:S24)+SUMPRODUCT(H25:H35,S25:S35)/0.87</f>
        <v>2.5789473448650631E-2</v>
      </c>
      <c r="I37" s="286">
        <f>SUMPRODUCT(I22:I24,S22:S24)+SUMPRODUCT(I25:I35,S25:S35)/0.87</f>
        <v>0</v>
      </c>
      <c r="J37" s="286">
        <f>SUMPRODUCT(J22:J24,S22:S24)+SUMPRODUCT(J25:J35,S25:S35)/0.87</f>
        <v>0</v>
      </c>
      <c r="K37" s="286">
        <f>SUMPRODUCT(K22:K24,S22:S24)+SUMPRODUCT(K25:K35,S25:S35)/0.87</f>
        <v>2.8082700184822666E-2</v>
      </c>
      <c r="L37" s="286">
        <f>SUMPRODUCT(L22:L24,S22:S24)+SUMPRODUCT(L25:L35,S25:S35)/0.87</f>
        <v>0</v>
      </c>
      <c r="M37" s="286">
        <f>SUMPRODUCT(M22:M24,S22:S24)+SUMPRODUCT(M25:M35,S25:S35)/0.87</f>
        <v>3.1299900702052662E-5</v>
      </c>
      <c r="N37" s="286">
        <f>SUMPRODUCT(N22:N24,S22:S24)+SUMPRODUCT(N25:N35,S25:S35)/0.87</f>
        <v>2.5086485412016826E-2</v>
      </c>
      <c r="O37" s="286">
        <f>SUMPRODUCT(O22:O24,S22:S24)+SUMPRODUCT(O25:O35,S25:S35)/0.87</f>
        <v>2.659537482875228E-2</v>
      </c>
      <c r="P37" s="286">
        <f>SUMPRODUCT(P22:P24,S22:S24)+SUMPRODUCT(P25:P35,S25:S35)/0.87</f>
        <v>0.10341071793976633</v>
      </c>
      <c r="Q37" s="286">
        <f>SUMPRODUCT(Q22:Q24,S22:S24)+SUMPRODUCT(Q25:Q35,S25:S35)/0.87</f>
        <v>2.4079435055167318E-2</v>
      </c>
      <c r="R37" s="139"/>
      <c r="S37" s="139"/>
    </row>
    <row r="38" spans="1:20" x14ac:dyDescent="0.3">
      <c r="B38" s="16" t="s">
        <v>152</v>
      </c>
      <c r="C38" s="15" t="s">
        <v>361</v>
      </c>
      <c r="D38" s="21" t="s">
        <v>21</v>
      </c>
      <c r="E38" s="21" t="s">
        <v>69</v>
      </c>
      <c r="F38" s="107">
        <f>SUM(G38:Q38)</f>
        <v>8.1168082825064047E-2</v>
      </c>
      <c r="G38" s="18">
        <f>'Forage crops, CF'!F18</f>
        <v>2.175109426324023E-2</v>
      </c>
      <c r="H38" s="18">
        <f>'Forage crops, CF'!G18</f>
        <v>2.7E-2</v>
      </c>
      <c r="I38" s="18">
        <f>'Forage crops, CF'!H18</f>
        <v>0</v>
      </c>
      <c r="J38" s="18">
        <f>'Forage crops, CF'!I18</f>
        <v>0</v>
      </c>
      <c r="K38" s="18">
        <f>'Forage crops, CF'!J18</f>
        <v>3.241698856182381E-2</v>
      </c>
      <c r="L38" s="18">
        <f>'Forage crops, CF'!K18</f>
        <v>0</v>
      </c>
      <c r="M38" s="18">
        <f>'Forage crops, CF'!L18</f>
        <v>0</v>
      </c>
      <c r="N38" s="18">
        <f>'Forage crops, CF'!M18</f>
        <v>0</v>
      </c>
      <c r="O38" s="18">
        <f>'Forage crops, CF'!N18</f>
        <v>0</v>
      </c>
      <c r="P38" s="18">
        <f>'Forage crops, CF'!O18</f>
        <v>0</v>
      </c>
      <c r="Q38" s="18">
        <f>'Forage crops, CF'!P18</f>
        <v>0</v>
      </c>
      <c r="R38" s="138">
        <f>'Parameters, country spec'!D16</f>
        <v>0</v>
      </c>
      <c r="S38" s="138">
        <f>'Parameters, country spec'!D34</f>
        <v>0</v>
      </c>
      <c r="T38" s="18"/>
    </row>
    <row r="39" spans="1:20" x14ac:dyDescent="0.3">
      <c r="B39" s="16" t="s">
        <v>154</v>
      </c>
      <c r="C39" s="15" t="s">
        <v>361</v>
      </c>
      <c r="D39" s="21" t="s">
        <v>21</v>
      </c>
      <c r="E39" s="21" t="s">
        <v>69</v>
      </c>
      <c r="F39" s="107">
        <f>SUM(G39:Q39)</f>
        <v>0.22000118826753179</v>
      </c>
      <c r="G39" s="18">
        <f>'Forage crops, CF'!F68</f>
        <v>9.9916129362765033E-2</v>
      </c>
      <c r="H39" s="18">
        <f>'Forage crops, CF'!G68</f>
        <v>2.7E-2</v>
      </c>
      <c r="I39" s="18">
        <f>'Forage crops, CF'!H68</f>
        <v>0</v>
      </c>
      <c r="J39" s="18">
        <f>'Forage crops, CF'!I68</f>
        <v>0</v>
      </c>
      <c r="K39" s="18">
        <f>'Forage crops, CF'!J68</f>
        <v>3.0929259689321011E-2</v>
      </c>
      <c r="L39" s="18">
        <f>'Forage crops, CF'!K68</f>
        <v>0</v>
      </c>
      <c r="M39" s="18">
        <f>'Forage crops, CF'!L68</f>
        <v>1.5455799215445744E-2</v>
      </c>
      <c r="N39" s="18">
        <f>'Forage crops, CF'!M68</f>
        <v>0</v>
      </c>
      <c r="O39" s="18">
        <f>'Forage crops, CF'!N68</f>
        <v>0</v>
      </c>
      <c r="P39" s="18">
        <f>'Forage crops, CF'!O68</f>
        <v>4.6700000000000005E-2</v>
      </c>
      <c r="Q39" s="18">
        <f>'Forage crops, CF'!P68</f>
        <v>0</v>
      </c>
      <c r="R39" s="138">
        <f>'Parameters, country spec'!D17</f>
        <v>0</v>
      </c>
      <c r="S39" s="138">
        <f>'Parameters, country spec'!D35</f>
        <v>0</v>
      </c>
      <c r="T39" s="18"/>
    </row>
    <row r="40" spans="1:20" x14ac:dyDescent="0.3">
      <c r="B40" s="16" t="s">
        <v>362</v>
      </c>
      <c r="C40" s="15" t="s">
        <v>361</v>
      </c>
      <c r="D40" s="21" t="s">
        <v>21</v>
      </c>
      <c r="E40" s="21" t="s">
        <v>69</v>
      </c>
      <c r="F40" s="107">
        <f>SUM(G40:Q40)</f>
        <v>0.1117512847727884</v>
      </c>
      <c r="G40" s="18">
        <f>'Forage crops, CF'!F118*'Forage, input data per ha'!$E$69+'Forage crops, CF'!F168*'Forage, input data per ha'!$G$69</f>
        <v>9.1432299454412506E-3</v>
      </c>
      <c r="H40" s="18">
        <f>'Forage crops, CF'!G118*'Forage, input data per ha'!$E$69+'Forage crops, CF'!G168*'Forage, input data per ha'!$G$69</f>
        <v>2.7E-2</v>
      </c>
      <c r="I40" s="18">
        <f>'Forage crops, CF'!H118*'Forage, input data per ha'!$E$69+'Forage crops, CF'!H168*'Forage, input data per ha'!$G$69</f>
        <v>0</v>
      </c>
      <c r="J40" s="18">
        <f>'Forage crops, CF'!I118*'Forage, input data per ha'!$E$69+'Forage crops, CF'!I168*'Forage, input data per ha'!$G$69</f>
        <v>0</v>
      </c>
      <c r="K40" s="18">
        <f>'Forage crops, CF'!J118*'Forage, input data per ha'!$E$69+'Forage crops, CF'!J168*'Forage, input data per ha'!$G$69</f>
        <v>2.8908054827347138E-2</v>
      </c>
      <c r="L40" s="18">
        <f>'Forage crops, CF'!K118*'Forage, input data per ha'!$E$69+'Forage crops, CF'!K168*'Forage, input data per ha'!$G$69</f>
        <v>0</v>
      </c>
      <c r="M40" s="18">
        <f>'Forage crops, CF'!L118*'Forage, input data per ha'!$E$69+'Forage crops, CF'!L168*'Forage, input data per ha'!$G$69</f>
        <v>0</v>
      </c>
      <c r="N40" s="18">
        <f>'Forage crops, CF'!M118*'Forage, input data per ha'!$E$69+'Forage crops, CF'!M168*'Forage, input data per ha'!$G$69</f>
        <v>0</v>
      </c>
      <c r="O40" s="18">
        <f>'Forage crops, CF'!N118*'Forage, input data per ha'!$E$69+'Forage crops, CF'!N168*'Forage, input data per ha'!$G$69</f>
        <v>0</v>
      </c>
      <c r="P40" s="18">
        <f>'Forage crops, CF'!O118*'Forage, input data per ha'!$E$69+'Forage crops, CF'!O168*'Forage, input data per ha'!$G$69</f>
        <v>4.6700000000000005E-2</v>
      </c>
      <c r="Q40" s="18">
        <f>'Forage crops, CF'!P118*'Forage, input data per ha'!$E$69+'Forage crops, CF'!P168*'Forage, input data per ha'!$G$69</f>
        <v>0</v>
      </c>
      <c r="R40" s="138">
        <f>'Parameters, country spec'!D18</f>
        <v>0.28000000000000003</v>
      </c>
      <c r="S40" s="138">
        <f>'Parameters, country spec'!D36</f>
        <v>0.3</v>
      </c>
      <c r="T40" s="18"/>
    </row>
    <row r="41" spans="1:20" x14ac:dyDescent="0.3">
      <c r="A41" s="20" t="s">
        <v>363</v>
      </c>
      <c r="B41" s="15" t="s">
        <v>159</v>
      </c>
      <c r="C41" s="15" t="s">
        <v>364</v>
      </c>
      <c r="D41" s="21" t="s">
        <v>21</v>
      </c>
      <c r="E41" s="21" t="s">
        <v>69</v>
      </c>
      <c r="F41" s="107">
        <f>SUM(G41:Q41)</f>
        <v>0.21899999999999997</v>
      </c>
      <c r="G41" s="71">
        <v>7.9000000000000001E-2</v>
      </c>
      <c r="H41" s="12">
        <v>2.7E-2</v>
      </c>
      <c r="I41" s="14">
        <v>0</v>
      </c>
      <c r="J41" s="12"/>
      <c r="K41" s="71">
        <v>6.6000000000000003E-2</v>
      </c>
      <c r="L41" s="12"/>
      <c r="M41" s="12">
        <v>1E-3</v>
      </c>
      <c r="N41" s="71">
        <v>4.5999999999999999E-2</v>
      </c>
      <c r="O41" s="12"/>
      <c r="P41" s="12"/>
      <c r="R41" s="138">
        <f>'Parameters, country spec'!D19</f>
        <v>0.16</v>
      </c>
      <c r="S41" s="138">
        <f>'Parameters, country spec'!D37</f>
        <v>0.2</v>
      </c>
    </row>
    <row r="42" spans="1:20" x14ac:dyDescent="0.3">
      <c r="A42" s="20" t="s">
        <v>365</v>
      </c>
      <c r="B42" s="15" t="s">
        <v>161</v>
      </c>
      <c r="C42" s="15" t="s">
        <v>364</v>
      </c>
      <c r="D42" s="21" t="s">
        <v>21</v>
      </c>
      <c r="E42" s="21" t="s">
        <v>69</v>
      </c>
      <c r="F42" s="107">
        <f t="shared" ref="F42:F51" si="4">SUM(G42:Q42)</f>
        <v>0.182</v>
      </c>
      <c r="G42" s="71">
        <v>7.6999999999999999E-2</v>
      </c>
      <c r="H42" s="12">
        <v>2.7E-2</v>
      </c>
      <c r="I42" s="14">
        <v>0</v>
      </c>
      <c r="J42" s="12"/>
      <c r="K42" s="71">
        <v>1.7000000000000001E-2</v>
      </c>
      <c r="L42" s="12"/>
      <c r="M42" s="12">
        <v>1.4999999999999999E-2</v>
      </c>
      <c r="N42" s="71">
        <v>4.5999999999999999E-2</v>
      </c>
      <c r="O42" s="12"/>
      <c r="P42" s="12"/>
      <c r="R42" s="138">
        <f>'Parameters, country spec'!D20</f>
        <v>3.1075970320211814E-4</v>
      </c>
      <c r="S42" s="138">
        <f>'Parameters, country spec'!D38</f>
        <v>3.1075970320211814E-4</v>
      </c>
    </row>
    <row r="43" spans="1:20" x14ac:dyDescent="0.3">
      <c r="A43" s="20" t="s">
        <v>366</v>
      </c>
      <c r="B43" s="15" t="s">
        <v>163</v>
      </c>
      <c r="C43" s="15" t="s">
        <v>364</v>
      </c>
      <c r="D43" s="21" t="s">
        <v>21</v>
      </c>
      <c r="E43" s="21" t="s">
        <v>69</v>
      </c>
      <c r="F43" s="107">
        <f t="shared" si="4"/>
        <v>0.29500000000000004</v>
      </c>
      <c r="G43" s="71">
        <v>7.0000000000000007E-2</v>
      </c>
      <c r="H43" s="12">
        <v>2.7E-2</v>
      </c>
      <c r="I43" s="14">
        <v>0</v>
      </c>
      <c r="J43" s="12"/>
      <c r="K43" s="71">
        <v>0.13900000000000001</v>
      </c>
      <c r="L43" s="12"/>
      <c r="M43" s="12">
        <v>1.2999999999999999E-2</v>
      </c>
      <c r="N43" s="71">
        <v>4.5999999999999999E-2</v>
      </c>
      <c r="O43" s="12"/>
      <c r="P43" s="12"/>
      <c r="R43" s="138">
        <f>'Parameters, country spec'!D21</f>
        <v>8.6733359151412953E-5</v>
      </c>
      <c r="S43" s="138">
        <f>'Parameters, country spec'!D39</f>
        <v>8.6733359151412953E-5</v>
      </c>
    </row>
    <row r="44" spans="1:20" x14ac:dyDescent="0.3">
      <c r="A44" s="20" t="s">
        <v>367</v>
      </c>
      <c r="B44" s="15" t="s">
        <v>165</v>
      </c>
      <c r="C44" s="15" t="s">
        <v>364</v>
      </c>
      <c r="D44" s="21" t="s">
        <v>21</v>
      </c>
      <c r="E44" s="21" t="s">
        <v>69</v>
      </c>
      <c r="F44" s="107">
        <f t="shared" si="4"/>
        <v>0.22499999999999998</v>
      </c>
      <c r="G44" s="71">
        <v>6.2E-2</v>
      </c>
      <c r="H44" s="12">
        <v>2.7E-2</v>
      </c>
      <c r="I44" s="12">
        <v>0</v>
      </c>
      <c r="J44" s="12"/>
      <c r="K44" s="71">
        <v>0.09</v>
      </c>
      <c r="L44" s="12"/>
      <c r="M44" s="12">
        <v>0</v>
      </c>
      <c r="N44" s="71">
        <v>4.5999999999999999E-2</v>
      </c>
      <c r="O44" s="12"/>
      <c r="P44" s="12"/>
      <c r="R44" s="138">
        <f>'Parameters, country spec'!D22</f>
        <v>6.2924072151971947E-5</v>
      </c>
      <c r="S44" s="138">
        <f>'Parameters, country spec'!D40</f>
        <v>6.2924072151971947E-5</v>
      </c>
    </row>
    <row r="45" spans="1:20" x14ac:dyDescent="0.3">
      <c r="A45" s="20" t="s">
        <v>368</v>
      </c>
      <c r="B45" s="15" t="s">
        <v>167</v>
      </c>
      <c r="C45" s="15" t="s">
        <v>364</v>
      </c>
      <c r="D45" s="21" t="s">
        <v>21</v>
      </c>
      <c r="E45" s="21" t="s">
        <v>69</v>
      </c>
      <c r="F45" s="107">
        <f t="shared" si="4"/>
        <v>0.23199999999999998</v>
      </c>
      <c r="G45" s="71">
        <v>9.0999999999999998E-2</v>
      </c>
      <c r="H45" s="12">
        <v>2.7E-2</v>
      </c>
      <c r="I45" s="12">
        <v>0</v>
      </c>
      <c r="J45" s="12"/>
      <c r="K45" s="71">
        <v>6.6000000000000003E-2</v>
      </c>
      <c r="L45" s="12"/>
      <c r="M45" s="12">
        <v>2E-3</v>
      </c>
      <c r="N45" s="71">
        <v>4.5999999999999999E-2</v>
      </c>
      <c r="O45" s="12"/>
      <c r="P45" s="12"/>
      <c r="R45" s="138">
        <f>'Parameters, country spec'!D23</f>
        <v>0.20500000000000002</v>
      </c>
      <c r="S45" s="138">
        <f>'Parameters, country spec'!D41</f>
        <v>0.2</v>
      </c>
    </row>
    <row r="46" spans="1:20" x14ac:dyDescent="0.3">
      <c r="A46" s="20" t="s">
        <v>369</v>
      </c>
      <c r="B46" s="15" t="s">
        <v>168</v>
      </c>
      <c r="C46" s="15" t="s">
        <v>370</v>
      </c>
      <c r="D46" s="21" t="s">
        <v>21</v>
      </c>
      <c r="E46" s="21" t="s">
        <v>69</v>
      </c>
      <c r="F46" s="107">
        <f t="shared" si="4"/>
        <v>0.18</v>
      </c>
      <c r="G46" s="71">
        <v>0</v>
      </c>
      <c r="H46" s="12">
        <v>2.7E-2</v>
      </c>
      <c r="I46" s="14">
        <v>0</v>
      </c>
      <c r="J46" s="12"/>
      <c r="K46" s="71">
        <v>0.104</v>
      </c>
      <c r="L46" s="14"/>
      <c r="M46" s="12">
        <v>3.0000000000000001E-3</v>
      </c>
      <c r="N46" s="71">
        <v>4.5999999999999999E-2</v>
      </c>
      <c r="O46" s="12"/>
      <c r="P46" s="12"/>
      <c r="R46" s="138">
        <f>'Parameters, country spec'!D24</f>
        <v>2.439015630520557E-4</v>
      </c>
      <c r="S46" s="138">
        <f>'Parameters, country spec'!D42</f>
        <v>2.439015630520557E-4</v>
      </c>
    </row>
    <row r="47" spans="1:20" x14ac:dyDescent="0.3">
      <c r="A47" s="20" t="s">
        <v>371</v>
      </c>
      <c r="B47" s="15" t="s">
        <v>170</v>
      </c>
      <c r="C47" s="15" t="s">
        <v>370</v>
      </c>
      <c r="D47" s="21" t="s">
        <v>21</v>
      </c>
      <c r="E47" s="21" t="s">
        <v>69</v>
      </c>
      <c r="F47" s="107">
        <f t="shared" si="4"/>
        <v>0.16499999999999998</v>
      </c>
      <c r="G47" s="71">
        <v>4.0000000000000001E-3</v>
      </c>
      <c r="H47" s="12">
        <v>2.7E-2</v>
      </c>
      <c r="I47" s="14">
        <v>0</v>
      </c>
      <c r="J47" s="12"/>
      <c r="K47" s="71">
        <v>6.5000000000000002E-2</v>
      </c>
      <c r="L47" s="12"/>
      <c r="M47" s="12">
        <v>2.3E-2</v>
      </c>
      <c r="N47" s="71">
        <v>4.5999999999999999E-2</v>
      </c>
      <c r="O47" s="12"/>
      <c r="P47" s="12"/>
      <c r="R47" s="138">
        <f>'Parameters, country spec'!D25</f>
        <v>2.3959170998341588E-4</v>
      </c>
      <c r="S47" s="138">
        <f>'Parameters, country spec'!D43</f>
        <v>2.3959170998341588E-4</v>
      </c>
    </row>
    <row r="48" spans="1:20" x14ac:dyDescent="0.3">
      <c r="B48" s="16" t="s">
        <v>171</v>
      </c>
      <c r="C48" s="15" t="s">
        <v>372</v>
      </c>
      <c r="D48" s="21" t="s">
        <v>21</v>
      </c>
      <c r="E48" s="21" t="s">
        <v>69</v>
      </c>
      <c r="F48" s="107">
        <f t="shared" si="4"/>
        <v>0.27628755742228495</v>
      </c>
      <c r="G48" s="18">
        <f>'Off-farm feed'!$F$74</f>
        <v>0.15910156565543246</v>
      </c>
      <c r="H48" s="18">
        <f>'Off-farm feed'!$G$74</f>
        <v>1.3034482758620692E-2</v>
      </c>
      <c r="I48" s="18">
        <f>'Off-farm feed'!$H$74</f>
        <v>0</v>
      </c>
      <c r="J48" s="18"/>
      <c r="K48" s="18">
        <f>'Off-farm feed'!$J$74</f>
        <v>2.4688740026345454E-2</v>
      </c>
      <c r="L48" s="18"/>
      <c r="M48" s="258">
        <f>'Off-farm feed'!$L$74</f>
        <v>1.931759303794134E-4</v>
      </c>
      <c r="N48" s="18">
        <f>'Off-farm feed'!$M$74</f>
        <v>3.6802128767029069E-2</v>
      </c>
      <c r="O48" s="18">
        <f>'Off-farm feed'!$N$74</f>
        <v>0</v>
      </c>
      <c r="P48" s="18">
        <f>'Off-farm feed'!$O$74</f>
        <v>2.6267464284477883E-2</v>
      </c>
      <c r="Q48" s="18">
        <f>'Off-farm feed'!$P$74</f>
        <v>1.6199999999999999E-2</v>
      </c>
      <c r="R48" s="138">
        <f>'Parameters, country spec'!D26</f>
        <v>0.09</v>
      </c>
      <c r="S48" s="138">
        <f>'Parameters, country spec'!D44</f>
        <v>0.06</v>
      </c>
    </row>
    <row r="49" spans="1:20" x14ac:dyDescent="0.3">
      <c r="B49" s="16" t="s">
        <v>373</v>
      </c>
      <c r="C49" s="15" t="s">
        <v>372</v>
      </c>
      <c r="D49" s="21" t="s">
        <v>21</v>
      </c>
      <c r="E49" s="21" t="s">
        <v>69</v>
      </c>
      <c r="F49" s="107">
        <f t="shared" si="4"/>
        <v>0.7061171705997602</v>
      </c>
      <c r="G49" s="18">
        <f>'Off-farm feed'!$F$23</f>
        <v>7.2632670993098931E-3</v>
      </c>
      <c r="H49" s="18">
        <f>'Off-farm feed'!$G$23</f>
        <v>2.1402439024390246E-2</v>
      </c>
      <c r="I49" s="18">
        <f>'Off-farm feed'!$H$23</f>
        <v>0</v>
      </c>
      <c r="J49" s="18"/>
      <c r="K49" s="18">
        <f>'Off-farm feed'!$J$23</f>
        <v>4.308361966433235E-2</v>
      </c>
      <c r="L49" s="18"/>
      <c r="M49" s="258">
        <f>'Off-farm feed'!$L$23</f>
        <v>1.7842060425123844E-4</v>
      </c>
      <c r="N49" s="18">
        <f>'Off-farm feed'!$M$23</f>
        <v>3.0432604948959403E-2</v>
      </c>
      <c r="O49" s="18">
        <f>'Off-farm feed'!$N$23</f>
        <v>0.31761120248475611</v>
      </c>
      <c r="P49" s="18">
        <f>'Off-farm feed'!$O$23</f>
        <v>3.5145616773760872E-2</v>
      </c>
      <c r="Q49" s="18">
        <f>'Off-farm feed'!$P$23</f>
        <v>0.251</v>
      </c>
      <c r="R49" s="138">
        <f>'Parameters, country spec'!D27</f>
        <v>9.5000000000000001E-2</v>
      </c>
      <c r="S49" s="138">
        <f>'Parameters, country spec'!D45</f>
        <v>7.0000000000000007E-2</v>
      </c>
    </row>
    <row r="50" spans="1:20" x14ac:dyDescent="0.3">
      <c r="B50" s="15" t="s">
        <v>173</v>
      </c>
      <c r="C50" s="15" t="s">
        <v>374</v>
      </c>
      <c r="D50" s="21" t="s">
        <v>21</v>
      </c>
      <c r="E50" s="21" t="s">
        <v>69</v>
      </c>
      <c r="F50" s="107">
        <f>SUM(G50:Q50)</f>
        <v>0.86739429191291217</v>
      </c>
      <c r="G50" s="71">
        <v>4.5330908020751903E-2</v>
      </c>
      <c r="H50" s="14">
        <v>1.3510799999999899E-2</v>
      </c>
      <c r="K50" s="14">
        <v>5.0130956245903698E-2</v>
      </c>
      <c r="N50" s="96"/>
      <c r="O50" s="6"/>
      <c r="P50" s="14">
        <v>0.72382210600774899</v>
      </c>
      <c r="Q50" s="14">
        <v>3.4599521638507699E-2</v>
      </c>
      <c r="R50" s="138">
        <f>'Parameters, country spec'!D28</f>
        <v>9.5000000000000001E-2</v>
      </c>
      <c r="S50" s="138">
        <f>'Parameters, country spec'!D46</f>
        <v>0.14000000000000001</v>
      </c>
    </row>
    <row r="51" spans="1:20" x14ac:dyDescent="0.3">
      <c r="A51" s="74"/>
      <c r="B51" s="15" t="s">
        <v>375</v>
      </c>
      <c r="C51" s="75" t="s">
        <v>376</v>
      </c>
      <c r="D51" s="21" t="s">
        <v>21</v>
      </c>
      <c r="E51" s="21" t="s">
        <v>69</v>
      </c>
      <c r="F51" s="107">
        <f t="shared" si="4"/>
        <v>0.1747267488116461</v>
      </c>
      <c r="G51" s="72">
        <f>SUMPRODUCT(G41:G49,$R41:$R49)</f>
        <v>4.6339010775023878E-2</v>
      </c>
      <c r="H51" s="72">
        <f t="shared" ref="H51:P51" si="5">SUMPRODUCT(H41:H49,$R41:$R49)</f>
        <v>1.3086820736596541E-2</v>
      </c>
      <c r="I51" s="72">
        <f t="shared" si="5"/>
        <v>0</v>
      </c>
      <c r="J51" s="72">
        <f t="shared" si="5"/>
        <v>0</v>
      </c>
      <c r="K51" s="72">
        <f>SUMPRODUCT(K41:K49,$R41:$R49)</f>
        <v>3.0468871712559163E-2</v>
      </c>
      <c r="L51" s="72">
        <f t="shared" si="5"/>
        <v>0</v>
      </c>
      <c r="M51" s="72">
        <f t="shared" si="5"/>
        <v>6.1636703437378977E-4</v>
      </c>
      <c r="N51" s="72">
        <f t="shared" si="5"/>
        <v>2.3036708937930642E-2</v>
      </c>
      <c r="O51" s="72">
        <f t="shared" si="5"/>
        <v>3.017306423605183E-2</v>
      </c>
      <c r="P51" s="72">
        <f t="shared" si="5"/>
        <v>5.7029053791102929E-3</v>
      </c>
      <c r="Q51" s="72">
        <f>SUMPRODUCT(Q41:Q49,$R41:$R49)</f>
        <v>2.5303000000000003E-2</v>
      </c>
      <c r="R51" s="138">
        <f>'Parameters, country spec'!D29</f>
        <v>7.0000000000000007E-2</v>
      </c>
      <c r="S51" s="138">
        <f>'Parameters, country spec'!D47</f>
        <v>0.03</v>
      </c>
    </row>
    <row r="52" spans="1:20" x14ac:dyDescent="0.3">
      <c r="A52" s="287"/>
      <c r="B52" s="288" t="s">
        <v>377</v>
      </c>
      <c r="C52" s="289"/>
      <c r="D52" s="290"/>
      <c r="E52" s="290"/>
      <c r="F52" s="291">
        <f>SUMPRODUCT(F38:F40,R38:R40)+SUMPRODUCT(F41:F51,R41:R51)/0.87</f>
        <v>0.34089964589751642</v>
      </c>
      <c r="G52" s="291">
        <f>SUMPRODUCT(G38:G40,R38:R40)+SUMPRODUCT(G41:G51,R41:R51)/0.87</f>
        <v>6.4501688052823525E-2</v>
      </c>
      <c r="H52" s="291">
        <f>SUMPRODUCT(H38:H40,R38:R40)+SUMPRODUCT(H41:H51,R41:R51)/0.87</f>
        <v>2.5130602515124473E-2</v>
      </c>
      <c r="I52" s="291">
        <f>SUMPRODUCT(I38:I40,R38:R40)+SUMPRODUCT(I41:I51,R41:R51)/0.87</f>
        <v>0</v>
      </c>
      <c r="J52" s="291">
        <f>SUMPRODUCT(J38:J40,R38:R40)+SUMPRODUCT(J41:J51,R41:R51)/0.87</f>
        <v>0</v>
      </c>
      <c r="K52" s="291">
        <f>SUMPRODUCT(K38:K40,R38:R40)+SUMPRODUCT(K41:K51,R41:R51)/0.87</f>
        <v>5.1041535323840134E-2</v>
      </c>
      <c r="L52" s="291">
        <f>SUMPRODUCT(L38:L40,R38:R40)+SUMPRODUCT(L41:L51,R41:R51)/0.87</f>
        <v>0</v>
      </c>
      <c r="M52" s="291">
        <f>SUMPRODUCT(M38:M40,R38:R40)+SUMPRODUCT(M41:M51,R41:R51)/0.87</f>
        <v>7.5806060549420118E-4</v>
      </c>
      <c r="N52" s="291">
        <f>SUMPRODUCT(N38:N40,R38:R40)+SUMPRODUCT(N41:N51,R41:R51)/0.87</f>
        <v>2.8332504096075618E-2</v>
      </c>
      <c r="O52" s="291">
        <f>SUMPRODUCT(O38:O40,R38:R40)+SUMPRODUCT(O41:O51,R41:R51)/0.87</f>
        <v>3.7109400842040757E-2</v>
      </c>
      <c r="P52" s="291">
        <f>SUMPRODUCT(P38:P40,R38:R40)+SUMPRODUCT(P41:P51,R41:R51)/0.87</f>
        <v>9.9127964168257671E-2</v>
      </c>
      <c r="Q52" s="291">
        <f>SUMPRODUCT(Q38:Q40,R38:R40)+SUMPRODUCT(Q41:Q51,R41:R51)/0.87</f>
        <v>3.4897890293860041E-2</v>
      </c>
      <c r="R52" s="294"/>
      <c r="S52" s="295"/>
    </row>
    <row r="53" spans="1:20" x14ac:dyDescent="0.3">
      <c r="A53" s="137"/>
      <c r="B53" s="23" t="s">
        <v>378</v>
      </c>
      <c r="C53" s="24"/>
      <c r="D53" s="93"/>
      <c r="E53" s="93"/>
      <c r="F53" s="286">
        <f>SUMPRODUCT(F38:F40,S38:S40)+SUMPRODUCT(F41:F51,S41:S51)/0.87</f>
        <v>0.35888423158832017</v>
      </c>
      <c r="G53" s="286">
        <f>SUMPRODUCT(G38:G40,S38:S40)+SUMPRODUCT(G41:G51,S41:S51)/0.87</f>
        <v>6.2312945505510704E-2</v>
      </c>
      <c r="H53" s="286">
        <f>SUMPRODUCT(H38:H40,S38:S40)+SUMPRODUCT(H41:H51,S41:S51)/0.87</f>
        <v>2.5789473448650631E-2</v>
      </c>
      <c r="I53" s="286">
        <f>SUMPRODUCT(I38:I40,S38:S40)+SUMPRODUCT(I41:I51,S41:S51)/0.87</f>
        <v>0</v>
      </c>
      <c r="J53" s="286">
        <f>SUMPRODUCT(J38:J40,S38:S40)+SUMPRODUCT(J41:J51,S41:S51)/0.87</f>
        <v>0</v>
      </c>
      <c r="K53" s="286">
        <f>SUMPRODUCT(K38:K40,S38:S40)+SUMPRODUCT(K41:K51,S41:S51)/0.87</f>
        <v>5.3377610753909642E-2</v>
      </c>
      <c r="L53" s="286">
        <f>SUMPRODUCT(L38:L40,S38:S40)+SUMPRODUCT(L41:L51,S41:S51)/0.87</f>
        <v>0</v>
      </c>
      <c r="M53" s="286">
        <f>SUMPRODUCT(M38:M40,S38:S40)+SUMPRODUCT(M41:M51,S41:S51)/0.87</f>
        <v>7.5241638205441393E-4</v>
      </c>
      <c r="N53" s="286">
        <f>SUMPRODUCT(N38:N40,S38:S40)+SUMPRODUCT(N41:N51,S41:S51)/0.87</f>
        <v>2.6980380711877819E-2</v>
      </c>
      <c r="O53" s="286">
        <f>SUMPRODUCT(O38:O40,S38:S40)+SUMPRODUCT(O41:O51,S41:S51)/0.87</f>
        <v>2.659537482875228E-2</v>
      </c>
      <c r="P53" s="286">
        <f>SUMPRODUCT(P38:P40,S38:S40)+SUMPRODUCT(P41:P51,S41:S51)/0.87</f>
        <v>0.13532312992378173</v>
      </c>
      <c r="Q53" s="286">
        <f>SUMPRODUCT(Q38:Q40,S38:S40)+SUMPRODUCT(Q41:Q51,S41:S51)/0.87</f>
        <v>2.7752900033782852E-2</v>
      </c>
      <c r="R53" s="139"/>
      <c r="S53" s="139"/>
    </row>
    <row r="54" spans="1:20" x14ac:dyDescent="0.3">
      <c r="B54" s="16" t="s">
        <v>152</v>
      </c>
      <c r="C54" s="15" t="s">
        <v>361</v>
      </c>
      <c r="D54" s="21" t="s">
        <v>114</v>
      </c>
      <c r="E54" s="21" t="s">
        <v>70</v>
      </c>
      <c r="F54" s="107">
        <f>SUM(G54:Q54)</f>
        <v>9.744927680671181E-2</v>
      </c>
      <c r="G54" s="18">
        <f>'Forage crops, CF'!F23</f>
        <v>2.1751094263240234E-2</v>
      </c>
      <c r="H54" s="18">
        <f>'Forage crops, CF'!G23</f>
        <v>2.7E-2</v>
      </c>
      <c r="I54" s="18">
        <f>'Forage crops, CF'!H23</f>
        <v>0</v>
      </c>
      <c r="J54" s="18">
        <f>'Forage crops, CF'!I23</f>
        <v>0</v>
      </c>
      <c r="K54" s="18">
        <f>'Forage crops, CF'!J23</f>
        <v>4.869818254347158E-2</v>
      </c>
      <c r="L54" s="18">
        <f>'Forage crops, CF'!K23</f>
        <v>0</v>
      </c>
      <c r="M54" s="18">
        <f>'Forage crops, CF'!L23</f>
        <v>0</v>
      </c>
      <c r="N54" s="18">
        <f>'Forage crops, CF'!M23</f>
        <v>0</v>
      </c>
      <c r="O54" s="18">
        <f>'Forage crops, CF'!N23</f>
        <v>0</v>
      </c>
      <c r="P54" s="18">
        <f>'Forage crops, CF'!O23</f>
        <v>0</v>
      </c>
      <c r="Q54" s="18">
        <f>'Forage crops, CF'!P23</f>
        <v>0</v>
      </c>
      <c r="R54" s="138">
        <f>'Parameters, country spec'!E16</f>
        <v>0</v>
      </c>
      <c r="S54" s="138">
        <f>'Parameters, country spec'!E34</f>
        <v>0</v>
      </c>
      <c r="T54" s="18"/>
    </row>
    <row r="55" spans="1:20" x14ac:dyDescent="0.3">
      <c r="B55" s="16" t="s">
        <v>154</v>
      </c>
      <c r="C55" s="15" t="s">
        <v>361</v>
      </c>
      <c r="D55" s="21" t="s">
        <v>114</v>
      </c>
      <c r="E55" s="21" t="s">
        <v>70</v>
      </c>
      <c r="F55" s="107">
        <f>SUM(G55:Q55)</f>
        <v>0.1415611128946816</v>
      </c>
      <c r="G55" s="18">
        <f>'Forage crops, CF'!F73</f>
        <v>4.6200863620897606E-2</v>
      </c>
      <c r="H55" s="18">
        <f>'Forage crops, CF'!G73</f>
        <v>2.7E-2</v>
      </c>
      <c r="I55" s="18">
        <f>'Forage crops, CF'!H73</f>
        <v>0</v>
      </c>
      <c r="J55" s="18">
        <f>'Forage crops, CF'!I73</f>
        <v>0</v>
      </c>
      <c r="K55" s="18">
        <f>'Forage crops, CF'!J73</f>
        <v>2.151019297072139E-2</v>
      </c>
      <c r="L55" s="18">
        <f>'Forage crops, CF'!K73</f>
        <v>0</v>
      </c>
      <c r="M55" s="18">
        <f>'Forage crops, CF'!L73</f>
        <v>1.5005630306258E-4</v>
      </c>
      <c r="N55" s="18">
        <f>'Forage crops, CF'!M73</f>
        <v>0</v>
      </c>
      <c r="O55" s="18">
        <f>'Forage crops, CF'!N73</f>
        <v>0</v>
      </c>
      <c r="P55" s="18">
        <f>'Forage crops, CF'!O73</f>
        <v>4.6700000000000005E-2</v>
      </c>
      <c r="Q55" s="18">
        <f>'Forage crops, CF'!P73</f>
        <v>0</v>
      </c>
      <c r="R55" s="138">
        <f>'Parameters, country spec'!E17</f>
        <v>0</v>
      </c>
      <c r="S55" s="138">
        <f>'Parameters, country spec'!E35</f>
        <v>0</v>
      </c>
      <c r="T55" s="18"/>
    </row>
    <row r="56" spans="1:20" x14ac:dyDescent="0.3">
      <c r="B56" s="16" t="s">
        <v>362</v>
      </c>
      <c r="C56" s="15" t="s">
        <v>361</v>
      </c>
      <c r="D56" s="21" t="s">
        <v>114</v>
      </c>
      <c r="E56" s="21" t="s">
        <v>70</v>
      </c>
      <c r="F56" s="107">
        <f>SUM(G56:Q56)</f>
        <v>0.10831145121937313</v>
      </c>
      <c r="G56" s="18">
        <f>'Forage crops, CF'!F123*'Forage, input data per ha'!$E$70+'Forage crops, CF'!F173*'Forage, input data per ha'!$G$70</f>
        <v>3.55176519563914E-3</v>
      </c>
      <c r="H56" s="18">
        <f>'Forage crops, CF'!G123*'Forage, input data per ha'!$E$70+'Forage crops, CF'!G173*'Forage, input data per ha'!$G$70</f>
        <v>2.7E-2</v>
      </c>
      <c r="I56" s="18">
        <f>'Forage crops, CF'!H123*'Forage, input data per ha'!$E$70+'Forage crops, CF'!H173*'Forage, input data per ha'!$G$70</f>
        <v>0</v>
      </c>
      <c r="J56" s="18">
        <f>'Forage crops, CF'!I123*'Forage, input data per ha'!$E$70+'Forage crops, CF'!I173*'Forage, input data per ha'!$G$70</f>
        <v>0</v>
      </c>
      <c r="K56" s="18">
        <f>'Forage crops, CF'!J123*'Forage, input data per ha'!$E$70+'Forage crops, CF'!J173*'Forage, input data per ha'!$G$70</f>
        <v>3.105968602373399E-2</v>
      </c>
      <c r="L56" s="18">
        <f>'Forage crops, CF'!K123*'Forage, input data per ha'!$E$70+'Forage crops, CF'!K173*'Forage, input data per ha'!$G$70</f>
        <v>0</v>
      </c>
      <c r="M56" s="18">
        <f>'Forage crops, CF'!L123*'Forage, input data per ha'!$E$70+'Forage crops, CF'!L173*'Forage, input data per ha'!$G$70</f>
        <v>0</v>
      </c>
      <c r="N56" s="18">
        <f>'Forage crops, CF'!M123*'Forage, input data per ha'!$E$70+'Forage crops, CF'!M173*'Forage, input data per ha'!$G$70</f>
        <v>0</v>
      </c>
      <c r="O56" s="18">
        <f>'Forage crops, CF'!N123*'Forage, input data per ha'!$E$70+'Forage crops, CF'!N173*'Forage, input data per ha'!$G$70</f>
        <v>0</v>
      </c>
      <c r="P56" s="18">
        <f>'Forage crops, CF'!O123*'Forage, input data per ha'!$E$70+'Forage crops, CF'!O173*'Forage, input data per ha'!$G$70</f>
        <v>4.6700000000000005E-2</v>
      </c>
      <c r="Q56" s="18">
        <f>'Forage crops, CF'!P123*'Forage, input data per ha'!$E$70+'Forage crops, CF'!P173*'Forage, input data per ha'!$G$70</f>
        <v>0</v>
      </c>
      <c r="R56" s="138">
        <f>'Parameters, country spec'!E18</f>
        <v>0.28000000000000003</v>
      </c>
      <c r="S56" s="138">
        <f>'Parameters, country spec'!E36</f>
        <v>0.3</v>
      </c>
      <c r="T56" s="18"/>
    </row>
    <row r="57" spans="1:20" x14ac:dyDescent="0.3">
      <c r="A57" s="20" t="s">
        <v>363</v>
      </c>
      <c r="B57" s="15" t="s">
        <v>159</v>
      </c>
      <c r="C57" s="15" t="s">
        <v>364</v>
      </c>
      <c r="D57" s="21" t="s">
        <v>114</v>
      </c>
      <c r="E57" s="21" t="s">
        <v>70</v>
      </c>
      <c r="F57" s="107">
        <f>SUM(G57:Q57)</f>
        <v>0.18200000000000002</v>
      </c>
      <c r="G57" s="71">
        <v>7.9000000000000001E-2</v>
      </c>
      <c r="H57" s="12">
        <v>2.7E-2</v>
      </c>
      <c r="I57" s="14">
        <v>0</v>
      </c>
      <c r="J57" s="12"/>
      <c r="K57" s="71">
        <v>3.4000000000000002E-2</v>
      </c>
      <c r="L57" s="12"/>
      <c r="M57" s="12">
        <v>0</v>
      </c>
      <c r="N57" s="71">
        <v>4.2000000000000003E-2</v>
      </c>
      <c r="O57" s="12"/>
      <c r="P57" s="12"/>
      <c r="R57" s="138">
        <f>'Parameters, country spec'!E19</f>
        <v>0.16</v>
      </c>
      <c r="S57" s="138">
        <f>'Parameters, country spec'!E37</f>
        <v>0.2</v>
      </c>
    </row>
    <row r="58" spans="1:20" x14ac:dyDescent="0.3">
      <c r="A58" s="20" t="s">
        <v>365</v>
      </c>
      <c r="B58" s="15" t="s">
        <v>161</v>
      </c>
      <c r="C58" s="15" t="s">
        <v>364</v>
      </c>
      <c r="D58" s="21" t="s">
        <v>114</v>
      </c>
      <c r="E58" s="21" t="s">
        <v>70</v>
      </c>
      <c r="F58" s="107">
        <f t="shared" ref="F58:F67" si="6">SUM(G58:Q58)</f>
        <v>0.17</v>
      </c>
      <c r="G58" s="71">
        <v>7.6999999999999999E-2</v>
      </c>
      <c r="H58" s="12">
        <v>2.7E-2</v>
      </c>
      <c r="I58" s="14">
        <v>0</v>
      </c>
      <c r="J58" s="12"/>
      <c r="K58" s="71">
        <v>2.4E-2</v>
      </c>
      <c r="L58" s="12"/>
      <c r="M58" s="12">
        <v>0</v>
      </c>
      <c r="N58" s="71">
        <v>4.2000000000000003E-2</v>
      </c>
      <c r="O58" s="12"/>
      <c r="P58" s="12"/>
      <c r="R58" s="138">
        <f>'Parameters, country spec'!E20</f>
        <v>3.1075970320211814E-4</v>
      </c>
      <c r="S58" s="138">
        <f>'Parameters, country spec'!E38</f>
        <v>3.1075970320211814E-4</v>
      </c>
    </row>
    <row r="59" spans="1:20" x14ac:dyDescent="0.3">
      <c r="A59" s="20" t="s">
        <v>366</v>
      </c>
      <c r="B59" s="15" t="s">
        <v>163</v>
      </c>
      <c r="C59" s="15" t="s">
        <v>364</v>
      </c>
      <c r="D59" s="21" t="s">
        <v>114</v>
      </c>
      <c r="E59" s="21" t="s">
        <v>70</v>
      </c>
      <c r="F59" s="107">
        <f t="shared" si="6"/>
        <v>0.20300000000000001</v>
      </c>
      <c r="G59" s="71">
        <v>7.0000000000000007E-2</v>
      </c>
      <c r="H59" s="12">
        <v>2.7E-2</v>
      </c>
      <c r="I59" s="14">
        <v>0</v>
      </c>
      <c r="J59" s="12"/>
      <c r="K59" s="71">
        <v>6.3E-2</v>
      </c>
      <c r="L59" s="12"/>
      <c r="M59" s="12">
        <v>1E-3</v>
      </c>
      <c r="N59" s="71">
        <v>4.2000000000000003E-2</v>
      </c>
      <c r="O59" s="12"/>
      <c r="P59" s="12"/>
      <c r="R59" s="138">
        <f>'Parameters, country spec'!E21</f>
        <v>8.6733359151412953E-5</v>
      </c>
      <c r="S59" s="138">
        <f>'Parameters, country spec'!E39</f>
        <v>8.6733359151412953E-5</v>
      </c>
    </row>
    <row r="60" spans="1:20" x14ac:dyDescent="0.3">
      <c r="A60" s="20" t="s">
        <v>367</v>
      </c>
      <c r="B60" s="15" t="s">
        <v>165</v>
      </c>
      <c r="C60" s="15" t="s">
        <v>364</v>
      </c>
      <c r="D60" s="21" t="s">
        <v>114</v>
      </c>
      <c r="E60" s="21" t="s">
        <v>70</v>
      </c>
      <c r="F60" s="107">
        <f t="shared" si="6"/>
        <v>0.186</v>
      </c>
      <c r="G60" s="71">
        <v>6.2E-2</v>
      </c>
      <c r="H60" s="12">
        <v>2.7E-2</v>
      </c>
      <c r="I60" s="12">
        <v>0</v>
      </c>
      <c r="J60" s="12"/>
      <c r="K60" s="71">
        <v>5.5E-2</v>
      </c>
      <c r="L60" s="12"/>
      <c r="M60" s="12">
        <v>0</v>
      </c>
      <c r="N60" s="71">
        <v>4.2000000000000003E-2</v>
      </c>
      <c r="O60" s="12"/>
      <c r="P60" s="12"/>
      <c r="R60" s="138">
        <f>'Parameters, country spec'!E22</f>
        <v>6.2924072151971947E-5</v>
      </c>
      <c r="S60" s="138">
        <f>'Parameters, country spec'!E40</f>
        <v>6.2924072151971947E-5</v>
      </c>
    </row>
    <row r="61" spans="1:20" x14ac:dyDescent="0.3">
      <c r="A61" s="20" t="s">
        <v>368</v>
      </c>
      <c r="B61" s="15" t="s">
        <v>167</v>
      </c>
      <c r="C61" s="15" t="s">
        <v>364</v>
      </c>
      <c r="D61" s="21" t="s">
        <v>114</v>
      </c>
      <c r="E61" s="21" t="s">
        <v>70</v>
      </c>
      <c r="F61" s="107">
        <f t="shared" si="6"/>
        <v>0.19500000000000001</v>
      </c>
      <c r="G61" s="71">
        <v>9.0999999999999998E-2</v>
      </c>
      <c r="H61" s="12">
        <v>2.7E-2</v>
      </c>
      <c r="I61" s="12">
        <v>0</v>
      </c>
      <c r="J61" s="12"/>
      <c r="K61" s="71">
        <v>3.5000000000000003E-2</v>
      </c>
      <c r="L61" s="12"/>
      <c r="M61" s="12">
        <v>0</v>
      </c>
      <c r="N61" s="71">
        <v>4.2000000000000003E-2</v>
      </c>
      <c r="O61" s="12"/>
      <c r="P61" s="12"/>
      <c r="R61" s="138">
        <f>'Parameters, country spec'!E23</f>
        <v>0.20500000000000002</v>
      </c>
      <c r="S61" s="138">
        <f>'Parameters, country spec'!E41</f>
        <v>0.2</v>
      </c>
    </row>
    <row r="62" spans="1:20" x14ac:dyDescent="0.3">
      <c r="A62" s="20" t="s">
        <v>369</v>
      </c>
      <c r="B62" s="15" t="s">
        <v>168</v>
      </c>
      <c r="C62" s="15" t="s">
        <v>370</v>
      </c>
      <c r="D62" s="21" t="s">
        <v>114</v>
      </c>
      <c r="E62" s="21" t="s">
        <v>70</v>
      </c>
      <c r="F62" s="107">
        <f t="shared" si="6"/>
        <v>0.14599999999999999</v>
      </c>
      <c r="G62" s="71">
        <v>0</v>
      </c>
      <c r="H62" s="12">
        <v>2.7E-2</v>
      </c>
      <c r="I62" s="14">
        <v>0</v>
      </c>
      <c r="J62" s="12"/>
      <c r="K62" s="71">
        <v>7.0999999999999994E-2</v>
      </c>
      <c r="L62" s="14"/>
      <c r="M62" s="12">
        <v>6.0000000000000001E-3</v>
      </c>
      <c r="N62" s="71">
        <v>4.2000000000000003E-2</v>
      </c>
      <c r="O62" s="12"/>
      <c r="P62" s="12"/>
      <c r="R62" s="138">
        <f>'Parameters, country spec'!E24</f>
        <v>2.439015630520557E-4</v>
      </c>
      <c r="S62" s="138">
        <f>'Parameters, country spec'!E42</f>
        <v>2.439015630520557E-4</v>
      </c>
    </row>
    <row r="63" spans="1:20" x14ac:dyDescent="0.3">
      <c r="A63" s="20" t="s">
        <v>371</v>
      </c>
      <c r="B63" s="15" t="s">
        <v>170</v>
      </c>
      <c r="C63" s="15" t="s">
        <v>370</v>
      </c>
      <c r="D63" s="21" t="s">
        <v>114</v>
      </c>
      <c r="E63" s="21" t="s">
        <v>70</v>
      </c>
      <c r="F63" s="107">
        <f t="shared" si="6"/>
        <v>0.17</v>
      </c>
      <c r="G63" s="71">
        <v>4.0000000000000001E-3</v>
      </c>
      <c r="H63" s="12">
        <v>2.7E-2</v>
      </c>
      <c r="I63" s="14">
        <v>0</v>
      </c>
      <c r="J63" s="12"/>
      <c r="K63" s="71">
        <v>8.8999999999999996E-2</v>
      </c>
      <c r="L63" s="12"/>
      <c r="M63" s="12">
        <v>8.0000000000000002E-3</v>
      </c>
      <c r="N63" s="71">
        <v>4.2000000000000003E-2</v>
      </c>
      <c r="O63" s="12"/>
      <c r="P63" s="12"/>
      <c r="R63" s="138">
        <f>'Parameters, country spec'!E25</f>
        <v>2.3959170998341588E-4</v>
      </c>
      <c r="S63" s="138">
        <f>'Parameters, country spec'!E43</f>
        <v>2.3959170998341588E-4</v>
      </c>
    </row>
    <row r="64" spans="1:20" x14ac:dyDescent="0.3">
      <c r="B64" s="16" t="s">
        <v>171</v>
      </c>
      <c r="C64" s="15" t="s">
        <v>372</v>
      </c>
      <c r="D64" s="21" t="s">
        <v>114</v>
      </c>
      <c r="E64" s="21" t="s">
        <v>70</v>
      </c>
      <c r="F64" s="107">
        <f t="shared" si="6"/>
        <v>0.27628755742228495</v>
      </c>
      <c r="G64" s="18">
        <f>'Off-farm feed'!$F$74</f>
        <v>0.15910156565543246</v>
      </c>
      <c r="H64" s="18">
        <f>'Off-farm feed'!$G$74</f>
        <v>1.3034482758620692E-2</v>
      </c>
      <c r="I64" s="18">
        <f>'Off-farm feed'!$H$74</f>
        <v>0</v>
      </c>
      <c r="J64" s="18"/>
      <c r="K64" s="18">
        <f>'Off-farm feed'!$J$74</f>
        <v>2.4688740026345454E-2</v>
      </c>
      <c r="L64" s="18"/>
      <c r="M64" s="258">
        <f>'Off-farm feed'!$L$74</f>
        <v>1.931759303794134E-4</v>
      </c>
      <c r="N64" s="18">
        <f>'Off-farm feed'!$M$74</f>
        <v>3.6802128767029069E-2</v>
      </c>
      <c r="O64" s="18">
        <f>'Off-farm feed'!$N$74</f>
        <v>0</v>
      </c>
      <c r="P64" s="18">
        <f>'Off-farm feed'!$O$74</f>
        <v>2.6267464284477883E-2</v>
      </c>
      <c r="Q64" s="18">
        <f>'Off-farm feed'!$P$74</f>
        <v>1.6199999999999999E-2</v>
      </c>
      <c r="R64" s="138">
        <f>'Parameters, country spec'!E26</f>
        <v>0.09</v>
      </c>
      <c r="S64" s="138">
        <f>'Parameters, country spec'!E44</f>
        <v>0.06</v>
      </c>
    </row>
    <row r="65" spans="1:20" x14ac:dyDescent="0.3">
      <c r="B65" s="16" t="s">
        <v>373</v>
      </c>
      <c r="C65" s="15" t="s">
        <v>372</v>
      </c>
      <c r="D65" s="21" t="s">
        <v>114</v>
      </c>
      <c r="E65" s="21" t="s">
        <v>70</v>
      </c>
      <c r="F65" s="107">
        <f t="shared" si="6"/>
        <v>0.7061171705997602</v>
      </c>
      <c r="G65" s="18">
        <f>'Off-farm feed'!$F$23</f>
        <v>7.2632670993098931E-3</v>
      </c>
      <c r="H65" s="18">
        <f>'Off-farm feed'!$G$23</f>
        <v>2.1402439024390246E-2</v>
      </c>
      <c r="I65" s="18">
        <f>'Off-farm feed'!$H$23</f>
        <v>0</v>
      </c>
      <c r="J65" s="18"/>
      <c r="K65" s="18">
        <f>'Off-farm feed'!$J$23</f>
        <v>4.308361966433235E-2</v>
      </c>
      <c r="L65" s="18"/>
      <c r="M65" s="258">
        <f>'Off-farm feed'!$L$23</f>
        <v>1.7842060425123844E-4</v>
      </c>
      <c r="N65" s="18">
        <f>'Off-farm feed'!$M$23</f>
        <v>3.0432604948959403E-2</v>
      </c>
      <c r="O65" s="18">
        <f>'Off-farm feed'!$N$23</f>
        <v>0.31761120248475611</v>
      </c>
      <c r="P65" s="18">
        <f>'Off-farm feed'!$O$23</f>
        <v>3.5145616773760872E-2</v>
      </c>
      <c r="Q65" s="18">
        <f>'Off-farm feed'!$P$23</f>
        <v>0.251</v>
      </c>
      <c r="R65" s="138">
        <f>'Parameters, country spec'!E27</f>
        <v>9.5000000000000001E-2</v>
      </c>
      <c r="S65" s="138">
        <f>'Parameters, country spec'!E45</f>
        <v>7.0000000000000007E-2</v>
      </c>
    </row>
    <row r="66" spans="1:20" x14ac:dyDescent="0.3">
      <c r="B66" s="15" t="s">
        <v>173</v>
      </c>
      <c r="C66" s="15" t="s">
        <v>374</v>
      </c>
      <c r="D66" s="21" t="s">
        <v>114</v>
      </c>
      <c r="E66" s="21" t="s">
        <v>70</v>
      </c>
      <c r="F66" s="107">
        <f>SUM(G66:Q66)</f>
        <v>0.59673569830802164</v>
      </c>
      <c r="G66" s="71">
        <v>4.5472074282668702E-2</v>
      </c>
      <c r="H66" s="14">
        <v>1.3510799999999899E-2</v>
      </c>
      <c r="K66" s="14">
        <v>3.8378539553255903E-2</v>
      </c>
      <c r="N66" s="96"/>
      <c r="O66" s="6"/>
      <c r="P66" s="14">
        <v>0.49589425967864798</v>
      </c>
      <c r="Q66" s="14">
        <v>3.4800247934492399E-3</v>
      </c>
      <c r="R66" s="138">
        <f>'Parameters, country spec'!E28</f>
        <v>9.5000000000000001E-2</v>
      </c>
      <c r="S66" s="138">
        <f>'Parameters, country spec'!E46</f>
        <v>0.14000000000000001</v>
      </c>
    </row>
    <row r="67" spans="1:20" x14ac:dyDescent="0.3">
      <c r="A67" s="74"/>
      <c r="B67" s="15" t="s">
        <v>375</v>
      </c>
      <c r="C67" s="75" t="s">
        <v>376</v>
      </c>
      <c r="D67" s="21" t="s">
        <v>114</v>
      </c>
      <c r="E67" s="21" t="s">
        <v>70</v>
      </c>
      <c r="F67" s="107">
        <f t="shared" si="6"/>
        <v>0.16120049149275797</v>
      </c>
      <c r="G67" s="72">
        <f>SUMPRODUCT(G57:G65,$R57:$R65)</f>
        <v>4.6339010775023878E-2</v>
      </c>
      <c r="H67" s="72">
        <f t="shared" ref="H67:P67" si="7">SUMPRODUCT(H57:H65,$R57:$R65)</f>
        <v>1.3086820736596541E-2</v>
      </c>
      <c r="I67" s="72">
        <f t="shared" si="7"/>
        <v>0</v>
      </c>
      <c r="J67" s="72">
        <f t="shared" si="7"/>
        <v>0</v>
      </c>
      <c r="K67" s="72">
        <f>SUMPRODUCT(K57:K65,$R57:$R65)</f>
        <v>1.8984954402119635E-2</v>
      </c>
      <c r="L67" s="72">
        <f t="shared" si="7"/>
        <v>0</v>
      </c>
      <c r="M67" s="72">
        <f t="shared" si="7"/>
        <v>3.780266755534593E-5</v>
      </c>
      <c r="N67" s="72">
        <f t="shared" si="7"/>
        <v>2.1572933296300483E-2</v>
      </c>
      <c r="O67" s="72">
        <f t="shared" si="7"/>
        <v>3.017306423605183E-2</v>
      </c>
      <c r="P67" s="72">
        <f t="shared" si="7"/>
        <v>5.7029053791102929E-3</v>
      </c>
      <c r="Q67" s="72">
        <f>SUMPRODUCT(Q57:Q65,$R57:$R65)</f>
        <v>2.5303000000000003E-2</v>
      </c>
      <c r="R67" s="138">
        <f>'Parameters, country spec'!E29</f>
        <v>7.0000000000000007E-2</v>
      </c>
      <c r="S67" s="138">
        <f>'Parameters, country spec'!E47</f>
        <v>0.03</v>
      </c>
    </row>
    <row r="68" spans="1:20" x14ac:dyDescent="0.3">
      <c r="A68" s="287"/>
      <c r="B68" s="288" t="s">
        <v>377</v>
      </c>
      <c r="C68" s="289"/>
      <c r="D68" s="290"/>
      <c r="E68" s="290"/>
      <c r="F68" s="291">
        <f>SUMPRODUCT(F54:F56,R54:R56)+SUMPRODUCT(F57:F67,R57:R67)/0.87</f>
        <v>0.29374607672822117</v>
      </c>
      <c r="G68" s="291">
        <f>SUMPRODUCT(G54:G56,R54:R56)+SUMPRODUCT(G57:G67,R57:R67)/0.87</f>
        <v>6.2951492629639963E-2</v>
      </c>
      <c r="H68" s="291">
        <f>SUMPRODUCT(H54:H56,R54:R56)+SUMPRODUCT(H57:H67,R57:R67)/0.87</f>
        <v>2.5130602515124473E-2</v>
      </c>
      <c r="I68" s="291">
        <f>SUMPRODUCT(I54:I56,R54:R56)+SUMPRODUCT(I57:I67,R57:R67)/0.87</f>
        <v>0</v>
      </c>
      <c r="J68" s="291">
        <f>SUMPRODUCT(J54:J56,R54:R56)+SUMPRODUCT(J57:J67,R57:R67)/0.87</f>
        <v>0</v>
      </c>
      <c r="K68" s="291">
        <f>SUMPRODUCT(K54:K56,R54:R56)+SUMPRODUCT(K57:K67,R57:R67)/0.87</f>
        <v>3.6236783888745884E-2</v>
      </c>
      <c r="L68" s="291">
        <f>SUMPRODUCT(L54:L56,R54:R56)+SUMPRODUCT(L57:L67,R57:R67)/0.87</f>
        <v>0</v>
      </c>
      <c r="M68" s="291">
        <f>SUMPRODUCT(M54:M56,R54:R56)+SUMPRODUCT(M57:M67,R57:R67)/0.87</f>
        <v>4.6492935958873727E-5</v>
      </c>
      <c r="N68" s="291">
        <f>SUMPRODUCT(N54:N56,R54:R56)+SUMPRODUCT(N57:N67,R57:R67)/0.87</f>
        <v>2.653222830694427E-2</v>
      </c>
      <c r="O68" s="291">
        <f>SUMPRODUCT(O54:O56,R54:R56)+SUMPRODUCT(O57:O67,R57:R67)/0.87</f>
        <v>3.7109400842040757E-2</v>
      </c>
      <c r="P68" s="291">
        <f>SUMPRODUCT(P54:P56,R54:R56)+SUMPRODUCT(P57:P67,R57:R67)/0.87</f>
        <v>7.4239291293240889E-2</v>
      </c>
      <c r="Q68" s="291">
        <f>SUMPRODUCT(Q54:Q56,R54:R56)+SUMPRODUCT(Q57:Q67,R57:R67)/0.87</f>
        <v>3.1499784316526065E-2</v>
      </c>
      <c r="R68" s="294"/>
      <c r="S68" s="295"/>
    </row>
    <row r="69" spans="1:20" x14ac:dyDescent="0.3">
      <c r="A69" s="137"/>
      <c r="B69" s="23" t="s">
        <v>378</v>
      </c>
      <c r="C69" s="24"/>
      <c r="D69" s="93"/>
      <c r="E69" s="93"/>
      <c r="F69" s="286">
        <f>SUMPRODUCT(F54:F56,S54:S56)+SUMPRODUCT(F57:F67,S57:S67)/0.87</f>
        <v>0.29679567446121574</v>
      </c>
      <c r="G69" s="286">
        <f>SUMPRODUCT(G54:G56,S54:S56)+SUMPRODUCT(G57:G67,S57:S67)/0.87</f>
        <v>6.0658222490533688E-2</v>
      </c>
      <c r="H69" s="286">
        <f>SUMPRODUCT(H54:H56,S54:S56)+SUMPRODUCT(H57:H67,S57:S67)/0.87</f>
        <v>2.5789473448650631E-2</v>
      </c>
      <c r="I69" s="286">
        <f>SUMPRODUCT(I54:I56,S54:S56)+SUMPRODUCT(I57:I67,S57:S67)/0.87</f>
        <v>0</v>
      </c>
      <c r="J69" s="286">
        <f>SUMPRODUCT(J54:J56,S54:S56)+SUMPRODUCT(J57:J67,S57:S67)/0.87</f>
        <v>0</v>
      </c>
      <c r="K69" s="286">
        <f>SUMPRODUCT(K54:K56,S54:S56)+SUMPRODUCT(K57:K67,S57:S67)/0.87</f>
        <v>3.7242901070614884E-2</v>
      </c>
      <c r="L69" s="286">
        <f>SUMPRODUCT(L54:L56,S54:S56)+SUMPRODUCT(L57:L67,S57:S67)/0.87</f>
        <v>0</v>
      </c>
      <c r="M69" s="286">
        <f>SUMPRODUCT(M54:M56,S54:S56)+SUMPRODUCT(M57:M67,S57:S67)/0.87</f>
        <v>3.2966614441773505E-5</v>
      </c>
      <c r="N69" s="286">
        <f>SUMPRODUCT(N54:N56,S54:S56)+SUMPRODUCT(N57:N67,S57:S67)/0.87</f>
        <v>2.5086485412016826E-2</v>
      </c>
      <c r="O69" s="286">
        <f>SUMPRODUCT(O54:O56,S54:S56)+SUMPRODUCT(O57:O67,S57:S67)/0.87</f>
        <v>2.659537482875228E-2</v>
      </c>
      <c r="P69" s="286">
        <f>SUMPRODUCT(P54:P56,S54:S56)+SUMPRODUCT(P57:P67,S57:S67)/0.87</f>
        <v>9.8645085686914907E-2</v>
      </c>
      <c r="Q69" s="286">
        <f>SUMPRODUCT(Q54:Q56,S54:S56)+SUMPRODUCT(Q57:Q67,S57:S67)/0.87</f>
        <v>2.2745164909290686E-2</v>
      </c>
      <c r="R69" s="139"/>
      <c r="S69" s="139"/>
    </row>
    <row r="70" spans="1:20" x14ac:dyDescent="0.3">
      <c r="B70" s="16" t="s">
        <v>152</v>
      </c>
      <c r="C70" s="15" t="s">
        <v>361</v>
      </c>
      <c r="D70" s="21" t="s">
        <v>23</v>
      </c>
      <c r="E70" s="21" t="s">
        <v>71</v>
      </c>
      <c r="F70" s="107">
        <f>SUM(G70:Q70)</f>
        <v>6.0876696894766318E-2</v>
      </c>
      <c r="G70" s="18">
        <f>'Forage crops, CF'!F28</f>
        <v>2.175109426324023E-2</v>
      </c>
      <c r="H70" s="18">
        <f>'Forage crops, CF'!G28</f>
        <v>2.7E-2</v>
      </c>
      <c r="I70" s="18">
        <f>'Forage crops, CF'!H28</f>
        <v>0</v>
      </c>
      <c r="J70" s="18">
        <f>'Forage crops, CF'!I28</f>
        <v>0</v>
      </c>
      <c r="K70" s="18">
        <f>'Forage crops, CF'!J28</f>
        <v>1.2125602631526086E-2</v>
      </c>
      <c r="L70" s="18">
        <f>'Forage crops, CF'!K28</f>
        <v>0</v>
      </c>
      <c r="M70" s="18">
        <f>'Forage crops, CF'!L28</f>
        <v>0</v>
      </c>
      <c r="N70" s="18">
        <f>'Forage crops, CF'!M28</f>
        <v>0</v>
      </c>
      <c r="O70" s="18">
        <f>'Forage crops, CF'!N28</f>
        <v>0</v>
      </c>
      <c r="P70" s="18">
        <f>'Forage crops, CF'!O28</f>
        <v>0</v>
      </c>
      <c r="Q70" s="18">
        <f>'Forage crops, CF'!P28</f>
        <v>0</v>
      </c>
      <c r="R70" s="138">
        <f>'Parameters, country spec'!F16</f>
        <v>0</v>
      </c>
      <c r="S70" s="138">
        <f>'Parameters, country spec'!F34</f>
        <v>0</v>
      </c>
      <c r="T70" s="18"/>
    </row>
    <row r="71" spans="1:20" x14ac:dyDescent="0.3">
      <c r="B71" s="16" t="s">
        <v>154</v>
      </c>
      <c r="C71" s="15" t="s">
        <v>361</v>
      </c>
      <c r="D71" s="21" t="s">
        <v>23</v>
      </c>
      <c r="E71" s="21" t="s">
        <v>71</v>
      </c>
      <c r="F71" s="107">
        <f>SUM(G71:Q71)</f>
        <v>0.12087961655090079</v>
      </c>
      <c r="G71" s="18">
        <f>'Forage crops, CF'!F78</f>
        <v>2.8884517815723723E-2</v>
      </c>
      <c r="H71" s="18">
        <f>'Forage crops, CF'!G78</f>
        <v>2.7E-2</v>
      </c>
      <c r="I71" s="18">
        <f>'Forage crops, CF'!H78</f>
        <v>0</v>
      </c>
      <c r="J71" s="18">
        <f>'Forage crops, CF'!I78</f>
        <v>0</v>
      </c>
      <c r="K71" s="18">
        <f>'Forage crops, CF'!J78</f>
        <v>1.0792283582048061E-2</v>
      </c>
      <c r="L71" s="18">
        <f>'Forage crops, CF'!K78</f>
        <v>0</v>
      </c>
      <c r="M71" s="18">
        <f>'Forage crops, CF'!L78</f>
        <v>7.5028151531290012E-3</v>
      </c>
      <c r="N71" s="18">
        <f>'Forage crops, CF'!M78</f>
        <v>0</v>
      </c>
      <c r="O71" s="18">
        <f>'Forage crops, CF'!N78</f>
        <v>0</v>
      </c>
      <c r="P71" s="18">
        <f>'Forage crops, CF'!O78</f>
        <v>4.6700000000000005E-2</v>
      </c>
      <c r="Q71" s="18">
        <f>'Forage crops, CF'!P78</f>
        <v>0</v>
      </c>
      <c r="R71" s="138">
        <f>'Parameters, country spec'!F17</f>
        <v>0</v>
      </c>
      <c r="S71" s="138">
        <f>'Parameters, country spec'!F35</f>
        <v>0</v>
      </c>
      <c r="T71" s="18"/>
    </row>
    <row r="72" spans="1:20" x14ac:dyDescent="0.3">
      <c r="B72" s="16" t="s">
        <v>362</v>
      </c>
      <c r="C72" s="15" t="s">
        <v>361</v>
      </c>
      <c r="D72" s="21" t="s">
        <v>23</v>
      </c>
      <c r="E72" s="21" t="s">
        <v>71</v>
      </c>
      <c r="F72" s="107">
        <f>SUM(G72:Q72)</f>
        <v>9.930943263249134E-2</v>
      </c>
      <c r="G72" s="18">
        <f>'Forage crops, CF'!F128*'Forage, input data per ha'!$E$72+'Forage crops, CF'!F178*'Forage, input data per ha'!$G$72</f>
        <v>1.179535691260062E-2</v>
      </c>
      <c r="H72" s="18">
        <f>'Forage crops, CF'!G128*'Forage, input data per ha'!$E$72+'Forage crops, CF'!G178*'Forage, input data per ha'!$G$72</f>
        <v>2.7E-2</v>
      </c>
      <c r="I72" s="18">
        <f>'Forage crops, CF'!H128*'Forage, input data per ha'!$E$72+'Forage crops, CF'!H178*'Forage, input data per ha'!$G$72</f>
        <v>0</v>
      </c>
      <c r="J72" s="18">
        <f>'Forage crops, CF'!I128*'Forage, input data per ha'!$E$72+'Forage crops, CF'!I178*'Forage, input data per ha'!$G$72</f>
        <v>0</v>
      </c>
      <c r="K72" s="18">
        <f>'Forage crops, CF'!J128*'Forage, input data per ha'!$E$72+'Forage crops, CF'!J178*'Forage, input data per ha'!$G$72</f>
        <v>1.3814075719890705E-2</v>
      </c>
      <c r="L72" s="18">
        <f>'Forage crops, CF'!K128*'Forage, input data per ha'!$E$72+'Forage crops, CF'!K178*'Forage, input data per ha'!$G$72</f>
        <v>0</v>
      </c>
      <c r="M72" s="18">
        <f>'Forage crops, CF'!L128*'Forage, input data per ha'!$E$72+'Forage crops, CF'!L178*'Forage, input data per ha'!$G$72</f>
        <v>0</v>
      </c>
      <c r="N72" s="18">
        <f>'Forage crops, CF'!M128*'Forage, input data per ha'!$E$72+'Forage crops, CF'!M178*'Forage, input data per ha'!$G$72</f>
        <v>0</v>
      </c>
      <c r="O72" s="18">
        <f>'Forage crops, CF'!N128*'Forage, input data per ha'!$E$72+'Forage crops, CF'!N178*'Forage, input data per ha'!$G$72</f>
        <v>0</v>
      </c>
      <c r="P72" s="18">
        <f>'Forage crops, CF'!O128*'Forage, input data per ha'!$E$72+'Forage crops, CF'!O178*'Forage, input data per ha'!$G$72</f>
        <v>4.6700000000000005E-2</v>
      </c>
      <c r="Q72" s="18">
        <f>'Forage crops, CF'!P128*'Forage, input data per ha'!$E$72+'Forage crops, CF'!P178*'Forage, input data per ha'!$G$72</f>
        <v>0</v>
      </c>
      <c r="R72" s="138">
        <f>'Parameters, country spec'!F18</f>
        <v>0.28000000000000003</v>
      </c>
      <c r="S72" s="138">
        <f>'Parameters, country spec'!F36</f>
        <v>0.3</v>
      </c>
      <c r="T72" s="18"/>
    </row>
    <row r="73" spans="1:20" x14ac:dyDescent="0.3">
      <c r="A73" s="20" t="s">
        <v>363</v>
      </c>
      <c r="B73" s="15" t="s">
        <v>159</v>
      </c>
      <c r="C73" s="15" t="s">
        <v>364</v>
      </c>
      <c r="D73" s="21" t="s">
        <v>23</v>
      </c>
      <c r="E73" s="21" t="s">
        <v>71</v>
      </c>
      <c r="F73" s="107">
        <f>SUM(G73:Q73)</f>
        <v>0.192</v>
      </c>
      <c r="G73" s="71">
        <v>7.9000000000000001E-2</v>
      </c>
      <c r="H73" s="12">
        <v>2.7E-2</v>
      </c>
      <c r="I73" s="14">
        <v>0</v>
      </c>
      <c r="J73" s="12"/>
      <c r="K73" s="71">
        <v>4.4999999999999998E-2</v>
      </c>
      <c r="L73" s="12"/>
      <c r="M73" s="12">
        <v>0</v>
      </c>
      <c r="N73" s="71">
        <v>4.1000000000000002E-2</v>
      </c>
      <c r="O73" s="12"/>
      <c r="P73" s="12"/>
      <c r="R73" s="138">
        <f>'Parameters, country spec'!F19</f>
        <v>0.16</v>
      </c>
      <c r="S73" s="138">
        <f>'Parameters, country spec'!F37</f>
        <v>0.2</v>
      </c>
    </row>
    <row r="74" spans="1:20" x14ac:dyDescent="0.3">
      <c r="A74" s="20" t="s">
        <v>365</v>
      </c>
      <c r="B74" s="15" t="s">
        <v>161</v>
      </c>
      <c r="C74" s="15" t="s">
        <v>364</v>
      </c>
      <c r="D74" s="21" t="s">
        <v>23</v>
      </c>
      <c r="E74" s="21" t="s">
        <v>71</v>
      </c>
      <c r="F74" s="107">
        <f t="shared" ref="F74:F83" si="8">SUM(G74:Q74)</f>
        <v>0.17100000000000001</v>
      </c>
      <c r="G74" s="71">
        <v>7.6999999999999999E-2</v>
      </c>
      <c r="H74" s="12">
        <v>2.7E-2</v>
      </c>
      <c r="I74" s="14">
        <v>0</v>
      </c>
      <c r="J74" s="12"/>
      <c r="K74" s="71">
        <v>1.7999999999999999E-2</v>
      </c>
      <c r="L74" s="12"/>
      <c r="M74" s="12">
        <v>8.0000000000000002E-3</v>
      </c>
      <c r="N74" s="71">
        <v>4.1000000000000002E-2</v>
      </c>
      <c r="O74" s="12"/>
      <c r="P74" s="12"/>
      <c r="R74" s="138">
        <f>'Parameters, country spec'!F20</f>
        <v>3.1075970320211814E-4</v>
      </c>
      <c r="S74" s="138">
        <f>'Parameters, country spec'!F38</f>
        <v>3.1075970320211814E-4</v>
      </c>
    </row>
    <row r="75" spans="1:20" x14ac:dyDescent="0.3">
      <c r="A75" s="20" t="s">
        <v>366</v>
      </c>
      <c r="B75" s="15" t="s">
        <v>163</v>
      </c>
      <c r="C75" s="15" t="s">
        <v>364</v>
      </c>
      <c r="D75" s="21" t="s">
        <v>23</v>
      </c>
      <c r="E75" s="21" t="s">
        <v>71</v>
      </c>
      <c r="F75" s="107">
        <f t="shared" si="8"/>
        <v>0.22500000000000001</v>
      </c>
      <c r="G75" s="71">
        <v>7.0000000000000007E-2</v>
      </c>
      <c r="H75" s="12">
        <v>2.7E-2</v>
      </c>
      <c r="I75" s="14">
        <v>0</v>
      </c>
      <c r="J75" s="12"/>
      <c r="K75" s="71">
        <v>7.9000000000000001E-2</v>
      </c>
      <c r="L75" s="12"/>
      <c r="M75" s="12">
        <v>8.0000000000000002E-3</v>
      </c>
      <c r="N75" s="71">
        <v>4.1000000000000002E-2</v>
      </c>
      <c r="O75" s="12"/>
      <c r="P75" s="12"/>
      <c r="R75" s="138">
        <f>'Parameters, country spec'!F21</f>
        <v>8.6733359151412953E-5</v>
      </c>
      <c r="S75" s="138">
        <f>'Parameters, country spec'!F39</f>
        <v>8.6733359151412953E-5</v>
      </c>
    </row>
    <row r="76" spans="1:20" x14ac:dyDescent="0.3">
      <c r="A76" s="20" t="s">
        <v>367</v>
      </c>
      <c r="B76" s="15" t="s">
        <v>165</v>
      </c>
      <c r="C76" s="15" t="s">
        <v>364</v>
      </c>
      <c r="D76" s="21" t="s">
        <v>23</v>
      </c>
      <c r="E76" s="21" t="s">
        <v>71</v>
      </c>
      <c r="F76" s="107">
        <f t="shared" si="8"/>
        <v>0.187</v>
      </c>
      <c r="G76" s="71">
        <v>6.2E-2</v>
      </c>
      <c r="H76" s="12">
        <v>2.7E-2</v>
      </c>
      <c r="I76" s="12">
        <v>0</v>
      </c>
      <c r="J76" s="12"/>
      <c r="K76" s="71">
        <v>5.7000000000000002E-2</v>
      </c>
      <c r="L76" s="12"/>
      <c r="M76" s="12">
        <v>0</v>
      </c>
      <c r="N76" s="71">
        <v>4.1000000000000002E-2</v>
      </c>
      <c r="O76" s="12"/>
      <c r="P76" s="12"/>
      <c r="R76" s="138">
        <f>'Parameters, country spec'!F22</f>
        <v>6.2924072151971947E-5</v>
      </c>
      <c r="S76" s="138">
        <f>'Parameters, country spec'!F40</f>
        <v>6.2924072151971947E-5</v>
      </c>
    </row>
    <row r="77" spans="1:20" x14ac:dyDescent="0.3">
      <c r="A77" s="20" t="s">
        <v>368</v>
      </c>
      <c r="B77" s="15" t="s">
        <v>167</v>
      </c>
      <c r="C77" s="15" t="s">
        <v>364</v>
      </c>
      <c r="D77" s="21" t="s">
        <v>23</v>
      </c>
      <c r="E77" s="21" t="s">
        <v>71</v>
      </c>
      <c r="F77" s="107">
        <f t="shared" si="8"/>
        <v>0.20899999999999999</v>
      </c>
      <c r="G77" s="71">
        <v>9.0999999999999998E-2</v>
      </c>
      <c r="H77" s="12">
        <v>2.7E-2</v>
      </c>
      <c r="I77" s="12">
        <v>0</v>
      </c>
      <c r="J77" s="12"/>
      <c r="K77" s="71">
        <v>4.8000000000000001E-2</v>
      </c>
      <c r="L77" s="12"/>
      <c r="M77" s="12">
        <v>2E-3</v>
      </c>
      <c r="N77" s="71">
        <v>4.1000000000000002E-2</v>
      </c>
      <c r="O77" s="12"/>
      <c r="P77" s="12"/>
      <c r="R77" s="138">
        <f>'Parameters, country spec'!F23</f>
        <v>0.20500000000000002</v>
      </c>
      <c r="S77" s="138">
        <f>'Parameters, country spec'!F41</f>
        <v>0.2</v>
      </c>
    </row>
    <row r="78" spans="1:20" x14ac:dyDescent="0.3">
      <c r="A78" s="20" t="s">
        <v>369</v>
      </c>
      <c r="B78" s="15" t="s">
        <v>168</v>
      </c>
      <c r="C78" s="15" t="s">
        <v>370</v>
      </c>
      <c r="D78" s="21" t="s">
        <v>23</v>
      </c>
      <c r="E78" s="21" t="s">
        <v>71</v>
      </c>
      <c r="F78" s="107">
        <f t="shared" si="8"/>
        <v>0.127</v>
      </c>
      <c r="G78" s="71">
        <v>0</v>
      </c>
      <c r="H78" s="12">
        <v>2.7E-2</v>
      </c>
      <c r="I78" s="14">
        <v>0</v>
      </c>
      <c r="J78" s="12"/>
      <c r="K78" s="71">
        <v>5.8000000000000003E-2</v>
      </c>
      <c r="L78" s="14"/>
      <c r="M78" s="12">
        <v>1E-3</v>
      </c>
      <c r="N78" s="71">
        <v>4.1000000000000002E-2</v>
      </c>
      <c r="O78" s="12"/>
      <c r="P78" s="12"/>
      <c r="R78" s="138">
        <f>'Parameters, country spec'!F24</f>
        <v>2.439015630520557E-4</v>
      </c>
      <c r="S78" s="138">
        <f>'Parameters, country spec'!F42</f>
        <v>2.439015630520557E-4</v>
      </c>
    </row>
    <row r="79" spans="1:20" x14ac:dyDescent="0.3">
      <c r="A79" s="20" t="s">
        <v>371</v>
      </c>
      <c r="B79" s="15" t="s">
        <v>170</v>
      </c>
      <c r="C79" s="15" t="s">
        <v>370</v>
      </c>
      <c r="D79" s="21" t="s">
        <v>23</v>
      </c>
      <c r="E79" s="21" t="s">
        <v>71</v>
      </c>
      <c r="F79" s="107">
        <f t="shared" si="8"/>
        <v>0.159</v>
      </c>
      <c r="G79" s="71">
        <v>4.0000000000000001E-3</v>
      </c>
      <c r="H79" s="12">
        <v>2.7E-2</v>
      </c>
      <c r="I79" s="14">
        <v>0</v>
      </c>
      <c r="J79" s="12"/>
      <c r="K79" s="71">
        <v>8.6999999999999994E-2</v>
      </c>
      <c r="L79" s="12"/>
      <c r="M79" s="12">
        <v>0</v>
      </c>
      <c r="N79" s="71">
        <v>4.1000000000000002E-2</v>
      </c>
      <c r="O79" s="12"/>
      <c r="P79" s="12"/>
      <c r="R79" s="138">
        <f>'Parameters, country spec'!F25</f>
        <v>2.3959170998341588E-4</v>
      </c>
      <c r="S79" s="138">
        <f>'Parameters, country spec'!F43</f>
        <v>2.3959170998341588E-4</v>
      </c>
    </row>
    <row r="80" spans="1:20" x14ac:dyDescent="0.3">
      <c r="B80" s="16" t="s">
        <v>171</v>
      </c>
      <c r="C80" s="15" t="s">
        <v>372</v>
      </c>
      <c r="D80" s="21" t="s">
        <v>23</v>
      </c>
      <c r="E80" s="21" t="s">
        <v>71</v>
      </c>
      <c r="F80" s="107">
        <f t="shared" si="8"/>
        <v>0.27628755742228495</v>
      </c>
      <c r="G80" s="18">
        <f>'Off-farm feed'!$F$74</f>
        <v>0.15910156565543246</v>
      </c>
      <c r="H80" s="18">
        <f>'Off-farm feed'!$G$74</f>
        <v>1.3034482758620692E-2</v>
      </c>
      <c r="I80" s="18">
        <f>'Off-farm feed'!$H$74</f>
        <v>0</v>
      </c>
      <c r="J80" s="18"/>
      <c r="K80" s="18">
        <f>'Off-farm feed'!$J$74</f>
        <v>2.4688740026345454E-2</v>
      </c>
      <c r="L80" s="18"/>
      <c r="M80" s="258">
        <f>'Off-farm feed'!$L$74</f>
        <v>1.931759303794134E-4</v>
      </c>
      <c r="N80" s="18">
        <f>'Off-farm feed'!$M$74</f>
        <v>3.6802128767029069E-2</v>
      </c>
      <c r="O80" s="18">
        <f>'Off-farm feed'!$N$74</f>
        <v>0</v>
      </c>
      <c r="P80" s="18">
        <f>'Off-farm feed'!$O$74</f>
        <v>2.6267464284477883E-2</v>
      </c>
      <c r="Q80" s="18">
        <f>'Off-farm feed'!$P$74</f>
        <v>1.6199999999999999E-2</v>
      </c>
      <c r="R80" s="138">
        <f>'Parameters, country spec'!F26</f>
        <v>0.09</v>
      </c>
      <c r="S80" s="138">
        <f>'Parameters, country spec'!F44</f>
        <v>0.06</v>
      </c>
    </row>
    <row r="81" spans="1:20" x14ac:dyDescent="0.3">
      <c r="B81" s="16" t="s">
        <v>373</v>
      </c>
      <c r="C81" s="15" t="s">
        <v>372</v>
      </c>
      <c r="D81" s="21" t="s">
        <v>23</v>
      </c>
      <c r="E81" s="21" t="s">
        <v>71</v>
      </c>
      <c r="F81" s="107">
        <f t="shared" si="8"/>
        <v>0.7061171705997602</v>
      </c>
      <c r="G81" s="18">
        <f>'Off-farm feed'!$F$23</f>
        <v>7.2632670993098931E-3</v>
      </c>
      <c r="H81" s="18">
        <f>'Off-farm feed'!$G$23</f>
        <v>2.1402439024390246E-2</v>
      </c>
      <c r="I81" s="18">
        <f>'Off-farm feed'!$H$23</f>
        <v>0</v>
      </c>
      <c r="J81" s="18"/>
      <c r="K81" s="18">
        <f>'Off-farm feed'!$J$23</f>
        <v>4.308361966433235E-2</v>
      </c>
      <c r="L81" s="18"/>
      <c r="M81" s="258">
        <f>'Off-farm feed'!$L$23</f>
        <v>1.7842060425123844E-4</v>
      </c>
      <c r="N81" s="18">
        <f>'Off-farm feed'!$M$23</f>
        <v>3.0432604948959403E-2</v>
      </c>
      <c r="O81" s="18">
        <f>'Off-farm feed'!$N$23</f>
        <v>0.31761120248475611</v>
      </c>
      <c r="P81" s="18">
        <f>'Off-farm feed'!$O$23</f>
        <v>3.5145616773760872E-2</v>
      </c>
      <c r="Q81" s="18">
        <f>'Off-farm feed'!$P$23</f>
        <v>0.251</v>
      </c>
      <c r="R81" s="138">
        <f>'Parameters, country spec'!F27</f>
        <v>9.5000000000000001E-2</v>
      </c>
      <c r="S81" s="138">
        <f>'Parameters, country spec'!F45</f>
        <v>7.0000000000000007E-2</v>
      </c>
    </row>
    <row r="82" spans="1:20" x14ac:dyDescent="0.3">
      <c r="B82" s="15" t="s">
        <v>173</v>
      </c>
      <c r="C82" s="15" t="s">
        <v>374</v>
      </c>
      <c r="D82" s="21" t="s">
        <v>23</v>
      </c>
      <c r="E82" s="21" t="s">
        <v>71</v>
      </c>
      <c r="F82" s="107">
        <f>SUM(G82:Q82)</f>
        <v>0.56869851281508266</v>
      </c>
      <c r="G82" s="71">
        <v>4.7383641604553002E-2</v>
      </c>
      <c r="H82" s="14">
        <v>1.41474345549738E-2</v>
      </c>
      <c r="K82" s="14">
        <v>4.30498153449922E-2</v>
      </c>
      <c r="P82" s="14">
        <v>0.429390280461106</v>
      </c>
      <c r="Q82" s="14">
        <v>3.4727340849457597E-2</v>
      </c>
      <c r="R82" s="138">
        <f>'Parameters, country spec'!F28</f>
        <v>9.5000000000000001E-2</v>
      </c>
      <c r="S82" s="138">
        <f>'Parameters, country spec'!F46</f>
        <v>0.14000000000000001</v>
      </c>
    </row>
    <row r="83" spans="1:20" x14ac:dyDescent="0.3">
      <c r="A83" s="74"/>
      <c r="B83" s="15" t="s">
        <v>375</v>
      </c>
      <c r="C83" s="75" t="s">
        <v>376</v>
      </c>
      <c r="D83" s="21" t="s">
        <v>23</v>
      </c>
      <c r="E83" s="21" t="s">
        <v>71</v>
      </c>
      <c r="F83" s="107">
        <f t="shared" si="8"/>
        <v>0.16566550367192687</v>
      </c>
      <c r="G83" s="72">
        <f>SUMPRODUCT(G73:G81,$R73:$R81)</f>
        <v>4.6339010775023878E-2</v>
      </c>
      <c r="H83" s="72">
        <f t="shared" ref="H83:P83" si="9">SUMPRODUCT(H73:H81,$R73:$R81)</f>
        <v>1.3086820736596541E-2</v>
      </c>
      <c r="I83" s="72">
        <f t="shared" si="9"/>
        <v>0</v>
      </c>
      <c r="J83" s="72">
        <f t="shared" si="9"/>
        <v>0</v>
      </c>
      <c r="K83" s="72">
        <f>SUMPRODUCT(K73:K81,$R73:$R81)</f>
        <v>2.3405953522051503E-2</v>
      </c>
      <c r="L83" s="72">
        <f t="shared" si="9"/>
        <v>0</v>
      </c>
      <c r="M83" s="72">
        <f t="shared" si="9"/>
        <v>4.4775963719989522E-4</v>
      </c>
      <c r="N83" s="72">
        <f t="shared" si="9"/>
        <v>2.1206989385892942E-2</v>
      </c>
      <c r="O83" s="72">
        <f t="shared" si="9"/>
        <v>3.017306423605183E-2</v>
      </c>
      <c r="P83" s="72">
        <f t="shared" si="9"/>
        <v>5.7029053791102929E-3</v>
      </c>
      <c r="Q83" s="72">
        <f>SUMPRODUCT(Q73:Q81,$R73:$R81)</f>
        <v>2.5303000000000003E-2</v>
      </c>
      <c r="R83" s="138">
        <f>'Parameters, country spec'!F29</f>
        <v>7.0000000000000007E-2</v>
      </c>
      <c r="S83" s="138">
        <f>'Parameters, country spec'!F47</f>
        <v>0.03</v>
      </c>
    </row>
    <row r="84" spans="1:20" x14ac:dyDescent="0.3">
      <c r="A84" s="287"/>
      <c r="B84" s="288" t="s">
        <v>377</v>
      </c>
      <c r="C84" s="289"/>
      <c r="D84" s="290"/>
      <c r="E84" s="290"/>
      <c r="F84" s="291">
        <f>SUMPRODUCT(F70:F72,R70:R72)+SUMPRODUCT(F73:F83,R73:R83)/0.87</f>
        <v>0.29365543153525231</v>
      </c>
      <c r="G84" s="291">
        <f>SUMPRODUCT(G70:G72,R70:R72)+SUMPRODUCT(G73:G83,R73:R83)/0.87</f>
        <v>6.5468432673123675E-2</v>
      </c>
      <c r="H84" s="291">
        <f>SUMPRODUCT(H70:H72,R70:R72)+SUMPRODUCT(H73:H83,R73:R83)/0.87</f>
        <v>2.5200120081472197E-2</v>
      </c>
      <c r="I84" s="291">
        <f>SUMPRODUCT(I70:I72,R70:R72)+SUMPRODUCT(I73:I83,R73:R83)/0.87</f>
        <v>0</v>
      </c>
      <c r="J84" s="291">
        <f>SUMPRODUCT(J70:J72,R70:R72)+SUMPRODUCT(J73:J83,R73:R83)/0.87</f>
        <v>0</v>
      </c>
      <c r="K84" s="291">
        <f>SUMPRODUCT(K70:K72,R70:R72)+SUMPRODUCT(K73:K83,R73:R83)/0.87</f>
        <v>3.7355415599695109E-2</v>
      </c>
      <c r="L84" s="291">
        <f>SUMPRODUCT(L70:L72,R70:R72)+SUMPRODUCT(L73:L83,R73:R83)/0.87</f>
        <v>0</v>
      </c>
      <c r="M84" s="291">
        <f>SUMPRODUCT(M70:M72,R70:R72)+SUMPRODUCT(M73:M83,R73:R83)/0.87</f>
        <v>5.5069288713090561E-4</v>
      </c>
      <c r="N84" s="291">
        <f>SUMPRODUCT(N70:N72,R70:R72)+SUMPRODUCT(N73:N83,R73:R83)/0.87</f>
        <v>2.6082159359661437E-2</v>
      </c>
      <c r="O84" s="291">
        <f>SUMPRODUCT(O70:O72,R70:R72)+SUMPRODUCT(O73:O83,R73:R83)/0.87</f>
        <v>3.7109400842040757E-2</v>
      </c>
      <c r="P84" s="291">
        <f>SUMPRODUCT(P70:P72,R70:R72)+SUMPRODUCT(P73:P83,R73:R83)/0.87</f>
        <v>6.6977362528106987E-2</v>
      </c>
      <c r="Q84" s="291">
        <f>SUMPRODUCT(Q70:Q72,R70:R72)+SUMPRODUCT(Q73:Q83,R73:R83)/0.87</f>
        <v>3.4911847564021228E-2</v>
      </c>
      <c r="R84" s="294"/>
      <c r="S84" s="295"/>
    </row>
    <row r="85" spans="1:20" x14ac:dyDescent="0.3">
      <c r="A85" s="137"/>
      <c r="B85" s="23" t="s">
        <v>378</v>
      </c>
      <c r="C85" s="24"/>
      <c r="D85" s="93"/>
      <c r="E85" s="93"/>
      <c r="F85" s="286">
        <f>SUMPRODUCT(F70:F72,S70:S72)+SUMPRODUCT(F73:F83,S73:S83)/0.87</f>
        <v>0.29524881207541831</v>
      </c>
      <c r="G85" s="286">
        <f>SUMPRODUCT(G70:G72,S70:S72)+SUMPRODUCT(G73:G83,S73:S83)/0.87</f>
        <v>6.3438908540178238E-2</v>
      </c>
      <c r="H85" s="286">
        <f>SUMPRODUCT(H70:H72,S70:S72)+SUMPRODUCT(H73:H83,S73:S83)/0.87</f>
        <v>2.5891920388531491E-2</v>
      </c>
      <c r="I85" s="286">
        <f>SUMPRODUCT(I70:I72,S70:S72)+SUMPRODUCT(I73:I83,S73:S83)/0.87</f>
        <v>0</v>
      </c>
      <c r="J85" s="286">
        <f>SUMPRODUCT(J70:J72,S70:S72)+SUMPRODUCT(J73:J83,S73:S83)/0.87</f>
        <v>0</v>
      </c>
      <c r="K85" s="286">
        <f>SUMPRODUCT(K70:K72,S70:S72)+SUMPRODUCT(K73:K83,S73:S83)/0.87</f>
        <v>3.8486008444258347E-2</v>
      </c>
      <c r="L85" s="286">
        <f>SUMPRODUCT(L70:L72,S70:S72)+SUMPRODUCT(L73:L83,S73:S83)/0.87</f>
        <v>0</v>
      </c>
      <c r="M85" s="286">
        <f>SUMPRODUCT(M70:M72,S70:S72)+SUMPRODUCT(M73:M83,S73:S83)/0.87</f>
        <v>5.0682371643474562E-4</v>
      </c>
      <c r="N85" s="286">
        <f>SUMPRODUCT(N70:N72,S70:S72)+SUMPRODUCT(N73:N83,S73:S83)/0.87</f>
        <v>2.4613011587051575E-2</v>
      </c>
      <c r="O85" s="286">
        <f>SUMPRODUCT(O70:O72,S70:S72)+SUMPRODUCT(O73:O83,S73:S83)/0.87</f>
        <v>2.659537482875228E-2</v>
      </c>
      <c r="P85" s="286">
        <f>SUMPRODUCT(P70:P72,S70:S72)+SUMPRODUCT(P73:P83,S73:S83)/0.87</f>
        <v>8.7943295927770199E-2</v>
      </c>
      <c r="Q85" s="286">
        <f>SUMPRODUCT(Q70:Q72,S70:S72)+SUMPRODUCT(Q73:Q83,S73:S83)/0.87</f>
        <v>2.7773468642441457E-2</v>
      </c>
      <c r="R85" s="139"/>
      <c r="S85" s="139"/>
    </row>
    <row r="86" spans="1:20" x14ac:dyDescent="0.3">
      <c r="B86" s="16" t="s">
        <v>152</v>
      </c>
      <c r="C86" s="15" t="s">
        <v>361</v>
      </c>
      <c r="D86" s="21" t="s">
        <v>20</v>
      </c>
      <c r="E86" s="21" t="s">
        <v>72</v>
      </c>
      <c r="F86" s="107">
        <f>SUM(G86:Q86)</f>
        <v>0.14480219901619124</v>
      </c>
      <c r="G86" s="18">
        <f>'Forage crops, CF'!F33</f>
        <v>9.7200179188847394E-2</v>
      </c>
      <c r="H86" s="18">
        <f>'Forage crops, CF'!G33</f>
        <v>2.7E-2</v>
      </c>
      <c r="I86" s="18">
        <f>'Forage crops, CF'!H33</f>
        <v>0</v>
      </c>
      <c r="J86" s="18">
        <f>'Forage crops, CF'!I33</f>
        <v>0</v>
      </c>
      <c r="K86" s="18">
        <f>'Forage crops, CF'!J33</f>
        <v>2.0602019827343845E-2</v>
      </c>
      <c r="L86" s="18">
        <f>'Forage crops, CF'!K33</f>
        <v>0</v>
      </c>
      <c r="M86" s="18">
        <f>'Forage crops, CF'!L33</f>
        <v>0</v>
      </c>
      <c r="N86" s="18">
        <f>'Forage crops, CF'!M33</f>
        <v>0</v>
      </c>
      <c r="O86" s="18">
        <f>'Forage crops, CF'!N33</f>
        <v>0</v>
      </c>
      <c r="P86" s="18">
        <f>'Forage crops, CF'!O33</f>
        <v>0</v>
      </c>
      <c r="Q86" s="18">
        <f>'Forage crops, CF'!P33</f>
        <v>0</v>
      </c>
      <c r="R86" s="138">
        <f>'Parameters, country spec'!G16</f>
        <v>0</v>
      </c>
      <c r="S86" s="138">
        <f>'Parameters, country spec'!G34</f>
        <v>0</v>
      </c>
      <c r="T86" s="18"/>
    </row>
    <row r="87" spans="1:20" x14ac:dyDescent="0.3">
      <c r="B87" s="16" t="s">
        <v>154</v>
      </c>
      <c r="C87" s="15" t="s">
        <v>361</v>
      </c>
      <c r="D87" s="21" t="s">
        <v>20</v>
      </c>
      <c r="E87" s="21" t="s">
        <v>72</v>
      </c>
      <c r="F87" s="107">
        <f>SUM(G87:Q87)</f>
        <v>9.2411249318327782E-2</v>
      </c>
      <c r="G87" s="18">
        <f>'Forage crops, CF'!F83</f>
        <v>1.1809033777784657E-3</v>
      </c>
      <c r="H87" s="18">
        <f>'Forage crops, CF'!G83</f>
        <v>2.7E-2</v>
      </c>
      <c r="I87" s="18">
        <f>'Forage crops, CF'!H83</f>
        <v>0</v>
      </c>
      <c r="J87" s="18">
        <f>'Forage crops, CF'!I83</f>
        <v>0</v>
      </c>
      <c r="K87" s="18">
        <f>'Forage crops, CF'!J83</f>
        <v>1.2901809267049416E-2</v>
      </c>
      <c r="L87" s="18">
        <f>'Forage crops, CF'!K83</f>
        <v>0</v>
      </c>
      <c r="M87" s="18">
        <f>'Forage crops, CF'!L83</f>
        <v>4.6285366734998955E-3</v>
      </c>
      <c r="N87" s="18">
        <f>'Forage crops, CF'!M83</f>
        <v>0</v>
      </c>
      <c r="O87" s="18">
        <f>'Forage crops, CF'!N83</f>
        <v>0</v>
      </c>
      <c r="P87" s="18">
        <f>'Forage crops, CF'!O83</f>
        <v>4.6700000000000005E-2</v>
      </c>
      <c r="Q87" s="18">
        <f>'Forage crops, CF'!P83</f>
        <v>0</v>
      </c>
      <c r="R87" s="138">
        <f>'Parameters, country spec'!G17</f>
        <v>0</v>
      </c>
      <c r="S87" s="138">
        <f>'Parameters, country spec'!G35</f>
        <v>0</v>
      </c>
      <c r="T87" s="18"/>
    </row>
    <row r="88" spans="1:20" x14ac:dyDescent="0.3">
      <c r="B88" s="16" t="s">
        <v>362</v>
      </c>
      <c r="C88" s="15" t="s">
        <v>361</v>
      </c>
      <c r="D88" s="21" t="s">
        <v>20</v>
      </c>
      <c r="E88" s="21" t="s">
        <v>72</v>
      </c>
      <c r="F88" s="107">
        <f>SUM(G88:Q88)</f>
        <v>0.17774269453256958</v>
      </c>
      <c r="G88" s="18">
        <f>'Forage crops, CF'!F133*'Forage, input data per ha'!$E$73+'Forage crops, CF'!F183*'Forage, input data per ha'!$G$73</f>
        <v>8.4018371465200886E-2</v>
      </c>
      <c r="H88" s="18">
        <f>'Forage crops, CF'!G133*'Forage, input data per ha'!$E$73+'Forage crops, CF'!G183*'Forage, input data per ha'!$G$73</f>
        <v>2.7E-2</v>
      </c>
      <c r="I88" s="18">
        <f>'Forage crops, CF'!H133*'Forage, input data per ha'!$E$73+'Forage crops, CF'!H183*'Forage, input data per ha'!$G$73</f>
        <v>0</v>
      </c>
      <c r="J88" s="18">
        <f>'Forage crops, CF'!I133*'Forage, input data per ha'!$E$73+'Forage crops, CF'!I183*'Forage, input data per ha'!$G$73</f>
        <v>0</v>
      </c>
      <c r="K88" s="18">
        <f>'Forage crops, CF'!J133*'Forage, input data per ha'!$E$73+'Forage crops, CF'!J183*'Forage, input data per ha'!$G$73</f>
        <v>2.0024323067368698E-2</v>
      </c>
      <c r="L88" s="18">
        <f>'Forage crops, CF'!K133*'Forage, input data per ha'!$E$73+'Forage crops, CF'!K183*'Forage, input data per ha'!$G$73</f>
        <v>0</v>
      </c>
      <c r="M88" s="18">
        <f>'Forage crops, CF'!L133*'Forage, input data per ha'!$E$73+'Forage crops, CF'!L183*'Forage, input data per ha'!$G$73</f>
        <v>0</v>
      </c>
      <c r="N88" s="18">
        <f>'Forage crops, CF'!M133*'Forage, input data per ha'!$E$73+'Forage crops, CF'!M183*'Forage, input data per ha'!$G$73</f>
        <v>0</v>
      </c>
      <c r="O88" s="18">
        <f>'Forage crops, CF'!N133*'Forage, input data per ha'!$E$73+'Forage crops, CF'!N183*'Forage, input data per ha'!$G$73</f>
        <v>0</v>
      </c>
      <c r="P88" s="18">
        <f>'Forage crops, CF'!O133*'Forage, input data per ha'!$E$73+'Forage crops, CF'!O183*'Forage, input data per ha'!$G$73</f>
        <v>4.6699999999999998E-2</v>
      </c>
      <c r="Q88" s="18">
        <f>'Forage crops, CF'!P133*'Forage, input data per ha'!$E$73+'Forage crops, CF'!P183*'Forage, input data per ha'!$G$73</f>
        <v>0</v>
      </c>
      <c r="R88" s="138">
        <f>'Parameters, country spec'!G18</f>
        <v>0.28000000000000003</v>
      </c>
      <c r="S88" s="138">
        <f>'Parameters, country spec'!G36</f>
        <v>0.3</v>
      </c>
      <c r="T88" s="18"/>
    </row>
    <row r="89" spans="1:20" x14ac:dyDescent="0.3">
      <c r="A89" s="20" t="s">
        <v>363</v>
      </c>
      <c r="B89" s="15" t="s">
        <v>159</v>
      </c>
      <c r="C89" s="15" t="s">
        <v>364</v>
      </c>
      <c r="D89" s="21" t="s">
        <v>20</v>
      </c>
      <c r="E89" s="21" t="s">
        <v>72</v>
      </c>
      <c r="F89" s="107">
        <f>SUM(G89:Q89)</f>
        <v>0.17699999999999999</v>
      </c>
      <c r="G89" s="71">
        <v>7.9000000000000001E-2</v>
      </c>
      <c r="H89" s="12">
        <v>2.7E-2</v>
      </c>
      <c r="I89" s="14">
        <v>0</v>
      </c>
      <c r="J89" s="12"/>
      <c r="K89" s="71">
        <v>2.7E-2</v>
      </c>
      <c r="L89" s="12"/>
      <c r="M89" s="12">
        <v>1E-3</v>
      </c>
      <c r="N89" s="71">
        <v>4.2999999999999997E-2</v>
      </c>
      <c r="O89" s="12"/>
      <c r="P89" s="12"/>
      <c r="R89" s="138">
        <f>'Parameters, country spec'!G19</f>
        <v>0.16</v>
      </c>
      <c r="S89" s="138">
        <f>'Parameters, country spec'!G37</f>
        <v>0.2</v>
      </c>
    </row>
    <row r="90" spans="1:20" x14ac:dyDescent="0.3">
      <c r="A90" s="20" t="s">
        <v>365</v>
      </c>
      <c r="B90" s="15" t="s">
        <v>161</v>
      </c>
      <c r="C90" s="15" t="s">
        <v>364</v>
      </c>
      <c r="D90" s="21" t="s">
        <v>20</v>
      </c>
      <c r="E90" s="21" t="s">
        <v>72</v>
      </c>
      <c r="F90" s="107">
        <f t="shared" ref="F90:F99" si="10">SUM(G90:Q90)</f>
        <v>0.17199999999999999</v>
      </c>
      <c r="G90" s="71">
        <v>7.6999999999999999E-2</v>
      </c>
      <c r="H90" s="12">
        <v>2.7E-2</v>
      </c>
      <c r="I90" s="14">
        <v>0</v>
      </c>
      <c r="J90" s="12"/>
      <c r="K90" s="71">
        <v>0.02</v>
      </c>
      <c r="L90" s="12"/>
      <c r="M90" s="12">
        <v>5.0000000000000001E-3</v>
      </c>
      <c r="N90" s="71">
        <v>4.2999999999999997E-2</v>
      </c>
      <c r="O90" s="12"/>
      <c r="P90" s="12"/>
      <c r="R90" s="138">
        <f>'Parameters, country spec'!G20</f>
        <v>3.1075970320211814E-4</v>
      </c>
      <c r="S90" s="138">
        <f>'Parameters, country spec'!G38</f>
        <v>3.1075970320211814E-4</v>
      </c>
    </row>
    <row r="91" spans="1:20" x14ac:dyDescent="0.3">
      <c r="A91" s="20" t="s">
        <v>366</v>
      </c>
      <c r="B91" s="15" t="s">
        <v>163</v>
      </c>
      <c r="C91" s="15" t="s">
        <v>364</v>
      </c>
      <c r="D91" s="21" t="s">
        <v>20</v>
      </c>
      <c r="E91" s="21" t="s">
        <v>72</v>
      </c>
      <c r="F91" s="107">
        <f t="shared" si="10"/>
        <v>0.17899999999999999</v>
      </c>
      <c r="G91" s="71">
        <v>7.0000000000000007E-2</v>
      </c>
      <c r="H91" s="12">
        <v>2.7E-2</v>
      </c>
      <c r="I91" s="14">
        <v>0</v>
      </c>
      <c r="J91" s="12"/>
      <c r="K91" s="71">
        <v>3.5999999999999997E-2</v>
      </c>
      <c r="L91" s="12"/>
      <c r="M91" s="12">
        <v>3.0000000000000001E-3</v>
      </c>
      <c r="N91" s="71">
        <v>4.2999999999999997E-2</v>
      </c>
      <c r="O91" s="12"/>
      <c r="P91" s="12"/>
      <c r="R91" s="138">
        <f>'Parameters, country spec'!G21</f>
        <v>8.6733359151412953E-5</v>
      </c>
      <c r="S91" s="138">
        <f>'Parameters, country spec'!G39</f>
        <v>8.6733359151412953E-5</v>
      </c>
    </row>
    <row r="92" spans="1:20" x14ac:dyDescent="0.3">
      <c r="A92" s="20" t="s">
        <v>367</v>
      </c>
      <c r="B92" s="15" t="s">
        <v>165</v>
      </c>
      <c r="C92" s="15" t="s">
        <v>364</v>
      </c>
      <c r="D92" s="21" t="s">
        <v>20</v>
      </c>
      <c r="E92" s="21" t="s">
        <v>72</v>
      </c>
      <c r="F92" s="107">
        <f t="shared" si="10"/>
        <v>0.184</v>
      </c>
      <c r="G92" s="71">
        <v>6.2E-2</v>
      </c>
      <c r="H92" s="12">
        <v>2.7E-2</v>
      </c>
      <c r="I92" s="12">
        <v>0</v>
      </c>
      <c r="J92" s="12"/>
      <c r="K92" s="71">
        <v>5.1999999999999998E-2</v>
      </c>
      <c r="L92" s="12"/>
      <c r="M92" s="12">
        <v>0</v>
      </c>
      <c r="N92" s="71">
        <v>4.2999999999999997E-2</v>
      </c>
      <c r="O92" s="12"/>
      <c r="P92" s="12"/>
      <c r="R92" s="138">
        <f>'Parameters, country spec'!G22</f>
        <v>6.2924072151971947E-5</v>
      </c>
      <c r="S92" s="138">
        <f>'Parameters, country spec'!G40</f>
        <v>6.2924072151971947E-5</v>
      </c>
    </row>
    <row r="93" spans="1:20" x14ac:dyDescent="0.3">
      <c r="A93" s="20" t="s">
        <v>368</v>
      </c>
      <c r="B93" s="15" t="s">
        <v>167</v>
      </c>
      <c r="C93" s="15" t="s">
        <v>364</v>
      </c>
      <c r="D93" s="21" t="s">
        <v>20</v>
      </c>
      <c r="E93" s="21" t="s">
        <v>72</v>
      </c>
      <c r="F93" s="107">
        <f t="shared" si="10"/>
        <v>0.184</v>
      </c>
      <c r="G93" s="71">
        <v>9.0999999999999998E-2</v>
      </c>
      <c r="H93" s="12">
        <v>2.7E-2</v>
      </c>
      <c r="I93" s="12">
        <v>0</v>
      </c>
      <c r="J93" s="12"/>
      <c r="K93" s="71">
        <v>2.1999999999999999E-2</v>
      </c>
      <c r="L93" s="12"/>
      <c r="M93" s="12">
        <v>1E-3</v>
      </c>
      <c r="N93" s="71">
        <v>4.2999999999999997E-2</v>
      </c>
      <c r="O93" s="12"/>
      <c r="P93" s="12"/>
      <c r="R93" s="138">
        <f>'Parameters, country spec'!G23</f>
        <v>0.20500000000000002</v>
      </c>
      <c r="S93" s="138">
        <f>'Parameters, country spec'!G41</f>
        <v>0.2</v>
      </c>
    </row>
    <row r="94" spans="1:20" x14ac:dyDescent="0.3">
      <c r="A94" s="20" t="s">
        <v>369</v>
      </c>
      <c r="B94" s="15" t="s">
        <v>168</v>
      </c>
      <c r="C94" s="15" t="s">
        <v>370</v>
      </c>
      <c r="D94" s="21" t="s">
        <v>20</v>
      </c>
      <c r="E94" s="21" t="s">
        <v>72</v>
      </c>
      <c r="F94" s="107">
        <f t="shared" si="10"/>
        <v>0.105</v>
      </c>
      <c r="G94" s="71">
        <v>0</v>
      </c>
      <c r="H94" s="12">
        <v>2.7E-2</v>
      </c>
      <c r="I94" s="14">
        <v>0</v>
      </c>
      <c r="J94" s="12"/>
      <c r="K94" s="71">
        <v>3.4000000000000002E-2</v>
      </c>
      <c r="L94" s="14"/>
      <c r="M94" s="12">
        <v>1E-3</v>
      </c>
      <c r="N94" s="71">
        <v>4.2999999999999997E-2</v>
      </c>
      <c r="O94" s="12"/>
      <c r="P94" s="12"/>
      <c r="R94" s="138">
        <f>'Parameters, country spec'!G24</f>
        <v>2.439015630520557E-4</v>
      </c>
      <c r="S94" s="138">
        <f>'Parameters, country spec'!G42</f>
        <v>2.439015630520557E-4</v>
      </c>
    </row>
    <row r="95" spans="1:20" x14ac:dyDescent="0.3">
      <c r="A95" s="20" t="s">
        <v>371</v>
      </c>
      <c r="B95" s="15" t="s">
        <v>170</v>
      </c>
      <c r="C95" s="15" t="s">
        <v>370</v>
      </c>
      <c r="D95" s="21" t="s">
        <v>20</v>
      </c>
      <c r="E95" s="21" t="s">
        <v>72</v>
      </c>
      <c r="F95" s="107">
        <f t="shared" si="10"/>
        <v>0.109</v>
      </c>
      <c r="G95" s="71">
        <v>4.0000000000000001E-3</v>
      </c>
      <c r="H95" s="12">
        <v>2.7E-2</v>
      </c>
      <c r="I95" s="14">
        <v>0</v>
      </c>
      <c r="J95" s="12"/>
      <c r="K95" s="71">
        <v>3.4000000000000002E-2</v>
      </c>
      <c r="L95" s="12"/>
      <c r="M95" s="12">
        <v>1E-3</v>
      </c>
      <c r="N95" s="71">
        <v>4.2999999999999997E-2</v>
      </c>
      <c r="O95" s="12"/>
      <c r="P95" s="12"/>
      <c r="R95" s="138">
        <f>'Parameters, country spec'!G25</f>
        <v>2.3959170998341588E-4</v>
      </c>
      <c r="S95" s="138">
        <f>'Parameters, country spec'!G43</f>
        <v>2.3959170998341588E-4</v>
      </c>
    </row>
    <row r="96" spans="1:20" x14ac:dyDescent="0.3">
      <c r="B96" s="16" t="s">
        <v>171</v>
      </c>
      <c r="C96" s="15" t="s">
        <v>372</v>
      </c>
      <c r="D96" s="21" t="s">
        <v>20</v>
      </c>
      <c r="E96" s="21" t="s">
        <v>72</v>
      </c>
      <c r="F96" s="107">
        <f t="shared" si="10"/>
        <v>0.27628755742228495</v>
      </c>
      <c r="G96" s="18">
        <f>'Off-farm feed'!$F$74</f>
        <v>0.15910156565543246</v>
      </c>
      <c r="H96" s="18">
        <f>'Off-farm feed'!$G$74</f>
        <v>1.3034482758620692E-2</v>
      </c>
      <c r="I96" s="18">
        <f>'Off-farm feed'!$H$74</f>
        <v>0</v>
      </c>
      <c r="J96" s="18"/>
      <c r="K96" s="18">
        <f>'Off-farm feed'!$J$74</f>
        <v>2.4688740026345454E-2</v>
      </c>
      <c r="L96" s="18"/>
      <c r="M96" s="258">
        <f>'Off-farm feed'!$L$74</f>
        <v>1.931759303794134E-4</v>
      </c>
      <c r="N96" s="18">
        <f>'Off-farm feed'!$M$74</f>
        <v>3.6802128767029069E-2</v>
      </c>
      <c r="O96" s="18">
        <f>'Off-farm feed'!$N$74</f>
        <v>0</v>
      </c>
      <c r="P96" s="18">
        <f>'Off-farm feed'!$O$74</f>
        <v>2.6267464284477883E-2</v>
      </c>
      <c r="Q96" s="18">
        <f>'Off-farm feed'!$P$74</f>
        <v>1.6199999999999999E-2</v>
      </c>
      <c r="R96" s="138">
        <f>'Parameters, country spec'!G26</f>
        <v>0.09</v>
      </c>
      <c r="S96" s="138">
        <f>'Parameters, country spec'!G44</f>
        <v>0.06</v>
      </c>
    </row>
    <row r="97" spans="1:20" x14ac:dyDescent="0.3">
      <c r="B97" s="16" t="s">
        <v>373</v>
      </c>
      <c r="C97" s="15" t="s">
        <v>372</v>
      </c>
      <c r="D97" s="21" t="s">
        <v>20</v>
      </c>
      <c r="E97" s="21" t="s">
        <v>72</v>
      </c>
      <c r="F97" s="107">
        <f t="shared" si="10"/>
        <v>0.7061171705997602</v>
      </c>
      <c r="G97" s="18">
        <f>'Off-farm feed'!$F$23</f>
        <v>7.2632670993098931E-3</v>
      </c>
      <c r="H97" s="18">
        <f>'Off-farm feed'!$G$23</f>
        <v>2.1402439024390246E-2</v>
      </c>
      <c r="I97" s="18">
        <f>'Off-farm feed'!$H$23</f>
        <v>0</v>
      </c>
      <c r="J97" s="18"/>
      <c r="K97" s="18">
        <f>'Off-farm feed'!$J$23</f>
        <v>4.308361966433235E-2</v>
      </c>
      <c r="L97" s="18"/>
      <c r="M97" s="258">
        <f>'Off-farm feed'!$L$23</f>
        <v>1.7842060425123844E-4</v>
      </c>
      <c r="N97" s="18">
        <f>'Off-farm feed'!$M$23</f>
        <v>3.0432604948959403E-2</v>
      </c>
      <c r="O97" s="18">
        <f>'Off-farm feed'!$N$23</f>
        <v>0.31761120248475611</v>
      </c>
      <c r="P97" s="18">
        <f>'Off-farm feed'!$O$23</f>
        <v>3.5145616773760872E-2</v>
      </c>
      <c r="Q97" s="18">
        <f>'Off-farm feed'!$P$23</f>
        <v>0.251</v>
      </c>
      <c r="R97" s="138">
        <f>'Parameters, country spec'!G27</f>
        <v>9.5000000000000001E-2</v>
      </c>
      <c r="S97" s="138">
        <f>'Parameters, country spec'!G45</f>
        <v>7.0000000000000007E-2</v>
      </c>
    </row>
    <row r="98" spans="1:20" x14ac:dyDescent="0.3">
      <c r="B98" s="15" t="s">
        <v>173</v>
      </c>
      <c r="C98" s="15" t="s">
        <v>374</v>
      </c>
      <c r="D98" s="21" t="s">
        <v>20</v>
      </c>
      <c r="E98" s="21" t="s">
        <v>72</v>
      </c>
      <c r="F98" s="107">
        <f>SUM(G98:Q98)</f>
        <v>0.63069821539340787</v>
      </c>
      <c r="G98" s="71">
        <v>4.5323617744314898E-2</v>
      </c>
      <c r="H98" s="14">
        <v>1.3510799999999899E-2</v>
      </c>
      <c r="I98" s="14"/>
      <c r="J98" s="12"/>
      <c r="K98" s="71">
        <v>3.4582976842042798E-2</v>
      </c>
      <c r="L98" s="12"/>
      <c r="M98" s="12"/>
      <c r="N98" s="71"/>
      <c r="O98" s="12"/>
      <c r="P98" s="14">
        <v>0.52550926010708199</v>
      </c>
      <c r="Q98" s="14">
        <v>1.1771560699968301E-2</v>
      </c>
      <c r="R98" s="138">
        <f>'Parameters, country spec'!G28</f>
        <v>9.5000000000000001E-2</v>
      </c>
      <c r="S98" s="138">
        <f>'Parameters, country spec'!G46</f>
        <v>0.14000000000000001</v>
      </c>
      <c r="T98" t="s">
        <v>379</v>
      </c>
    </row>
    <row r="99" spans="1:20" x14ac:dyDescent="0.3">
      <c r="A99" s="74"/>
      <c r="B99" s="15" t="s">
        <v>375</v>
      </c>
      <c r="C99" s="75" t="s">
        <v>376</v>
      </c>
      <c r="D99" s="21" t="s">
        <v>20</v>
      </c>
      <c r="E99" s="21" t="s">
        <v>72</v>
      </c>
      <c r="F99" s="107">
        <f t="shared" si="10"/>
        <v>0.15811929050500631</v>
      </c>
      <c r="G99" s="72">
        <f>SUMPRODUCT(G89:G97,$R89:$R97)</f>
        <v>4.6339010775023878E-2</v>
      </c>
      <c r="H99" s="72">
        <f t="shared" ref="H99:P99" si="11">SUMPRODUCT(H89:H97,$R89:$R97)</f>
        <v>1.3086820736596541E-2</v>
      </c>
      <c r="I99" s="72">
        <f t="shared" si="11"/>
        <v>0</v>
      </c>
      <c r="J99" s="72">
        <f t="shared" si="11"/>
        <v>0</v>
      </c>
      <c r="K99" s="72">
        <f>SUMPRODUCT(K89:K97,$R89:$R97)</f>
        <v>1.5173978888511266E-2</v>
      </c>
      <c r="L99" s="72">
        <f t="shared" si="11"/>
        <v>0</v>
      </c>
      <c r="M99" s="72">
        <f t="shared" si="11"/>
        <v>4.0163328300451526E-4</v>
      </c>
      <c r="N99" s="72">
        <f t="shared" si="11"/>
        <v>2.1938877206708021E-2</v>
      </c>
      <c r="O99" s="72">
        <f t="shared" si="11"/>
        <v>3.017306423605183E-2</v>
      </c>
      <c r="P99" s="72">
        <f t="shared" si="11"/>
        <v>5.7029053791102929E-3</v>
      </c>
      <c r="Q99" s="72">
        <f>SUMPRODUCT(Q89:Q97,$R89:$R97)</f>
        <v>2.5303000000000003E-2</v>
      </c>
      <c r="R99" s="138">
        <f>'Parameters, country spec'!G29</f>
        <v>7.0000000000000007E-2</v>
      </c>
      <c r="S99" s="138">
        <f>'Parameters, country spec'!G47</f>
        <v>0.03</v>
      </c>
    </row>
    <row r="100" spans="1:20" x14ac:dyDescent="0.3">
      <c r="A100" s="287"/>
      <c r="B100" s="288" t="s">
        <v>377</v>
      </c>
      <c r="C100" s="289"/>
      <c r="D100" s="290"/>
      <c r="E100" s="290"/>
      <c r="F100" s="291">
        <f>SUMPRODUCT(F86:F88,R86:R88)+SUMPRODUCT(F89:F99,R89:R99)/0.87</f>
        <v>0.31310585251823503</v>
      </c>
      <c r="G100" s="291">
        <f>SUMPRODUCT(G86:G88,R86:R88)+SUMPRODUCT(G89:G99,R89:R99)/0.87</f>
        <v>8.5465931613687818E-2</v>
      </c>
      <c r="H100" s="291">
        <f>SUMPRODUCT(H86:H88,R86:R88)+SUMPRODUCT(H89:H99,R89:R99)/0.87</f>
        <v>2.5130602515124473E-2</v>
      </c>
      <c r="I100" s="291">
        <f>SUMPRODUCT(I86:I88,R86:R88)+SUMPRODUCT(I89:I99,R89:R99)/0.87</f>
        <v>0</v>
      </c>
      <c r="J100" s="291">
        <f>SUMPRODUCT(J86:J88,R86:R88)+SUMPRODUCT(J89:J99,R89:R99)/0.87</f>
        <v>0</v>
      </c>
      <c r="K100" s="291">
        <f>SUMPRODUCT(K86:K88,R86:R88)+SUMPRODUCT(K89:K99,R89:R99)/0.87</f>
        <v>2.8045362425186363E-2</v>
      </c>
      <c r="L100" s="291">
        <f>SUMPRODUCT(L86:L88,R86:R88)+SUMPRODUCT(L89:L99,R89:R99)/0.87</f>
        <v>0</v>
      </c>
      <c r="M100" s="291">
        <f>SUMPRODUCT(M86:M88,R86:R88)+SUMPRODUCT(M89:M99,R89:R99)/0.87</f>
        <v>4.9396277335038083E-4</v>
      </c>
      <c r="N100" s="291">
        <f>SUMPRODUCT(N86:N88,R86:R88)+SUMPRODUCT(N89:N99,R89:R99)/0.87</f>
        <v>2.6982297254227107E-2</v>
      </c>
      <c r="O100" s="291">
        <f>SUMPRODUCT(O86:O88,R86:R88)+SUMPRODUCT(O89:O99,R89:R99)/0.87</f>
        <v>3.7109400842040757E-2</v>
      </c>
      <c r="P100" s="291">
        <f>SUMPRODUCT(P86:P88,R86:R88)+SUMPRODUCT(P89:P99,R89:R99)/0.87</f>
        <v>7.747311317910438E-2</v>
      </c>
      <c r="Q100" s="291">
        <f>SUMPRODUCT(Q86:Q88,R86:R88)+SUMPRODUCT(Q89:Q99,R89:R99)/0.87</f>
        <v>3.2405181915513781E-2</v>
      </c>
      <c r="R100" s="294"/>
      <c r="S100" s="295"/>
    </row>
    <row r="101" spans="1:20" x14ac:dyDescent="0.3">
      <c r="A101" s="137"/>
      <c r="B101" s="23" t="s">
        <v>378</v>
      </c>
      <c r="C101" s="24"/>
      <c r="D101" s="93"/>
      <c r="E101" s="93"/>
      <c r="F101" s="286">
        <f>SUMPRODUCT(F86:F88,S86:S88)+SUMPRODUCT(F89:F99,S89:S99)/0.87</f>
        <v>0.31927575478226639</v>
      </c>
      <c r="G101" s="286">
        <f>SUMPRODUCT(G86:G88,S86:S88)+SUMPRODUCT(G89:G99,S89:S99)/0.87</f>
        <v>8.477431481350621E-2</v>
      </c>
      <c r="H101" s="286">
        <f>SUMPRODUCT(H86:H88,S86:S88)+SUMPRODUCT(H89:H99,S89:S99)/0.87</f>
        <v>2.5789473448650631E-2</v>
      </c>
      <c r="I101" s="286">
        <f>SUMPRODUCT(I86:I88,S86:S88)+SUMPRODUCT(I89:I99,S89:S99)/0.87</f>
        <v>0</v>
      </c>
      <c r="J101" s="286">
        <f>SUMPRODUCT(J86:J88,S86:S88)+SUMPRODUCT(J89:J99,S89:S99)/0.87</f>
        <v>0</v>
      </c>
      <c r="K101" s="286">
        <f>SUMPRODUCT(K86:K88,S86:S88)+SUMPRODUCT(K89:K99,S89:S99)/0.87</f>
        <v>2.8562540966939255E-2</v>
      </c>
      <c r="L101" s="286">
        <f>SUMPRODUCT(L86:L88,S86:S88)+SUMPRODUCT(L89:L99,S89:S99)/0.87</f>
        <v>0</v>
      </c>
      <c r="M101" s="286">
        <f>SUMPRODUCT(M86:M88,S86:S88)+SUMPRODUCT(M89:M99,S89:S99)/0.87</f>
        <v>5.0393849250228429E-4</v>
      </c>
      <c r="N101" s="286">
        <f>SUMPRODUCT(N86:N88,S86:S88)+SUMPRODUCT(N89:N99,S89:S99)/0.87</f>
        <v>2.5559959236982073E-2</v>
      </c>
      <c r="O101" s="286">
        <f>SUMPRODUCT(O86:O88,S86:S88)+SUMPRODUCT(O89:O99,S89:S99)/0.87</f>
        <v>2.659537482875228E-2</v>
      </c>
      <c r="P101" s="286">
        <f>SUMPRODUCT(P86:P88,S86:S88)+SUMPRODUCT(P89:P99,S89:S99)/0.87</f>
        <v>0.10341071793976633</v>
      </c>
      <c r="Q101" s="286">
        <f>SUMPRODUCT(Q86:Q88,S86:S88)+SUMPRODUCT(Q89:Q99,S89:S99)/0.87</f>
        <v>2.4079435055167318E-2</v>
      </c>
      <c r="R101" s="139"/>
      <c r="S101" s="139"/>
    </row>
    <row r="102" spans="1:20" x14ac:dyDescent="0.3">
      <c r="B102" s="16" t="s">
        <v>152</v>
      </c>
      <c r="C102" s="15" t="s">
        <v>361</v>
      </c>
      <c r="D102" s="21" t="s">
        <v>22</v>
      </c>
      <c r="E102" s="21" t="s">
        <v>73</v>
      </c>
      <c r="F102" s="107">
        <f>SUM(G102:Q102)</f>
        <v>6.3973911802340508E-2</v>
      </c>
      <c r="G102" s="18">
        <f>'Forage crops, CF'!F38</f>
        <v>2.1751094263240234E-2</v>
      </c>
      <c r="H102" s="18">
        <f>'Forage crops, CF'!G38</f>
        <v>2.7E-2</v>
      </c>
      <c r="I102" s="18">
        <f>'Forage crops, CF'!H38</f>
        <v>0</v>
      </c>
      <c r="J102" s="18">
        <f>'Forage crops, CF'!I38</f>
        <v>0</v>
      </c>
      <c r="K102" s="18">
        <f>'Forage crops, CF'!J38</f>
        <v>1.5222817539100278E-2</v>
      </c>
      <c r="L102" s="18">
        <f>'Forage crops, CF'!K38</f>
        <v>0</v>
      </c>
      <c r="M102" s="18">
        <f>'Forage crops, CF'!L38</f>
        <v>0</v>
      </c>
      <c r="N102" s="18">
        <f>'Forage crops, CF'!M38</f>
        <v>0</v>
      </c>
      <c r="O102" s="18">
        <f>'Forage crops, CF'!N38</f>
        <v>0</v>
      </c>
      <c r="P102" s="18">
        <f>'Forage crops, CF'!O38</f>
        <v>0</v>
      </c>
      <c r="Q102" s="18">
        <f>'Forage crops, CF'!P38</f>
        <v>0</v>
      </c>
      <c r="R102" s="138">
        <f>'Parameters, country spec'!H16</f>
        <v>0</v>
      </c>
      <c r="S102" s="138">
        <f>'Parameters, country spec'!H34</f>
        <v>0</v>
      </c>
      <c r="T102" s="18"/>
    </row>
    <row r="103" spans="1:20" x14ac:dyDescent="0.3">
      <c r="B103" s="16" t="s">
        <v>154</v>
      </c>
      <c r="C103" s="15" t="s">
        <v>361</v>
      </c>
      <c r="D103" s="21" t="s">
        <v>22</v>
      </c>
      <c r="E103" s="21" t="s">
        <v>73</v>
      </c>
      <c r="F103" s="107">
        <f>SUM(G103:Q103)</f>
        <v>0.11795053351245409</v>
      </c>
      <c r="G103" s="18">
        <f>'Forage crops, CF'!F88</f>
        <v>3.0058016193008835E-2</v>
      </c>
      <c r="H103" s="18">
        <f>'Forage crops, CF'!G88</f>
        <v>2.7E-2</v>
      </c>
      <c r="I103" s="18">
        <f>'Forage crops, CF'!H88</f>
        <v>0</v>
      </c>
      <c r="J103" s="18">
        <f>'Forage crops, CF'!I88</f>
        <v>0</v>
      </c>
      <c r="K103" s="18">
        <f>'Forage crops, CF'!J88</f>
        <v>1.329217950106977E-2</v>
      </c>
      <c r="L103" s="18">
        <f>'Forage crops, CF'!K88</f>
        <v>0</v>
      </c>
      <c r="M103" s="18">
        <f>'Forage crops, CF'!L88</f>
        <v>9.003378183754802E-4</v>
      </c>
      <c r="N103" s="18">
        <f>'Forage crops, CF'!M88</f>
        <v>0</v>
      </c>
      <c r="O103" s="18">
        <f>'Forage crops, CF'!N88</f>
        <v>0</v>
      </c>
      <c r="P103" s="18">
        <f>'Forage crops, CF'!O88</f>
        <v>4.6700000000000005E-2</v>
      </c>
      <c r="Q103" s="18">
        <f>'Forage crops, CF'!P88</f>
        <v>0</v>
      </c>
      <c r="R103" s="138">
        <f>'Parameters, country spec'!H17</f>
        <v>0</v>
      </c>
      <c r="S103" s="138">
        <f>'Parameters, country spec'!H35</f>
        <v>0</v>
      </c>
      <c r="T103" s="18"/>
    </row>
    <row r="104" spans="1:20" x14ac:dyDescent="0.3">
      <c r="B104" s="16" t="s">
        <v>362</v>
      </c>
      <c r="C104" s="15" t="s">
        <v>361</v>
      </c>
      <c r="D104" s="21" t="s">
        <v>22</v>
      </c>
      <c r="E104" s="21" t="s">
        <v>73</v>
      </c>
      <c r="F104" s="107">
        <f>SUM(G104:Q104)</f>
        <v>0.10595254176532203</v>
      </c>
      <c r="G104" s="18">
        <f>'Forage crops, CF'!F138*'Forage, input data per ha'!$E$74+'Forage crops, CF'!F188*'Forage, input data per ha'!$G$74</f>
        <v>1.7135505480033748E-2</v>
      </c>
      <c r="H104" s="18">
        <f>'Forage crops, CF'!G138*'Forage, input data per ha'!$E$74+'Forage crops, CF'!G188*'Forage, input data per ha'!$G$74</f>
        <v>2.7E-2</v>
      </c>
      <c r="I104" s="18">
        <f>'Forage crops, CF'!H138*'Forage, input data per ha'!$E$74+'Forage crops, CF'!H188*'Forage, input data per ha'!$G$74</f>
        <v>0</v>
      </c>
      <c r="J104" s="18">
        <f>'Forage crops, CF'!I138*'Forage, input data per ha'!$E$74+'Forage crops, CF'!I188*'Forage, input data per ha'!$G$74</f>
        <v>0</v>
      </c>
      <c r="K104" s="18">
        <f>'Forage crops, CF'!J138*'Forage, input data per ha'!$E$74+'Forage crops, CF'!J188*'Forage, input data per ha'!$G$74</f>
        <v>1.5117036285288273E-2</v>
      </c>
      <c r="L104" s="18">
        <f>'Forage crops, CF'!K138*'Forage, input data per ha'!$E$74+'Forage crops, CF'!K188*'Forage, input data per ha'!$G$74</f>
        <v>0</v>
      </c>
      <c r="M104" s="18">
        <f>'Forage crops, CF'!L138*'Forage, input data per ha'!$E$74+'Forage crops, CF'!L188*'Forage, input data per ha'!$G$74</f>
        <v>0</v>
      </c>
      <c r="N104" s="18">
        <f>'Forage crops, CF'!M138*'Forage, input data per ha'!$E$74+'Forage crops, CF'!M188*'Forage, input data per ha'!$G$74</f>
        <v>0</v>
      </c>
      <c r="O104" s="18">
        <f>'Forage crops, CF'!N138*'Forage, input data per ha'!$E$74+'Forage crops, CF'!N188*'Forage, input data per ha'!$G$74</f>
        <v>0</v>
      </c>
      <c r="P104" s="18">
        <f>'Forage crops, CF'!O138*'Forage, input data per ha'!$E$74+'Forage crops, CF'!O188*'Forage, input data per ha'!$G$74</f>
        <v>4.6700000000000005E-2</v>
      </c>
      <c r="Q104" s="18">
        <f>'Forage crops, CF'!P138*'Forage, input data per ha'!$E$74+'Forage crops, CF'!P188*'Forage, input data per ha'!$G$74</f>
        <v>0</v>
      </c>
      <c r="R104" s="138">
        <f>'Parameters, country spec'!H18</f>
        <v>0.28000000000000003</v>
      </c>
      <c r="S104" s="138">
        <f>'Parameters, country spec'!H36</f>
        <v>0.3</v>
      </c>
      <c r="T104" s="18"/>
    </row>
    <row r="105" spans="1:20" x14ac:dyDescent="0.3">
      <c r="A105" s="20" t="s">
        <v>363</v>
      </c>
      <c r="B105" s="15" t="s">
        <v>159</v>
      </c>
      <c r="C105" s="15" t="s">
        <v>364</v>
      </c>
      <c r="D105" s="21" t="s">
        <v>22</v>
      </c>
      <c r="E105" s="21" t="s">
        <v>73</v>
      </c>
      <c r="F105" s="107">
        <f>SUM(G105:Q105)</f>
        <v>0.20799999999999999</v>
      </c>
      <c r="G105" s="71">
        <v>7.9000000000000001E-2</v>
      </c>
      <c r="H105" s="12">
        <v>2.7E-2</v>
      </c>
      <c r="I105" s="14">
        <v>0</v>
      </c>
      <c r="J105" s="12"/>
      <c r="K105" s="71">
        <v>4.9000000000000002E-2</v>
      </c>
      <c r="L105" s="12"/>
      <c r="M105" s="12">
        <v>0</v>
      </c>
      <c r="N105" s="71">
        <v>5.2999999999999999E-2</v>
      </c>
      <c r="O105" s="12"/>
      <c r="P105" s="12"/>
      <c r="R105" s="138">
        <f>'Parameters, country spec'!H19</f>
        <v>0.16</v>
      </c>
      <c r="S105" s="138">
        <f>'Parameters, country spec'!H37</f>
        <v>0.2</v>
      </c>
    </row>
    <row r="106" spans="1:20" x14ac:dyDescent="0.3">
      <c r="A106" s="20" t="s">
        <v>365</v>
      </c>
      <c r="B106" s="15" t="s">
        <v>161</v>
      </c>
      <c r="C106" s="15" t="s">
        <v>364</v>
      </c>
      <c r="D106" s="21" t="s">
        <v>22</v>
      </c>
      <c r="E106" s="21" t="s">
        <v>73</v>
      </c>
      <c r="F106" s="107">
        <f t="shared" ref="F106:F115" si="12">SUM(G106:Q106)</f>
        <v>0.186</v>
      </c>
      <c r="G106" s="71">
        <v>7.6999999999999999E-2</v>
      </c>
      <c r="H106" s="12">
        <v>2.7E-2</v>
      </c>
      <c r="I106" s="14">
        <v>0</v>
      </c>
      <c r="J106" s="12"/>
      <c r="K106" s="71">
        <v>2.8000000000000001E-2</v>
      </c>
      <c r="L106" s="12"/>
      <c r="M106" s="12">
        <v>1E-3</v>
      </c>
      <c r="N106" s="71">
        <v>5.2999999999999999E-2</v>
      </c>
      <c r="O106" s="12"/>
      <c r="P106" s="12"/>
      <c r="R106" s="138">
        <f>'Parameters, country spec'!H20</f>
        <v>3.1075970320211814E-4</v>
      </c>
      <c r="S106" s="138">
        <f>'Parameters, country spec'!H38</f>
        <v>3.1075970320211814E-4</v>
      </c>
    </row>
    <row r="107" spans="1:20" x14ac:dyDescent="0.3">
      <c r="A107" s="20" t="s">
        <v>366</v>
      </c>
      <c r="B107" s="15" t="s">
        <v>163</v>
      </c>
      <c r="C107" s="15" t="s">
        <v>364</v>
      </c>
      <c r="D107" s="21" t="s">
        <v>22</v>
      </c>
      <c r="E107" s="21" t="s">
        <v>73</v>
      </c>
      <c r="F107" s="107">
        <f t="shared" si="12"/>
        <v>0.215</v>
      </c>
      <c r="G107" s="71">
        <v>7.0000000000000007E-2</v>
      </c>
      <c r="H107" s="12">
        <v>2.7E-2</v>
      </c>
      <c r="I107" s="14">
        <v>0</v>
      </c>
      <c r="J107" s="12"/>
      <c r="K107" s="71">
        <v>6.5000000000000002E-2</v>
      </c>
      <c r="L107" s="12"/>
      <c r="M107" s="12">
        <v>0</v>
      </c>
      <c r="N107" s="71">
        <v>5.2999999999999999E-2</v>
      </c>
      <c r="O107" s="12"/>
      <c r="P107" s="12"/>
      <c r="R107" s="138">
        <f>'Parameters, country spec'!H21</f>
        <v>8.6733359151412953E-5</v>
      </c>
      <c r="S107" s="138">
        <f>'Parameters, country spec'!H39</f>
        <v>8.6733359151412953E-5</v>
      </c>
    </row>
    <row r="108" spans="1:20" x14ac:dyDescent="0.3">
      <c r="A108" s="20" t="s">
        <v>367</v>
      </c>
      <c r="B108" s="15" t="s">
        <v>165</v>
      </c>
      <c r="C108" s="15" t="s">
        <v>364</v>
      </c>
      <c r="D108" s="21" t="s">
        <v>22</v>
      </c>
      <c r="E108" s="21" t="s">
        <v>73</v>
      </c>
      <c r="F108" s="107">
        <f t="shared" si="12"/>
        <v>0.20399999999999999</v>
      </c>
      <c r="G108" s="71">
        <v>6.2E-2</v>
      </c>
      <c r="H108" s="12">
        <v>2.7E-2</v>
      </c>
      <c r="I108" s="12">
        <v>0</v>
      </c>
      <c r="J108" s="12"/>
      <c r="K108" s="71">
        <v>6.2E-2</v>
      </c>
      <c r="L108" s="12"/>
      <c r="M108" s="12">
        <v>0</v>
      </c>
      <c r="N108" s="71">
        <v>5.2999999999999999E-2</v>
      </c>
      <c r="O108" s="12"/>
      <c r="P108" s="12"/>
      <c r="R108" s="138">
        <f>'Parameters, country spec'!H22</f>
        <v>6.2924072151971947E-5</v>
      </c>
      <c r="S108" s="138">
        <f>'Parameters, country spec'!H40</f>
        <v>6.2924072151971947E-5</v>
      </c>
    </row>
    <row r="109" spans="1:20" x14ac:dyDescent="0.3">
      <c r="A109" s="20" t="s">
        <v>368</v>
      </c>
      <c r="B109" s="15" t="s">
        <v>167</v>
      </c>
      <c r="C109" s="15" t="s">
        <v>364</v>
      </c>
      <c r="D109" s="21" t="s">
        <v>22</v>
      </c>
      <c r="E109" s="21" t="s">
        <v>73</v>
      </c>
      <c r="F109" s="107">
        <f t="shared" si="12"/>
        <v>0.21199999999999999</v>
      </c>
      <c r="G109" s="71">
        <v>9.0999999999999998E-2</v>
      </c>
      <c r="H109" s="12">
        <v>2.7E-2</v>
      </c>
      <c r="I109" s="12">
        <v>0</v>
      </c>
      <c r="J109" s="12"/>
      <c r="K109" s="71">
        <v>4.1000000000000002E-2</v>
      </c>
      <c r="L109" s="12"/>
      <c r="M109" s="12">
        <v>0</v>
      </c>
      <c r="N109" s="71">
        <v>5.2999999999999999E-2</v>
      </c>
      <c r="O109" s="12"/>
      <c r="P109" s="12"/>
      <c r="R109" s="138">
        <f>'Parameters, country spec'!H23</f>
        <v>0.20500000000000002</v>
      </c>
      <c r="S109" s="138">
        <f>'Parameters, country spec'!H41</f>
        <v>0.2</v>
      </c>
    </row>
    <row r="110" spans="1:20" x14ac:dyDescent="0.3">
      <c r="A110" s="20" t="s">
        <v>369</v>
      </c>
      <c r="B110" s="15" t="s">
        <v>168</v>
      </c>
      <c r="C110" s="15" t="s">
        <v>370</v>
      </c>
      <c r="D110" s="21" t="s">
        <v>22</v>
      </c>
      <c r="E110" s="21" t="s">
        <v>73</v>
      </c>
      <c r="F110" s="107">
        <f t="shared" si="12"/>
        <v>0.16200000000000001</v>
      </c>
      <c r="G110" s="71">
        <v>0</v>
      </c>
      <c r="H110" s="12">
        <v>2.7E-2</v>
      </c>
      <c r="I110" s="14">
        <v>0</v>
      </c>
      <c r="J110" s="12"/>
      <c r="K110" s="71">
        <v>8.2000000000000003E-2</v>
      </c>
      <c r="L110" s="14"/>
      <c r="M110" s="12">
        <v>0</v>
      </c>
      <c r="N110" s="71">
        <v>5.2999999999999999E-2</v>
      </c>
      <c r="O110" s="12"/>
      <c r="P110" s="12"/>
      <c r="R110" s="138">
        <f>'Parameters, country spec'!H24</f>
        <v>2.439015630520557E-4</v>
      </c>
      <c r="S110" s="138">
        <f>'Parameters, country spec'!H42</f>
        <v>2.439015630520557E-4</v>
      </c>
    </row>
    <row r="111" spans="1:20" x14ac:dyDescent="0.3">
      <c r="A111" s="20" t="s">
        <v>371</v>
      </c>
      <c r="B111" s="15" t="s">
        <v>170</v>
      </c>
      <c r="C111" s="15" t="s">
        <v>370</v>
      </c>
      <c r="D111" s="21" t="s">
        <v>22</v>
      </c>
      <c r="E111" s="21" t="s">
        <v>73</v>
      </c>
      <c r="F111" s="107">
        <f t="shared" si="12"/>
        <v>0.15</v>
      </c>
      <c r="G111" s="71">
        <v>4.0000000000000001E-3</v>
      </c>
      <c r="H111" s="12">
        <v>2.7E-2</v>
      </c>
      <c r="I111" s="14">
        <v>0</v>
      </c>
      <c r="J111" s="12"/>
      <c r="K111" s="71">
        <v>6.6000000000000003E-2</v>
      </c>
      <c r="L111" s="12"/>
      <c r="M111" s="12">
        <v>0</v>
      </c>
      <c r="N111" s="71">
        <v>5.2999999999999999E-2</v>
      </c>
      <c r="O111" s="12"/>
      <c r="P111" s="12"/>
      <c r="R111" s="138">
        <f>'Parameters, country spec'!H25</f>
        <v>2.3959170998341588E-4</v>
      </c>
      <c r="S111" s="138">
        <f>'Parameters, country spec'!H43</f>
        <v>2.3959170998341588E-4</v>
      </c>
    </row>
    <row r="112" spans="1:20" x14ac:dyDescent="0.3">
      <c r="B112" s="16" t="s">
        <v>171</v>
      </c>
      <c r="C112" s="15" t="s">
        <v>372</v>
      </c>
      <c r="D112" s="21" t="s">
        <v>22</v>
      </c>
      <c r="E112" s="21" t="s">
        <v>73</v>
      </c>
      <c r="F112" s="107">
        <f t="shared" si="12"/>
        <v>0.27628755742228495</v>
      </c>
      <c r="G112" s="18">
        <f>'Off-farm feed'!$F$74</f>
        <v>0.15910156565543246</v>
      </c>
      <c r="H112" s="18">
        <f>'Off-farm feed'!$G$74</f>
        <v>1.3034482758620692E-2</v>
      </c>
      <c r="I112" s="18">
        <f>'Off-farm feed'!$H$74</f>
        <v>0</v>
      </c>
      <c r="J112" s="18"/>
      <c r="K112" s="18">
        <f>'Off-farm feed'!$J$74</f>
        <v>2.4688740026345454E-2</v>
      </c>
      <c r="L112" s="18"/>
      <c r="M112" s="258">
        <f>'Off-farm feed'!$L$74</f>
        <v>1.931759303794134E-4</v>
      </c>
      <c r="N112" s="18">
        <f>'Off-farm feed'!$M$74</f>
        <v>3.6802128767029069E-2</v>
      </c>
      <c r="O112" s="18">
        <f>'Off-farm feed'!$N$74</f>
        <v>0</v>
      </c>
      <c r="P112" s="18">
        <f>'Off-farm feed'!$O$74</f>
        <v>2.6267464284477883E-2</v>
      </c>
      <c r="Q112" s="18">
        <f>'Off-farm feed'!$P$74</f>
        <v>1.6199999999999999E-2</v>
      </c>
      <c r="R112" s="138">
        <f>'Parameters, country spec'!H26</f>
        <v>0.09</v>
      </c>
      <c r="S112" s="138">
        <f>'Parameters, country spec'!H44</f>
        <v>0.06</v>
      </c>
    </row>
    <row r="113" spans="1:20" x14ac:dyDescent="0.3">
      <c r="B113" s="16" t="s">
        <v>373</v>
      </c>
      <c r="C113" s="15" t="s">
        <v>372</v>
      </c>
      <c r="D113" s="21" t="s">
        <v>22</v>
      </c>
      <c r="E113" s="21" t="s">
        <v>73</v>
      </c>
      <c r="F113" s="107">
        <f t="shared" si="12"/>
        <v>0.7061171705997602</v>
      </c>
      <c r="G113" s="18">
        <f>'Off-farm feed'!$F$23</f>
        <v>7.2632670993098931E-3</v>
      </c>
      <c r="H113" s="18">
        <f>'Off-farm feed'!$G$23</f>
        <v>2.1402439024390246E-2</v>
      </c>
      <c r="I113" s="18">
        <f>'Off-farm feed'!$H$23</f>
        <v>0</v>
      </c>
      <c r="J113" s="18"/>
      <c r="K113" s="18">
        <f>'Off-farm feed'!$J$23</f>
        <v>4.308361966433235E-2</v>
      </c>
      <c r="L113" s="18"/>
      <c r="M113" s="258">
        <f>'Off-farm feed'!$L$23</f>
        <v>1.7842060425123844E-4</v>
      </c>
      <c r="N113" s="18">
        <f>'Off-farm feed'!$M$23</f>
        <v>3.0432604948959403E-2</v>
      </c>
      <c r="O113" s="18">
        <f>'Off-farm feed'!$N$23</f>
        <v>0.31761120248475611</v>
      </c>
      <c r="P113" s="18">
        <f>'Off-farm feed'!$O$23</f>
        <v>3.5145616773760872E-2</v>
      </c>
      <c r="Q113" s="18">
        <f>'Off-farm feed'!$P$23</f>
        <v>0.251</v>
      </c>
      <c r="R113" s="138">
        <f>'Parameters, country spec'!H27</f>
        <v>9.5000000000000001E-2</v>
      </c>
      <c r="S113" s="138">
        <f>'Parameters, country spec'!H45</f>
        <v>7.0000000000000007E-2</v>
      </c>
    </row>
    <row r="114" spans="1:20" x14ac:dyDescent="0.3">
      <c r="B114" s="15" t="s">
        <v>173</v>
      </c>
      <c r="C114" s="15" t="s">
        <v>374</v>
      </c>
      <c r="D114" s="21" t="s">
        <v>22</v>
      </c>
      <c r="E114" s="21" t="s">
        <v>73</v>
      </c>
      <c r="F114" s="107">
        <f>SUM(G114:Q114)</f>
        <v>1.2012178309838466</v>
      </c>
      <c r="G114" s="71">
        <v>4.4255923622493899E-2</v>
      </c>
      <c r="H114" s="14">
        <v>1.35108E-2</v>
      </c>
      <c r="K114" s="14">
        <v>3.84123307299589E-2</v>
      </c>
      <c r="N114" s="96"/>
      <c r="O114" s="6"/>
      <c r="P114" s="14">
        <v>1.10085799516881</v>
      </c>
      <c r="Q114" s="14">
        <v>4.1807814625837696E-3</v>
      </c>
      <c r="R114" s="138">
        <f>'Parameters, country spec'!H28</f>
        <v>9.5000000000000001E-2</v>
      </c>
      <c r="S114" s="138">
        <f>'Parameters, country spec'!H46</f>
        <v>0.14000000000000001</v>
      </c>
    </row>
    <row r="115" spans="1:20" x14ac:dyDescent="0.3">
      <c r="A115" s="74"/>
      <c r="B115" s="15" t="s">
        <v>375</v>
      </c>
      <c r="C115" s="75" t="s">
        <v>376</v>
      </c>
      <c r="D115" s="21" t="s">
        <v>22</v>
      </c>
      <c r="E115" s="21" t="s">
        <v>73</v>
      </c>
      <c r="F115" s="107">
        <f t="shared" si="12"/>
        <v>0.16885174767242697</v>
      </c>
      <c r="G115" s="72">
        <f>SUMPRODUCT(G105:G113,$R105:$R113)</f>
        <v>4.6339010775023878E-2</v>
      </c>
      <c r="H115" s="72">
        <f t="shared" ref="H115:P115" si="13">SUMPRODUCT(H105:H113,$R105:$R113)</f>
        <v>1.3086820736596541E-2</v>
      </c>
      <c r="I115" s="72">
        <f t="shared" si="13"/>
        <v>0</v>
      </c>
      <c r="J115" s="72">
        <f t="shared" si="13"/>
        <v>0</v>
      </c>
      <c r="K115" s="72">
        <f>SUMPRODUCT(K105:K113,$R105:$R113)</f>
        <v>2.2613983684019765E-2</v>
      </c>
      <c r="L115" s="72">
        <f t="shared" si="13"/>
        <v>0</v>
      </c>
      <c r="M115" s="72">
        <f t="shared" si="13"/>
        <v>3.464655084121698E-5</v>
      </c>
      <c r="N115" s="72">
        <f t="shared" si="13"/>
        <v>2.5598316310783433E-2</v>
      </c>
      <c r="O115" s="72">
        <f t="shared" si="13"/>
        <v>3.017306423605183E-2</v>
      </c>
      <c r="P115" s="72">
        <f t="shared" si="13"/>
        <v>5.7029053791102929E-3</v>
      </c>
      <c r="Q115" s="72">
        <f>SUMPRODUCT(Q105:Q113,$R105:$R113)</f>
        <v>2.5303000000000003E-2</v>
      </c>
      <c r="R115" s="138">
        <f>'Parameters, country spec'!H29</f>
        <v>7.0000000000000007E-2</v>
      </c>
      <c r="S115" s="138">
        <f>'Parameters, country spec'!H47</f>
        <v>0.03</v>
      </c>
    </row>
    <row r="116" spans="1:20" x14ac:dyDescent="0.3">
      <c r="A116" s="287"/>
      <c r="B116" s="288" t="s">
        <v>377</v>
      </c>
      <c r="C116" s="289"/>
      <c r="D116" s="290"/>
      <c r="E116" s="290"/>
      <c r="F116" s="291">
        <f>SUMPRODUCT(F102:F104,R102:R104)+SUMPRODUCT(F105:F115,R105:R115)/0.87</f>
        <v>0.36850241738735029</v>
      </c>
      <c r="G116" s="291">
        <f>SUMPRODUCT(G102:G104,R102:R104)+SUMPRODUCT(G105:G115,R105:R115)/0.87</f>
        <v>6.6622141848676666E-2</v>
      </c>
      <c r="H116" s="291">
        <f>SUMPRODUCT(H102:H104,R102:R104)+SUMPRODUCT(H105:H115,R105:R115)/0.87</f>
        <v>2.5130602515124483E-2</v>
      </c>
      <c r="I116" s="291">
        <f>SUMPRODUCT(I102:I104,R102:R104)+SUMPRODUCT(I105:I115,R105:R115)/0.87</f>
        <v>0</v>
      </c>
      <c r="J116" s="291">
        <f>SUMPRODUCT(J102:J104,R102:R104)+SUMPRODUCT(J105:J115,R105:R115)/0.87</f>
        <v>0</v>
      </c>
      <c r="K116" s="291">
        <f>SUMPRODUCT(K102:K104,R102:R104)+SUMPRODUCT(K105:K115,R105:R115)/0.87</f>
        <v>3.6239820690049961E-2</v>
      </c>
      <c r="L116" s="291">
        <f>SUMPRODUCT(L102:L104,R102:R104)+SUMPRODUCT(L105:L115,R105:R115)/0.87</f>
        <v>0</v>
      </c>
      <c r="M116" s="291">
        <f>SUMPRODUCT(M102:M104,R102:R104)+SUMPRODUCT(M105:M115,R105:R115)/0.87</f>
        <v>4.2611275172531228E-5</v>
      </c>
      <c r="N116" s="291">
        <f>SUMPRODUCT(N102:N104,R102:R104)+SUMPRODUCT(N105:N115,R105:R115)/0.87</f>
        <v>3.148298672705549E-2</v>
      </c>
      <c r="O116" s="291">
        <f>SUMPRODUCT(O102:O104,R102:R104)+SUMPRODUCT(O105:O115,R105:R115)/0.87</f>
        <v>3.7109400842040757E-2</v>
      </c>
      <c r="P116" s="291">
        <f>SUMPRODUCT(P102:P104,R102:R104)+SUMPRODUCT(P105:P115,R105:R115)/0.87</f>
        <v>0.14029854976630457</v>
      </c>
      <c r="Q116" s="291">
        <f>SUMPRODUCT(Q102:Q104,R102:R104)+SUMPRODUCT(Q105:Q115,R105:R115)/0.87</f>
        <v>3.1576303722925816E-2</v>
      </c>
      <c r="R116" s="294"/>
      <c r="S116" s="295"/>
    </row>
    <row r="117" spans="1:20" x14ac:dyDescent="0.3">
      <c r="A117" s="137"/>
      <c r="B117" s="23" t="s">
        <v>378</v>
      </c>
      <c r="C117" s="24"/>
      <c r="D117" s="93"/>
      <c r="E117" s="93"/>
      <c r="F117" s="286">
        <f>SUMPRODUCT(F102:F104,S102:S104)+SUMPRODUCT(F105:F115,S105:S115)/0.87</f>
        <v>0.40351707339474113</v>
      </c>
      <c r="G117" s="286">
        <f>SUMPRODUCT(G102:G104,S102:S104)+SUMPRODUCT(G105:G115,S105:S115)/0.87</f>
        <v>6.4537642170766477E-2</v>
      </c>
      <c r="H117" s="286">
        <f>SUMPRODUCT(H102:H104,S102:S104)+SUMPRODUCT(H105:H115,S105:S115)/0.87</f>
        <v>2.5789473448650648E-2</v>
      </c>
      <c r="I117" s="286">
        <f>SUMPRODUCT(I102:I104,S102:S104)+SUMPRODUCT(I105:I115,S105:S115)/0.87</f>
        <v>0</v>
      </c>
      <c r="J117" s="286">
        <f>SUMPRODUCT(J102:J104,S102:S104)+SUMPRODUCT(J105:J115,S105:S115)/0.87</f>
        <v>0</v>
      </c>
      <c r="K117" s="286">
        <f>SUMPRODUCT(K102:K104,S102:S104)+SUMPRODUCT(K105:K115,S105:S115)/0.87</f>
        <v>3.7417153189420883E-2</v>
      </c>
      <c r="L117" s="286">
        <f>SUMPRODUCT(L102:L104,S102:S104)+SUMPRODUCT(L105:L115,S105:S115)/0.87</f>
        <v>0</v>
      </c>
      <c r="M117" s="286">
        <f>SUMPRODUCT(M102:M104,S102:S104)+SUMPRODUCT(M105:M115,S105:S115)/0.87</f>
        <v>2.9230062469873705E-5</v>
      </c>
      <c r="N117" s="286">
        <f>SUMPRODUCT(N102:N104,S102:S104)+SUMPRODUCT(N105:N115,S105:S115)/0.87</f>
        <v>3.0294697486634575E-2</v>
      </c>
      <c r="O117" s="286">
        <f>SUMPRODUCT(O102:O104,S102:S104)+SUMPRODUCT(O105:O115,S105:S115)/0.87</f>
        <v>2.659537482875228E-2</v>
      </c>
      <c r="P117" s="286">
        <f>SUMPRODUCT(P102:P104,S102:S104)+SUMPRODUCT(P105:P115,S105:S115)/0.87</f>
        <v>0.1959955718577456</v>
      </c>
      <c r="Q117" s="286">
        <f>SUMPRODUCT(Q102:Q104,S102:S104)+SUMPRODUCT(Q105:Q115,S105:S115)/0.87</f>
        <v>2.2857930350300839E-2</v>
      </c>
      <c r="R117" s="139"/>
      <c r="S117" s="139"/>
    </row>
    <row r="118" spans="1:20" x14ac:dyDescent="0.3">
      <c r="B118" s="16" t="s">
        <v>152</v>
      </c>
      <c r="C118" s="15" t="s">
        <v>361</v>
      </c>
      <c r="D118" s="21" t="s">
        <v>26</v>
      </c>
      <c r="E118" s="21" t="s">
        <v>74</v>
      </c>
      <c r="F118" s="107">
        <f>SUM(G118:Q118)</f>
        <v>7.0670207474978319E-2</v>
      </c>
      <c r="G118" s="18">
        <f>'Forage crops, CF'!F43</f>
        <v>2.1751094263240234E-2</v>
      </c>
      <c r="H118" s="18">
        <f>'Forage crops, CF'!G43</f>
        <v>2.7E-2</v>
      </c>
      <c r="I118" s="18">
        <f>'Forage crops, CF'!H43</f>
        <v>0</v>
      </c>
      <c r="J118" s="18">
        <f>'Forage crops, CF'!I43</f>
        <v>0</v>
      </c>
      <c r="K118" s="18">
        <f>'Forage crops, CF'!J43</f>
        <v>2.1919113211738082E-2</v>
      </c>
      <c r="L118" s="18">
        <f>'Forage crops, CF'!K43</f>
        <v>0</v>
      </c>
      <c r="M118" s="18">
        <f>'Forage crops, CF'!L43</f>
        <v>0</v>
      </c>
      <c r="N118" s="18">
        <f>'Forage crops, CF'!M43</f>
        <v>0</v>
      </c>
      <c r="O118" s="18">
        <f>'Forage crops, CF'!N43</f>
        <v>0</v>
      </c>
      <c r="P118" s="18">
        <f>'Forage crops, CF'!O43</f>
        <v>0</v>
      </c>
      <c r="Q118" s="18">
        <f>'Forage crops, CF'!P43</f>
        <v>0</v>
      </c>
      <c r="R118" s="138">
        <f>'Parameters, country spec'!I16</f>
        <v>0</v>
      </c>
      <c r="S118" s="138">
        <f>'Parameters, country spec'!I34</f>
        <v>0</v>
      </c>
      <c r="T118" s="18"/>
    </row>
    <row r="119" spans="1:20" x14ac:dyDescent="0.3">
      <c r="B119" s="16" t="s">
        <v>154</v>
      </c>
      <c r="C119" s="15" t="s">
        <v>361</v>
      </c>
      <c r="D119" s="21" t="s">
        <v>26</v>
      </c>
      <c r="E119" s="21" t="s">
        <v>74</v>
      </c>
      <c r="F119" s="107">
        <f>SUM(G119:Q119)</f>
        <v>0.14348138326468057</v>
      </c>
      <c r="G119" s="18">
        <f>'Forage crops, CF'!F93</f>
        <v>2.1225258539773455E-2</v>
      </c>
      <c r="H119" s="18">
        <f>'Forage crops, CF'!G93</f>
        <v>2.7E-2</v>
      </c>
      <c r="I119" s="18">
        <f>'Forage crops, CF'!H93</f>
        <v>0</v>
      </c>
      <c r="J119" s="18">
        <f>'Forage crops, CF'!I93</f>
        <v>0</v>
      </c>
      <c r="K119" s="18">
        <f>'Forage crops, CF'!J93</f>
        <v>2.150288478884789E-2</v>
      </c>
      <c r="L119" s="18">
        <f>'Forage crops, CF'!K93</f>
        <v>0</v>
      </c>
      <c r="M119" s="18">
        <f>'Forage crops, CF'!L93</f>
        <v>2.7053239936059206E-2</v>
      </c>
      <c r="N119" s="18">
        <f>'Forage crops, CF'!M93</f>
        <v>0</v>
      </c>
      <c r="O119" s="18">
        <f>'Forage crops, CF'!N93</f>
        <v>0</v>
      </c>
      <c r="P119" s="18">
        <f>'Forage crops, CF'!O93</f>
        <v>4.6700000000000005E-2</v>
      </c>
      <c r="Q119" s="18">
        <f>'Forage crops, CF'!P93</f>
        <v>0</v>
      </c>
      <c r="R119" s="138">
        <f>'Parameters, country spec'!I17</f>
        <v>0</v>
      </c>
      <c r="S119" s="138">
        <f>'Parameters, country spec'!I35</f>
        <v>0</v>
      </c>
      <c r="T119" s="18"/>
    </row>
    <row r="120" spans="1:20" x14ac:dyDescent="0.3">
      <c r="B120" s="16" t="s">
        <v>362</v>
      </c>
      <c r="C120" s="15" t="s">
        <v>361</v>
      </c>
      <c r="D120" s="21" t="s">
        <v>26</v>
      </c>
      <c r="E120" s="21" t="s">
        <v>74</v>
      </c>
      <c r="F120" s="107">
        <f>SUM(G120:Q120)</f>
        <v>0.10290901023347378</v>
      </c>
      <c r="G120" s="18">
        <f>'Forage crops, CF'!F143*'Forage, input data per ha'!$E$75+'Forage crops, CF'!F193*'Forage, input data per ha'!$G$75</f>
        <v>1.134336712888854E-2</v>
      </c>
      <c r="H120" s="18">
        <f>'Forage crops, CF'!G143*'Forage, input data per ha'!$E$75+'Forage crops, CF'!G193*'Forage, input data per ha'!$G$75</f>
        <v>2.7E-2</v>
      </c>
      <c r="I120" s="18">
        <f>'Forage crops, CF'!H143*'Forage, input data per ha'!$E$75+'Forage crops, CF'!H193*'Forage, input data per ha'!$G$75</f>
        <v>0</v>
      </c>
      <c r="J120" s="18">
        <f>'Forage crops, CF'!I143*'Forage, input data per ha'!$E$75+'Forage crops, CF'!I193*'Forage, input data per ha'!$G$75</f>
        <v>0</v>
      </c>
      <c r="K120" s="18">
        <f>'Forage crops, CF'!J143*'Forage, input data per ha'!$E$75+'Forage crops, CF'!J193*'Forage, input data per ha'!$G$75</f>
        <v>1.7865643104585233E-2</v>
      </c>
      <c r="L120" s="18">
        <f>'Forage crops, CF'!K143*'Forage, input data per ha'!$E$75+'Forage crops, CF'!K193*'Forage, input data per ha'!$G$75</f>
        <v>0</v>
      </c>
      <c r="M120" s="18">
        <f>'Forage crops, CF'!L143*'Forage, input data per ha'!$E$75+'Forage crops, CF'!L193*'Forage, input data per ha'!$G$75</f>
        <v>0</v>
      </c>
      <c r="N120" s="18">
        <f>'Forage crops, CF'!M143*'Forage, input data per ha'!$E$75+'Forage crops, CF'!M193*'Forage, input data per ha'!$G$75</f>
        <v>0</v>
      </c>
      <c r="O120" s="18">
        <f>'Forage crops, CF'!N143*'Forage, input data per ha'!$E$75+'Forage crops, CF'!N193*'Forage, input data per ha'!$G$75</f>
        <v>0</v>
      </c>
      <c r="P120" s="18">
        <f>'Forage crops, CF'!O143*'Forage, input data per ha'!$E$75+'Forage crops, CF'!O193*'Forage, input data per ha'!$G$75</f>
        <v>4.6700000000000005E-2</v>
      </c>
      <c r="Q120" s="18">
        <f>'Forage crops, CF'!P143*'Forage, input data per ha'!$E$75+'Forage crops, CF'!P193*'Forage, input data per ha'!$G$75</f>
        <v>0</v>
      </c>
      <c r="R120" s="138">
        <f>'Parameters, country spec'!I18</f>
        <v>0.28000000000000003</v>
      </c>
      <c r="S120" s="138">
        <f>'Parameters, country spec'!I36</f>
        <v>0.3</v>
      </c>
      <c r="T120" s="18"/>
    </row>
    <row r="121" spans="1:20" x14ac:dyDescent="0.3">
      <c r="A121" s="20" t="s">
        <v>363</v>
      </c>
      <c r="B121" s="15" t="s">
        <v>159</v>
      </c>
      <c r="C121" s="15" t="s">
        <v>364</v>
      </c>
      <c r="D121" s="21" t="s">
        <v>26</v>
      </c>
      <c r="E121" s="21" t="s">
        <v>74</v>
      </c>
      <c r="F121" s="107">
        <f>SUM(G121:Q121)</f>
        <v>0.127</v>
      </c>
      <c r="G121" s="71">
        <v>0</v>
      </c>
      <c r="H121" s="12">
        <v>2.7E-2</v>
      </c>
      <c r="I121" s="14">
        <v>0</v>
      </c>
      <c r="J121" s="12"/>
      <c r="K121" s="71">
        <v>5.6000000000000001E-2</v>
      </c>
      <c r="L121" s="12"/>
      <c r="M121" s="12">
        <v>6.0000000000000001E-3</v>
      </c>
      <c r="N121" s="71">
        <v>3.7999999999999999E-2</v>
      </c>
      <c r="O121" s="12"/>
      <c r="P121" s="12"/>
      <c r="R121" s="138">
        <f>'Parameters, country spec'!I19</f>
        <v>0.16</v>
      </c>
      <c r="S121" s="138">
        <f>'Parameters, country spec'!I37</f>
        <v>0.2</v>
      </c>
    </row>
    <row r="122" spans="1:20" x14ac:dyDescent="0.3">
      <c r="A122" s="20" t="s">
        <v>365</v>
      </c>
      <c r="B122" s="15" t="s">
        <v>161</v>
      </c>
      <c r="C122" s="15" t="s">
        <v>364</v>
      </c>
      <c r="D122" s="21" t="s">
        <v>26</v>
      </c>
      <c r="E122" s="21" t="s">
        <v>74</v>
      </c>
      <c r="F122" s="107">
        <f t="shared" ref="F122:F131" si="14">SUM(G122:Q122)</f>
        <v>9.8000000000000004E-2</v>
      </c>
      <c r="G122" s="71">
        <v>0</v>
      </c>
      <c r="H122" s="12">
        <v>2.7E-2</v>
      </c>
      <c r="I122" s="14">
        <v>0</v>
      </c>
      <c r="J122" s="12"/>
      <c r="K122" s="71">
        <v>1.4999999999999999E-2</v>
      </c>
      <c r="L122" s="12"/>
      <c r="M122" s="12">
        <v>1.7999999999999999E-2</v>
      </c>
      <c r="N122" s="71">
        <v>3.7999999999999999E-2</v>
      </c>
      <c r="O122" s="12"/>
      <c r="P122" s="12"/>
      <c r="R122" s="138">
        <f>'Parameters, country spec'!I20</f>
        <v>3.1075970320211814E-4</v>
      </c>
      <c r="S122" s="138">
        <f>'Parameters, country spec'!I38</f>
        <v>3.1075970320211814E-4</v>
      </c>
    </row>
    <row r="123" spans="1:20" x14ac:dyDescent="0.3">
      <c r="A123" s="20" t="s">
        <v>366</v>
      </c>
      <c r="B123" s="15" t="s">
        <v>163</v>
      </c>
      <c r="C123" s="15" t="s">
        <v>364</v>
      </c>
      <c r="D123" s="21" t="s">
        <v>26</v>
      </c>
      <c r="E123" s="21" t="s">
        <v>74</v>
      </c>
      <c r="F123" s="107">
        <f t="shared" si="14"/>
        <v>0.23300000000000001</v>
      </c>
      <c r="G123" s="71">
        <v>0</v>
      </c>
      <c r="H123" s="12">
        <v>2.7E-2</v>
      </c>
      <c r="I123" s="14">
        <v>0</v>
      </c>
      <c r="J123" s="12"/>
      <c r="K123" s="71">
        <v>8.2000000000000003E-2</v>
      </c>
      <c r="L123" s="12"/>
      <c r="M123" s="12">
        <v>8.5999999999999993E-2</v>
      </c>
      <c r="N123" s="71">
        <v>3.7999999999999999E-2</v>
      </c>
      <c r="O123" s="12"/>
      <c r="P123" s="12"/>
      <c r="R123" s="138">
        <f>'Parameters, country spec'!I21</f>
        <v>8.6733359151412953E-5</v>
      </c>
      <c r="S123" s="138">
        <f>'Parameters, country spec'!I39</f>
        <v>8.6733359151412953E-5</v>
      </c>
    </row>
    <row r="124" spans="1:20" x14ac:dyDescent="0.3">
      <c r="A124" s="20" t="s">
        <v>367</v>
      </c>
      <c r="B124" s="15" t="s">
        <v>165</v>
      </c>
      <c r="C124" s="15" t="s">
        <v>364</v>
      </c>
      <c r="D124" s="21" t="s">
        <v>26</v>
      </c>
      <c r="E124" s="21" t="s">
        <v>74</v>
      </c>
      <c r="F124" s="107">
        <f t="shared" si="14"/>
        <v>0.14299999999999999</v>
      </c>
      <c r="G124" s="71">
        <v>0</v>
      </c>
      <c r="H124" s="12">
        <v>2.7E-2</v>
      </c>
      <c r="I124" s="12">
        <v>0</v>
      </c>
      <c r="J124" s="12"/>
      <c r="K124" s="71">
        <v>7.8E-2</v>
      </c>
      <c r="L124" s="12"/>
      <c r="M124" s="12">
        <v>0</v>
      </c>
      <c r="N124" s="71">
        <v>3.7999999999999999E-2</v>
      </c>
      <c r="O124" s="12"/>
      <c r="P124" s="12"/>
      <c r="R124" s="138">
        <f>'Parameters, country spec'!I22</f>
        <v>6.2924072151971947E-5</v>
      </c>
      <c r="S124" s="138">
        <f>'Parameters, country spec'!I40</f>
        <v>6.2924072151971947E-5</v>
      </c>
    </row>
    <row r="125" spans="1:20" x14ac:dyDescent="0.3">
      <c r="A125" s="20" t="s">
        <v>368</v>
      </c>
      <c r="B125" s="15" t="s">
        <v>167</v>
      </c>
      <c r="C125" s="15" t="s">
        <v>364</v>
      </c>
      <c r="D125" s="21" t="s">
        <v>26</v>
      </c>
      <c r="E125" s="21" t="s">
        <v>74</v>
      </c>
      <c r="F125" s="107">
        <f t="shared" si="14"/>
        <v>0.121</v>
      </c>
      <c r="G125" s="71">
        <v>0</v>
      </c>
      <c r="H125" s="12">
        <v>2.7E-2</v>
      </c>
      <c r="I125" s="12">
        <v>0</v>
      </c>
      <c r="J125" s="12"/>
      <c r="K125" s="71">
        <v>5.2999999999999999E-2</v>
      </c>
      <c r="L125" s="12"/>
      <c r="M125" s="12">
        <v>3.0000000000000001E-3</v>
      </c>
      <c r="N125" s="71">
        <v>3.7999999999999999E-2</v>
      </c>
      <c r="O125" s="12"/>
      <c r="P125" s="12"/>
      <c r="R125" s="138">
        <f>'Parameters, country spec'!I23</f>
        <v>0.20500000000000002</v>
      </c>
      <c r="S125" s="138">
        <f>'Parameters, country spec'!I41</f>
        <v>0.2</v>
      </c>
    </row>
    <row r="126" spans="1:20" x14ac:dyDescent="0.3">
      <c r="A126" s="20" t="s">
        <v>369</v>
      </c>
      <c r="B126" s="15" t="s">
        <v>168</v>
      </c>
      <c r="C126" s="15" t="s">
        <v>370</v>
      </c>
      <c r="D126" s="21" t="s">
        <v>26</v>
      </c>
      <c r="E126" s="21" t="s">
        <v>74</v>
      </c>
      <c r="F126" s="107">
        <f t="shared" si="14"/>
        <v>0.17900000000000002</v>
      </c>
      <c r="G126" s="71">
        <v>0</v>
      </c>
      <c r="H126" s="12">
        <v>2.7E-2</v>
      </c>
      <c r="I126" s="14">
        <v>0</v>
      </c>
      <c r="J126" s="12"/>
      <c r="K126" s="71">
        <v>0.113</v>
      </c>
      <c r="L126" s="14"/>
      <c r="M126" s="12">
        <v>1E-3</v>
      </c>
      <c r="N126" s="71">
        <v>3.7999999999999999E-2</v>
      </c>
      <c r="O126" s="12"/>
      <c r="P126" s="12"/>
      <c r="R126" s="138">
        <f>'Parameters, country spec'!I24</f>
        <v>2.439015630520557E-4</v>
      </c>
      <c r="S126" s="138">
        <f>'Parameters, country spec'!I42</f>
        <v>2.439015630520557E-4</v>
      </c>
    </row>
    <row r="127" spans="1:20" x14ac:dyDescent="0.3">
      <c r="A127" s="20" t="s">
        <v>371</v>
      </c>
      <c r="B127" s="15" t="s">
        <v>170</v>
      </c>
      <c r="C127" s="15" t="s">
        <v>370</v>
      </c>
      <c r="D127" s="21" t="s">
        <v>26</v>
      </c>
      <c r="E127" s="21" t="s">
        <v>74</v>
      </c>
      <c r="F127" s="107">
        <f t="shared" si="14"/>
        <v>0.21199999999999999</v>
      </c>
      <c r="G127" s="71">
        <v>0</v>
      </c>
      <c r="H127" s="12">
        <v>2.7E-2</v>
      </c>
      <c r="I127" s="14">
        <v>0</v>
      </c>
      <c r="J127" s="12"/>
      <c r="K127" s="71">
        <v>0.13100000000000001</v>
      </c>
      <c r="L127" s="12"/>
      <c r="M127" s="12">
        <v>1.6E-2</v>
      </c>
      <c r="N127" s="71">
        <v>3.7999999999999999E-2</v>
      </c>
      <c r="O127" s="12"/>
      <c r="P127" s="12"/>
      <c r="R127" s="138">
        <f>'Parameters, country spec'!I25</f>
        <v>2.3959170998341588E-4</v>
      </c>
      <c r="S127" s="138">
        <f>'Parameters, country spec'!I43</f>
        <v>2.3959170998341588E-4</v>
      </c>
    </row>
    <row r="128" spans="1:20" x14ac:dyDescent="0.3">
      <c r="B128" s="16" t="s">
        <v>171</v>
      </c>
      <c r="C128" s="15" t="s">
        <v>372</v>
      </c>
      <c r="D128" s="21" t="s">
        <v>26</v>
      </c>
      <c r="E128" s="21" t="s">
        <v>74</v>
      </c>
      <c r="F128" s="107">
        <f t="shared" si="14"/>
        <v>0.27628755742228495</v>
      </c>
      <c r="G128" s="18">
        <f>'Off-farm feed'!$F$74</f>
        <v>0.15910156565543246</v>
      </c>
      <c r="H128" s="18">
        <f>'Off-farm feed'!$G$74</f>
        <v>1.3034482758620692E-2</v>
      </c>
      <c r="I128" s="18">
        <f>'Off-farm feed'!$H$74</f>
        <v>0</v>
      </c>
      <c r="J128" s="18"/>
      <c r="K128" s="18">
        <f>'Off-farm feed'!$J$74</f>
        <v>2.4688740026345454E-2</v>
      </c>
      <c r="L128" s="18"/>
      <c r="M128" s="258">
        <f>'Off-farm feed'!$L$74</f>
        <v>1.931759303794134E-4</v>
      </c>
      <c r="N128" s="18">
        <f>'Off-farm feed'!$M$74</f>
        <v>3.6802128767029069E-2</v>
      </c>
      <c r="O128" s="18">
        <f>'Off-farm feed'!$N$74</f>
        <v>0</v>
      </c>
      <c r="P128" s="18">
        <f>'Off-farm feed'!$O$74</f>
        <v>2.6267464284477883E-2</v>
      </c>
      <c r="Q128" s="18">
        <f>'Off-farm feed'!$P$74</f>
        <v>1.6199999999999999E-2</v>
      </c>
      <c r="R128" s="138">
        <f>'Parameters, country spec'!I26</f>
        <v>0.09</v>
      </c>
      <c r="S128" s="138">
        <f>'Parameters, country spec'!I44</f>
        <v>0.06</v>
      </c>
    </row>
    <row r="129" spans="1:19" x14ac:dyDescent="0.3">
      <c r="B129" s="16" t="s">
        <v>373</v>
      </c>
      <c r="C129" s="15" t="s">
        <v>372</v>
      </c>
      <c r="D129" s="21" t="s">
        <v>26</v>
      </c>
      <c r="E129" s="21" t="s">
        <v>74</v>
      </c>
      <c r="F129" s="107">
        <f t="shared" si="14"/>
        <v>0.7061171705997602</v>
      </c>
      <c r="G129" s="18">
        <f>'Off-farm feed'!$F$23</f>
        <v>7.2632670993098931E-3</v>
      </c>
      <c r="H129" s="18">
        <f>'Off-farm feed'!$G$23</f>
        <v>2.1402439024390246E-2</v>
      </c>
      <c r="I129" s="18">
        <f>'Off-farm feed'!$H$23</f>
        <v>0</v>
      </c>
      <c r="J129" s="18"/>
      <c r="K129" s="18">
        <f>'Off-farm feed'!$J$23</f>
        <v>4.308361966433235E-2</v>
      </c>
      <c r="L129" s="18"/>
      <c r="M129" s="258">
        <f>'Off-farm feed'!$L$23</f>
        <v>1.7842060425123844E-4</v>
      </c>
      <c r="N129" s="18">
        <f>'Off-farm feed'!$M$23</f>
        <v>3.0432604948959403E-2</v>
      </c>
      <c r="O129" s="18">
        <f>'Off-farm feed'!$N$23</f>
        <v>0.31761120248475611</v>
      </c>
      <c r="P129" s="18">
        <f>'Off-farm feed'!$O$23</f>
        <v>3.5145616773760872E-2</v>
      </c>
      <c r="Q129" s="18">
        <f>'Off-farm feed'!$P$23</f>
        <v>0.251</v>
      </c>
      <c r="R129" s="138">
        <f>'Parameters, country spec'!I27</f>
        <v>9.5000000000000001E-2</v>
      </c>
      <c r="S129" s="138">
        <f>'Parameters, country spec'!I45</f>
        <v>7.0000000000000007E-2</v>
      </c>
    </row>
    <row r="130" spans="1:19" x14ac:dyDescent="0.3">
      <c r="B130" s="15" t="s">
        <v>173</v>
      </c>
      <c r="C130" s="15" t="s">
        <v>374</v>
      </c>
      <c r="D130" s="21" t="s">
        <v>26</v>
      </c>
      <c r="E130" s="21" t="s">
        <v>74</v>
      </c>
      <c r="F130" s="107">
        <f>SUM(G130:Q130)</f>
        <v>0.50525475451354629</v>
      </c>
      <c r="G130" s="71">
        <v>4.5328919763541801E-2</v>
      </c>
      <c r="H130" s="14">
        <v>1.35108E-2</v>
      </c>
      <c r="K130" s="14">
        <v>4.3295223107013898E-2</v>
      </c>
      <c r="N130" s="96"/>
      <c r="O130" s="6"/>
      <c r="P130" s="14">
        <v>0.30592349396770402</v>
      </c>
      <c r="Q130" s="14">
        <v>9.7196317675286595E-2</v>
      </c>
      <c r="R130" s="138">
        <f>'Parameters, country spec'!I28</f>
        <v>9.5000000000000001E-2</v>
      </c>
      <c r="S130" s="138">
        <f>'Parameters, country spec'!I46</f>
        <v>0.14000000000000001</v>
      </c>
    </row>
    <row r="131" spans="1:19" x14ac:dyDescent="0.3">
      <c r="A131" s="74"/>
      <c r="B131" s="15" t="s">
        <v>375</v>
      </c>
      <c r="C131" s="75" t="s">
        <v>376</v>
      </c>
      <c r="D131" s="21" t="s">
        <v>26</v>
      </c>
      <c r="E131" s="21" t="s">
        <v>74</v>
      </c>
      <c r="F131" s="107">
        <f t="shared" si="14"/>
        <v>0.13722612466319947</v>
      </c>
      <c r="G131" s="72">
        <f>SUMPRODUCT(G121:G129,$R121:$R129)</f>
        <v>1.500915128342336E-2</v>
      </c>
      <c r="H131" s="72">
        <f t="shared" ref="H131:P131" si="15">SUMPRODUCT(H121:H129,$R121:$R129)</f>
        <v>1.3086820736596541E-2</v>
      </c>
      <c r="I131" s="72">
        <f t="shared" si="15"/>
        <v>0</v>
      </c>
      <c r="J131" s="72">
        <f t="shared" si="15"/>
        <v>0</v>
      </c>
      <c r="K131" s="72">
        <f>SUMPRODUCT(K121:K129,$R121:$R129)</f>
        <v>2.6215559469741679E-2</v>
      </c>
      <c r="L131" s="72">
        <f t="shared" si="15"/>
        <v>0</v>
      </c>
      <c r="M131" s="72">
        <f t="shared" si="15"/>
        <v>1.6264659036054614E-3</v>
      </c>
      <c r="N131" s="72">
        <f t="shared" si="15"/>
        <v>2.0109157654670317E-2</v>
      </c>
      <c r="O131" s="72">
        <f t="shared" si="15"/>
        <v>3.017306423605183E-2</v>
      </c>
      <c r="P131" s="72">
        <f t="shared" si="15"/>
        <v>5.7029053791102929E-3</v>
      </c>
      <c r="Q131" s="72">
        <f>SUMPRODUCT(Q121:Q129,$R121:$R129)</f>
        <v>2.5303000000000003E-2</v>
      </c>
      <c r="R131" s="138">
        <f>'Parameters, country spec'!I29</f>
        <v>7.0000000000000007E-2</v>
      </c>
      <c r="S131" s="138">
        <f>'Parameters, country spec'!I47</f>
        <v>0.03</v>
      </c>
    </row>
    <row r="132" spans="1:19" x14ac:dyDescent="0.3">
      <c r="A132" s="287"/>
      <c r="B132" s="288" t="s">
        <v>377</v>
      </c>
      <c r="C132" s="289"/>
      <c r="D132" s="290"/>
      <c r="E132" s="290"/>
      <c r="F132" s="291">
        <f>SUMPRODUCT(F118:F120,R118:R120)+SUMPRODUCT(F121:F131,R121:R131)/0.87</f>
        <v>0.25275837926584432</v>
      </c>
      <c r="G132" s="291">
        <f>SUMPRODUCT(G118:G120,R118:R120)+SUMPRODUCT(G121:G131,R121:R131)/0.87</f>
        <v>2.6585383314249096E-2</v>
      </c>
      <c r="H132" s="291">
        <f>SUMPRODUCT(H118:H120,R118:R120)+SUMPRODUCT(H121:H131,R121:R131)/0.87</f>
        <v>2.5130602515124483E-2</v>
      </c>
      <c r="I132" s="291">
        <f>SUMPRODUCT(I118:I120,R118:R120)+SUMPRODUCT(I121:I131,R121:R131)/0.87</f>
        <v>0</v>
      </c>
      <c r="J132" s="291">
        <f>SUMPRODUCT(J118:J120,R118:R120)+SUMPRODUCT(J121:J131,R121:R131)/0.87</f>
        <v>0</v>
      </c>
      <c r="K132" s="291">
        <f>SUMPRODUCT(K118:K120,R118:R120)+SUMPRODUCT(K121:K131,R121:R131)/0.87</f>
        <v>4.1972144239157329E-2</v>
      </c>
      <c r="L132" s="291">
        <f>SUMPRODUCT(L118:L120,R118:R120)+SUMPRODUCT(L121:L131,R121:R131)/0.87</f>
        <v>0</v>
      </c>
      <c r="M132" s="291">
        <f>SUMPRODUCT(M118:M120,R118:R120)+SUMPRODUCT(M121:M131,R121:R131)/0.87</f>
        <v>2.0003661113308546E-3</v>
      </c>
      <c r="N132" s="291">
        <f>SUMPRODUCT(N118:N120,R118:R120)+SUMPRODUCT(N121:N131,R121:R131)/0.87</f>
        <v>2.4731952517812919E-2</v>
      </c>
      <c r="O132" s="291">
        <f>SUMPRODUCT(O118:O120,R118:R120)+SUMPRODUCT(O121:O131,R121:R131)/0.87</f>
        <v>3.7109400842040757E-2</v>
      </c>
      <c r="P132" s="291">
        <f>SUMPRODUCT(P118:P120,R118:R120)+SUMPRODUCT(P121:P131,R121:R131)/0.87</f>
        <v>5.3495357106413684E-2</v>
      </c>
      <c r="Q132" s="291">
        <f>SUMPRODUCT(Q118:Q120,R118:R120)+SUMPRODUCT(Q121:Q131,R121:R131)/0.87</f>
        <v>4.1733172619715209E-2</v>
      </c>
      <c r="R132" s="294"/>
      <c r="S132" s="295"/>
    </row>
    <row r="133" spans="1:19" x14ac:dyDescent="0.3">
      <c r="A133" s="137"/>
      <c r="B133" s="23" t="s">
        <v>378</v>
      </c>
      <c r="C133" s="24"/>
      <c r="D133" s="93"/>
      <c r="E133" s="93"/>
      <c r="F133" s="286">
        <f>SUMPRODUCT(F118:F120,S118:S120)+SUMPRODUCT(F121:F131,S121:S131)/0.87</f>
        <v>0.24996697668766216</v>
      </c>
      <c r="G133" s="286">
        <f>SUMPRODUCT(G118:G120,S118:S120)+SUMPRODUCT(G121:G131,S121:S131)/0.87</f>
        <v>2.2771798577374831E-2</v>
      </c>
      <c r="H133" s="286">
        <f>SUMPRODUCT(H118:H120,S118:S120)+SUMPRODUCT(H121:H131,S121:S131)/0.87</f>
        <v>2.5789473448650648E-2</v>
      </c>
      <c r="I133" s="286">
        <f>SUMPRODUCT(I118:I120,S118:S120)+SUMPRODUCT(I121:I131,S121:S131)/0.87</f>
        <v>0</v>
      </c>
      <c r="J133" s="286">
        <f>SUMPRODUCT(J118:J120,S118:S120)+SUMPRODUCT(J121:J131,S121:S131)/0.87</f>
        <v>0</v>
      </c>
      <c r="K133" s="286">
        <f>SUMPRODUCT(K118:K120,S118:S120)+SUMPRODUCT(K121:K131,S121:S131)/0.87</f>
        <v>4.3544296145648212E-2</v>
      </c>
      <c r="L133" s="286">
        <f>SUMPRODUCT(L118:L120,S118:S120)+SUMPRODUCT(L121:L131,S121:S131)/0.87</f>
        <v>0</v>
      </c>
      <c r="M133" s="286">
        <f>SUMPRODUCT(M118:M120,S118:S120)+SUMPRODUCT(M121:M131,S121:S131)/0.87</f>
        <v>2.1724184916045537E-3</v>
      </c>
      <c r="N133" s="286">
        <f>SUMPRODUCT(N118:N120,S118:S120)+SUMPRODUCT(N121:N131,S121:S131)/0.87</f>
        <v>2.3192590112155829E-2</v>
      </c>
      <c r="O133" s="286">
        <f>SUMPRODUCT(O118:O120,S118:S120)+SUMPRODUCT(O121:O131,S121:S131)/0.87</f>
        <v>2.659537482875228E-2</v>
      </c>
      <c r="P133" s="286">
        <f>SUMPRODUCT(P118:P120,S118:S120)+SUMPRODUCT(P121:P131,S121:S131)/0.87</f>
        <v>6.8075077411590593E-2</v>
      </c>
      <c r="Q133" s="286">
        <f>SUMPRODUCT(Q118:Q120,S118:S120)+SUMPRODUCT(Q121:Q131,S121:S131)/0.87</f>
        <v>3.7825947671885199E-2</v>
      </c>
      <c r="R133" s="139"/>
      <c r="S133" s="139"/>
    </row>
    <row r="134" spans="1:19" x14ac:dyDescent="0.3">
      <c r="B134" s="16" t="s">
        <v>152</v>
      </c>
      <c r="C134" s="15" t="s">
        <v>361</v>
      </c>
      <c r="D134" s="21" t="s">
        <v>27</v>
      </c>
      <c r="E134" s="21" t="s">
        <v>75</v>
      </c>
      <c r="F134" s="107">
        <f>SUM(G134:Q134)</f>
        <v>6.0039825186889023E-2</v>
      </c>
      <c r="G134" s="18">
        <f>'Forage crops, CF'!F48</f>
        <v>0</v>
      </c>
      <c r="H134" s="18">
        <f>'Forage crops, CF'!G48</f>
        <v>2.7E-2</v>
      </c>
      <c r="I134" s="18">
        <f>'Forage crops, CF'!H48</f>
        <v>0</v>
      </c>
      <c r="J134" s="18">
        <f>'Forage crops, CF'!I48</f>
        <v>0</v>
      </c>
      <c r="K134" s="18">
        <f>'Forage crops, CF'!J48</f>
        <v>3.303982518688902E-2</v>
      </c>
      <c r="L134" s="18">
        <f>'Forage crops, CF'!K48</f>
        <v>0</v>
      </c>
      <c r="M134" s="18">
        <f>'Forage crops, CF'!L48</f>
        <v>0</v>
      </c>
      <c r="N134" s="18">
        <f>'Forage crops, CF'!M48</f>
        <v>0</v>
      </c>
      <c r="O134" s="18">
        <f>'Forage crops, CF'!N48</f>
        <v>0</v>
      </c>
      <c r="P134" s="18">
        <f>'Forage crops, CF'!O48</f>
        <v>0</v>
      </c>
      <c r="Q134" s="18">
        <f>'Forage crops, CF'!P48</f>
        <v>0</v>
      </c>
      <c r="R134" s="138">
        <f>'Parameters, country spec'!J16</f>
        <v>0</v>
      </c>
      <c r="S134" s="138">
        <f>'Parameters, country spec'!J34</f>
        <v>0</v>
      </c>
    </row>
    <row r="135" spans="1:19" x14ac:dyDescent="0.3">
      <c r="B135" s="16" t="s">
        <v>154</v>
      </c>
      <c r="C135" s="15" t="s">
        <v>361</v>
      </c>
      <c r="D135" s="21" t="s">
        <v>27</v>
      </c>
      <c r="E135" s="21" t="s">
        <v>75</v>
      </c>
      <c r="F135" s="278">
        <f>SUM(G135:Q135)</f>
        <v>0.11670621990044418</v>
      </c>
      <c r="G135" s="18">
        <f>'Forage crops, CF'!F98</f>
        <v>2.0076143571985575E-2</v>
      </c>
      <c r="H135" s="18">
        <f>'Forage crops, CF'!G98</f>
        <v>2.7E-2</v>
      </c>
      <c r="I135" s="18">
        <f>'Forage crops, CF'!H98</f>
        <v>0</v>
      </c>
      <c r="J135" s="18">
        <f>'Forage crops, CF'!I98</f>
        <v>0</v>
      </c>
      <c r="K135" s="18">
        <f>'Forage crops, CF'!J98</f>
        <v>1.9178668751894105E-2</v>
      </c>
      <c r="L135" s="18">
        <f>'Forage crops, CF'!K98</f>
        <v>0</v>
      </c>
      <c r="M135" s="18">
        <f>'Forage crops, CF'!L98</f>
        <v>3.7514075765645014E-3</v>
      </c>
      <c r="N135" s="18">
        <f>'Forage crops, CF'!M98</f>
        <v>0</v>
      </c>
      <c r="O135" s="18">
        <f>'Forage crops, CF'!N98</f>
        <v>0</v>
      </c>
      <c r="P135" s="18">
        <f>'Forage crops, CF'!O98</f>
        <v>4.6700000000000005E-2</v>
      </c>
      <c r="Q135" s="18">
        <f>'Forage crops, CF'!P98</f>
        <v>0</v>
      </c>
      <c r="R135" s="138">
        <f>'Parameters, country spec'!J17</f>
        <v>0</v>
      </c>
      <c r="S135" s="138">
        <f>'Parameters, country spec'!J35</f>
        <v>0</v>
      </c>
    </row>
    <row r="136" spans="1:19" x14ac:dyDescent="0.3">
      <c r="B136" s="16" t="s">
        <v>362</v>
      </c>
      <c r="C136" s="15" t="s">
        <v>361</v>
      </c>
      <c r="D136" s="21" t="s">
        <v>27</v>
      </c>
      <c r="E136" s="21" t="s">
        <v>75</v>
      </c>
      <c r="F136" s="278">
        <f>SUM(G136:Q136)</f>
        <v>0.10245411852461064</v>
      </c>
      <c r="G136" s="18">
        <f>'Forage crops, CF'!F148*'Forage, input data per ha'!$E$76+'Forage crops, CF'!F198*'Forage, input data per ha'!$G$76</f>
        <v>1.4442466006163024E-2</v>
      </c>
      <c r="H136" s="18">
        <f>'Forage crops, CF'!G148*'Forage, input data per ha'!$E$76+'Forage crops, CF'!G198*'Forage, input data per ha'!$G$76</f>
        <v>2.7E-2</v>
      </c>
      <c r="I136" s="18">
        <f>'Forage crops, CF'!H148*'Forage, input data per ha'!$E$76+'Forage crops, CF'!H198*'Forage, input data per ha'!$G$76</f>
        <v>0</v>
      </c>
      <c r="J136" s="18">
        <f>'Forage crops, CF'!I148*'Forage, input data per ha'!$E$76+'Forage crops, CF'!I198*'Forage, input data per ha'!$G$76</f>
        <v>0</v>
      </c>
      <c r="K136" s="18">
        <f>'Forage crops, CF'!J148*'Forage, input data per ha'!$E$76+'Forage crops, CF'!J198*'Forage, input data per ha'!$G$76</f>
        <v>1.4311652518447607E-2</v>
      </c>
      <c r="L136" s="18">
        <f>'Forage crops, CF'!K148*'Forage, input data per ha'!$E$76+'Forage crops, CF'!K198*'Forage, input data per ha'!$G$76</f>
        <v>0</v>
      </c>
      <c r="M136" s="18">
        <f>'Forage crops, CF'!L148*'Forage, input data per ha'!$E$76+'Forage crops, CF'!L198*'Forage, input data per ha'!$G$76</f>
        <v>0</v>
      </c>
      <c r="N136" s="18">
        <f>'Forage crops, CF'!M148*'Forage, input data per ha'!$E$76+'Forage crops, CF'!M198*'Forage, input data per ha'!$G$76</f>
        <v>0</v>
      </c>
      <c r="O136" s="18">
        <f>'Forage crops, CF'!N148*'Forage, input data per ha'!$E$76+'Forage crops, CF'!N198*'Forage, input data per ha'!$G$76</f>
        <v>0</v>
      </c>
      <c r="P136" s="18">
        <f>'Forage crops, CF'!O148*'Forage, input data per ha'!$E$76+'Forage crops, CF'!O198*'Forage, input data per ha'!$G$76</f>
        <v>4.6700000000000005E-2</v>
      </c>
      <c r="Q136" s="18">
        <f>'Forage crops, CF'!P148*'Forage, input data per ha'!$E$76+'Forage crops, CF'!P198*'Forage, input data per ha'!$G$76</f>
        <v>0</v>
      </c>
      <c r="R136" s="138">
        <f>'Parameters, country spec'!J18</f>
        <v>0.6</v>
      </c>
      <c r="S136" s="138">
        <f>'Parameters, country spec'!J36</f>
        <v>0.3</v>
      </c>
    </row>
    <row r="137" spans="1:19" x14ac:dyDescent="0.3">
      <c r="A137" s="20" t="s">
        <v>363</v>
      </c>
      <c r="B137" s="15" t="s">
        <v>159</v>
      </c>
      <c r="C137" s="15" t="s">
        <v>364</v>
      </c>
      <c r="D137" s="21" t="s">
        <v>27</v>
      </c>
      <c r="E137" s="21" t="s">
        <v>75</v>
      </c>
      <c r="F137" s="278">
        <f>SUM(G137:Q137)</f>
        <v>0.16700000000000001</v>
      </c>
      <c r="G137" s="71">
        <v>6.4000000000000001E-2</v>
      </c>
      <c r="H137" s="12">
        <v>2.7E-2</v>
      </c>
      <c r="I137" s="14">
        <v>0</v>
      </c>
      <c r="J137" s="12"/>
      <c r="K137" s="71">
        <v>4.1000000000000002E-2</v>
      </c>
      <c r="L137" s="12"/>
      <c r="M137" s="12">
        <v>0</v>
      </c>
      <c r="N137" s="71">
        <v>3.5000000000000003E-2</v>
      </c>
      <c r="O137" s="12"/>
      <c r="P137" s="12"/>
      <c r="R137" s="138">
        <f>'Parameters, country spec'!J19</f>
        <v>1.6853932584269662E-2</v>
      </c>
      <c r="S137" s="138">
        <f>'Parameters, country spec'!J37</f>
        <v>0.2</v>
      </c>
    </row>
    <row r="138" spans="1:19" x14ac:dyDescent="0.3">
      <c r="A138" s="20" t="s">
        <v>365</v>
      </c>
      <c r="B138" s="15" t="s">
        <v>161</v>
      </c>
      <c r="C138" s="15" t="s">
        <v>364</v>
      </c>
      <c r="D138" s="21" t="s">
        <v>27</v>
      </c>
      <c r="E138" s="21" t="s">
        <v>75</v>
      </c>
      <c r="F138" s="278">
        <f t="shared" ref="F138:F145" si="16">SUM(G138:Q138)</f>
        <v>0.157</v>
      </c>
      <c r="G138" s="71">
        <v>6.3E-2</v>
      </c>
      <c r="H138" s="12">
        <v>2.7E-2</v>
      </c>
      <c r="I138" s="14">
        <v>0</v>
      </c>
      <c r="J138" s="12"/>
      <c r="K138" s="71">
        <v>2.8000000000000001E-2</v>
      </c>
      <c r="L138" s="12"/>
      <c r="M138" s="12">
        <v>4.0000000000000001E-3</v>
      </c>
      <c r="N138" s="71">
        <v>3.5000000000000003E-2</v>
      </c>
      <c r="O138" s="12"/>
      <c r="P138" s="12"/>
      <c r="R138" s="138">
        <f>'Parameters, country spec'!J20</f>
        <v>0</v>
      </c>
      <c r="S138" s="138">
        <f>'Parameters, country spec'!J38</f>
        <v>3.1075970320211814E-4</v>
      </c>
    </row>
    <row r="139" spans="1:19" x14ac:dyDescent="0.3">
      <c r="A139" s="20" t="s">
        <v>366</v>
      </c>
      <c r="B139" s="15" t="s">
        <v>163</v>
      </c>
      <c r="C139" s="15" t="s">
        <v>364</v>
      </c>
      <c r="D139" s="21" t="s">
        <v>27</v>
      </c>
      <c r="E139" s="21" t="s">
        <v>75</v>
      </c>
      <c r="F139" s="278">
        <f t="shared" si="16"/>
        <v>0.16600000000000001</v>
      </c>
      <c r="G139" s="71">
        <v>5.7000000000000002E-2</v>
      </c>
      <c r="H139" s="12">
        <v>2.7E-2</v>
      </c>
      <c r="I139" s="14">
        <v>0</v>
      </c>
      <c r="J139" s="12"/>
      <c r="K139" s="71">
        <v>4.7E-2</v>
      </c>
      <c r="L139" s="12"/>
      <c r="M139" s="12">
        <v>0</v>
      </c>
      <c r="N139" s="71">
        <v>3.5000000000000003E-2</v>
      </c>
      <c r="O139" s="12"/>
      <c r="P139" s="12"/>
      <c r="R139" s="138">
        <f>'Parameters, country spec'!J21</f>
        <v>0</v>
      </c>
      <c r="S139" s="138">
        <f>'Parameters, country spec'!J39</f>
        <v>8.6733359151412953E-5</v>
      </c>
    </row>
    <row r="140" spans="1:19" x14ac:dyDescent="0.3">
      <c r="A140" s="20" t="s">
        <v>367</v>
      </c>
      <c r="B140" s="15" t="s">
        <v>165</v>
      </c>
      <c r="C140" s="15" t="s">
        <v>364</v>
      </c>
      <c r="D140" s="21" t="s">
        <v>27</v>
      </c>
      <c r="E140" s="21" t="s">
        <v>75</v>
      </c>
      <c r="F140" s="278">
        <f t="shared" si="16"/>
        <v>0.14300000000000002</v>
      </c>
      <c r="G140" s="71">
        <v>0.05</v>
      </c>
      <c r="H140" s="12">
        <v>2.7E-2</v>
      </c>
      <c r="I140" s="12">
        <v>0</v>
      </c>
      <c r="J140" s="12"/>
      <c r="K140" s="71">
        <v>3.1E-2</v>
      </c>
      <c r="L140" s="12"/>
      <c r="M140" s="12">
        <v>0</v>
      </c>
      <c r="N140" s="71">
        <v>3.5000000000000003E-2</v>
      </c>
      <c r="O140" s="12"/>
      <c r="P140" s="12"/>
      <c r="R140" s="138">
        <f>'Parameters, country spec'!J22</f>
        <v>0</v>
      </c>
      <c r="S140" s="138">
        <f>'Parameters, country spec'!J40</f>
        <v>6.2924072151971947E-5</v>
      </c>
    </row>
    <row r="141" spans="1:19" x14ac:dyDescent="0.3">
      <c r="A141" s="20" t="s">
        <v>368</v>
      </c>
      <c r="B141" s="15" t="s">
        <v>167</v>
      </c>
      <c r="C141" s="15" t="s">
        <v>364</v>
      </c>
      <c r="D141" s="21" t="s">
        <v>27</v>
      </c>
      <c r="E141" s="21" t="s">
        <v>75</v>
      </c>
      <c r="F141" s="278">
        <f t="shared" si="16"/>
        <v>0.16500000000000001</v>
      </c>
      <c r="G141" s="71">
        <v>7.3999999999999996E-2</v>
      </c>
      <c r="H141" s="12">
        <v>2.7E-2</v>
      </c>
      <c r="I141" s="12">
        <v>0</v>
      </c>
      <c r="J141" s="12"/>
      <c r="K141" s="71">
        <v>2.9000000000000001E-2</v>
      </c>
      <c r="L141" s="12"/>
      <c r="M141" s="12">
        <v>0</v>
      </c>
      <c r="N141" s="71">
        <v>3.5000000000000003E-2</v>
      </c>
      <c r="O141" s="12"/>
      <c r="P141" s="12"/>
      <c r="R141" s="138">
        <f>'Parameters, country spec'!J23</f>
        <v>0.31011235955056177</v>
      </c>
      <c r="S141" s="138">
        <f>'Parameters, country spec'!J41</f>
        <v>0.2</v>
      </c>
    </row>
    <row r="142" spans="1:19" x14ac:dyDescent="0.3">
      <c r="A142" s="20" t="s">
        <v>369</v>
      </c>
      <c r="B142" s="15" t="s">
        <v>168</v>
      </c>
      <c r="C142" s="15" t="s">
        <v>370</v>
      </c>
      <c r="D142" s="21" t="s">
        <v>27</v>
      </c>
      <c r="E142" s="21" t="s">
        <v>75</v>
      </c>
      <c r="F142" s="278">
        <f t="shared" si="16"/>
        <v>0.11900000000000001</v>
      </c>
      <c r="G142" s="71">
        <v>0</v>
      </c>
      <c r="H142" s="12">
        <v>2.7E-2</v>
      </c>
      <c r="I142" s="14">
        <v>0</v>
      </c>
      <c r="J142" s="12"/>
      <c r="K142" s="71">
        <v>5.7000000000000002E-2</v>
      </c>
      <c r="L142" s="14"/>
      <c r="M142" s="12">
        <v>0</v>
      </c>
      <c r="N142" s="71">
        <v>3.5000000000000003E-2</v>
      </c>
      <c r="O142" s="12"/>
      <c r="P142" s="12"/>
      <c r="R142" s="138">
        <f>'Parameters, country spec'!J24</f>
        <v>0</v>
      </c>
      <c r="S142" s="138">
        <f>'Parameters, country spec'!J42</f>
        <v>2.439015630520557E-4</v>
      </c>
    </row>
    <row r="143" spans="1:19" x14ac:dyDescent="0.3">
      <c r="A143" s="20" t="s">
        <v>371</v>
      </c>
      <c r="B143" s="15" t="s">
        <v>170</v>
      </c>
      <c r="C143" s="15" t="s">
        <v>370</v>
      </c>
      <c r="D143" s="21" t="s">
        <v>27</v>
      </c>
      <c r="E143" s="21" t="s">
        <v>75</v>
      </c>
      <c r="F143" s="278">
        <f t="shared" si="16"/>
        <v>0.15000000000000002</v>
      </c>
      <c r="G143" s="71">
        <v>3.0000000000000001E-3</v>
      </c>
      <c r="H143" s="12">
        <v>2.7E-2</v>
      </c>
      <c r="I143" s="14">
        <v>0</v>
      </c>
      <c r="J143" s="12"/>
      <c r="K143" s="71">
        <v>8.5000000000000006E-2</v>
      </c>
      <c r="L143" s="12"/>
      <c r="M143" s="12">
        <v>0</v>
      </c>
      <c r="N143" s="71">
        <v>3.5000000000000003E-2</v>
      </c>
      <c r="O143" s="12"/>
      <c r="P143" s="12"/>
      <c r="R143" s="138">
        <f>'Parameters, country spec'!J25</f>
        <v>0</v>
      </c>
      <c r="S143" s="138">
        <f>'Parameters, country spec'!J43</f>
        <v>2.3959170998341588E-4</v>
      </c>
    </row>
    <row r="144" spans="1:19" x14ac:dyDescent="0.3">
      <c r="B144" s="16" t="s">
        <v>171</v>
      </c>
      <c r="C144" s="15" t="s">
        <v>372</v>
      </c>
      <c r="D144" s="21" t="s">
        <v>27</v>
      </c>
      <c r="E144" s="21" t="s">
        <v>75</v>
      </c>
      <c r="F144" s="278">
        <f t="shared" si="16"/>
        <v>0.27628755742228495</v>
      </c>
      <c r="G144" s="18">
        <f>'Off-farm feed'!$F$74</f>
        <v>0.15910156565543246</v>
      </c>
      <c r="H144" s="18">
        <f>'Off-farm feed'!$G$74</f>
        <v>1.3034482758620692E-2</v>
      </c>
      <c r="I144" s="18">
        <f>'Off-farm feed'!$H$74</f>
        <v>0</v>
      </c>
      <c r="J144" s="18"/>
      <c r="K144" s="18">
        <f>'Off-farm feed'!$J$74</f>
        <v>2.4688740026345454E-2</v>
      </c>
      <c r="L144" s="18"/>
      <c r="M144" s="258">
        <f>'Off-farm feed'!$L$74</f>
        <v>1.931759303794134E-4</v>
      </c>
      <c r="N144" s="18">
        <f>'Off-farm feed'!$M$74</f>
        <v>3.6802128767029069E-2</v>
      </c>
      <c r="O144" s="18">
        <f>'Off-farm feed'!$N$74</f>
        <v>0</v>
      </c>
      <c r="P144" s="18">
        <f>'Off-farm feed'!$O$74</f>
        <v>2.6267464284477883E-2</v>
      </c>
      <c r="Q144" s="18">
        <f>'Off-farm feed'!$P$74</f>
        <v>1.6199999999999999E-2</v>
      </c>
      <c r="R144" s="138">
        <f>'Parameters, country spec'!J26</f>
        <v>3.8764044943820221E-2</v>
      </c>
      <c r="S144" s="138">
        <f>'Parameters, country spec'!J44</f>
        <v>0.06</v>
      </c>
    </row>
    <row r="145" spans="1:19" x14ac:dyDescent="0.3">
      <c r="B145" s="16" t="s">
        <v>373</v>
      </c>
      <c r="C145" s="15" t="s">
        <v>372</v>
      </c>
      <c r="D145" s="21" t="s">
        <v>27</v>
      </c>
      <c r="E145" s="21" t="s">
        <v>75</v>
      </c>
      <c r="F145" s="278">
        <f t="shared" si="16"/>
        <v>0.7061171705997602</v>
      </c>
      <c r="G145" s="18">
        <f>'Off-farm feed'!$F$23</f>
        <v>7.2632670993098931E-3</v>
      </c>
      <c r="H145" s="18">
        <f>'Off-farm feed'!$G$23</f>
        <v>2.1402439024390246E-2</v>
      </c>
      <c r="I145" s="18">
        <f>'Off-farm feed'!$H$23</f>
        <v>0</v>
      </c>
      <c r="J145" s="18"/>
      <c r="K145" s="18">
        <f>'Off-farm feed'!$J$23</f>
        <v>4.308361966433235E-2</v>
      </c>
      <c r="L145" s="18"/>
      <c r="M145" s="258">
        <f>'Off-farm feed'!$L$23</f>
        <v>1.7842060425123844E-4</v>
      </c>
      <c r="N145" s="18">
        <f>'Off-farm feed'!$M$23</f>
        <v>3.0432604948959403E-2</v>
      </c>
      <c r="O145" s="18">
        <f>'Off-farm feed'!$N$23</f>
        <v>0.31761120248475611</v>
      </c>
      <c r="P145" s="18">
        <f>'Off-farm feed'!$O$23</f>
        <v>3.5145616773760872E-2</v>
      </c>
      <c r="Q145" s="18">
        <f>'Off-farm feed'!$P$23</f>
        <v>0.251</v>
      </c>
      <c r="R145" s="138">
        <f>'Parameters, country spec'!J27</f>
        <v>3.8764044943820221E-2</v>
      </c>
      <c r="S145" s="138">
        <f>'Parameters, country spec'!J45</f>
        <v>7.0000000000000007E-2</v>
      </c>
    </row>
    <row r="146" spans="1:19" x14ac:dyDescent="0.3">
      <c r="B146" s="15" t="s">
        <v>173</v>
      </c>
      <c r="C146" s="15" t="s">
        <v>374</v>
      </c>
      <c r="D146" s="21" t="s">
        <v>27</v>
      </c>
      <c r="E146" s="21" t="s">
        <v>75</v>
      </c>
      <c r="F146" s="107">
        <f>SUM(G146:Q146)</f>
        <v>0.20786505990095008</v>
      </c>
      <c r="G146" s="71">
        <v>3.8442922292579597E-2</v>
      </c>
      <c r="H146" s="14">
        <v>1.35108E-2</v>
      </c>
      <c r="K146" s="14">
        <v>3.3024922817634902E-2</v>
      </c>
      <c r="N146" s="96"/>
      <c r="O146" s="6"/>
      <c r="P146" s="14">
        <v>0.104008553970993</v>
      </c>
      <c r="Q146" s="14">
        <v>1.88778608197426E-2</v>
      </c>
      <c r="R146" s="138">
        <f>'Parameters, country spec'!J28</f>
        <v>0</v>
      </c>
      <c r="S146" s="138">
        <f>'Parameters, country spec'!J46</f>
        <v>0.14000000000000001</v>
      </c>
    </row>
    <row r="147" spans="1:19" x14ac:dyDescent="0.3">
      <c r="A147" s="74"/>
      <c r="B147" s="15" t="s">
        <v>375</v>
      </c>
      <c r="C147" s="75" t="s">
        <v>376</v>
      </c>
      <c r="D147" s="21" t="s">
        <v>27</v>
      </c>
      <c r="E147" s="21" t="s">
        <v>75</v>
      </c>
      <c r="F147" s="278">
        <f>SUM(G147:Q147)</f>
        <v>9.2065127097483768E-2</v>
      </c>
      <c r="G147" s="72">
        <f>SUMPRODUCT(G137:G145,$R137:$R145)</f>
        <v>3.0475940146110797E-2</v>
      </c>
      <c r="H147" s="72">
        <f>SUMPRODUCT(H137:H145,$R137:$R145)</f>
        <v>1.0163004271363905E-2</v>
      </c>
      <c r="I147" s="72">
        <f t="shared" ref="I147:P147" si="17">SUMPRODUCT(I137:I145,$R137:$R145)</f>
        <v>0</v>
      </c>
      <c r="J147" s="72">
        <f t="shared" si="17"/>
        <v>0</v>
      </c>
      <c r="K147" s="72">
        <f>SUMPRODUCT(K137:K145,$R137:$R145)</f>
        <v>1.2311400459919531E-2</v>
      </c>
      <c r="L147" s="72">
        <f t="shared" si="17"/>
        <v>0</v>
      </c>
      <c r="M147" s="72">
        <f t="shared" si="17"/>
        <v>1.4404584769390435E-5</v>
      </c>
      <c r="N147" s="72">
        <f t="shared" si="17"/>
        <v>1.4050110464271464E-2</v>
      </c>
      <c r="O147" s="72">
        <f t="shared" si="17"/>
        <v>1.2311894927779871E-2</v>
      </c>
      <c r="P147" s="72">
        <f t="shared" si="17"/>
        <v>2.3806194342800412E-3</v>
      </c>
      <c r="Q147" s="72">
        <f>SUMPRODUCT(Q137:Q145,$R137:$R145)</f>
        <v>1.0357752808988763E-2</v>
      </c>
      <c r="R147" s="138">
        <f>'Parameters, country spec'!J29</f>
        <v>0</v>
      </c>
      <c r="S147" s="138">
        <f>'Parameters, country spec'!J47</f>
        <v>0.03</v>
      </c>
    </row>
    <row r="148" spans="1:19" x14ac:dyDescent="0.3">
      <c r="A148" s="287"/>
      <c r="B148" s="288" t="s">
        <v>377</v>
      </c>
      <c r="C148" s="289"/>
      <c r="D148" s="290"/>
      <c r="E148" s="290"/>
      <c r="F148" s="291">
        <f>SUMPRODUCT(F134:F136,R134:R136)+SUMPRODUCT(F137:F147,R137:R147)/0.87</f>
        <v>0.16729445628428796</v>
      </c>
      <c r="G148" s="291">
        <f>SUMPRODUCT(G134:G136,R134:R136)+SUMPRODUCT(G137:G147,R137:R147)/0.87</f>
        <v>4.3695295863595288E-2</v>
      </c>
      <c r="H148" s="291">
        <f>SUMPRODUCT(H134:H136,R134:R136)+SUMPRODUCT(H137:H147,R137:R147)/0.87</f>
        <v>2.7881614105015981E-2</v>
      </c>
      <c r="I148" s="291">
        <f>SUMPRODUCT(I134:I136,R134:R136)+SUMPRODUCT(I137:I147,R137:R147)/0.87</f>
        <v>0</v>
      </c>
      <c r="J148" s="291">
        <f>SUMPRODUCT(J134:J136,R134:R136)+SUMPRODUCT(J137:J147,R137:R147)/0.87</f>
        <v>0</v>
      </c>
      <c r="K148" s="291">
        <f>SUMPRODUCT(K134:K136,R134:R136)+SUMPRODUCT(K137:K147,R137:R147)/0.87</f>
        <v>2.2738026522470325E-2</v>
      </c>
      <c r="L148" s="291">
        <f>SUMPRODUCT(L134:L136,R134:R136)+SUMPRODUCT(L137:L147,R137:R147)/0.87</f>
        <v>0</v>
      </c>
      <c r="M148" s="291">
        <f>SUMPRODUCT(M134:M136,R134:R136)+SUMPRODUCT(M137:M147,R137:R147)/0.87</f>
        <v>1.6556993987805098E-5</v>
      </c>
      <c r="N148" s="291">
        <f>SUMPRODUCT(N134:N136,R134:R136)+SUMPRODUCT(N137:N147,R137:R147)/0.87</f>
        <v>1.6149552257783292E-2</v>
      </c>
      <c r="O148" s="291">
        <f>SUMPRODUCT(O134:O136,R134:R136)+SUMPRODUCT(O137:O147,R137:R147)/0.87</f>
        <v>1.4151603365264219E-2</v>
      </c>
      <c r="P148" s="291">
        <f>SUMPRODUCT(P134:P136,R134:R136)+SUMPRODUCT(P137:P147,R137:R147)/0.87</f>
        <v>3.0756344177333382E-2</v>
      </c>
      <c r="Q148" s="291">
        <f>SUMPRODUCT(Q134:Q136,R134:R136)+SUMPRODUCT(Q137:Q147,R137:R147)/0.87</f>
        <v>1.1905462998837659E-2</v>
      </c>
      <c r="R148" s="294"/>
      <c r="S148" s="294"/>
    </row>
    <row r="149" spans="1:19" x14ac:dyDescent="0.3">
      <c r="A149" s="137"/>
      <c r="B149" s="23" t="s">
        <v>378</v>
      </c>
      <c r="C149" s="24"/>
      <c r="D149" s="93"/>
      <c r="E149" s="93"/>
      <c r="F149" s="286">
        <f>SUMPRODUCT(F134:F136,S134:S136)+SUMPRODUCT(F137:F147,S137:S147)/0.87</f>
        <v>0.21970826519211675</v>
      </c>
      <c r="G149" s="286">
        <f>SUMPRODUCT(G134:G136,S134:S136)+SUMPRODUCT(G137:G147,S137:S147)/0.87</f>
        <v>5.4883540495105264E-2</v>
      </c>
      <c r="H149" s="286">
        <f>SUMPRODUCT(H134:H136,S134:S136)+SUMPRODUCT(H137:H147,S137:S147)/0.87</f>
        <v>2.5688652191228831E-2</v>
      </c>
      <c r="I149" s="286">
        <f>SUMPRODUCT(I134:I136,S134:S136)+SUMPRODUCT(I137:I147,S137:S147)/0.87</f>
        <v>0</v>
      </c>
      <c r="J149" s="286">
        <f>SUMPRODUCT(J134:J136,S134:S136)+SUMPRODUCT(J137:J147,S137:S147)/0.87</f>
        <v>0</v>
      </c>
      <c r="K149" s="286">
        <f>SUMPRODUCT(K134:K136,S134:S136)+SUMPRODUCT(K137:K147,S137:S147)/0.87</f>
        <v>3.1349823406798087E-2</v>
      </c>
      <c r="L149" s="286">
        <f>SUMPRODUCT(L134:L136,S134:S136)+SUMPRODUCT(L137:L147,S137:S147)/0.87</f>
        <v>0</v>
      </c>
      <c r="M149" s="286">
        <f>SUMPRODUCT(M134:M136,S134:S136)+SUMPRODUCT(M137:M147,S137:S147)/0.87</f>
        <v>2.9603648823266301E-5</v>
      </c>
      <c r="N149" s="286">
        <f>SUMPRODUCT(N134:N136,S134:S136)+SUMPRODUCT(N137:N147,S137:S147)/0.87</f>
        <v>2.1601092242116073E-2</v>
      </c>
      <c r="O149" s="286">
        <f>SUMPRODUCT(O134:O136,S134:S136)+SUMPRODUCT(O137:O147,S137:S147)/0.87</f>
        <v>2.5979472438811865E-2</v>
      </c>
      <c r="P149" s="286">
        <f>SUMPRODUCT(P134:P136,S134:S136)+SUMPRODUCT(P137:P147,S137:S147)/0.87</f>
        <v>3.546845651747052E-2</v>
      </c>
      <c r="Q149" s="286">
        <f>SUMPRODUCT(Q134:Q136,S134:S136)+SUMPRODUCT(Q137:Q147,S137:S147)/0.87</f>
        <v>2.4707624251762792E-2</v>
      </c>
      <c r="R149" s="139"/>
      <c r="S149" s="139"/>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4" tint="0.79998168889431442"/>
  </sheetPr>
  <dimension ref="A1:T149"/>
  <sheetViews>
    <sheetView topLeftCell="A124" zoomScale="74" zoomScaleNormal="80" workbookViewId="0">
      <selection activeCell="G155" sqref="G155"/>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11.33203125" customWidth="1"/>
    <col min="6" max="6" width="12.6640625" style="15" customWidth="1"/>
    <col min="7" max="10" width="12.6640625" customWidth="1"/>
    <col min="11" max="11" width="14.33203125" customWidth="1"/>
    <col min="12" max="17" width="12.6640625" customWidth="1"/>
    <col min="19" max="19" width="8.6640625" style="3"/>
  </cols>
  <sheetData>
    <row r="1" spans="1:20" x14ac:dyDescent="0.3">
      <c r="F1" s="6"/>
    </row>
    <row r="2" spans="1:20" ht="21" x14ac:dyDescent="0.4">
      <c r="A2" s="2" t="s">
        <v>380</v>
      </c>
      <c r="F2" t="s">
        <v>354</v>
      </c>
    </row>
    <row r="3" spans="1:20" x14ac:dyDescent="0.3">
      <c r="H3" s="7"/>
      <c r="I3" s="7"/>
      <c r="J3" s="7"/>
      <c r="K3" s="7"/>
      <c r="L3" s="7"/>
      <c r="M3" s="7"/>
      <c r="N3" s="7"/>
    </row>
    <row r="4" spans="1:20" ht="28.8" x14ac:dyDescent="0.3">
      <c r="A4" s="140" t="s">
        <v>355</v>
      </c>
      <c r="B4" s="132"/>
      <c r="C4" s="132"/>
      <c r="D4" s="132"/>
      <c r="E4" s="132"/>
      <c r="F4" s="259" t="s">
        <v>82</v>
      </c>
      <c r="G4" s="133" t="s">
        <v>83</v>
      </c>
      <c r="H4" s="134"/>
      <c r="I4" s="133" t="s">
        <v>84</v>
      </c>
      <c r="J4" s="94"/>
      <c r="K4" s="133" t="s">
        <v>85</v>
      </c>
      <c r="L4" s="94"/>
      <c r="M4" s="94"/>
      <c r="N4" s="94"/>
      <c r="O4" s="95" t="s">
        <v>86</v>
      </c>
      <c r="P4" s="95" t="s">
        <v>87</v>
      </c>
      <c r="Q4" s="135" t="s">
        <v>88</v>
      </c>
      <c r="R4" s="133" t="s">
        <v>356</v>
      </c>
      <c r="S4" s="308" t="s">
        <v>356</v>
      </c>
    </row>
    <row r="5" spans="1:20" ht="57" customHeight="1" x14ac:dyDescent="0.3">
      <c r="A5" s="88" t="s">
        <v>44</v>
      </c>
      <c r="B5" s="88" t="s">
        <v>355</v>
      </c>
      <c r="C5" s="88" t="s">
        <v>357</v>
      </c>
      <c r="D5" s="88" t="s">
        <v>47</v>
      </c>
      <c r="E5" s="136" t="s">
        <v>48</v>
      </c>
      <c r="F5" s="260"/>
      <c r="G5" s="89" t="s">
        <v>8</v>
      </c>
      <c r="H5" s="89" t="s">
        <v>9</v>
      </c>
      <c r="I5" s="89" t="s">
        <v>95</v>
      </c>
      <c r="J5" s="89" t="s">
        <v>358</v>
      </c>
      <c r="K5" s="89" t="s">
        <v>97</v>
      </c>
      <c r="L5" s="89" t="s">
        <v>98</v>
      </c>
      <c r="M5" s="89" t="s">
        <v>99</v>
      </c>
      <c r="N5" s="89" t="s">
        <v>100</v>
      </c>
      <c r="O5" s="89" t="s">
        <v>101</v>
      </c>
      <c r="P5" s="89" t="s">
        <v>87</v>
      </c>
      <c r="Q5" s="136" t="s">
        <v>359</v>
      </c>
      <c r="R5" s="89" t="s">
        <v>118</v>
      </c>
      <c r="S5" s="89" t="s">
        <v>247</v>
      </c>
    </row>
    <row r="6" spans="1:20" x14ac:dyDescent="0.3">
      <c r="B6" s="16" t="s">
        <v>152</v>
      </c>
      <c r="C6" s="15" t="s">
        <v>361</v>
      </c>
      <c r="D6" s="21" t="s">
        <v>28</v>
      </c>
      <c r="E6" s="21" t="s">
        <v>67</v>
      </c>
      <c r="F6" s="117">
        <f>SUM(G6:Q6)</f>
        <v>1.3388596486894555E-4</v>
      </c>
      <c r="G6" s="27">
        <f>'Forage crops, CF'!F9</f>
        <v>3.3081003708430824E-5</v>
      </c>
      <c r="H6" s="27">
        <f>'Forage crops, CF'!G9</f>
        <v>9.5000000000000005E-5</v>
      </c>
      <c r="I6" s="27">
        <f>'Forage crops, CF'!H9</f>
        <v>0</v>
      </c>
      <c r="J6" s="27">
        <f>'Forage crops, CF'!I9</f>
        <v>0</v>
      </c>
      <c r="K6" s="27">
        <f>'Forage crops, CF'!J9</f>
        <v>5.8049611605147208E-6</v>
      </c>
      <c r="L6" s="27">
        <f>'Forage crops, CF'!K9</f>
        <v>0</v>
      </c>
      <c r="M6" s="27">
        <f>'Forage crops, CF'!L9</f>
        <v>0</v>
      </c>
      <c r="N6" s="27">
        <f>'Forage crops, CF'!M9</f>
        <v>0</v>
      </c>
      <c r="O6" s="27">
        <f>'Forage crops, CF'!N9</f>
        <v>0</v>
      </c>
      <c r="P6" s="27">
        <f>'Forage crops, CF'!O9</f>
        <v>0</v>
      </c>
      <c r="Q6" s="27">
        <f>'Forage crops, CF'!P9</f>
        <v>0</v>
      </c>
      <c r="R6" s="138">
        <f>'Parameters, country spec'!B16</f>
        <v>0</v>
      </c>
      <c r="S6" s="138">
        <f>'Parameters, country spec'!B34</f>
        <v>0</v>
      </c>
      <c r="T6" s="18"/>
    </row>
    <row r="7" spans="1:20" x14ac:dyDescent="0.3">
      <c r="B7" s="16" t="s">
        <v>154</v>
      </c>
      <c r="C7" s="15" t="s">
        <v>361</v>
      </c>
      <c r="D7" s="21" t="s">
        <v>28</v>
      </c>
      <c r="E7" s="21" t="s">
        <v>67</v>
      </c>
      <c r="F7" s="117">
        <f>SUM(G7:Q7)</f>
        <v>8.6666830127486087E-4</v>
      </c>
      <c r="G7" s="27">
        <f>'Forage crops, CF'!F59</f>
        <v>3.3552545797205459E-5</v>
      </c>
      <c r="H7" s="27">
        <f>'Forage crops, CF'!G59</f>
        <v>9.5000000000000005E-5</v>
      </c>
      <c r="I7" s="27"/>
      <c r="J7" s="27"/>
      <c r="K7" s="27">
        <f>'Forage crops, CF'!J59</f>
        <v>7.2812328576555162E-6</v>
      </c>
      <c r="L7" s="27"/>
      <c r="M7" s="27">
        <f>'Forage crops, CF'!L59</f>
        <v>2.2834522620000003E-5</v>
      </c>
      <c r="N7" s="27">
        <f>'Forage crops, CF'!M59</f>
        <v>0</v>
      </c>
      <c r="O7" s="27"/>
      <c r="P7" s="27">
        <f>'Forage crops, CF'!O59</f>
        <v>7.0799999999999997E-4</v>
      </c>
      <c r="Q7" s="27"/>
      <c r="R7" s="138">
        <f>'Parameters, country spec'!B17</f>
        <v>0</v>
      </c>
      <c r="S7" s="138">
        <f>'Parameters, country spec'!B35</f>
        <v>0</v>
      </c>
      <c r="T7" s="18"/>
    </row>
    <row r="8" spans="1:20" x14ac:dyDescent="0.3">
      <c r="B8" s="16" t="s">
        <v>362</v>
      </c>
      <c r="C8" s="15" t="s">
        <v>361</v>
      </c>
      <c r="D8" s="21" t="s">
        <v>28</v>
      </c>
      <c r="E8" s="21" t="s">
        <v>67</v>
      </c>
      <c r="F8" s="117">
        <f>SUM(G8:Q8)</f>
        <v>8.3876933352423824E-4</v>
      </c>
      <c r="G8" s="27">
        <f>'Forage crops, CF'!F109*'Forage, input data per ha'!$E$67+'Forage crops, CF'!F159*'Forage, input data per ha'!$G$67</f>
        <v>2.9975882368115792E-5</v>
      </c>
      <c r="H8" s="27">
        <f>'Forage crops, CF'!G109*'Forage, input data per ha'!$E$67+'Forage crops, CF'!G159*'Forage, input data per ha'!$G$67</f>
        <v>9.5000000000000005E-5</v>
      </c>
      <c r="I8" s="27"/>
      <c r="J8" s="27"/>
      <c r="K8" s="27">
        <f>'Forage crops, CF'!J109*'Forage, input data per ha'!$E$67+'Forage crops, CF'!J159*'Forage, input data per ha'!$G$67</f>
        <v>5.7934511561224962E-6</v>
      </c>
      <c r="L8" s="27"/>
      <c r="M8" s="27">
        <f>'Forage crops, CF'!L109*'Forage, input data per ha'!$E$67+'Forage crops, CF'!L159*'Forage, input data per ha'!$G$67</f>
        <v>0</v>
      </c>
      <c r="N8" s="27">
        <f>'Forage crops, CF'!M109*'Forage, input data per ha'!$E$67+'Forage crops, CF'!M159*'Forage, input data per ha'!$G$67</f>
        <v>0</v>
      </c>
      <c r="O8" s="27"/>
      <c r="P8" s="27">
        <f>'Forage crops, CF'!O109*'Forage, input data per ha'!$E$67+'Forage crops, CF'!O159*'Forage, input data per ha'!$G$67</f>
        <v>7.0799999999999997E-4</v>
      </c>
      <c r="Q8" s="27"/>
      <c r="R8" s="138">
        <f>'Parameters, country spec'!B18</f>
        <v>0.28000000000000003</v>
      </c>
      <c r="S8" s="138">
        <f>'Parameters, country spec'!B36</f>
        <v>0.3</v>
      </c>
      <c r="T8" s="18"/>
    </row>
    <row r="9" spans="1:20" x14ac:dyDescent="0.3">
      <c r="A9" s="20" t="s">
        <v>363</v>
      </c>
      <c r="B9" s="15" t="s">
        <v>159</v>
      </c>
      <c r="C9" s="15" t="s">
        <v>364</v>
      </c>
      <c r="D9" s="21" t="s">
        <v>28</v>
      </c>
      <c r="E9" s="21" t="s">
        <v>67</v>
      </c>
      <c r="F9" s="117">
        <f>SUM(G9:Q9)</f>
        <v>2.8210000000000003E-4</v>
      </c>
      <c r="G9" s="92">
        <v>1.4999999999999999E-4</v>
      </c>
      <c r="H9" s="92">
        <v>1E-4</v>
      </c>
      <c r="I9" s="92"/>
      <c r="J9" s="92"/>
      <c r="K9" s="92">
        <v>1.3200000000000001E-5</v>
      </c>
      <c r="L9" s="92"/>
      <c r="M9" s="92">
        <v>9.9999999999999995E-7</v>
      </c>
      <c r="N9" s="92">
        <v>1.7900000000000001E-5</v>
      </c>
      <c r="O9" s="92"/>
      <c r="P9" s="92"/>
      <c r="Q9" s="92"/>
      <c r="R9" s="138">
        <f>'Parameters, country spec'!B19</f>
        <v>0.16</v>
      </c>
      <c r="S9" s="138">
        <f>'Parameters, country spec'!B37</f>
        <v>0.2</v>
      </c>
    </row>
    <row r="10" spans="1:20" x14ac:dyDescent="0.3">
      <c r="A10" s="20" t="s">
        <v>365</v>
      </c>
      <c r="B10" s="15" t="s">
        <v>161</v>
      </c>
      <c r="C10" s="15" t="s">
        <v>364</v>
      </c>
      <c r="D10" s="21" t="s">
        <v>28</v>
      </c>
      <c r="E10" s="21" t="s">
        <v>67</v>
      </c>
      <c r="F10" s="117">
        <f t="shared" ref="F10:F19" si="0">SUM(G10:Q10)</f>
        <v>2.9971000000000002E-4</v>
      </c>
      <c r="G10" s="92">
        <v>1.4999999999999999E-4</v>
      </c>
      <c r="H10" s="92">
        <v>1E-4</v>
      </c>
      <c r="I10" s="92"/>
      <c r="J10" s="92"/>
      <c r="K10" s="92">
        <v>9.0100000000000001E-6</v>
      </c>
      <c r="L10" s="92"/>
      <c r="M10" s="92">
        <v>2.2799999999999999E-5</v>
      </c>
      <c r="N10" s="92">
        <v>1.7900000000000001E-5</v>
      </c>
      <c r="O10" s="92"/>
      <c r="P10" s="92"/>
      <c r="Q10" s="92"/>
      <c r="R10" s="138">
        <f>'Parameters, country spec'!B20</f>
        <v>3.1075970320211814E-4</v>
      </c>
      <c r="S10" s="138">
        <f>'Parameters, country spec'!B38</f>
        <v>3.1075970320211814E-4</v>
      </c>
    </row>
    <row r="11" spans="1:20" x14ac:dyDescent="0.3">
      <c r="A11" s="20" t="s">
        <v>366</v>
      </c>
      <c r="B11" s="15" t="s">
        <v>163</v>
      </c>
      <c r="C11" s="15" t="s">
        <v>364</v>
      </c>
      <c r="D11" s="21" t="s">
        <v>28</v>
      </c>
      <c r="E11" s="21" t="s">
        <v>67</v>
      </c>
      <c r="F11" s="117">
        <f t="shared" si="0"/>
        <v>2.7940000000000002E-4</v>
      </c>
      <c r="G11" s="92">
        <v>1.2999999999999999E-4</v>
      </c>
      <c r="H11" s="92">
        <v>1E-4</v>
      </c>
      <c r="I11" s="92"/>
      <c r="J11" s="92"/>
      <c r="K11" s="92">
        <v>1.8199999999999999E-5</v>
      </c>
      <c r="L11" s="92"/>
      <c r="M11" s="92">
        <v>1.33E-5</v>
      </c>
      <c r="N11" s="92">
        <v>1.7900000000000001E-5</v>
      </c>
      <c r="O11" s="92"/>
      <c r="P11" s="92"/>
      <c r="Q11" s="92"/>
      <c r="R11" s="138">
        <f>'Parameters, country spec'!B21</f>
        <v>8.6733359151412953E-5</v>
      </c>
      <c r="S11" s="138">
        <f>'Parameters, country spec'!B39</f>
        <v>8.6733359151412953E-5</v>
      </c>
    </row>
    <row r="12" spans="1:20" x14ac:dyDescent="0.3">
      <c r="A12" s="20" t="s">
        <v>367</v>
      </c>
      <c r="B12" s="15" t="s">
        <v>165</v>
      </c>
      <c r="C12" s="15" t="s">
        <v>364</v>
      </c>
      <c r="D12" s="21" t="s">
        <v>28</v>
      </c>
      <c r="E12" s="21" t="s">
        <v>67</v>
      </c>
      <c r="F12" s="117">
        <f t="shared" si="0"/>
        <v>2.5635100000000004E-4</v>
      </c>
      <c r="G12" s="92">
        <v>1.2E-4</v>
      </c>
      <c r="H12" s="92">
        <v>1E-4</v>
      </c>
      <c r="I12" s="92"/>
      <c r="J12" s="92"/>
      <c r="K12" s="92">
        <v>1.8199999999999999E-5</v>
      </c>
      <c r="L12" s="92"/>
      <c r="M12" s="92">
        <v>2.5100000000000001E-7</v>
      </c>
      <c r="N12" s="92">
        <v>1.7900000000000001E-5</v>
      </c>
      <c r="O12" s="92"/>
      <c r="P12" s="92"/>
      <c r="Q12" s="92"/>
      <c r="R12" s="138">
        <f>'Parameters, country spec'!B22</f>
        <v>6.2924072151971947E-5</v>
      </c>
      <c r="S12" s="138">
        <f>'Parameters, country spec'!B40</f>
        <v>6.2924072151971947E-5</v>
      </c>
    </row>
    <row r="13" spans="1:20" x14ac:dyDescent="0.3">
      <c r="A13" s="20" t="s">
        <v>368</v>
      </c>
      <c r="B13" s="15" t="s">
        <v>167</v>
      </c>
      <c r="C13" s="15" t="s">
        <v>364</v>
      </c>
      <c r="D13" s="21" t="s">
        <v>28</v>
      </c>
      <c r="E13" s="21" t="s">
        <v>67</v>
      </c>
      <c r="F13" s="117">
        <f t="shared" si="0"/>
        <v>3.0055300000000001E-4</v>
      </c>
      <c r="G13" s="92">
        <v>1.7000000000000001E-4</v>
      </c>
      <c r="H13" s="92">
        <v>1E-4</v>
      </c>
      <c r="I13" s="92"/>
      <c r="J13" s="92"/>
      <c r="K13" s="92">
        <v>1.19E-5</v>
      </c>
      <c r="L13" s="92"/>
      <c r="M13" s="92">
        <v>7.5300000000000003E-7</v>
      </c>
      <c r="N13" s="92">
        <v>1.7900000000000001E-5</v>
      </c>
      <c r="O13" s="92"/>
      <c r="P13" s="92"/>
      <c r="Q13" s="92"/>
      <c r="R13" s="138">
        <f>'Parameters, country spec'!B23</f>
        <v>0.20500000000000002</v>
      </c>
      <c r="S13" s="138">
        <f>'Parameters, country spec'!B41</f>
        <v>0.2</v>
      </c>
    </row>
    <row r="14" spans="1:20" x14ac:dyDescent="0.3">
      <c r="A14" s="20" t="s">
        <v>369</v>
      </c>
      <c r="B14" s="15" t="s">
        <v>168</v>
      </c>
      <c r="C14" s="15" t="s">
        <v>370</v>
      </c>
      <c r="D14" s="21" t="s">
        <v>28</v>
      </c>
      <c r="E14" s="21" t="s">
        <v>67</v>
      </c>
      <c r="F14" s="117">
        <f t="shared" si="0"/>
        <v>1.4692000000000001E-4</v>
      </c>
      <c r="G14" s="92">
        <v>0</v>
      </c>
      <c r="H14" s="92">
        <v>1E-4</v>
      </c>
      <c r="I14" s="92"/>
      <c r="J14" s="92"/>
      <c r="K14" s="92">
        <v>2.2500000000000001E-5</v>
      </c>
      <c r="L14" s="92"/>
      <c r="M14" s="92">
        <v>6.5200000000000003E-6</v>
      </c>
      <c r="N14" s="92">
        <v>1.7900000000000001E-5</v>
      </c>
      <c r="O14" s="92"/>
      <c r="P14" s="92"/>
      <c r="Q14" s="92"/>
      <c r="R14" s="138">
        <f>'Parameters, country spec'!B24</f>
        <v>2.439015630520557E-4</v>
      </c>
      <c r="S14" s="138">
        <f>'Parameters, country spec'!B42</f>
        <v>2.439015630520557E-4</v>
      </c>
    </row>
    <row r="15" spans="1:20" x14ac:dyDescent="0.3">
      <c r="A15" s="20" t="s">
        <v>371</v>
      </c>
      <c r="B15" s="15" t="s">
        <v>170</v>
      </c>
      <c r="C15" s="15" t="s">
        <v>370</v>
      </c>
      <c r="D15" s="21" t="s">
        <v>28</v>
      </c>
      <c r="E15" s="21" t="s">
        <v>67</v>
      </c>
      <c r="F15" s="117">
        <f t="shared" si="0"/>
        <v>1.674E-4</v>
      </c>
      <c r="G15" s="92">
        <v>7.5000000000000002E-6</v>
      </c>
      <c r="H15" s="92">
        <v>1E-4</v>
      </c>
      <c r="I15" s="92"/>
      <c r="J15" s="92"/>
      <c r="K15" s="92">
        <v>3.0700000000000001E-5</v>
      </c>
      <c r="L15" s="92"/>
      <c r="M15" s="92">
        <v>1.13E-5</v>
      </c>
      <c r="N15" s="92">
        <v>1.7900000000000001E-5</v>
      </c>
      <c r="O15" s="92"/>
      <c r="P15" s="92"/>
      <c r="Q15" s="92"/>
      <c r="R15" s="138">
        <f>'Parameters, country spec'!B25</f>
        <v>2.3959170998341588E-4</v>
      </c>
      <c r="S15" s="138">
        <f>'Parameters, country spec'!B43</f>
        <v>2.3959170998341588E-4</v>
      </c>
    </row>
    <row r="16" spans="1:20" x14ac:dyDescent="0.3">
      <c r="B16" s="16" t="s">
        <v>171</v>
      </c>
      <c r="C16" s="15" t="s">
        <v>372</v>
      </c>
      <c r="D16" s="21" t="s">
        <v>28</v>
      </c>
      <c r="E16" s="21" t="s">
        <v>67</v>
      </c>
      <c r="F16" s="117">
        <f t="shared" si="0"/>
        <v>4.6478527325651394E-4</v>
      </c>
      <c r="G16" s="27">
        <f>'Off-farm feed'!$F$75</f>
        <v>3.0425509539765719E-4</v>
      </c>
      <c r="H16" s="27">
        <f>'Off-farm feed'!$G$75</f>
        <v>4.5862068965517246E-5</v>
      </c>
      <c r="I16" s="27"/>
      <c r="J16" s="27"/>
      <c r="K16" s="27">
        <f>'Off-farm feed'!$J$75</f>
        <v>1.0936279334641699E-5</v>
      </c>
      <c r="L16" s="27"/>
      <c r="M16" s="27">
        <f>'Off-farm feed'!$L$75</f>
        <v>6.4606960551724142E-7</v>
      </c>
      <c r="N16" s="27">
        <f>'Off-farm feed'!$M$75</f>
        <v>2.1884761697575221E-5</v>
      </c>
      <c r="O16" s="27"/>
      <c r="P16" s="27">
        <f>'Off-farm feed'!$O$75</f>
        <v>5.7027085212127035E-5</v>
      </c>
      <c r="Q16" s="27">
        <f>'Off-farm feed'!$P$75</f>
        <v>2.4173913043478263E-5</v>
      </c>
      <c r="R16" s="138">
        <f>'Parameters, country spec'!B26</f>
        <v>0.09</v>
      </c>
      <c r="S16" s="138">
        <f>'Parameters, country spec'!B44</f>
        <v>0.06</v>
      </c>
    </row>
    <row r="17" spans="1:20" x14ac:dyDescent="0.3">
      <c r="B17" s="16" t="s">
        <v>373</v>
      </c>
      <c r="C17" s="15" t="s">
        <v>372</v>
      </c>
      <c r="D17" s="21" t="s">
        <v>28</v>
      </c>
      <c r="E17" s="21" t="s">
        <v>67</v>
      </c>
      <c r="F17" s="117">
        <f t="shared" si="0"/>
        <v>4.7266553697523981E-4</v>
      </c>
      <c r="G17" s="27">
        <f>'Off-farm feed'!$F$24</f>
        <v>1.5603516238625262E-5</v>
      </c>
      <c r="H17" s="27">
        <f>'Off-farm feed'!$G$24</f>
        <v>7.5304878048780503E-5</v>
      </c>
      <c r="I17" s="27"/>
      <c r="J17" s="27"/>
      <c r="K17" s="27">
        <f>'Off-farm feed'!$J$24</f>
        <v>1.908459074435586E-5</v>
      </c>
      <c r="L17" s="27"/>
      <c r="M17" s="27">
        <f>'Off-farm feed'!$L$24</f>
        <v>5.9672097439024396E-7</v>
      </c>
      <c r="N17" s="27">
        <f>'Off-farm feed'!$M$24</f>
        <v>2.3084271612619523E-5</v>
      </c>
      <c r="O17" s="27"/>
      <c r="P17" s="27">
        <f>'Off-farm feed'!$O$24</f>
        <v>1.2899155935646844E-4</v>
      </c>
      <c r="Q17" s="27">
        <f>'Off-farm feed'!$P$24</f>
        <v>2.1000000000000001E-4</v>
      </c>
      <c r="R17" s="138">
        <f>'Parameters, country spec'!B27</f>
        <v>9.5000000000000001E-2</v>
      </c>
      <c r="S17" s="138">
        <f>'Parameters, country spec'!B45</f>
        <v>7.0000000000000007E-2</v>
      </c>
    </row>
    <row r="18" spans="1:20" x14ac:dyDescent="0.3">
      <c r="B18" s="15" t="s">
        <v>173</v>
      </c>
      <c r="C18" s="15" t="s">
        <v>374</v>
      </c>
      <c r="D18" s="21" t="s">
        <v>28</v>
      </c>
      <c r="E18" s="21" t="s">
        <v>67</v>
      </c>
      <c r="F18" s="354">
        <f t="shared" si="0"/>
        <v>4.6000977921061839E-4</v>
      </c>
      <c r="G18" s="92">
        <v>8.6947637393862496E-5</v>
      </c>
      <c r="H18" s="92">
        <v>4.7537999999999998E-5</v>
      </c>
      <c r="I18" s="42"/>
      <c r="J18" s="42"/>
      <c r="K18" s="92">
        <v>1.5728572781534499E-5</v>
      </c>
      <c r="L18" s="42"/>
      <c r="M18" s="42"/>
      <c r="N18" s="92"/>
      <c r="O18" s="92"/>
      <c r="P18" s="92">
        <v>3.05272119125027E-4</v>
      </c>
      <c r="Q18" s="92">
        <v>4.5234499101943599E-6</v>
      </c>
      <c r="R18" s="138">
        <f>'Parameters, country spec'!B28</f>
        <v>9.5000000000000001E-2</v>
      </c>
      <c r="S18" s="138">
        <f>'Parameters, country spec'!B46</f>
        <v>0.14000000000000001</v>
      </c>
    </row>
    <row r="19" spans="1:20" x14ac:dyDescent="0.3">
      <c r="A19" s="74"/>
      <c r="B19" s="15" t="s">
        <v>375</v>
      </c>
      <c r="C19" s="75" t="s">
        <v>376</v>
      </c>
      <c r="D19" s="21" t="s">
        <v>28</v>
      </c>
      <c r="E19" s="21" t="s">
        <v>67</v>
      </c>
      <c r="F19" s="117">
        <f t="shared" si="0"/>
        <v>1.9369270901564272E-4</v>
      </c>
      <c r="G19" s="73">
        <f>SUMPRODUCT(G9:G17,$R9:$R17)</f>
        <v>8.7782529747111677E-5</v>
      </c>
      <c r="H19" s="73">
        <f t="shared" ref="H19:P19" si="1">SUMPRODUCT(H9:H17,$R9:$R17)</f>
        <v>4.7875940662284798E-5</v>
      </c>
      <c r="I19" s="73">
        <f t="shared" si="1"/>
        <v>0</v>
      </c>
      <c r="J19" s="73">
        <f t="shared" si="1"/>
        <v>0</v>
      </c>
      <c r="K19" s="73">
        <f t="shared" si="1"/>
        <v>7.3671682216722945E-6</v>
      </c>
      <c r="L19" s="73">
        <f t="shared" si="1"/>
        <v>0</v>
      </c>
      <c r="M19" s="73">
        <f t="shared" si="1"/>
        <v>4.4175205042936912E-7</v>
      </c>
      <c r="N19" s="73">
        <f t="shared" si="1"/>
        <v>1.0713030352275608E-5</v>
      </c>
      <c r="O19" s="73">
        <f t="shared" si="1"/>
        <v>0</v>
      </c>
      <c r="P19" s="73">
        <f t="shared" si="1"/>
        <v>1.7386635807955936E-5</v>
      </c>
      <c r="Q19" s="73">
        <f>SUMPRODUCT(Q9:Q17,$R9:$R17)</f>
        <v>2.2125652173913045E-5</v>
      </c>
      <c r="R19" s="138">
        <f>'Parameters, country spec'!B29</f>
        <v>7.0000000000000007E-2</v>
      </c>
      <c r="S19" s="138">
        <f>'Parameters, country spec'!B47</f>
        <v>0.03</v>
      </c>
    </row>
    <row r="20" spans="1:20" x14ac:dyDescent="0.3">
      <c r="A20" s="287"/>
      <c r="B20" s="288" t="s">
        <v>377</v>
      </c>
      <c r="C20" s="289"/>
      <c r="D20" s="290"/>
      <c r="E20" s="290"/>
      <c r="F20" s="293">
        <f>SUMPRODUCT(F6:F8,R6:R8)+SUMPRODUCT(F9:F19,R9:R19)/0.87</f>
        <v>5.2330613484856425E-4</v>
      </c>
      <c r="G20" s="293">
        <f>SUMPRODUCT(G6:G8,R6:R8)+SUMPRODUCT(G9:G19,R9:R19)/0.87</f>
        <v>1.2584995095022924E-4</v>
      </c>
      <c r="H20" s="293">
        <f>SUMPRODUCT(H6:H8,R6:R8)+SUMPRODUCT(H9:H19,R9:R19)/0.87</f>
        <v>9.0672835067407749E-5</v>
      </c>
      <c r="I20" s="293">
        <f>SUMPRODUCT(I6:I8,R6:R8)+SUMPRODUCT(I9:I19,R9:R19)/0.87</f>
        <v>0</v>
      </c>
      <c r="J20" s="293">
        <f>SUMPRODUCT(J6:J8,R6:R8)+SUMPRODUCT(J9:J19,R9:R19)/0.87</f>
        <v>0</v>
      </c>
      <c r="K20" s="293">
        <f>SUMPRODUCT(K6:K8,R6:R8)+SUMPRODUCT(K9:K19,R9:R19)/0.87</f>
        <v>1.2400424267892613E-5</v>
      </c>
      <c r="L20" s="293">
        <f>SUMPRODUCT(L6:L8,R6:R8)+SUMPRODUCT(L9:L19,R9:R19)/0.87</f>
        <v>0</v>
      </c>
      <c r="M20" s="293">
        <f>SUMPRODUCT(M6:M8,R6:R8)+SUMPRODUCT(M9:M19,R9:R19)/0.87</f>
        <v>5.4330424593037347E-7</v>
      </c>
      <c r="N20" s="293">
        <f>SUMPRODUCT(N6:N8,R6:R8)+SUMPRODUCT(N9:N19,R9:R19)/0.87</f>
        <v>1.3175795950499887E-5</v>
      </c>
      <c r="O20" s="293">
        <f>SUMPRODUCT(O6:O8,R6:R8)+SUMPRODUCT(O9:O19,R9:R19)/0.87</f>
        <v>0</v>
      </c>
      <c r="P20" s="293">
        <f>SUMPRODUCT(P6:P8,R6:R8)+SUMPRODUCT(P9:P19,R9:R19)/0.87</f>
        <v>2.5295787543837977E-4</v>
      </c>
      <c r="Q20" s="293">
        <f>SUMPRODUCT(Q6:Q8,R6:R8)+SUMPRODUCT(Q9:Q19,R9:R19)/0.87</f>
        <v>2.7705948928224623E-5</v>
      </c>
      <c r="R20" s="294"/>
      <c r="S20" s="295"/>
    </row>
    <row r="21" spans="1:20" x14ac:dyDescent="0.3">
      <c r="A21" s="137"/>
      <c r="B21" s="23" t="s">
        <v>381</v>
      </c>
      <c r="C21" s="24"/>
      <c r="D21" s="93"/>
      <c r="E21" s="93"/>
      <c r="F21" s="28">
        <f>SUMPRODUCT(F6:F8,S6:S8)+SUMPRODUCT(F9:F19,S9:S19)/0.87</f>
        <v>5.3660309632568774E-4</v>
      </c>
      <c r="G21" s="28">
        <f>SUMPRODUCT(G6:G8,S6:S8)+SUMPRODUCT(G9:G19,S9:S19)/0.87</f>
        <v>1.2189039012051569E-4</v>
      </c>
      <c r="H21" s="28">
        <f>SUMPRODUCT(H6:H8,S6:S8)+SUMPRODUCT(H9:H19,S9:S19)/0.87</f>
        <v>9.3108109036745186E-5</v>
      </c>
      <c r="I21" s="28">
        <f>SUMPRODUCT(I6:I8,S6:S8)+SUMPRODUCT(I9:I19,S9:S19)/0.87</f>
        <v>0</v>
      </c>
      <c r="J21" s="28">
        <f>SUMPRODUCT(J6:J8,S6:S8)+SUMPRODUCT(J9:J19,S9:S19)/0.87</f>
        <v>0</v>
      </c>
      <c r="K21" s="28">
        <f>SUMPRODUCT(K6:K8,S6:S8)+SUMPRODUCT(K9:K19,S9:S19)/0.87</f>
        <v>1.2604104667628871E-5</v>
      </c>
      <c r="L21" s="28">
        <f>SUMPRODUCT(L6:L8,S6:S8)+SUMPRODUCT(L9:L19,S9:S19)/0.87</f>
        <v>0</v>
      </c>
      <c r="M21" s="28">
        <f>SUMPRODUCT(M6:M8,S6:S8)+SUMPRODUCT(M9:M19,S9:S19)/0.87</f>
        <v>5.2521781542181246E-7</v>
      </c>
      <c r="N21" s="28">
        <f>SUMPRODUCT(N6:N8,S6:S8)+SUMPRODUCT(N9:N19,S9:S19)/0.87</f>
        <v>1.1985369680001303E-5</v>
      </c>
      <c r="O21" s="28">
        <f>SUMPRODUCT(O6:O8,S6:S8)+SUMPRODUCT(O9:O19,S9:S19)/0.87</f>
        <v>0</v>
      </c>
      <c r="P21" s="28">
        <f>SUMPRODUCT(P6:P8,S6:S8)+SUMPRODUCT(P9:P19,S9:S19)/0.87</f>
        <v>2.7643532186140559E-4</v>
      </c>
      <c r="Q21" s="28">
        <f>SUMPRODUCT(Q6:Q8,S6:S8)+SUMPRODUCT(Q9:Q19,S9:S19)/0.87</f>
        <v>2.0054583143969312E-5</v>
      </c>
      <c r="R21" s="139"/>
      <c r="S21" s="139"/>
    </row>
    <row r="22" spans="1:20" x14ac:dyDescent="0.3">
      <c r="B22" s="16" t="s">
        <v>152</v>
      </c>
      <c r="C22" s="15" t="s">
        <v>361</v>
      </c>
      <c r="D22" s="21" t="s">
        <v>25</v>
      </c>
      <c r="E22" s="21" t="s">
        <v>68</v>
      </c>
      <c r="F22" s="117">
        <f>SUM(G22:Q22)</f>
        <v>1.3959717150898213E-4</v>
      </c>
      <c r="G22" s="27">
        <f>'Forage crops, CF'!F14</f>
        <v>3.8766361483709314E-5</v>
      </c>
      <c r="H22" s="27">
        <f>'Forage crops, CF'!G14</f>
        <v>9.5000000000000005E-5</v>
      </c>
      <c r="I22" s="27">
        <f>'Forage crops, CF'!H14</f>
        <v>0</v>
      </c>
      <c r="J22" s="27">
        <f>'Forage crops, CF'!I14</f>
        <v>0</v>
      </c>
      <c r="K22" s="27">
        <f>'Forage crops, CF'!J14</f>
        <v>5.8308100252728102E-6</v>
      </c>
      <c r="L22" s="27">
        <f>'Forage crops, CF'!K14</f>
        <v>0</v>
      </c>
      <c r="M22" s="27">
        <f>'Forage crops, CF'!L14</f>
        <v>0</v>
      </c>
      <c r="N22" s="27">
        <f>'Forage crops, CF'!M14</f>
        <v>0</v>
      </c>
      <c r="O22" s="27">
        <f>'Forage crops, CF'!N14</f>
        <v>0</v>
      </c>
      <c r="P22" s="27">
        <f>'Forage crops, CF'!O14</f>
        <v>0</v>
      </c>
      <c r="Q22" s="27">
        <f>'Forage crops, CF'!P14</f>
        <v>0</v>
      </c>
      <c r="R22" s="138">
        <f>'Parameters, country spec'!C16</f>
        <v>0</v>
      </c>
      <c r="S22" s="138">
        <f>'Parameters, country spec'!C34</f>
        <v>0</v>
      </c>
      <c r="T22" s="18"/>
    </row>
    <row r="23" spans="1:20" x14ac:dyDescent="0.3">
      <c r="B23" s="16" t="s">
        <v>154</v>
      </c>
      <c r="C23" s="15" t="s">
        <v>361</v>
      </c>
      <c r="D23" s="21" t="s">
        <v>25</v>
      </c>
      <c r="E23" s="21" t="s">
        <v>68</v>
      </c>
      <c r="F23" s="117">
        <f>SUM(G23:Q23)</f>
        <v>8.3667253398757248E-4</v>
      </c>
      <c r="G23" s="27">
        <f>'Forage crops, CF'!F64</f>
        <v>2.2474024037107735E-5</v>
      </c>
      <c r="H23" s="27">
        <f>'Forage crops, CF'!G64</f>
        <v>9.5000000000000005E-5</v>
      </c>
      <c r="I23" s="27"/>
      <c r="J23" s="27"/>
      <c r="K23" s="27">
        <f>'Forage crops, CF'!J64</f>
        <v>5.9290047304648054E-6</v>
      </c>
      <c r="L23" s="27"/>
      <c r="M23" s="27">
        <f>'Forage crops, CF'!L64</f>
        <v>5.26950522E-6</v>
      </c>
      <c r="N23" s="27">
        <f>'Forage crops, CF'!M64</f>
        <v>0</v>
      </c>
      <c r="O23" s="27"/>
      <c r="P23" s="27">
        <f>'Forage crops, CF'!O64</f>
        <v>7.0799999999999997E-4</v>
      </c>
      <c r="Q23" s="27"/>
      <c r="R23" s="138">
        <f>'Parameters, country spec'!C17</f>
        <v>0</v>
      </c>
      <c r="S23" s="138">
        <f>'Parameters, country spec'!C35</f>
        <v>0</v>
      </c>
      <c r="T23" s="18"/>
    </row>
    <row r="24" spans="1:20" x14ac:dyDescent="0.3">
      <c r="B24" s="16" t="s">
        <v>362</v>
      </c>
      <c r="C24" s="15" t="s">
        <v>361</v>
      </c>
      <c r="D24" s="21" t="s">
        <v>25</v>
      </c>
      <c r="E24" s="21" t="s">
        <v>68</v>
      </c>
      <c r="F24" s="117">
        <f>SUM(G24:Q24)</f>
        <v>8.4256424429798014E-4</v>
      </c>
      <c r="G24" s="27">
        <f>'Forage crops, CF'!F114*'Forage, input data per ha'!$E$68+'Forage crops, CF'!F164*'Forage, input data per ha'!$G$68</f>
        <v>3.3509059208259762E-5</v>
      </c>
      <c r="H24" s="27">
        <f>'Forage crops, CF'!G114*'Forage, input data per ha'!$E$68+'Forage crops, CF'!G164*'Forage, input data per ha'!$G$68</f>
        <v>9.5000000000000005E-5</v>
      </c>
      <c r="I24" s="27"/>
      <c r="J24" s="27"/>
      <c r="K24" s="27">
        <f>'Forage crops, CF'!J114*'Forage, input data per ha'!$E$68+'Forage crops, CF'!J164*'Forage, input data per ha'!$G$68</f>
        <v>6.0551850897204147E-6</v>
      </c>
      <c r="L24" s="27"/>
      <c r="M24" s="27">
        <f>'Forage crops, CF'!L114*'Forage, input data per ha'!$E$68+'Forage crops, CF'!L164*'Forage, input data per ha'!$G$68</f>
        <v>0</v>
      </c>
      <c r="N24" s="27">
        <f>'Forage crops, CF'!M114*'Forage, input data per ha'!$E$68+'Forage crops, CF'!M164*'Forage, input data per ha'!$G$68</f>
        <v>0</v>
      </c>
      <c r="O24" s="27"/>
      <c r="P24" s="27">
        <f>'Forage crops, CF'!O114*'Forage, input data per ha'!$E$68+'Forage crops, CF'!O164*'Forage, input data per ha'!$G$68</f>
        <v>7.0799999999999997E-4</v>
      </c>
      <c r="Q24" s="27"/>
      <c r="R24" s="138">
        <f>'Parameters, country spec'!C18</f>
        <v>0.28000000000000003</v>
      </c>
      <c r="S24" s="138">
        <f>'Parameters, country spec'!C36</f>
        <v>0.3</v>
      </c>
      <c r="T24" s="18"/>
    </row>
    <row r="25" spans="1:20" x14ac:dyDescent="0.3">
      <c r="A25" s="20" t="s">
        <v>363</v>
      </c>
      <c r="B25" s="15" t="s">
        <v>159</v>
      </c>
      <c r="C25" s="15" t="s">
        <v>364</v>
      </c>
      <c r="D25" s="21" t="s">
        <v>25</v>
      </c>
      <c r="E25" s="21" t="s">
        <v>68</v>
      </c>
      <c r="F25" s="117">
        <f>SUM(G25:Q25)</f>
        <v>2.9299999999999997E-4</v>
      </c>
      <c r="G25" s="92">
        <v>1.4999999999999999E-4</v>
      </c>
      <c r="H25" s="92">
        <v>1E-4</v>
      </c>
      <c r="I25" s="92"/>
      <c r="J25" s="92"/>
      <c r="K25" s="92">
        <v>1.27E-5</v>
      </c>
      <c r="L25" s="92"/>
      <c r="M25" s="92">
        <v>0</v>
      </c>
      <c r="N25" s="92">
        <v>3.0300000000000001E-5</v>
      </c>
      <c r="O25" s="92"/>
      <c r="P25" s="92"/>
      <c r="Q25" s="92"/>
      <c r="R25" s="138">
        <f>'Parameters, country spec'!C19</f>
        <v>0.16</v>
      </c>
      <c r="S25" s="138">
        <f>'Parameters, country spec'!C37</f>
        <v>0.2</v>
      </c>
    </row>
    <row r="26" spans="1:20" x14ac:dyDescent="0.3">
      <c r="A26" s="20" t="s">
        <v>365</v>
      </c>
      <c r="B26" s="15" t="s">
        <v>161</v>
      </c>
      <c r="C26" s="15" t="s">
        <v>364</v>
      </c>
      <c r="D26" s="21" t="s">
        <v>25</v>
      </c>
      <c r="E26" s="21" t="s">
        <v>68</v>
      </c>
      <c r="F26" s="117">
        <f t="shared" ref="F26:F35" si="2">SUM(G26:Q26)</f>
        <v>2.9417999999999995E-4</v>
      </c>
      <c r="G26" s="92">
        <v>1.4999999999999999E-4</v>
      </c>
      <c r="H26" s="92">
        <v>1E-4</v>
      </c>
      <c r="I26" s="92"/>
      <c r="J26" s="92"/>
      <c r="K26" s="92">
        <v>8.6100000000000006E-6</v>
      </c>
      <c r="L26" s="92"/>
      <c r="M26" s="92">
        <v>5.2700000000000004E-6</v>
      </c>
      <c r="N26" s="92">
        <v>3.0300000000000001E-5</v>
      </c>
      <c r="O26" s="92"/>
      <c r="P26" s="92"/>
      <c r="Q26" s="92"/>
      <c r="R26" s="138">
        <f>'Parameters, country spec'!C20</f>
        <v>3.1075970320211814E-4</v>
      </c>
      <c r="S26" s="138">
        <f>'Parameters, country spec'!C38</f>
        <v>3.1075970320211814E-4</v>
      </c>
    </row>
    <row r="27" spans="1:20" x14ac:dyDescent="0.3">
      <c r="A27" s="20" t="s">
        <v>366</v>
      </c>
      <c r="B27" s="15" t="s">
        <v>163</v>
      </c>
      <c r="C27" s="15" t="s">
        <v>364</v>
      </c>
      <c r="D27" s="21" t="s">
        <v>25</v>
      </c>
      <c r="E27" s="21" t="s">
        <v>68</v>
      </c>
      <c r="F27" s="117">
        <f t="shared" si="2"/>
        <v>2.8010000000000003E-4</v>
      </c>
      <c r="G27" s="92">
        <v>1.2999999999999999E-4</v>
      </c>
      <c r="H27" s="92">
        <v>1E-4</v>
      </c>
      <c r="I27" s="92"/>
      <c r="J27" s="92"/>
      <c r="K27" s="92">
        <v>1.88E-5</v>
      </c>
      <c r="L27" s="92"/>
      <c r="M27" s="92">
        <v>9.9999999999999995E-7</v>
      </c>
      <c r="N27" s="92">
        <v>3.0300000000000001E-5</v>
      </c>
      <c r="O27" s="92"/>
      <c r="P27" s="92"/>
      <c r="Q27" s="92"/>
      <c r="R27" s="138">
        <f>'Parameters, country spec'!C21</f>
        <v>8.6733359151412953E-5</v>
      </c>
      <c r="S27" s="138">
        <f>'Parameters, country spec'!C39</f>
        <v>8.6733359151412953E-5</v>
      </c>
    </row>
    <row r="28" spans="1:20" x14ac:dyDescent="0.3">
      <c r="A28" s="20" t="s">
        <v>367</v>
      </c>
      <c r="B28" s="15" t="s">
        <v>165</v>
      </c>
      <c r="C28" s="15" t="s">
        <v>364</v>
      </c>
      <c r="D28" s="21" t="s">
        <v>25</v>
      </c>
      <c r="E28" s="21" t="s">
        <v>68</v>
      </c>
      <c r="F28" s="117">
        <f t="shared" si="2"/>
        <v>2.6639999999999997E-4</v>
      </c>
      <c r="G28" s="92">
        <v>1.2E-4</v>
      </c>
      <c r="H28" s="92">
        <v>1E-4</v>
      </c>
      <c r="I28" s="92"/>
      <c r="J28" s="92"/>
      <c r="K28" s="92">
        <v>1.6099999999999998E-5</v>
      </c>
      <c r="L28" s="92"/>
      <c r="M28" s="92">
        <v>0</v>
      </c>
      <c r="N28" s="92">
        <v>3.0300000000000001E-5</v>
      </c>
      <c r="O28" s="92"/>
      <c r="P28" s="92"/>
      <c r="Q28" s="92"/>
      <c r="R28" s="138">
        <f>'Parameters, country spec'!C22</f>
        <v>6.2924072151971947E-5</v>
      </c>
      <c r="S28" s="138">
        <f>'Parameters, country spec'!C40</f>
        <v>6.2924072151971947E-5</v>
      </c>
    </row>
    <row r="29" spans="1:20" x14ac:dyDescent="0.3">
      <c r="A29" s="20" t="s">
        <v>368</v>
      </c>
      <c r="B29" s="15" t="s">
        <v>167</v>
      </c>
      <c r="C29" s="15" t="s">
        <v>364</v>
      </c>
      <c r="D29" s="21" t="s">
        <v>25</v>
      </c>
      <c r="E29" s="21" t="s">
        <v>68</v>
      </c>
      <c r="F29" s="117">
        <f t="shared" si="2"/>
        <v>3.1195099999999998E-4</v>
      </c>
      <c r="G29" s="92">
        <v>1.7000000000000001E-4</v>
      </c>
      <c r="H29" s="92">
        <v>1E-4</v>
      </c>
      <c r="I29" s="92"/>
      <c r="J29" s="92"/>
      <c r="K29" s="92">
        <v>1.1399999999999999E-5</v>
      </c>
      <c r="L29" s="92"/>
      <c r="M29" s="92">
        <v>2.5100000000000001E-7</v>
      </c>
      <c r="N29" s="92">
        <v>3.0300000000000001E-5</v>
      </c>
      <c r="O29" s="92"/>
      <c r="P29" s="92"/>
      <c r="Q29" s="92"/>
      <c r="R29" s="138">
        <f>'Parameters, country spec'!C23</f>
        <v>0.20500000000000002</v>
      </c>
      <c r="S29" s="138">
        <f>'Parameters, country spec'!C41</f>
        <v>0.2</v>
      </c>
    </row>
    <row r="30" spans="1:20" x14ac:dyDescent="0.3">
      <c r="A30" s="20" t="s">
        <v>369</v>
      </c>
      <c r="B30" s="15" t="s">
        <v>168</v>
      </c>
      <c r="C30" s="15" t="s">
        <v>370</v>
      </c>
      <c r="D30" s="21" t="s">
        <v>25</v>
      </c>
      <c r="E30" s="21" t="s">
        <v>68</v>
      </c>
      <c r="F30" s="117">
        <f t="shared" si="2"/>
        <v>1.5420200000000001E-4</v>
      </c>
      <c r="G30" s="92">
        <v>0</v>
      </c>
      <c r="H30" s="92">
        <v>1E-4</v>
      </c>
      <c r="I30" s="92"/>
      <c r="J30" s="92"/>
      <c r="K30" s="92">
        <v>2.34E-5</v>
      </c>
      <c r="L30" s="92"/>
      <c r="M30" s="92">
        <v>5.0200000000000002E-7</v>
      </c>
      <c r="N30" s="92">
        <v>3.0300000000000001E-5</v>
      </c>
      <c r="O30" s="92"/>
      <c r="P30" s="92"/>
      <c r="Q30" s="92"/>
      <c r="R30" s="138">
        <f>'Parameters, country spec'!C24</f>
        <v>2.439015630520557E-4</v>
      </c>
      <c r="S30" s="138">
        <f>'Parameters, country spec'!C42</f>
        <v>2.439015630520557E-4</v>
      </c>
    </row>
    <row r="31" spans="1:20" x14ac:dyDescent="0.3">
      <c r="A31" s="20" t="s">
        <v>371</v>
      </c>
      <c r="B31" s="15" t="s">
        <v>170</v>
      </c>
      <c r="C31" s="15" t="s">
        <v>370</v>
      </c>
      <c r="D31" s="21" t="s">
        <v>25</v>
      </c>
      <c r="E31" s="21" t="s">
        <v>68</v>
      </c>
      <c r="F31" s="117">
        <f t="shared" si="2"/>
        <v>1.7880000000000004E-4</v>
      </c>
      <c r="G31" s="92">
        <v>7.5000000000000002E-6</v>
      </c>
      <c r="H31" s="92">
        <v>1E-4</v>
      </c>
      <c r="I31" s="92"/>
      <c r="J31" s="92"/>
      <c r="K31" s="92">
        <v>2.0400000000000001E-5</v>
      </c>
      <c r="L31" s="92"/>
      <c r="M31" s="92">
        <v>2.0599999999999999E-5</v>
      </c>
      <c r="N31" s="92">
        <v>3.0300000000000001E-5</v>
      </c>
      <c r="O31" s="92"/>
      <c r="P31" s="92"/>
      <c r="Q31" s="92"/>
      <c r="R31" s="138">
        <f>'Parameters, country spec'!C25</f>
        <v>2.3959170998341588E-4</v>
      </c>
      <c r="S31" s="138">
        <f>'Parameters, country spec'!C43</f>
        <v>2.3959170998341588E-4</v>
      </c>
    </row>
    <row r="32" spans="1:20" x14ac:dyDescent="0.3">
      <c r="B32" s="16" t="s">
        <v>171</v>
      </c>
      <c r="C32" s="15" t="s">
        <v>372</v>
      </c>
      <c r="D32" s="21" t="s">
        <v>25</v>
      </c>
      <c r="E32" s="21" t="s">
        <v>68</v>
      </c>
      <c r="F32" s="117">
        <f t="shared" si="2"/>
        <v>4.6478527325651394E-4</v>
      </c>
      <c r="G32" s="27">
        <f>'Off-farm feed'!$F$75</f>
        <v>3.0425509539765719E-4</v>
      </c>
      <c r="H32" s="27">
        <f>'Off-farm feed'!$G$75</f>
        <v>4.5862068965517246E-5</v>
      </c>
      <c r="I32" s="27"/>
      <c r="J32" s="27"/>
      <c r="K32" s="27">
        <f>'Off-farm feed'!$J$75</f>
        <v>1.0936279334641699E-5</v>
      </c>
      <c r="L32" s="27"/>
      <c r="M32" s="27">
        <f>'Off-farm feed'!$L$75</f>
        <v>6.4606960551724142E-7</v>
      </c>
      <c r="N32" s="27">
        <f>'Off-farm feed'!$M$75</f>
        <v>2.1884761697575221E-5</v>
      </c>
      <c r="O32" s="27"/>
      <c r="P32" s="27">
        <f>'Off-farm feed'!$O$75</f>
        <v>5.7027085212127035E-5</v>
      </c>
      <c r="Q32" s="27">
        <f>'Off-farm feed'!$P$75</f>
        <v>2.4173913043478263E-5</v>
      </c>
      <c r="R32" s="138">
        <f>'Parameters, country spec'!C26</f>
        <v>0.09</v>
      </c>
      <c r="S32" s="138">
        <f>'Parameters, country spec'!C44</f>
        <v>0.06</v>
      </c>
    </row>
    <row r="33" spans="1:20" x14ac:dyDescent="0.3">
      <c r="B33" s="16" t="s">
        <v>373</v>
      </c>
      <c r="C33" s="15" t="s">
        <v>372</v>
      </c>
      <c r="D33" s="21" t="s">
        <v>25</v>
      </c>
      <c r="E33" s="21" t="s">
        <v>68</v>
      </c>
      <c r="F33" s="117">
        <f t="shared" si="2"/>
        <v>4.7266553697523981E-4</v>
      </c>
      <c r="G33" s="27">
        <f>'Off-farm feed'!$F$24</f>
        <v>1.5603516238625262E-5</v>
      </c>
      <c r="H33" s="27">
        <f>'Off-farm feed'!$G$24</f>
        <v>7.5304878048780503E-5</v>
      </c>
      <c r="I33" s="27"/>
      <c r="J33" s="27"/>
      <c r="K33" s="27">
        <f>'Off-farm feed'!$J$24</f>
        <v>1.908459074435586E-5</v>
      </c>
      <c r="L33" s="27"/>
      <c r="M33" s="27">
        <f>'Off-farm feed'!$L$24</f>
        <v>5.9672097439024396E-7</v>
      </c>
      <c r="N33" s="27">
        <f>'Off-farm feed'!$M$24</f>
        <v>2.3084271612619523E-5</v>
      </c>
      <c r="O33" s="27"/>
      <c r="P33" s="27">
        <f>'Off-farm feed'!$O$24</f>
        <v>1.2899155935646844E-4</v>
      </c>
      <c r="Q33" s="27">
        <f>'Off-farm feed'!$P$24</f>
        <v>2.1000000000000001E-4</v>
      </c>
      <c r="R33" s="138">
        <f>'Parameters, country spec'!C27</f>
        <v>9.5000000000000001E-2</v>
      </c>
      <c r="S33" s="138">
        <f>'Parameters, country spec'!C45</f>
        <v>7.0000000000000007E-2</v>
      </c>
    </row>
    <row r="34" spans="1:20" x14ac:dyDescent="0.3">
      <c r="B34" s="15" t="s">
        <v>173</v>
      </c>
      <c r="C34" s="15" t="s">
        <v>374</v>
      </c>
      <c r="D34" s="21" t="s">
        <v>25</v>
      </c>
      <c r="E34" s="21" t="s">
        <v>68</v>
      </c>
      <c r="F34" s="354">
        <f t="shared" si="2"/>
        <v>1.1635230536951896E-3</v>
      </c>
      <c r="G34" s="92">
        <v>8.6135251234116994E-5</v>
      </c>
      <c r="H34" s="92">
        <v>4.7537999999999998E-5</v>
      </c>
      <c r="I34" s="42"/>
      <c r="J34" s="42"/>
      <c r="K34" s="92">
        <v>2.1158324202862201E-5</v>
      </c>
      <c r="L34" s="42"/>
      <c r="M34" s="42"/>
      <c r="N34" s="92"/>
      <c r="O34" s="92"/>
      <c r="P34" s="92">
        <v>9.9818289932063491E-4</v>
      </c>
      <c r="Q34" s="92">
        <v>1.05085789375756E-5</v>
      </c>
      <c r="R34" s="138">
        <f>'Parameters, country spec'!C28</f>
        <v>9.5000000000000001E-2</v>
      </c>
      <c r="S34" s="138">
        <f>'Parameters, country spec'!C46</f>
        <v>0.14000000000000001</v>
      </c>
    </row>
    <row r="35" spans="1:20" x14ac:dyDescent="0.3">
      <c r="A35" s="74"/>
      <c r="B35" s="15" t="s">
        <v>375</v>
      </c>
      <c r="C35" s="75" t="s">
        <v>376</v>
      </c>
      <c r="D35" s="21" t="s">
        <v>25</v>
      </c>
      <c r="E35" s="21" t="s">
        <v>68</v>
      </c>
      <c r="F35" s="117">
        <f t="shared" si="2"/>
        <v>1.9777678098851245E-4</v>
      </c>
      <c r="G35" s="73">
        <f>SUMPRODUCT(G25:G33,$R25:$R33)</f>
        <v>8.7782529747111677E-5</v>
      </c>
      <c r="H35" s="73">
        <f t="shared" ref="H35:P35" si="3">SUMPRODUCT(H25:H33,$R25:$R33)</f>
        <v>4.7875940662284798E-5</v>
      </c>
      <c r="I35" s="73">
        <f t="shared" si="3"/>
        <v>0</v>
      </c>
      <c r="J35" s="73">
        <f t="shared" si="3"/>
        <v>0</v>
      </c>
      <c r="K35" s="73">
        <f t="shared" si="3"/>
        <v>7.1822155340489029E-6</v>
      </c>
      <c r="L35" s="73">
        <f t="shared" si="3"/>
        <v>0</v>
      </c>
      <c r="M35" s="73">
        <f t="shared" si="3"/>
        <v>1.7307222186896198E-7</v>
      </c>
      <c r="N35" s="73">
        <f t="shared" si="3"/>
        <v>1.5250734841329118E-5</v>
      </c>
      <c r="O35" s="73">
        <f t="shared" si="3"/>
        <v>0</v>
      </c>
      <c r="P35" s="73">
        <f t="shared" si="3"/>
        <v>1.7386635807955936E-5</v>
      </c>
      <c r="Q35" s="73">
        <f>SUMPRODUCT(Q25:Q33,$R25:$R33)</f>
        <v>2.2125652173913045E-5</v>
      </c>
      <c r="R35" s="138">
        <f>'Parameters, country spec'!C29</f>
        <v>7.0000000000000007E-2</v>
      </c>
      <c r="S35" s="138">
        <f>'Parameters, country spec'!C47</f>
        <v>0.03</v>
      </c>
    </row>
    <row r="36" spans="1:20" x14ac:dyDescent="0.3">
      <c r="A36" s="287"/>
      <c r="B36" s="288" t="s">
        <v>377</v>
      </c>
      <c r="C36" s="289"/>
      <c r="D36" s="290"/>
      <c r="E36" s="290"/>
      <c r="F36" s="293">
        <f>SUMPRODUCT(F22:F24,R22:R24)+SUMPRODUCT(F25:F35,R25:R35)/0.87</f>
        <v>6.0621206398820608E-4</v>
      </c>
      <c r="G36" s="293">
        <f>SUMPRODUCT(G22:G24,R22:R24)+SUMPRODUCT(G25:G35,R25:R35)/0.87</f>
        <v>1.2675053163193413E-4</v>
      </c>
      <c r="H36" s="293">
        <f>SUMPRODUCT(H22:H24,R22:R24)+SUMPRODUCT(H25:H35,R25:R35)/0.87</f>
        <v>9.0672835067407749E-5</v>
      </c>
      <c r="I36" s="293">
        <f>SUMPRODUCT(I22:I24,R22:R24)+SUMPRODUCT(I25:I35,R25:R35)/0.87</f>
        <v>0</v>
      </c>
      <c r="J36" s="293">
        <f>SUMPRODUCT(J22:J24,R22:R24)+SUMPRODUCT(J25:J35,R25:R35)/0.87</f>
        <v>0</v>
      </c>
      <c r="K36" s="293">
        <f>SUMPRODUCT(K22:K24,R22:R24)+SUMPRODUCT(K25:K35,R25:R35)/0.87</f>
        <v>1.2839143113287504E-5</v>
      </c>
      <c r="L36" s="293">
        <f>SUMPRODUCT(L22:L24,R22:R24)+SUMPRODUCT(L25:L35,R25:R35)/0.87</f>
        <v>0</v>
      </c>
      <c r="M36" s="293">
        <f>SUMPRODUCT(M22:M24,R22:R24)+SUMPRODUCT(M25:M35,R25:R35)/0.87</f>
        <v>2.1285893953998772E-7</v>
      </c>
      <c r="N36" s="293">
        <f>SUMPRODUCT(N22:N24,R22:R24)+SUMPRODUCT(N25:N35,R25:R35)/0.87</f>
        <v>1.8756650896807076E-5</v>
      </c>
      <c r="O36" s="293">
        <f>SUMPRODUCT(O22:O24,R22:R24)+SUMPRODUCT(O25:O35,R25:R35)/0.87</f>
        <v>0</v>
      </c>
      <c r="P36" s="293">
        <f>SUMPRODUCT(P22:P24,R22:R24)+SUMPRODUCT(P25:P35,R25:R35)/0.87</f>
        <v>3.2862054683904958E-4</v>
      </c>
      <c r="Q36" s="293">
        <f>SUMPRODUCT(Q22:Q24,R22:R24)+SUMPRODUCT(Q25:Q35,R25:R35)/0.87</f>
        <v>2.8359497500180044E-5</v>
      </c>
      <c r="R36" s="294"/>
      <c r="S36" s="295"/>
    </row>
    <row r="37" spans="1:20" x14ac:dyDescent="0.3">
      <c r="A37" s="137"/>
      <c r="B37" s="23" t="s">
        <v>381</v>
      </c>
      <c r="C37" s="24"/>
      <c r="D37" s="93"/>
      <c r="E37" s="93"/>
      <c r="F37" s="28">
        <f>SUMPRODUCT(F22:F24,S22:S24)+SUMPRODUCT(F25:F35,S25:S35)/0.87</f>
        <v>6.5622141158067906E-4</v>
      </c>
      <c r="G37" s="28">
        <f>SUMPRODUCT(G22:G24,S22:S24)+SUMPRODUCT(G25:G35,S25:S35)/0.87</f>
        <v>1.2281961436524347E-4</v>
      </c>
      <c r="H37" s="28">
        <f>SUMPRODUCT(H22:H24,S22:S24)+SUMPRODUCT(H25:H35,S25:S35)/0.87</f>
        <v>9.3108109036745186E-5</v>
      </c>
      <c r="I37" s="28">
        <f>SUMPRODUCT(I22:I24,S22:S24)+SUMPRODUCT(I25:I35,S25:S35)/0.87</f>
        <v>0</v>
      </c>
      <c r="J37" s="28">
        <f>SUMPRODUCT(J22:J24,S22:S24)+SUMPRODUCT(J25:J35,S25:S35)/0.87</f>
        <v>0</v>
      </c>
      <c r="K37" s="28">
        <f>SUMPRODUCT(K22:K24,S22:S24)+SUMPRODUCT(K25:K35,S25:S35)/0.87</f>
        <v>1.3317296032459722E-5</v>
      </c>
      <c r="L37" s="28">
        <f>SUMPRODUCT(L22:L24,S22:S24)+SUMPRODUCT(L25:L35,S25:S35)/0.87</f>
        <v>0</v>
      </c>
      <c r="M37" s="28">
        <f>SUMPRODUCT(M22:M24,S22:S24)+SUMPRODUCT(M25:M35,S25:S35)/0.87</f>
        <v>1.6403365057443392E-7</v>
      </c>
      <c r="N37" s="28">
        <f>SUMPRODUCT(N22:N24,S22:S24)+SUMPRODUCT(N25:N35,S25:S35)/0.87</f>
        <v>1.7856445109570397E-5</v>
      </c>
      <c r="O37" s="28">
        <f>SUMPRODUCT(O22:O24,S22:S24)+SUMPRODUCT(O25:O35,S25:S35)/0.87</f>
        <v>0</v>
      </c>
      <c r="P37" s="28">
        <f>SUMPRODUCT(P22:P24,S22:S24)+SUMPRODUCT(P25:P35,S25:S35)/0.87</f>
        <v>3.8793820603081372E-4</v>
      </c>
      <c r="Q37" s="28">
        <f>SUMPRODUCT(Q22:Q24,S22:S24)+SUMPRODUCT(Q25:Q35,S25:S35)/0.87</f>
        <v>2.1017707355272038E-5</v>
      </c>
      <c r="R37" s="139"/>
      <c r="S37" s="139"/>
    </row>
    <row r="38" spans="1:20" x14ac:dyDescent="0.3">
      <c r="B38" s="16" t="s">
        <v>152</v>
      </c>
      <c r="C38" s="15" t="s">
        <v>361</v>
      </c>
      <c r="D38" s="21" t="s">
        <v>21</v>
      </c>
      <c r="E38" s="21" t="s">
        <v>69</v>
      </c>
      <c r="F38" s="117">
        <f>SUM(G38:Q38)</f>
        <v>1.4926093556085892E-4</v>
      </c>
      <c r="G38" s="27">
        <f>'Forage crops, CF'!F19</f>
        <v>3.9901302719260733E-5</v>
      </c>
      <c r="H38" s="27">
        <f>'Forage crops, CF'!G19</f>
        <v>9.5000000000000005E-5</v>
      </c>
      <c r="I38" s="27">
        <f>'Forage crops, CF'!H19</f>
        <v>0</v>
      </c>
      <c r="J38" s="27">
        <f>'Forage crops, CF'!I19</f>
        <v>0</v>
      </c>
      <c r="K38" s="27">
        <f>'Forage crops, CF'!J19</f>
        <v>1.4359632841598194E-5</v>
      </c>
      <c r="L38" s="27">
        <f>'Forage crops, CF'!K19</f>
        <v>0</v>
      </c>
      <c r="M38" s="27">
        <f>'Forage crops, CF'!L19</f>
        <v>0</v>
      </c>
      <c r="N38" s="27">
        <f>'Forage crops, CF'!M19</f>
        <v>0</v>
      </c>
      <c r="O38" s="27">
        <f>'Forage crops, CF'!N19</f>
        <v>0</v>
      </c>
      <c r="P38" s="27">
        <f>'Forage crops, CF'!O19</f>
        <v>0</v>
      </c>
      <c r="Q38" s="27">
        <f>'Forage crops, CF'!P19</f>
        <v>0</v>
      </c>
      <c r="R38" s="138">
        <f>'Parameters, country spec'!D16</f>
        <v>0</v>
      </c>
      <c r="S38" s="138">
        <f>'Parameters, country spec'!D34</f>
        <v>0</v>
      </c>
      <c r="T38" s="18"/>
    </row>
    <row r="39" spans="1:20" x14ac:dyDescent="0.3">
      <c r="B39" s="16" t="s">
        <v>154</v>
      </c>
      <c r="C39" s="15" t="s">
        <v>361</v>
      </c>
      <c r="D39" s="21" t="s">
        <v>21</v>
      </c>
      <c r="E39" s="21" t="s">
        <v>69</v>
      </c>
      <c r="F39" s="117">
        <f>SUM(G39:Q39)</f>
        <v>1.0516831355973388E-3</v>
      </c>
      <c r="G39" s="27">
        <f>'Forage crops, CF'!F69</f>
        <v>1.8329117956048056E-4</v>
      </c>
      <c r="H39" s="27">
        <f>'Forage crops, CF'!G69</f>
        <v>9.5000000000000005E-5</v>
      </c>
      <c r="I39" s="27"/>
      <c r="J39" s="27"/>
      <c r="K39" s="27">
        <f>'Forage crops, CF'!J69</f>
        <v>1.3700619116858083E-5</v>
      </c>
      <c r="L39" s="27"/>
      <c r="M39" s="27">
        <f>'Forage crops, CF'!L69</f>
        <v>5.169133692E-5</v>
      </c>
      <c r="N39" s="27">
        <f>'Forage crops, CF'!M69</f>
        <v>0</v>
      </c>
      <c r="O39" s="27"/>
      <c r="P39" s="27">
        <f>'Forage crops, CF'!O69</f>
        <v>7.0799999999999997E-4</v>
      </c>
      <c r="Q39" s="27"/>
      <c r="R39" s="138">
        <f>'Parameters, country spec'!D17</f>
        <v>0</v>
      </c>
      <c r="S39" s="138">
        <f>'Parameters, country spec'!D35</f>
        <v>0</v>
      </c>
      <c r="T39" s="18"/>
    </row>
    <row r="40" spans="1:20" x14ac:dyDescent="0.3">
      <c r="B40" s="16" t="s">
        <v>362</v>
      </c>
      <c r="C40" s="15" t="s">
        <v>361</v>
      </c>
      <c r="D40" s="21" t="s">
        <v>21</v>
      </c>
      <c r="E40" s="21" t="s">
        <v>69</v>
      </c>
      <c r="F40" s="117">
        <f>SUM(G40:Q40)</f>
        <v>8.3257809498983853E-4</v>
      </c>
      <c r="G40" s="27">
        <f>'Forage crops, CF'!F119*'Forage, input data per ha'!$E$69+'Forage crops, CF'!F169*'Forage, input data per ha'!$G$69</f>
        <v>1.6772801472403413E-5</v>
      </c>
      <c r="H40" s="27">
        <f>'Forage crops, CF'!G119*'Forage, input data per ha'!$E$69+'Forage crops, CF'!G169*'Forage, input data per ha'!$G$69</f>
        <v>9.5000000000000005E-5</v>
      </c>
      <c r="I40" s="27"/>
      <c r="J40" s="27"/>
      <c r="K40" s="27">
        <f>'Forage crops, CF'!J119*'Forage, input data per ha'!$E$69+'Forage crops, CF'!J169*'Forage, input data per ha'!$G$69</f>
        <v>1.2805293517435253E-5</v>
      </c>
      <c r="L40" s="27"/>
      <c r="M40" s="27">
        <f>'Forage crops, CF'!L119*'Forage, input data per ha'!$E$69+'Forage crops, CF'!L169*'Forage, input data per ha'!$G$69</f>
        <v>0</v>
      </c>
      <c r="N40" s="27">
        <f>'Forage crops, CF'!M119*'Forage, input data per ha'!$E$69+'Forage crops, CF'!M169*'Forage, input data per ha'!$G$69</f>
        <v>0</v>
      </c>
      <c r="O40" s="27"/>
      <c r="P40" s="27">
        <f>'Forage crops, CF'!O119*'Forage, input data per ha'!$E$69+'Forage crops, CF'!O169*'Forage, input data per ha'!$G$69</f>
        <v>7.0799999999999986E-4</v>
      </c>
      <c r="Q40" s="27"/>
      <c r="R40" s="138">
        <f>'Parameters, country spec'!D18</f>
        <v>0.28000000000000003</v>
      </c>
      <c r="S40" s="138">
        <f>'Parameters, country spec'!D36</f>
        <v>0.3</v>
      </c>
      <c r="T40" s="18"/>
    </row>
    <row r="41" spans="1:20" x14ac:dyDescent="0.3">
      <c r="A41" s="20" t="s">
        <v>363</v>
      </c>
      <c r="B41" s="15" t="s">
        <v>159</v>
      </c>
      <c r="C41" s="15" t="s">
        <v>364</v>
      </c>
      <c r="D41" s="21" t="s">
        <v>21</v>
      </c>
      <c r="E41" s="21" t="s">
        <v>69</v>
      </c>
      <c r="F41" s="117">
        <f>SUM(G41:Q41)</f>
        <v>3.1946000000000003E-4</v>
      </c>
      <c r="G41" s="92">
        <v>1.4999999999999999E-4</v>
      </c>
      <c r="H41" s="92">
        <v>1E-4</v>
      </c>
      <c r="I41" s="92"/>
      <c r="J41" s="92"/>
      <c r="K41" s="92">
        <v>2.9200000000000002E-5</v>
      </c>
      <c r="L41" s="92"/>
      <c r="M41" s="92">
        <v>2.26E-6</v>
      </c>
      <c r="N41" s="92">
        <v>3.8000000000000002E-5</v>
      </c>
      <c r="O41" s="92"/>
      <c r="P41" s="92"/>
      <c r="Q41" s="92"/>
      <c r="R41" s="138">
        <f>'Parameters, country spec'!D19</f>
        <v>0.16</v>
      </c>
      <c r="S41" s="138">
        <f>'Parameters, country spec'!D37</f>
        <v>0.2</v>
      </c>
    </row>
    <row r="42" spans="1:20" x14ac:dyDescent="0.3">
      <c r="A42" s="20" t="s">
        <v>365</v>
      </c>
      <c r="B42" s="15" t="s">
        <v>161</v>
      </c>
      <c r="C42" s="15" t="s">
        <v>364</v>
      </c>
      <c r="D42" s="21" t="s">
        <v>21</v>
      </c>
      <c r="E42" s="21" t="s">
        <v>69</v>
      </c>
      <c r="F42" s="117">
        <f t="shared" ref="F42:F51" si="4">SUM(G42:Q42)</f>
        <v>3.4726000000000001E-4</v>
      </c>
      <c r="G42" s="92">
        <v>1.4999999999999999E-4</v>
      </c>
      <c r="H42" s="92">
        <v>1E-4</v>
      </c>
      <c r="I42" s="92"/>
      <c r="J42" s="92"/>
      <c r="K42" s="92">
        <v>7.5599999999999996E-6</v>
      </c>
      <c r="L42" s="92"/>
      <c r="M42" s="92">
        <v>5.1700000000000003E-5</v>
      </c>
      <c r="N42" s="92">
        <v>3.8000000000000002E-5</v>
      </c>
      <c r="O42" s="92"/>
      <c r="P42" s="92"/>
      <c r="Q42" s="92"/>
      <c r="R42" s="138">
        <f>'Parameters, country spec'!D20</f>
        <v>3.1075970320211814E-4</v>
      </c>
      <c r="S42" s="138">
        <f>'Parameters, country spec'!D38</f>
        <v>3.1075970320211814E-4</v>
      </c>
    </row>
    <row r="43" spans="1:20" x14ac:dyDescent="0.3">
      <c r="A43" s="20" t="s">
        <v>366</v>
      </c>
      <c r="B43" s="15" t="s">
        <v>163</v>
      </c>
      <c r="C43" s="15" t="s">
        <v>364</v>
      </c>
      <c r="D43" s="21" t="s">
        <v>21</v>
      </c>
      <c r="E43" s="21" t="s">
        <v>69</v>
      </c>
      <c r="F43" s="117">
        <f t="shared" si="4"/>
        <v>3.7189999999999999E-4</v>
      </c>
      <c r="G43" s="92">
        <v>1.2999999999999999E-4</v>
      </c>
      <c r="H43" s="92">
        <v>1E-4</v>
      </c>
      <c r="I43" s="92"/>
      <c r="J43" s="92"/>
      <c r="K43" s="92">
        <v>6.1500000000000004E-5</v>
      </c>
      <c r="L43" s="92"/>
      <c r="M43" s="92">
        <v>4.2400000000000001E-5</v>
      </c>
      <c r="N43" s="92">
        <v>3.8000000000000002E-5</v>
      </c>
      <c r="O43" s="92"/>
      <c r="P43" s="92"/>
      <c r="Q43" s="92"/>
      <c r="R43" s="138">
        <f>'Parameters, country spec'!D21</f>
        <v>8.6733359151412953E-5</v>
      </c>
      <c r="S43" s="138">
        <f>'Parameters, country spec'!D39</f>
        <v>8.6733359151412953E-5</v>
      </c>
    </row>
    <row r="44" spans="1:20" x14ac:dyDescent="0.3">
      <c r="A44" s="20" t="s">
        <v>367</v>
      </c>
      <c r="B44" s="15" t="s">
        <v>165</v>
      </c>
      <c r="C44" s="15" t="s">
        <v>364</v>
      </c>
      <c r="D44" s="21" t="s">
        <v>21</v>
      </c>
      <c r="E44" s="21" t="s">
        <v>69</v>
      </c>
      <c r="F44" s="117">
        <f t="shared" si="4"/>
        <v>2.9825100000000003E-4</v>
      </c>
      <c r="G44" s="92">
        <v>1.2E-4</v>
      </c>
      <c r="H44" s="92">
        <v>1E-4</v>
      </c>
      <c r="I44" s="92"/>
      <c r="J44" s="92"/>
      <c r="K44" s="92">
        <v>4.0000000000000003E-5</v>
      </c>
      <c r="L44" s="92"/>
      <c r="M44" s="92">
        <v>2.5100000000000001E-7</v>
      </c>
      <c r="N44" s="92">
        <v>3.8000000000000002E-5</v>
      </c>
      <c r="O44" s="92"/>
      <c r="P44" s="92"/>
      <c r="Q44" s="92"/>
      <c r="R44" s="138">
        <f>'Parameters, country spec'!D22</f>
        <v>6.2924072151971947E-5</v>
      </c>
      <c r="S44" s="138">
        <f>'Parameters, country spec'!D40</f>
        <v>6.2924072151971947E-5</v>
      </c>
    </row>
    <row r="45" spans="1:20" x14ac:dyDescent="0.3">
      <c r="A45" s="20" t="s">
        <v>368</v>
      </c>
      <c r="B45" s="15" t="s">
        <v>167</v>
      </c>
      <c r="C45" s="15" t="s">
        <v>364</v>
      </c>
      <c r="D45" s="21" t="s">
        <v>21</v>
      </c>
      <c r="E45" s="21" t="s">
        <v>69</v>
      </c>
      <c r="F45" s="117">
        <f t="shared" si="4"/>
        <v>3.4382E-4</v>
      </c>
      <c r="G45" s="92">
        <v>1.7000000000000001E-4</v>
      </c>
      <c r="H45" s="92">
        <v>1E-4</v>
      </c>
      <c r="I45" s="92"/>
      <c r="J45" s="92"/>
      <c r="K45" s="92">
        <v>2.9300000000000001E-5</v>
      </c>
      <c r="L45" s="92"/>
      <c r="M45" s="92">
        <v>6.5200000000000003E-6</v>
      </c>
      <c r="N45" s="92">
        <v>3.8000000000000002E-5</v>
      </c>
      <c r="O45" s="92"/>
      <c r="P45" s="92"/>
      <c r="Q45" s="92"/>
      <c r="R45" s="138">
        <f>'Parameters, country spec'!D23</f>
        <v>0.20500000000000002</v>
      </c>
      <c r="S45" s="138">
        <f>'Parameters, country spec'!D41</f>
        <v>0.2</v>
      </c>
    </row>
    <row r="46" spans="1:20" x14ac:dyDescent="0.3">
      <c r="A46" s="20" t="s">
        <v>369</v>
      </c>
      <c r="B46" s="15" t="s">
        <v>168</v>
      </c>
      <c r="C46" s="15" t="s">
        <v>370</v>
      </c>
      <c r="D46" s="21" t="s">
        <v>21</v>
      </c>
      <c r="E46" s="21" t="s">
        <v>69</v>
      </c>
      <c r="F46" s="117">
        <f t="shared" si="4"/>
        <v>1.9450000000000001E-4</v>
      </c>
      <c r="G46" s="92">
        <v>0</v>
      </c>
      <c r="H46" s="92">
        <v>1E-4</v>
      </c>
      <c r="I46" s="92"/>
      <c r="J46" s="92"/>
      <c r="K46" s="92">
        <v>4.6199999999999998E-5</v>
      </c>
      <c r="L46" s="92"/>
      <c r="M46" s="92">
        <v>1.03E-5</v>
      </c>
      <c r="N46" s="92">
        <v>3.8000000000000002E-5</v>
      </c>
      <c r="O46" s="92"/>
      <c r="P46" s="92"/>
      <c r="Q46" s="92"/>
      <c r="R46" s="138">
        <f>'Parameters, country spec'!D24</f>
        <v>2.439015630520557E-4</v>
      </c>
      <c r="S46" s="138">
        <f>'Parameters, country spec'!D42</f>
        <v>2.439015630520557E-4</v>
      </c>
    </row>
    <row r="47" spans="1:20" x14ac:dyDescent="0.3">
      <c r="A47" s="20" t="s">
        <v>371</v>
      </c>
      <c r="B47" s="15" t="s">
        <v>170</v>
      </c>
      <c r="C47" s="15" t="s">
        <v>370</v>
      </c>
      <c r="D47" s="21" t="s">
        <v>21</v>
      </c>
      <c r="E47" s="21" t="s">
        <v>69</v>
      </c>
      <c r="F47" s="117">
        <f t="shared" si="4"/>
        <v>2.496E-4</v>
      </c>
      <c r="G47" s="92">
        <v>7.5000000000000002E-6</v>
      </c>
      <c r="H47" s="92">
        <v>1E-4</v>
      </c>
      <c r="I47" s="92"/>
      <c r="J47" s="92"/>
      <c r="K47" s="92">
        <v>2.8600000000000001E-5</v>
      </c>
      <c r="L47" s="92"/>
      <c r="M47" s="92">
        <v>7.5500000000000006E-5</v>
      </c>
      <c r="N47" s="92">
        <v>3.8000000000000002E-5</v>
      </c>
      <c r="O47" s="92"/>
      <c r="P47" s="92"/>
      <c r="Q47" s="92"/>
      <c r="R47" s="138">
        <f>'Parameters, country spec'!D25</f>
        <v>2.3959170998341588E-4</v>
      </c>
      <c r="S47" s="138">
        <f>'Parameters, country spec'!D43</f>
        <v>2.3959170998341588E-4</v>
      </c>
    </row>
    <row r="48" spans="1:20" x14ac:dyDescent="0.3">
      <c r="B48" s="16" t="s">
        <v>171</v>
      </c>
      <c r="C48" s="15" t="s">
        <v>372</v>
      </c>
      <c r="D48" s="21" t="s">
        <v>21</v>
      </c>
      <c r="E48" s="21" t="s">
        <v>69</v>
      </c>
      <c r="F48" s="117">
        <f t="shared" si="4"/>
        <v>4.6478527325651394E-4</v>
      </c>
      <c r="G48" s="27">
        <f>'Off-farm feed'!$F$75</f>
        <v>3.0425509539765719E-4</v>
      </c>
      <c r="H48" s="27">
        <f>'Off-farm feed'!$G$75</f>
        <v>4.5862068965517246E-5</v>
      </c>
      <c r="I48" s="27"/>
      <c r="J48" s="27"/>
      <c r="K48" s="27">
        <f>'Off-farm feed'!$J$75</f>
        <v>1.0936279334641699E-5</v>
      </c>
      <c r="L48" s="27"/>
      <c r="M48" s="27">
        <f>'Off-farm feed'!$L$75</f>
        <v>6.4606960551724142E-7</v>
      </c>
      <c r="N48" s="27">
        <f>'Off-farm feed'!$M$75</f>
        <v>2.1884761697575221E-5</v>
      </c>
      <c r="O48" s="27"/>
      <c r="P48" s="27">
        <f>'Off-farm feed'!$O$75</f>
        <v>5.7027085212127035E-5</v>
      </c>
      <c r="Q48" s="27">
        <f>'Off-farm feed'!$P$75</f>
        <v>2.4173913043478263E-5</v>
      </c>
      <c r="R48" s="138">
        <f>'Parameters, country spec'!D26</f>
        <v>0.09</v>
      </c>
      <c r="S48" s="138">
        <f>'Parameters, country spec'!D44</f>
        <v>0.06</v>
      </c>
    </row>
    <row r="49" spans="1:20" x14ac:dyDescent="0.3">
      <c r="B49" s="16" t="s">
        <v>373</v>
      </c>
      <c r="C49" s="15" t="s">
        <v>372</v>
      </c>
      <c r="D49" s="21" t="s">
        <v>21</v>
      </c>
      <c r="E49" s="21" t="s">
        <v>69</v>
      </c>
      <c r="F49" s="117">
        <f t="shared" si="4"/>
        <v>4.7266553697523981E-4</v>
      </c>
      <c r="G49" s="27">
        <f>'Off-farm feed'!$F$24</f>
        <v>1.5603516238625262E-5</v>
      </c>
      <c r="H49" s="27">
        <f>'Off-farm feed'!$G$24</f>
        <v>7.5304878048780503E-5</v>
      </c>
      <c r="I49" s="27"/>
      <c r="J49" s="27"/>
      <c r="K49" s="27">
        <f>'Off-farm feed'!$J$24</f>
        <v>1.908459074435586E-5</v>
      </c>
      <c r="L49" s="27"/>
      <c r="M49" s="27">
        <f>'Off-farm feed'!$L$24</f>
        <v>5.9672097439024396E-7</v>
      </c>
      <c r="N49" s="27">
        <f>'Off-farm feed'!$M$24</f>
        <v>2.3084271612619523E-5</v>
      </c>
      <c r="O49" s="27"/>
      <c r="P49" s="27">
        <f>'Off-farm feed'!$O$24</f>
        <v>1.2899155935646844E-4</v>
      </c>
      <c r="Q49" s="27">
        <f>'Off-farm feed'!$P$24</f>
        <v>2.1000000000000001E-4</v>
      </c>
      <c r="R49" s="138">
        <f>'Parameters, country spec'!D27</f>
        <v>9.5000000000000001E-2</v>
      </c>
      <c r="S49" s="138">
        <f>'Parameters, country spec'!D45</f>
        <v>7.0000000000000007E-2</v>
      </c>
    </row>
    <row r="50" spans="1:20" x14ac:dyDescent="0.3">
      <c r="B50" s="15" t="s">
        <v>173</v>
      </c>
      <c r="C50" s="15" t="s">
        <v>374</v>
      </c>
      <c r="D50" s="21" t="s">
        <v>21</v>
      </c>
      <c r="E50" s="21" t="s">
        <v>69</v>
      </c>
      <c r="F50" s="354">
        <f t="shared" si="4"/>
        <v>1.6252379039289314E-3</v>
      </c>
      <c r="G50" s="92">
        <v>8.6169621417798601E-5</v>
      </c>
      <c r="H50" s="92">
        <v>4.7537999999999998E-5</v>
      </c>
      <c r="I50" s="42"/>
      <c r="J50" s="42"/>
      <c r="K50" s="92">
        <v>3.12048551328049E-5</v>
      </c>
      <c r="L50" s="42"/>
      <c r="M50" s="42"/>
      <c r="N50" s="92"/>
      <c r="O50" s="92"/>
      <c r="P50" s="92">
        <v>1.4294971164590801E-3</v>
      </c>
      <c r="Q50" s="92">
        <v>3.0828310919247803E-5</v>
      </c>
      <c r="R50" s="138">
        <f>'Parameters, country spec'!D28</f>
        <v>9.5000000000000001E-2</v>
      </c>
      <c r="S50" s="138">
        <f>'Parameters, country spec'!D46</f>
        <v>0.14000000000000001</v>
      </c>
    </row>
    <row r="51" spans="1:20" x14ac:dyDescent="0.3">
      <c r="A51" s="74"/>
      <c r="B51" s="15" t="s">
        <v>375</v>
      </c>
      <c r="C51" s="75" t="s">
        <v>376</v>
      </c>
      <c r="D51" s="21" t="s">
        <v>21</v>
      </c>
      <c r="E51" s="21" t="s">
        <v>69</v>
      </c>
      <c r="F51" s="117">
        <f t="shared" si="4"/>
        <v>2.0859677926880535E-4</v>
      </c>
      <c r="G51" s="73">
        <f>SUMPRODUCT(G41:G49,$R41:$R49)</f>
        <v>8.7782529747111677E-5</v>
      </c>
      <c r="H51" s="73">
        <f t="shared" ref="H51:P51" si="5">SUMPRODUCT(H41:H49,$R41:$R49)</f>
        <v>4.7875940662284798E-5</v>
      </c>
      <c r="I51" s="73">
        <f t="shared" si="5"/>
        <v>0</v>
      </c>
      <c r="J51" s="73">
        <f t="shared" si="5"/>
        <v>0</v>
      </c>
      <c r="K51" s="73">
        <f t="shared" si="5"/>
        <v>1.3504122243780191E-5</v>
      </c>
      <c r="L51" s="73">
        <f t="shared" si="5"/>
        <v>0</v>
      </c>
      <c r="M51" s="73">
        <f t="shared" si="5"/>
        <v>1.8533956822924886E-6</v>
      </c>
      <c r="N51" s="73">
        <f t="shared" si="5"/>
        <v>1.8068502951467184E-5</v>
      </c>
      <c r="O51" s="73">
        <f t="shared" si="5"/>
        <v>0</v>
      </c>
      <c r="P51" s="73">
        <f t="shared" si="5"/>
        <v>1.7386635807955936E-5</v>
      </c>
      <c r="Q51" s="73">
        <f>SUMPRODUCT(Q41:Q49,$R41:$R49)</f>
        <v>2.2125652173913045E-5</v>
      </c>
      <c r="R51" s="138">
        <f>'Parameters, country spec'!D29</f>
        <v>7.0000000000000007E-2</v>
      </c>
      <c r="S51" s="138">
        <f>'Parameters, country spec'!D47</f>
        <v>0.03</v>
      </c>
    </row>
    <row r="52" spans="1:20" x14ac:dyDescent="0.3">
      <c r="A52" s="287"/>
      <c r="B52" s="288" t="s">
        <v>377</v>
      </c>
      <c r="C52" s="289"/>
      <c r="D52" s="290"/>
      <c r="E52" s="290"/>
      <c r="F52" s="293">
        <f>SUMPRODUCT(F38:F40,R38:R40)+SUMPRODUCT(F41:F51,R41:R51)/0.87</f>
        <v>6.671404352073504E-4</v>
      </c>
      <c r="G52" s="293">
        <f>SUMPRODUCT(G38:G40,R38:R40)+SUMPRODUCT(G41:G51,R41:R51)/0.87</f>
        <v>1.2206813253192853E-4</v>
      </c>
      <c r="H52" s="293">
        <f>SUMPRODUCT(H38:H40,R38:R40)+SUMPRODUCT(H41:H51,R41:R51)/0.87</f>
        <v>9.0672835067407749E-5</v>
      </c>
      <c r="I52" s="293">
        <f>SUMPRODUCT(I38:I40,R38:R40)+SUMPRODUCT(I41:I51,R41:R51)/0.87</f>
        <v>0</v>
      </c>
      <c r="J52" s="293">
        <f>SUMPRODUCT(J38:J40,R38:R40)+SUMPRODUCT(J41:J51,R41:R51)/0.87</f>
        <v>0</v>
      </c>
      <c r="K52" s="293">
        <f>SUMPRODUCT(K38:K40,R38:R40)+SUMPRODUCT(K41:K51,R41:R51)/0.87</f>
        <v>2.3601427056676433E-5</v>
      </c>
      <c r="L52" s="293">
        <f>SUMPRODUCT(L38:L40,R38:R40)+SUMPRODUCT(L41:L51,R41:R51)/0.87</f>
        <v>0</v>
      </c>
      <c r="M52" s="293">
        <f>SUMPRODUCT(M38:M40,R38:R40)+SUMPRODUCT(M41:M51,R41:R51)/0.87</f>
        <v>2.2794636552332906E-6</v>
      </c>
      <c r="N52" s="293">
        <f>SUMPRODUCT(N38:N40,R38:R40)+SUMPRODUCT(N41:N51,R41:R51)/0.87</f>
        <v>2.2222181790884929E-5</v>
      </c>
      <c r="O52" s="293">
        <f>SUMPRODUCT(O38:O40,R38:R40)+SUMPRODUCT(O41:O51,R41:R51)/0.87</f>
        <v>0</v>
      </c>
      <c r="P52" s="293">
        <f>SUMPRODUCT(P38:P40,R38:R40)+SUMPRODUCT(P41:P51,R41:R51)/0.87</f>
        <v>3.7571807629669589E-4</v>
      </c>
      <c r="Q52" s="293">
        <f>SUMPRODUCT(Q38:Q40,R38:R40)+SUMPRODUCT(Q41:Q51,R41:R51)/0.87</f>
        <v>3.0578318808523564E-5</v>
      </c>
      <c r="R52" s="294"/>
      <c r="S52" s="295"/>
    </row>
    <row r="53" spans="1:20" x14ac:dyDescent="0.3">
      <c r="A53" s="137"/>
      <c r="B53" s="23" t="s">
        <v>381</v>
      </c>
      <c r="C53" s="24"/>
      <c r="D53" s="93"/>
      <c r="E53" s="93"/>
      <c r="F53" s="28">
        <f>SUMPRODUCT(F38:F40,S38:S40)+SUMPRODUCT(F41:F51,S41:S51)/0.87</f>
        <v>7.4136778777838088E-4</v>
      </c>
      <c r="G53" s="28">
        <f>SUMPRODUCT(G38:G40,S38:S40)+SUMPRODUCT(G41:G51,S41:S51)/0.87</f>
        <v>1.1780426787864224E-4</v>
      </c>
      <c r="H53" s="28">
        <f>SUMPRODUCT(H38:H40,S38:S40)+SUMPRODUCT(H41:H51,S41:S51)/0.87</f>
        <v>9.3108109036745186E-5</v>
      </c>
      <c r="I53" s="28">
        <f>SUMPRODUCT(I38:I40,S38:S40)+SUMPRODUCT(I41:I51,S41:S51)/0.87</f>
        <v>0</v>
      </c>
      <c r="J53" s="28">
        <f>SUMPRODUCT(J38:J40,S38:S40)+SUMPRODUCT(J41:J51,S41:S51)/0.87</f>
        <v>0</v>
      </c>
      <c r="K53" s="28">
        <f>SUMPRODUCT(K38:K40,S38:S40)+SUMPRODUCT(K41:K51,S41:S51)/0.87</f>
        <v>2.5099315044929582E-5</v>
      </c>
      <c r="L53" s="28">
        <f>SUMPRODUCT(L38:L40,S38:S40)+SUMPRODUCT(L41:L51,S41:S51)/0.87</f>
        <v>0</v>
      </c>
      <c r="M53" s="28">
        <f>SUMPRODUCT(M38:M40,S38:S40)+SUMPRODUCT(M41:M51,S41:S51)/0.87</f>
        <v>2.2212614255586093E-6</v>
      </c>
      <c r="N53" s="28">
        <f>SUMPRODUCT(N38:N40,S38:S40)+SUMPRODUCT(N41:N51,S41:S51)/0.87</f>
        <v>2.1502193561802825E-5</v>
      </c>
      <c r="O53" s="28">
        <f>SUMPRODUCT(O38:O40,S38:S40)+SUMPRODUCT(O41:O51,S41:S51)/0.87</f>
        <v>0</v>
      </c>
      <c r="P53" s="28">
        <f>SUMPRODUCT(P38:P40,S38:S40)+SUMPRODUCT(P41:P51,S41:S51)/0.87</f>
        <v>4.5734509154734512E-4</v>
      </c>
      <c r="Q53" s="28">
        <f>SUMPRODUCT(Q38:Q40,S38:S40)+SUMPRODUCT(Q41:Q51,S41:S51)/0.87</f>
        <v>2.4287549283357222E-5</v>
      </c>
      <c r="R53" s="139"/>
      <c r="S53" s="139"/>
    </row>
    <row r="54" spans="1:20" x14ac:dyDescent="0.3">
      <c r="B54" s="16" t="s">
        <v>152</v>
      </c>
      <c r="C54" s="15" t="s">
        <v>361</v>
      </c>
      <c r="D54" s="21" t="s">
        <v>114</v>
      </c>
      <c r="E54" s="21" t="s">
        <v>70</v>
      </c>
      <c r="F54" s="117">
        <f>SUM(G54:Q54)</f>
        <v>1.5647295549767155E-4</v>
      </c>
      <c r="G54" s="27">
        <f>'Forage crops, CF'!F24</f>
        <v>3.9901302719260733E-5</v>
      </c>
      <c r="H54" s="27">
        <f>'Forage crops, CF'!G24</f>
        <v>9.5000000000000005E-5</v>
      </c>
      <c r="I54" s="27">
        <f>'Forage crops, CF'!H24</f>
        <v>0</v>
      </c>
      <c r="J54" s="27">
        <f>'Forage crops, CF'!I24</f>
        <v>0</v>
      </c>
      <c r="K54" s="27">
        <f>'Forage crops, CF'!J24</f>
        <v>2.1571652778410818E-5</v>
      </c>
      <c r="L54" s="27">
        <f>'Forage crops, CF'!K24</f>
        <v>0</v>
      </c>
      <c r="M54" s="27">
        <f>'Forage crops, CF'!L24</f>
        <v>0</v>
      </c>
      <c r="N54" s="27">
        <f>'Forage crops, CF'!M24</f>
        <v>0</v>
      </c>
      <c r="O54" s="27">
        <f>'Forage crops, CF'!N24</f>
        <v>0</v>
      </c>
      <c r="P54" s="27">
        <f>'Forage crops, CF'!O24</f>
        <v>0</v>
      </c>
      <c r="Q54" s="27">
        <f>'Forage crops, CF'!P24</f>
        <v>0</v>
      </c>
      <c r="R54" s="138">
        <f>'Parameters, country spec'!E16</f>
        <v>0</v>
      </c>
      <c r="S54" s="138">
        <f>'Parameters, country spec'!E34</f>
        <v>0</v>
      </c>
      <c r="T54" s="18"/>
    </row>
    <row r="55" spans="1:20" x14ac:dyDescent="0.3">
      <c r="B55" s="16" t="s">
        <v>154</v>
      </c>
      <c r="C55" s="15" t="s">
        <v>361</v>
      </c>
      <c r="D55" s="21" t="s">
        <v>114</v>
      </c>
      <c r="E55" s="21" t="s">
        <v>70</v>
      </c>
      <c r="F55" s="117">
        <f>SUM(G55:Q55)</f>
        <v>8.9778333874785895E-4</v>
      </c>
      <c r="G55" s="27">
        <f>'Forage crops, CF'!F74</f>
        <v>8.475319093918984E-5</v>
      </c>
      <c r="H55" s="27">
        <f>'Forage crops, CF'!G74</f>
        <v>9.5000000000000005E-5</v>
      </c>
      <c r="I55" s="27"/>
      <c r="J55" s="27"/>
      <c r="K55" s="27">
        <f>'Forage crops, CF'!J74</f>
        <v>9.5282901686691296E-6</v>
      </c>
      <c r="L55" s="27"/>
      <c r="M55" s="27">
        <f>'Forage crops, CF'!L74</f>
        <v>5.0185763999999998E-7</v>
      </c>
      <c r="N55" s="27">
        <f>'Forage crops, CF'!M74</f>
        <v>0</v>
      </c>
      <c r="O55" s="27"/>
      <c r="P55" s="27">
        <f>'Forage crops, CF'!O74</f>
        <v>7.0799999999999997E-4</v>
      </c>
      <c r="Q55" s="27"/>
      <c r="R55" s="138">
        <f>'Parameters, country spec'!E17</f>
        <v>0</v>
      </c>
      <c r="S55" s="138">
        <f>'Parameters, country spec'!E35</f>
        <v>0</v>
      </c>
      <c r="T55" s="18"/>
    </row>
    <row r="56" spans="1:20" x14ac:dyDescent="0.3">
      <c r="B56" s="16" t="s">
        <v>362</v>
      </c>
      <c r="C56" s="15" t="s">
        <v>361</v>
      </c>
      <c r="D56" s="21" t="s">
        <v>114</v>
      </c>
      <c r="E56" s="21" t="s">
        <v>70</v>
      </c>
      <c r="F56" s="117">
        <f>SUM(G56:Q56)</f>
        <v>8.2327393052972588E-4</v>
      </c>
      <c r="G56" s="27">
        <f>'Forage crops, CF'!F124*'Forage, input data per ha'!$E$70+'Forage crops, CF'!F174*'Forage, input data per ha'!$G$70</f>
        <v>6.5155369446603544E-6</v>
      </c>
      <c r="H56" s="27">
        <f>'Forage crops, CF'!G124*'Forage, input data per ha'!$E$70+'Forage crops, CF'!G174*'Forage, input data per ha'!$G$70</f>
        <v>9.5000000000000005E-5</v>
      </c>
      <c r="I56" s="27"/>
      <c r="J56" s="27"/>
      <c r="K56" s="27">
        <f>'Forage crops, CF'!J124*'Forage, input data per ha'!$E$70+'Forage crops, CF'!J174*'Forage, input data per ha'!$G$70</f>
        <v>1.3758393585065519E-5</v>
      </c>
      <c r="L56" s="27"/>
      <c r="M56" s="27">
        <f>'Forage crops, CF'!L124*'Forage, input data per ha'!$E$70+'Forage crops, CF'!L174*'Forage, input data per ha'!$G$70</f>
        <v>0</v>
      </c>
      <c r="N56" s="27">
        <f>'Forage crops, CF'!M124*'Forage, input data per ha'!$E$70+'Forage crops, CF'!M174*'Forage, input data per ha'!$G$70</f>
        <v>0</v>
      </c>
      <c r="O56" s="27"/>
      <c r="P56" s="27">
        <f>'Forage crops, CF'!O124*'Forage, input data per ha'!$E$70+'Forage crops, CF'!O174*'Forage, input data per ha'!$G$70</f>
        <v>7.0799999999999997E-4</v>
      </c>
      <c r="Q56" s="27"/>
      <c r="R56" s="138">
        <f>'Parameters, country spec'!E18</f>
        <v>0.28000000000000003</v>
      </c>
      <c r="S56" s="138">
        <f>'Parameters, country spec'!E36</f>
        <v>0.3</v>
      </c>
      <c r="T56" s="18"/>
    </row>
    <row r="57" spans="1:20" x14ac:dyDescent="0.3">
      <c r="A57" s="20" t="s">
        <v>363</v>
      </c>
      <c r="B57" s="15" t="s">
        <v>159</v>
      </c>
      <c r="C57" s="15" t="s">
        <v>364</v>
      </c>
      <c r="D57" s="21" t="s">
        <v>114</v>
      </c>
      <c r="E57" s="21" t="s">
        <v>70</v>
      </c>
      <c r="F57" s="117">
        <f>SUM(G57:Q57)</f>
        <v>2.9985099999999996E-4</v>
      </c>
      <c r="G57" s="92">
        <v>1.4999999999999999E-4</v>
      </c>
      <c r="H57" s="92">
        <v>1E-4</v>
      </c>
      <c r="I57" s="92"/>
      <c r="J57" s="92"/>
      <c r="K57" s="92">
        <v>1.5E-5</v>
      </c>
      <c r="L57" s="92"/>
      <c r="M57" s="92">
        <v>2.5100000000000001E-7</v>
      </c>
      <c r="N57" s="92">
        <v>3.4600000000000001E-5</v>
      </c>
      <c r="O57" s="92"/>
      <c r="P57" s="92"/>
      <c r="Q57" s="92"/>
      <c r="R57" s="138">
        <f>'Parameters, country spec'!E19</f>
        <v>0.16</v>
      </c>
      <c r="S57" s="138">
        <f>'Parameters, country spec'!E37</f>
        <v>0.2</v>
      </c>
    </row>
    <row r="58" spans="1:20" x14ac:dyDescent="0.3">
      <c r="A58" s="20" t="s">
        <v>365</v>
      </c>
      <c r="B58" s="15" t="s">
        <v>161</v>
      </c>
      <c r="C58" s="15" t="s">
        <v>364</v>
      </c>
      <c r="D58" s="21" t="s">
        <v>114</v>
      </c>
      <c r="E58" s="21" t="s">
        <v>70</v>
      </c>
      <c r="F58" s="117">
        <f t="shared" ref="F58:F67" si="6">SUM(G58:Q58)</f>
        <v>2.9590200000000001E-4</v>
      </c>
      <c r="G58" s="92">
        <v>1.4999999999999999E-4</v>
      </c>
      <c r="H58" s="92">
        <v>1E-4</v>
      </c>
      <c r="I58" s="92"/>
      <c r="J58" s="92"/>
      <c r="K58" s="92">
        <v>1.08E-5</v>
      </c>
      <c r="L58" s="92"/>
      <c r="M58" s="92">
        <v>5.0200000000000002E-7</v>
      </c>
      <c r="N58" s="92">
        <v>3.4600000000000001E-5</v>
      </c>
      <c r="O58" s="92"/>
      <c r="P58" s="92"/>
      <c r="Q58" s="92"/>
      <c r="R58" s="138">
        <f>'Parameters, country spec'!E20</f>
        <v>3.1075970320211814E-4</v>
      </c>
      <c r="S58" s="138">
        <f>'Parameters, country spec'!E38</f>
        <v>3.1075970320211814E-4</v>
      </c>
    </row>
    <row r="59" spans="1:20" x14ac:dyDescent="0.3">
      <c r="A59" s="20" t="s">
        <v>366</v>
      </c>
      <c r="B59" s="15" t="s">
        <v>163</v>
      </c>
      <c r="C59" s="15" t="s">
        <v>364</v>
      </c>
      <c r="D59" s="21" t="s">
        <v>114</v>
      </c>
      <c r="E59" s="21" t="s">
        <v>70</v>
      </c>
      <c r="F59" s="117">
        <f t="shared" si="6"/>
        <v>2.9496000000000004E-4</v>
      </c>
      <c r="G59" s="92">
        <v>1.2999999999999999E-4</v>
      </c>
      <c r="H59" s="92">
        <v>1E-4</v>
      </c>
      <c r="I59" s="92"/>
      <c r="J59" s="92"/>
      <c r="K59" s="92">
        <v>2.8099999999999999E-5</v>
      </c>
      <c r="L59" s="92"/>
      <c r="M59" s="92">
        <v>2.26E-6</v>
      </c>
      <c r="N59" s="92">
        <v>3.4600000000000001E-5</v>
      </c>
      <c r="O59" s="92"/>
      <c r="P59" s="92"/>
      <c r="Q59" s="92"/>
      <c r="R59" s="138">
        <f>'Parameters, country spec'!E21</f>
        <v>8.6733359151412953E-5</v>
      </c>
      <c r="S59" s="138">
        <f>'Parameters, country spec'!E39</f>
        <v>8.6733359151412953E-5</v>
      </c>
    </row>
    <row r="60" spans="1:20" x14ac:dyDescent="0.3">
      <c r="A60" s="20" t="s">
        <v>367</v>
      </c>
      <c r="B60" s="15" t="s">
        <v>165</v>
      </c>
      <c r="C60" s="15" t="s">
        <v>364</v>
      </c>
      <c r="D60" s="21" t="s">
        <v>114</v>
      </c>
      <c r="E60" s="21" t="s">
        <v>70</v>
      </c>
      <c r="F60" s="117">
        <f t="shared" si="6"/>
        <v>2.7900000000000006E-4</v>
      </c>
      <c r="G60" s="92">
        <v>1.2E-4</v>
      </c>
      <c r="H60" s="92">
        <v>1E-4</v>
      </c>
      <c r="I60" s="92"/>
      <c r="J60" s="92"/>
      <c r="K60" s="92">
        <v>2.44E-5</v>
      </c>
      <c r="L60" s="92"/>
      <c r="M60" s="92">
        <v>0</v>
      </c>
      <c r="N60" s="92">
        <v>3.4600000000000001E-5</v>
      </c>
      <c r="O60" s="92"/>
      <c r="P60" s="92"/>
      <c r="Q60" s="92"/>
      <c r="R60" s="138">
        <f>'Parameters, country spec'!E22</f>
        <v>6.2924072151971947E-5</v>
      </c>
      <c r="S60" s="138">
        <f>'Parameters, country spec'!E40</f>
        <v>6.2924072151971947E-5</v>
      </c>
    </row>
    <row r="61" spans="1:20" x14ac:dyDescent="0.3">
      <c r="A61" s="20" t="s">
        <v>368</v>
      </c>
      <c r="B61" s="15" t="s">
        <v>167</v>
      </c>
      <c r="C61" s="15" t="s">
        <v>364</v>
      </c>
      <c r="D61" s="21" t="s">
        <v>114</v>
      </c>
      <c r="E61" s="21" t="s">
        <v>70</v>
      </c>
      <c r="F61" s="117">
        <f t="shared" si="6"/>
        <v>3.2050199999999996E-4</v>
      </c>
      <c r="G61" s="92">
        <v>1.7000000000000001E-4</v>
      </c>
      <c r="H61" s="92">
        <v>1E-4</v>
      </c>
      <c r="I61" s="92"/>
      <c r="J61" s="92"/>
      <c r="K61" s="92">
        <v>1.5400000000000002E-5</v>
      </c>
      <c r="L61" s="92"/>
      <c r="M61" s="92">
        <v>5.0200000000000002E-7</v>
      </c>
      <c r="N61" s="92">
        <v>3.4600000000000001E-5</v>
      </c>
      <c r="O61" s="92"/>
      <c r="P61" s="92"/>
      <c r="Q61" s="92"/>
      <c r="R61" s="138">
        <f>'Parameters, country spec'!E23</f>
        <v>0.20500000000000002</v>
      </c>
      <c r="S61" s="138">
        <f>'Parameters, country spec'!E41</f>
        <v>0.2</v>
      </c>
    </row>
    <row r="62" spans="1:20" x14ac:dyDescent="0.3">
      <c r="A62" s="20" t="s">
        <v>369</v>
      </c>
      <c r="B62" s="15" t="s">
        <v>168</v>
      </c>
      <c r="C62" s="15" t="s">
        <v>370</v>
      </c>
      <c r="D62" s="21" t="s">
        <v>114</v>
      </c>
      <c r="E62" s="21" t="s">
        <v>70</v>
      </c>
      <c r="F62" s="117">
        <f t="shared" si="6"/>
        <v>1.8469999999999999E-4</v>
      </c>
      <c r="G62" s="92">
        <v>0</v>
      </c>
      <c r="H62" s="92">
        <v>1E-4</v>
      </c>
      <c r="I62" s="92"/>
      <c r="J62" s="92"/>
      <c r="K62" s="92">
        <v>3.15E-5</v>
      </c>
      <c r="L62" s="92"/>
      <c r="M62" s="92">
        <v>1.8600000000000001E-5</v>
      </c>
      <c r="N62" s="92">
        <v>3.4600000000000001E-5</v>
      </c>
      <c r="O62" s="92"/>
      <c r="P62" s="92"/>
      <c r="Q62" s="92"/>
      <c r="R62" s="138">
        <f>'Parameters, country spec'!E24</f>
        <v>2.439015630520557E-4</v>
      </c>
      <c r="S62" s="138">
        <f>'Parameters, country spec'!E42</f>
        <v>2.439015630520557E-4</v>
      </c>
    </row>
    <row r="63" spans="1:20" x14ac:dyDescent="0.3">
      <c r="A63" s="20" t="s">
        <v>371</v>
      </c>
      <c r="B63" s="15" t="s">
        <v>170</v>
      </c>
      <c r="C63" s="15" t="s">
        <v>370</v>
      </c>
      <c r="D63" s="21" t="s">
        <v>114</v>
      </c>
      <c r="E63" s="21" t="s">
        <v>70</v>
      </c>
      <c r="F63" s="117">
        <f t="shared" si="6"/>
        <v>2.0880000000000001E-4</v>
      </c>
      <c r="G63" s="92">
        <v>7.5000000000000002E-6</v>
      </c>
      <c r="H63" s="92">
        <v>1E-4</v>
      </c>
      <c r="I63" s="92"/>
      <c r="J63" s="92"/>
      <c r="K63" s="92">
        <v>3.93E-5</v>
      </c>
      <c r="L63" s="92"/>
      <c r="M63" s="92">
        <v>2.7399999999999999E-5</v>
      </c>
      <c r="N63" s="92">
        <v>3.4600000000000001E-5</v>
      </c>
      <c r="O63" s="92"/>
      <c r="P63" s="92"/>
      <c r="Q63" s="92"/>
      <c r="R63" s="138">
        <f>'Parameters, country spec'!E25</f>
        <v>2.3959170998341588E-4</v>
      </c>
      <c r="S63" s="138">
        <f>'Parameters, country spec'!E43</f>
        <v>2.3959170998341588E-4</v>
      </c>
    </row>
    <row r="64" spans="1:20" x14ac:dyDescent="0.3">
      <c r="B64" s="16" t="s">
        <v>171</v>
      </c>
      <c r="C64" s="15" t="s">
        <v>372</v>
      </c>
      <c r="D64" s="21" t="s">
        <v>114</v>
      </c>
      <c r="E64" s="21" t="s">
        <v>70</v>
      </c>
      <c r="F64" s="117">
        <f t="shared" si="6"/>
        <v>4.6478527325651394E-4</v>
      </c>
      <c r="G64" s="27">
        <f>'Off-farm feed'!$F$75</f>
        <v>3.0425509539765719E-4</v>
      </c>
      <c r="H64" s="27">
        <f>'Off-farm feed'!$G$75</f>
        <v>4.5862068965517246E-5</v>
      </c>
      <c r="I64" s="27"/>
      <c r="J64" s="27"/>
      <c r="K64" s="27">
        <f>'Off-farm feed'!$J$75</f>
        <v>1.0936279334641699E-5</v>
      </c>
      <c r="L64" s="27"/>
      <c r="M64" s="27">
        <f>'Off-farm feed'!$L$75</f>
        <v>6.4606960551724142E-7</v>
      </c>
      <c r="N64" s="27">
        <f>'Off-farm feed'!$M$75</f>
        <v>2.1884761697575221E-5</v>
      </c>
      <c r="O64" s="27"/>
      <c r="P64" s="27">
        <f>'Off-farm feed'!$O$75</f>
        <v>5.7027085212127035E-5</v>
      </c>
      <c r="Q64" s="27">
        <f>'Off-farm feed'!$P$75</f>
        <v>2.4173913043478263E-5</v>
      </c>
      <c r="R64" s="138">
        <f>'Parameters, country spec'!E26</f>
        <v>0.09</v>
      </c>
      <c r="S64" s="138">
        <f>'Parameters, country spec'!E44</f>
        <v>0.06</v>
      </c>
    </row>
    <row r="65" spans="1:20" x14ac:dyDescent="0.3">
      <c r="B65" s="16" t="s">
        <v>373</v>
      </c>
      <c r="C65" s="15" t="s">
        <v>372</v>
      </c>
      <c r="D65" s="21" t="s">
        <v>114</v>
      </c>
      <c r="E65" s="21" t="s">
        <v>70</v>
      </c>
      <c r="F65" s="117">
        <f t="shared" si="6"/>
        <v>4.7266553697523981E-4</v>
      </c>
      <c r="G65" s="27">
        <f>'Off-farm feed'!$F$24</f>
        <v>1.5603516238625262E-5</v>
      </c>
      <c r="H65" s="27">
        <f>'Off-farm feed'!$G$24</f>
        <v>7.5304878048780503E-5</v>
      </c>
      <c r="I65" s="27"/>
      <c r="J65" s="27"/>
      <c r="K65" s="27">
        <f>'Off-farm feed'!$J$24</f>
        <v>1.908459074435586E-5</v>
      </c>
      <c r="L65" s="27"/>
      <c r="M65" s="27">
        <f>'Off-farm feed'!$L$24</f>
        <v>5.9672097439024396E-7</v>
      </c>
      <c r="N65" s="27">
        <f>'Off-farm feed'!$M$24</f>
        <v>2.3084271612619523E-5</v>
      </c>
      <c r="O65" s="27"/>
      <c r="P65" s="27">
        <f>'Off-farm feed'!$O$24</f>
        <v>1.2899155935646844E-4</v>
      </c>
      <c r="Q65" s="27">
        <f>'Off-farm feed'!$P$24</f>
        <v>2.1000000000000001E-4</v>
      </c>
      <c r="R65" s="138">
        <f>'Parameters, country spec'!E27</f>
        <v>9.5000000000000001E-2</v>
      </c>
      <c r="S65" s="138">
        <f>'Parameters, country spec'!E45</f>
        <v>7.0000000000000007E-2</v>
      </c>
    </row>
    <row r="66" spans="1:20" x14ac:dyDescent="0.3">
      <c r="B66" s="15" t="s">
        <v>173</v>
      </c>
      <c r="C66" s="15" t="s">
        <v>374</v>
      </c>
      <c r="D66" s="21" t="s">
        <v>114</v>
      </c>
      <c r="E66" s="21" t="s">
        <v>70</v>
      </c>
      <c r="F66" s="354">
        <f t="shared" si="6"/>
        <v>1.4048667020930565E-3</v>
      </c>
      <c r="G66" s="92">
        <v>8.6835153156359304E-5</v>
      </c>
      <c r="H66" s="92">
        <v>4.7537999999999998E-5</v>
      </c>
      <c r="I66" s="42"/>
      <c r="J66" s="42"/>
      <c r="K66" s="92">
        <v>2.5195708664316999E-5</v>
      </c>
      <c r="L66" s="42"/>
      <c r="M66" s="42"/>
      <c r="N66" s="92"/>
      <c r="O66" s="92"/>
      <c r="P66" s="92">
        <v>1.2421904527491999E-3</v>
      </c>
      <c r="Q66" s="92">
        <v>3.10738752318024E-6</v>
      </c>
      <c r="R66" s="138">
        <f>'Parameters, country spec'!E28</f>
        <v>9.5000000000000001E-2</v>
      </c>
      <c r="S66" s="138">
        <f>'Parameters, country spec'!E46</f>
        <v>0.14000000000000001</v>
      </c>
    </row>
    <row r="67" spans="1:20" x14ac:dyDescent="0.3">
      <c r="A67" s="74"/>
      <c r="B67" s="15" t="s">
        <v>375</v>
      </c>
      <c r="C67" s="75" t="s">
        <v>376</v>
      </c>
      <c r="D67" s="21" t="s">
        <v>114</v>
      </c>
      <c r="E67" s="21" t="s">
        <v>70</v>
      </c>
      <c r="F67" s="117">
        <f t="shared" si="6"/>
        <v>2.0064313907891695E-4</v>
      </c>
      <c r="G67" s="73">
        <f>SUMPRODUCT(G57:G65,$R57:$R65)</f>
        <v>8.7782529747111677E-5</v>
      </c>
      <c r="H67" s="73">
        <f t="shared" ref="H67:P67" si="7">SUMPRODUCT(H57:H65,$R57:$R65)</f>
        <v>4.7875940662284798E-5</v>
      </c>
      <c r="I67" s="73">
        <f t="shared" si="7"/>
        <v>0</v>
      </c>
      <c r="J67" s="73">
        <f t="shared" si="7"/>
        <v>0</v>
      </c>
      <c r="K67" s="73">
        <f t="shared" si="7"/>
        <v>8.3787288738172944E-6</v>
      </c>
      <c r="L67" s="73">
        <f t="shared" si="7"/>
        <v>0</v>
      </c>
      <c r="M67" s="73">
        <f t="shared" si="7"/>
        <v>2.6935815775262843E-7</v>
      </c>
      <c r="N67" s="73">
        <f t="shared" si="7"/>
        <v>1.6824293656081541E-5</v>
      </c>
      <c r="O67" s="73">
        <f t="shared" si="7"/>
        <v>0</v>
      </c>
      <c r="P67" s="73">
        <f t="shared" si="7"/>
        <v>1.7386635807955936E-5</v>
      </c>
      <c r="Q67" s="73">
        <f>SUMPRODUCT(Q57:Q65,$R57:$R65)</f>
        <v>2.2125652173913045E-5</v>
      </c>
      <c r="R67" s="138">
        <f>'Parameters, country spec'!E29</f>
        <v>7.0000000000000007E-2</v>
      </c>
      <c r="S67" s="138">
        <f>'Parameters, country spec'!E47</f>
        <v>0.03</v>
      </c>
    </row>
    <row r="68" spans="1:20" x14ac:dyDescent="0.3">
      <c r="A68" s="287"/>
      <c r="B68" s="288" t="s">
        <v>377</v>
      </c>
      <c r="C68" s="289"/>
      <c r="D68" s="290"/>
      <c r="E68" s="290"/>
      <c r="F68" s="293">
        <f>SUMPRODUCT(F54:F56,R54:R56)+SUMPRODUCT(F57:F67,R57:R67)/0.87</f>
        <v>6.3068968389692263E-4</v>
      </c>
      <c r="G68" s="293">
        <f>SUMPRODUCT(G54:G56,R54:R56)+SUMPRODUCT(G57:G67,R57:R67)/0.87</f>
        <v>1.1926877147009527E-4</v>
      </c>
      <c r="H68" s="293">
        <f>SUMPRODUCT(H54:H56,R54:R56)+SUMPRODUCT(H57:H67,R57:R67)/0.87</f>
        <v>9.0672835067407749E-5</v>
      </c>
      <c r="I68" s="293">
        <f>SUMPRODUCT(I54:I56,R54:R56)+SUMPRODUCT(I57:I67,R57:R67)/0.87</f>
        <v>0</v>
      </c>
      <c r="J68" s="293">
        <f>SUMPRODUCT(J54:J56,R54:R56)+SUMPRODUCT(J57:J67,R57:R67)/0.87</f>
        <v>0</v>
      </c>
      <c r="K68" s="293">
        <f>SUMPRODUCT(K54:K56,R54:R56)+SUMPRODUCT(K57:K67,R57:R67)/0.87</f>
        <v>1.6908479190134002E-5</v>
      </c>
      <c r="L68" s="293">
        <f>SUMPRODUCT(L54:L56,R54:R56)+SUMPRODUCT(L57:L67,R57:R67)/0.87</f>
        <v>0</v>
      </c>
      <c r="M68" s="293">
        <f>SUMPRODUCT(M54:M56,R54:R56)+SUMPRODUCT(M57:M67,R57:R67)/0.87</f>
        <v>3.3127957332794535E-7</v>
      </c>
      <c r="N68" s="293">
        <f>SUMPRODUCT(N54:N56,R54:R56)+SUMPRODUCT(N57:N67,R57:R67)/0.87</f>
        <v>2.0691947370123274E-5</v>
      </c>
      <c r="O68" s="293">
        <f>SUMPRODUCT(O54:O56,R54:R56)+SUMPRODUCT(O57:O67,R57:R67)/0.87</f>
        <v>0</v>
      </c>
      <c r="P68" s="293">
        <f>SUMPRODUCT(P54:P56,R54:R56)+SUMPRODUCT(P57:P67,R57:R67)/0.87</f>
        <v>3.5526504979964006E-4</v>
      </c>
      <c r="Q68" s="293">
        <f>SUMPRODUCT(Q54:Q56,R54:R56)+SUMPRODUCT(Q57:Q67,R57:R67)/0.87</f>
        <v>2.7551321426194347E-5</v>
      </c>
      <c r="R68" s="294"/>
      <c r="S68" s="295"/>
    </row>
    <row r="69" spans="1:20" x14ac:dyDescent="0.3">
      <c r="A69" s="137"/>
      <c r="B69" s="23" t="s">
        <v>381</v>
      </c>
      <c r="C69" s="24"/>
      <c r="D69" s="93"/>
      <c r="E69" s="93"/>
      <c r="F69" s="28">
        <f>SUMPRODUCT(F54:F56,S54:S56)+SUMPRODUCT(F57:F67,S57:S67)/0.87</f>
        <v>6.9293057562125793E-4</v>
      </c>
      <c r="G69" s="28">
        <f>SUMPRODUCT(G54:G56,S54:S56)+SUMPRODUCT(G57:G67,S57:S67)/0.87</f>
        <v>1.1483418558169692E-4</v>
      </c>
      <c r="H69" s="28">
        <f>SUMPRODUCT(H54:H56,S54:S56)+SUMPRODUCT(H57:H67,S57:S67)/0.87</f>
        <v>9.3108109036745186E-5</v>
      </c>
      <c r="I69" s="28">
        <f>SUMPRODUCT(I54:I56,S54:S56)+SUMPRODUCT(I57:I67,S57:S67)/0.87</f>
        <v>0</v>
      </c>
      <c r="J69" s="28">
        <f>SUMPRODUCT(J54:J56,S54:S56)+SUMPRODUCT(J57:J67,S57:S67)/0.87</f>
        <v>0</v>
      </c>
      <c r="K69" s="28">
        <f>SUMPRODUCT(K54:K56,S54:S56)+SUMPRODUCT(K57:K67,S57:S67)/0.87</f>
        <v>1.777727302309212E-5</v>
      </c>
      <c r="L69" s="28">
        <f>SUMPRODUCT(L54:L56,S54:S56)+SUMPRODUCT(L57:L67,S57:S67)/0.87</f>
        <v>0</v>
      </c>
      <c r="M69" s="28">
        <f>SUMPRODUCT(M54:M56,S54:S56)+SUMPRODUCT(M57:M67,S57:S67)/0.87</f>
        <v>2.8812504593095845E-7</v>
      </c>
      <c r="N69" s="28">
        <f>SUMPRODUCT(N54:N56,S54:S56)+SUMPRODUCT(N57:N67,S57:S67)/0.87</f>
        <v>1.9892382556920971E-5</v>
      </c>
      <c r="O69" s="28">
        <f>SUMPRODUCT(O54:O56,S54:S56)+SUMPRODUCT(O57:O67,S57:S67)/0.87</f>
        <v>0</v>
      </c>
      <c r="P69" s="28">
        <f>SUMPRODUCT(P54:P56,S54:S56)+SUMPRODUCT(P57:P67,S57:S67)/0.87</f>
        <v>4.2720378934115756E-4</v>
      </c>
      <c r="Q69" s="28">
        <f>SUMPRODUCT(Q54:Q56,S54:S56)+SUMPRODUCT(Q57:Q67,S57:S67)/0.87</f>
        <v>1.9826711035714166E-5</v>
      </c>
      <c r="R69" s="139"/>
      <c r="S69" s="139"/>
    </row>
    <row r="70" spans="1:20" x14ac:dyDescent="0.3">
      <c r="B70" s="16" t="s">
        <v>152</v>
      </c>
      <c r="C70" s="15" t="s">
        <v>361</v>
      </c>
      <c r="D70" s="21" t="s">
        <v>23</v>
      </c>
      <c r="E70" s="21" t="s">
        <v>71</v>
      </c>
      <c r="F70" s="117">
        <f>SUM(G70:Q70)</f>
        <v>1.4027253581328368E-4</v>
      </c>
      <c r="G70" s="27">
        <f>'Forage crops, CF'!F29</f>
        <v>3.9901302719260733E-5</v>
      </c>
      <c r="H70" s="27">
        <f>'Forage crops, CF'!G29</f>
        <v>9.5000000000000005E-5</v>
      </c>
      <c r="I70" s="27">
        <f>'Forage crops, CF'!H29</f>
        <v>0</v>
      </c>
      <c r="J70" s="27">
        <f>'Forage crops, CF'!I29</f>
        <v>0</v>
      </c>
      <c r="K70" s="27">
        <f>'Forage crops, CF'!J29</f>
        <v>5.371233094022949E-6</v>
      </c>
      <c r="L70" s="27">
        <f>'Forage crops, CF'!K29</f>
        <v>0</v>
      </c>
      <c r="M70" s="27">
        <f>'Forage crops, CF'!L29</f>
        <v>0</v>
      </c>
      <c r="N70" s="27">
        <f>'Forage crops, CF'!M29</f>
        <v>0</v>
      </c>
      <c r="O70" s="27">
        <f>'Forage crops, CF'!N29</f>
        <v>0</v>
      </c>
      <c r="P70" s="27">
        <f>'Forage crops, CF'!O29</f>
        <v>0</v>
      </c>
      <c r="Q70" s="27">
        <f>'Forage crops, CF'!P29</f>
        <v>0</v>
      </c>
      <c r="R70" s="138">
        <f>'Parameters, country spec'!F16</f>
        <v>0</v>
      </c>
      <c r="S70" s="138">
        <f>'Parameters, country spec'!F34</f>
        <v>0</v>
      </c>
      <c r="T70" s="18"/>
    </row>
    <row r="71" spans="1:20" x14ac:dyDescent="0.3">
      <c r="B71" s="16" t="s">
        <v>154</v>
      </c>
      <c r="C71" s="15" t="s">
        <v>361</v>
      </c>
      <c r="D71" s="21" t="s">
        <v>23</v>
      </c>
      <c r="E71" s="21" t="s">
        <v>71</v>
      </c>
      <c r="F71" s="117">
        <f>SUM(G71:Q71)</f>
        <v>8.8586071384316929E-4</v>
      </c>
      <c r="G71" s="27">
        <f>'Forage crops, CF'!F79</f>
        <v>5.2987214128940158E-5</v>
      </c>
      <c r="H71" s="27">
        <f>'Forage crops, CF'!G79</f>
        <v>9.5000000000000005E-5</v>
      </c>
      <c r="I71" s="27"/>
      <c r="J71" s="27"/>
      <c r="K71" s="27">
        <f>'Forage crops, CF'!J79</f>
        <v>4.7806177142291395E-6</v>
      </c>
      <c r="L71" s="27"/>
      <c r="M71" s="27">
        <f>'Forage crops, CF'!L79</f>
        <v>2.5092882000000002E-5</v>
      </c>
      <c r="N71" s="27">
        <f>'Forage crops, CF'!M79</f>
        <v>0</v>
      </c>
      <c r="O71" s="27"/>
      <c r="P71" s="27">
        <f>'Forage crops, CF'!O79</f>
        <v>7.0799999999999997E-4</v>
      </c>
      <c r="Q71" s="27"/>
      <c r="R71" s="138">
        <f>'Parameters, country spec'!F17</f>
        <v>0</v>
      </c>
      <c r="S71" s="138">
        <f>'Parameters, country spec'!F35</f>
        <v>0</v>
      </c>
      <c r="T71" s="18"/>
    </row>
    <row r="72" spans="1:20" x14ac:dyDescent="0.3">
      <c r="B72" s="16" t="s">
        <v>362</v>
      </c>
      <c r="C72" s="15" t="s">
        <v>361</v>
      </c>
      <c r="D72" s="21" t="s">
        <v>23</v>
      </c>
      <c r="E72" s="21" t="s">
        <v>71</v>
      </c>
      <c r="F72" s="117">
        <f>SUM(G72:Q72)</f>
        <v>8.3075716648158275E-4</v>
      </c>
      <c r="G72" s="27">
        <f>'Forage crops, CF'!F129*'Forage, input data per ha'!$E$72+'Forage crops, CF'!F179*'Forage, input data per ha'!$G$72</f>
        <v>2.1637996744228624E-5</v>
      </c>
      <c r="H72" s="27">
        <f>'Forage crops, CF'!G129*'Forage, input data per ha'!$E$72+'Forage crops, CF'!G179*'Forage, input data per ha'!$G$72</f>
        <v>9.5000000000000005E-5</v>
      </c>
      <c r="I72" s="27"/>
      <c r="J72" s="27"/>
      <c r="K72" s="27">
        <f>'Forage crops, CF'!J129*'Forage, input data per ha'!$E$72+'Forage crops, CF'!J179*'Forage, input data per ha'!$G$72</f>
        <v>6.1191697373541144E-6</v>
      </c>
      <c r="L72" s="27"/>
      <c r="M72" s="27">
        <f>'Forage crops, CF'!L129*'Forage, input data per ha'!$E$72+'Forage crops, CF'!L179*'Forage, input data per ha'!$G$72</f>
        <v>0</v>
      </c>
      <c r="N72" s="27">
        <f>'Forage crops, CF'!M129*'Forage, input data per ha'!$E$72+'Forage crops, CF'!M179*'Forage, input data per ha'!$G$72</f>
        <v>0</v>
      </c>
      <c r="O72" s="27"/>
      <c r="P72" s="27">
        <f>'Forage crops, CF'!O129*'Forage, input data per ha'!$E$72+'Forage crops, CF'!O179*'Forage, input data per ha'!$G$72</f>
        <v>7.0799999999999997E-4</v>
      </c>
      <c r="Q72" s="27"/>
      <c r="R72" s="138">
        <f>'Parameters, country spec'!F18</f>
        <v>0.28000000000000003</v>
      </c>
      <c r="S72" s="138">
        <f>'Parameters, country spec'!F36</f>
        <v>0.3</v>
      </c>
      <c r="T72" s="18"/>
    </row>
    <row r="73" spans="1:20" x14ac:dyDescent="0.3">
      <c r="A73" s="20" t="s">
        <v>363</v>
      </c>
      <c r="B73" s="15" t="s">
        <v>159</v>
      </c>
      <c r="C73" s="15" t="s">
        <v>364</v>
      </c>
      <c r="D73" s="21" t="s">
        <v>23</v>
      </c>
      <c r="E73" s="21" t="s">
        <v>71</v>
      </c>
      <c r="F73" s="117">
        <f>SUM(G73:Q73)</f>
        <v>3.1615300000000001E-4</v>
      </c>
      <c r="G73" s="92">
        <v>1.4999999999999999E-4</v>
      </c>
      <c r="H73" s="92">
        <v>1E-4</v>
      </c>
      <c r="I73" s="92"/>
      <c r="J73" s="92"/>
      <c r="K73" s="92">
        <v>2.0000000000000002E-5</v>
      </c>
      <c r="L73" s="92"/>
      <c r="M73" s="92">
        <v>7.5300000000000003E-7</v>
      </c>
      <c r="N73" s="92">
        <v>4.5399999999999999E-5</v>
      </c>
      <c r="O73" s="92"/>
      <c r="P73" s="92"/>
      <c r="Q73" s="92"/>
      <c r="R73" s="138">
        <f>'Parameters, country spec'!F19</f>
        <v>0.16</v>
      </c>
      <c r="S73" s="138">
        <f>'Parameters, country spec'!F37</f>
        <v>0.2</v>
      </c>
    </row>
    <row r="74" spans="1:20" x14ac:dyDescent="0.3">
      <c r="A74" s="20" t="s">
        <v>365</v>
      </c>
      <c r="B74" s="15" t="s">
        <v>161</v>
      </c>
      <c r="C74" s="15" t="s">
        <v>364</v>
      </c>
      <c r="D74" s="21" t="s">
        <v>23</v>
      </c>
      <c r="E74" s="21" t="s">
        <v>71</v>
      </c>
      <c r="F74" s="117">
        <f t="shared" ref="F74:F83" si="8">SUM(G74:Q74)</f>
        <v>3.2844000000000005E-4</v>
      </c>
      <c r="G74" s="92">
        <v>1.4999999999999999E-4</v>
      </c>
      <c r="H74" s="92">
        <v>1E-4</v>
      </c>
      <c r="I74" s="92"/>
      <c r="J74" s="92"/>
      <c r="K74" s="92">
        <v>7.9400000000000002E-6</v>
      </c>
      <c r="L74" s="92"/>
      <c r="M74" s="92">
        <v>2.51E-5</v>
      </c>
      <c r="N74" s="92">
        <v>4.5399999999999999E-5</v>
      </c>
      <c r="O74" s="92"/>
      <c r="P74" s="92"/>
      <c r="Q74" s="92"/>
      <c r="R74" s="138">
        <f>'Parameters, country spec'!F20</f>
        <v>3.1075970320211814E-4</v>
      </c>
      <c r="S74" s="138">
        <f>'Parameters, country spec'!F38</f>
        <v>3.1075970320211814E-4</v>
      </c>
    </row>
    <row r="75" spans="1:20" x14ac:dyDescent="0.3">
      <c r="A75" s="20" t="s">
        <v>366</v>
      </c>
      <c r="B75" s="15" t="s">
        <v>163</v>
      </c>
      <c r="C75" s="15" t="s">
        <v>364</v>
      </c>
      <c r="D75" s="21" t="s">
        <v>23</v>
      </c>
      <c r="E75" s="21" t="s">
        <v>71</v>
      </c>
      <c r="F75" s="117">
        <f t="shared" si="8"/>
        <v>3.3830000000000004E-4</v>
      </c>
      <c r="G75" s="92">
        <v>1.2999999999999999E-4</v>
      </c>
      <c r="H75" s="92">
        <v>1E-4</v>
      </c>
      <c r="I75" s="92"/>
      <c r="J75" s="92"/>
      <c r="K75" s="92">
        <v>3.4999999999999997E-5</v>
      </c>
      <c r="L75" s="92"/>
      <c r="M75" s="92">
        <v>2.7900000000000001E-5</v>
      </c>
      <c r="N75" s="92">
        <v>4.5399999999999999E-5</v>
      </c>
      <c r="O75" s="92"/>
      <c r="P75" s="92"/>
      <c r="Q75" s="92"/>
      <c r="R75" s="138">
        <f>'Parameters, country spec'!F21</f>
        <v>8.6733359151412953E-5</v>
      </c>
      <c r="S75" s="138">
        <f>'Parameters, country spec'!F39</f>
        <v>8.6733359151412953E-5</v>
      </c>
    </row>
    <row r="76" spans="1:20" x14ac:dyDescent="0.3">
      <c r="A76" s="20" t="s">
        <v>367</v>
      </c>
      <c r="B76" s="15" t="s">
        <v>165</v>
      </c>
      <c r="C76" s="15" t="s">
        <v>364</v>
      </c>
      <c r="D76" s="21" t="s">
        <v>23</v>
      </c>
      <c r="E76" s="21" t="s">
        <v>71</v>
      </c>
      <c r="F76" s="117">
        <f t="shared" si="8"/>
        <v>2.9170000000000004E-4</v>
      </c>
      <c r="G76" s="92">
        <v>1.2E-4</v>
      </c>
      <c r="H76" s="92">
        <v>1E-4</v>
      </c>
      <c r="I76" s="92"/>
      <c r="J76" s="92"/>
      <c r="K76" s="92">
        <v>2.5299999999999998E-5</v>
      </c>
      <c r="L76" s="92"/>
      <c r="M76" s="92">
        <v>9.9999999999999995E-7</v>
      </c>
      <c r="N76" s="92">
        <v>4.5399999999999999E-5</v>
      </c>
      <c r="O76" s="92"/>
      <c r="P76" s="92"/>
      <c r="Q76" s="92"/>
      <c r="R76" s="138">
        <f>'Parameters, country spec'!F22</f>
        <v>6.2924072151971947E-5</v>
      </c>
      <c r="S76" s="138">
        <f>'Parameters, country spec'!F40</f>
        <v>6.2924072151971947E-5</v>
      </c>
    </row>
    <row r="77" spans="1:20" x14ac:dyDescent="0.3">
      <c r="A77" s="20" t="s">
        <v>368</v>
      </c>
      <c r="B77" s="15" t="s">
        <v>167</v>
      </c>
      <c r="C77" s="15" t="s">
        <v>364</v>
      </c>
      <c r="D77" s="21" t="s">
        <v>23</v>
      </c>
      <c r="E77" s="21" t="s">
        <v>71</v>
      </c>
      <c r="F77" s="117">
        <f t="shared" si="8"/>
        <v>3.4172E-4</v>
      </c>
      <c r="G77" s="92">
        <v>1.7000000000000001E-4</v>
      </c>
      <c r="H77" s="92">
        <v>1E-4</v>
      </c>
      <c r="I77" s="92"/>
      <c r="J77" s="92"/>
      <c r="K77" s="92">
        <v>2.1299999999999999E-5</v>
      </c>
      <c r="L77" s="92"/>
      <c r="M77" s="92">
        <v>5.0200000000000002E-6</v>
      </c>
      <c r="N77" s="92">
        <v>4.5399999999999999E-5</v>
      </c>
      <c r="O77" s="92"/>
      <c r="P77" s="92"/>
      <c r="Q77" s="92"/>
      <c r="R77" s="138">
        <f>'Parameters, country spec'!F23</f>
        <v>0.20500000000000002</v>
      </c>
      <c r="S77" s="138">
        <f>'Parameters, country spec'!F41</f>
        <v>0.2</v>
      </c>
    </row>
    <row r="78" spans="1:20" x14ac:dyDescent="0.3">
      <c r="A78" s="20" t="s">
        <v>369</v>
      </c>
      <c r="B78" s="15" t="s">
        <v>168</v>
      </c>
      <c r="C78" s="15" t="s">
        <v>370</v>
      </c>
      <c r="D78" s="21" t="s">
        <v>23</v>
      </c>
      <c r="E78" s="21" t="s">
        <v>71</v>
      </c>
      <c r="F78" s="117">
        <f t="shared" si="8"/>
        <v>1.7426E-4</v>
      </c>
      <c r="G78" s="92">
        <v>0</v>
      </c>
      <c r="H78" s="92">
        <v>1E-4</v>
      </c>
      <c r="I78" s="92"/>
      <c r="J78" s="92"/>
      <c r="K78" s="92">
        <v>2.5599999999999999E-5</v>
      </c>
      <c r="L78" s="92"/>
      <c r="M78" s="92">
        <v>3.2600000000000001E-6</v>
      </c>
      <c r="N78" s="92">
        <v>4.5399999999999999E-5</v>
      </c>
      <c r="O78" s="92"/>
      <c r="P78" s="92"/>
      <c r="Q78" s="92"/>
      <c r="R78" s="138">
        <f>'Parameters, country spec'!F24</f>
        <v>2.439015630520557E-4</v>
      </c>
      <c r="S78" s="138">
        <f>'Parameters, country spec'!F42</f>
        <v>2.439015630520557E-4</v>
      </c>
    </row>
    <row r="79" spans="1:20" x14ac:dyDescent="0.3">
      <c r="A79" s="20" t="s">
        <v>371</v>
      </c>
      <c r="B79" s="15" t="s">
        <v>170</v>
      </c>
      <c r="C79" s="15" t="s">
        <v>370</v>
      </c>
      <c r="D79" s="21" t="s">
        <v>23</v>
      </c>
      <c r="E79" s="21" t="s">
        <v>71</v>
      </c>
      <c r="F79" s="117">
        <f t="shared" si="8"/>
        <v>1.9220000000000001E-4</v>
      </c>
      <c r="G79" s="92">
        <v>7.5000000000000002E-6</v>
      </c>
      <c r="H79" s="92">
        <v>1E-4</v>
      </c>
      <c r="I79" s="92"/>
      <c r="J79" s="92"/>
      <c r="K79" s="92">
        <v>3.8300000000000003E-5</v>
      </c>
      <c r="L79" s="92"/>
      <c r="M79" s="92">
        <v>9.9999999999999995E-7</v>
      </c>
      <c r="N79" s="92">
        <v>4.5399999999999999E-5</v>
      </c>
      <c r="O79" s="92"/>
      <c r="P79" s="92"/>
      <c r="Q79" s="92"/>
      <c r="R79" s="138">
        <f>'Parameters, country spec'!F25</f>
        <v>2.3959170998341588E-4</v>
      </c>
      <c r="S79" s="138">
        <f>'Parameters, country spec'!F43</f>
        <v>2.3959170998341588E-4</v>
      </c>
    </row>
    <row r="80" spans="1:20" x14ac:dyDescent="0.3">
      <c r="B80" s="16" t="s">
        <v>171</v>
      </c>
      <c r="C80" s="15" t="s">
        <v>372</v>
      </c>
      <c r="D80" s="21" t="s">
        <v>23</v>
      </c>
      <c r="E80" s="21" t="s">
        <v>71</v>
      </c>
      <c r="F80" s="117">
        <f t="shared" si="8"/>
        <v>4.6478527325651394E-4</v>
      </c>
      <c r="G80" s="27">
        <f>'Off-farm feed'!$F$75</f>
        <v>3.0425509539765719E-4</v>
      </c>
      <c r="H80" s="27">
        <f>'Off-farm feed'!$G$75</f>
        <v>4.5862068965517246E-5</v>
      </c>
      <c r="I80" s="27"/>
      <c r="J80" s="27"/>
      <c r="K80" s="27">
        <f>'Off-farm feed'!$J$75</f>
        <v>1.0936279334641699E-5</v>
      </c>
      <c r="L80" s="27"/>
      <c r="M80" s="27">
        <f>'Off-farm feed'!$L$75</f>
        <v>6.4606960551724142E-7</v>
      </c>
      <c r="N80" s="27">
        <f>'Off-farm feed'!$M$75</f>
        <v>2.1884761697575221E-5</v>
      </c>
      <c r="O80" s="27"/>
      <c r="P80" s="27">
        <f>'Off-farm feed'!$O$75</f>
        <v>5.7027085212127035E-5</v>
      </c>
      <c r="Q80" s="27">
        <f>'Off-farm feed'!$P$75</f>
        <v>2.4173913043478263E-5</v>
      </c>
      <c r="R80" s="138">
        <f>'Parameters, country spec'!F26</f>
        <v>0.09</v>
      </c>
      <c r="S80" s="138">
        <f>'Parameters, country spec'!F44</f>
        <v>0.06</v>
      </c>
    </row>
    <row r="81" spans="1:20" x14ac:dyDescent="0.3">
      <c r="B81" s="16" t="s">
        <v>373</v>
      </c>
      <c r="C81" s="15" t="s">
        <v>372</v>
      </c>
      <c r="D81" s="21" t="s">
        <v>23</v>
      </c>
      <c r="E81" s="21" t="s">
        <v>71</v>
      </c>
      <c r="F81" s="117">
        <f t="shared" si="8"/>
        <v>4.7266553697523981E-4</v>
      </c>
      <c r="G81" s="27">
        <f>'Off-farm feed'!$F$24</f>
        <v>1.5603516238625262E-5</v>
      </c>
      <c r="H81" s="27">
        <f>'Off-farm feed'!$G$24</f>
        <v>7.5304878048780503E-5</v>
      </c>
      <c r="I81" s="27"/>
      <c r="J81" s="27"/>
      <c r="K81" s="27">
        <f>'Off-farm feed'!$J$24</f>
        <v>1.908459074435586E-5</v>
      </c>
      <c r="L81" s="27"/>
      <c r="M81" s="27">
        <f>'Off-farm feed'!$L$24</f>
        <v>5.9672097439024396E-7</v>
      </c>
      <c r="N81" s="27">
        <f>'Off-farm feed'!$M$24</f>
        <v>2.3084271612619523E-5</v>
      </c>
      <c r="O81" s="27"/>
      <c r="P81" s="27">
        <f>'Off-farm feed'!$O$24</f>
        <v>1.2899155935646844E-4</v>
      </c>
      <c r="Q81" s="27">
        <f>'Off-farm feed'!$P$24</f>
        <v>2.1000000000000001E-4</v>
      </c>
      <c r="R81" s="138">
        <f>'Parameters, country spec'!F27</f>
        <v>9.5000000000000001E-2</v>
      </c>
      <c r="S81" s="138">
        <f>'Parameters, country spec'!F45</f>
        <v>7.0000000000000007E-2</v>
      </c>
    </row>
    <row r="82" spans="1:20" x14ac:dyDescent="0.3">
      <c r="B82" s="15" t="s">
        <v>173</v>
      </c>
      <c r="C82" s="15" t="s">
        <v>374</v>
      </c>
      <c r="D82" s="21" t="s">
        <v>23</v>
      </c>
      <c r="E82" s="21" t="s">
        <v>71</v>
      </c>
      <c r="F82" s="354">
        <f t="shared" si="8"/>
        <v>2.0494297585875614E-3</v>
      </c>
      <c r="G82" s="92">
        <v>8.9837354931365901E-5</v>
      </c>
      <c r="H82" s="92">
        <v>4.9778010471204101E-5</v>
      </c>
      <c r="K82" s="92">
        <v>3.0411124322263398E-5</v>
      </c>
      <c r="N82" s="92"/>
      <c r="O82" s="92"/>
      <c r="P82" s="92">
        <v>1.84838955963081E-3</v>
      </c>
      <c r="Q82" s="92">
        <v>3.1013709231917901E-5</v>
      </c>
      <c r="R82" s="138">
        <f>'Parameters, country spec'!F28</f>
        <v>9.5000000000000001E-2</v>
      </c>
      <c r="S82" s="138">
        <f>'Parameters, country spec'!F46</f>
        <v>0.14000000000000001</v>
      </c>
    </row>
    <row r="83" spans="1:20" x14ac:dyDescent="0.3">
      <c r="A83" s="74"/>
      <c r="B83" s="15" t="s">
        <v>375</v>
      </c>
      <c r="C83" s="75" t="s">
        <v>376</v>
      </c>
      <c r="D83" s="21" t="s">
        <v>23</v>
      </c>
      <c r="E83" s="21" t="s">
        <v>71</v>
      </c>
      <c r="F83" s="117">
        <f t="shared" si="8"/>
        <v>2.076092951829377E-4</v>
      </c>
      <c r="G83" s="73">
        <f>SUMPRODUCT(G73:G81,$R73:$R81)</f>
        <v>8.7782529747111677E-5</v>
      </c>
      <c r="H83" s="73">
        <f t="shared" ref="H83:P83" si="9">SUMPRODUCT(H73:H81,$R73:$R81)</f>
        <v>4.7875940662284798E-5</v>
      </c>
      <c r="I83" s="73">
        <f t="shared" si="9"/>
        <v>0</v>
      </c>
      <c r="J83" s="73">
        <f t="shared" si="9"/>
        <v>0</v>
      </c>
      <c r="K83" s="73">
        <f t="shared" si="9"/>
        <v>1.0386316581977227E-5</v>
      </c>
      <c r="L83" s="73">
        <f t="shared" si="9"/>
        <v>0</v>
      </c>
      <c r="M83" s="73">
        <f t="shared" si="9"/>
        <v>1.2757323212120076E-6</v>
      </c>
      <c r="N83" s="73">
        <f t="shared" si="9"/>
        <v>2.0776487888482983E-5</v>
      </c>
      <c r="O83" s="73">
        <f t="shared" si="9"/>
        <v>0</v>
      </c>
      <c r="P83" s="73">
        <f t="shared" si="9"/>
        <v>1.7386635807955936E-5</v>
      </c>
      <c r="Q83" s="73">
        <f>SUMPRODUCT(Q73:Q81,$R73:$R81)</f>
        <v>2.2125652173913045E-5</v>
      </c>
      <c r="R83" s="138">
        <f>'Parameters, country spec'!F29</f>
        <v>7.0000000000000007E-2</v>
      </c>
      <c r="S83" s="138">
        <f>'Parameters, country spec'!F47</f>
        <v>0.03</v>
      </c>
    </row>
    <row r="84" spans="1:20" x14ac:dyDescent="0.3">
      <c r="A84" s="287"/>
      <c r="B84" s="288" t="s">
        <v>377</v>
      </c>
      <c r="C84" s="289"/>
      <c r="D84" s="290"/>
      <c r="E84" s="290"/>
      <c r="F84" s="293">
        <f>SUMPRODUCT(F70:F72,R70:R72)+SUMPRODUCT(F73:F83,R73:R83)/0.87</f>
        <v>7.1173588352468409E-4</v>
      </c>
      <c r="G84" s="293">
        <f>SUMPRODUCT(G70:G72,R70:R72)+SUMPRODUCT(G73:G83,R73:R83)/0.87</f>
        <v>1.2383088684457855E-4</v>
      </c>
      <c r="H84" s="293">
        <f>SUMPRODUCT(H70:H72,R70:R72)+SUMPRODUCT(H73:H83,R73:R83)/0.87</f>
        <v>9.0917433911964502E-5</v>
      </c>
      <c r="I84" s="293">
        <f>SUMPRODUCT(I70:I72,R70:R72)+SUMPRODUCT(I73:I83,R73:R83)/0.87</f>
        <v>0</v>
      </c>
      <c r="J84" s="293">
        <f>SUMPRODUCT(J70:J72,R70:R72)+SUMPRODUCT(J73:J83,R73:R83)/0.87</f>
        <v>0</v>
      </c>
      <c r="K84" s="293">
        <f>SUMPRODUCT(K70:K72,R70:R72)+SUMPRODUCT(K73:K83,R73:R83)/0.87</f>
        <v>1.7808098047528873E-5</v>
      </c>
      <c r="L84" s="293">
        <f>SUMPRODUCT(L70:L72,R70:R72)+SUMPRODUCT(L73:L83,R73:R83)/0.87</f>
        <v>0</v>
      </c>
      <c r="M84" s="293">
        <f>SUMPRODUCT(M70:M72,R70:R72)+SUMPRODUCT(M73:M83,R73:R83)/0.87</f>
        <v>1.5690041191917794E-6</v>
      </c>
      <c r="N84" s="293">
        <f>SUMPRODUCT(N70:N72,R70:R72)+SUMPRODUCT(N73:N83,R73:R83)/0.87</f>
        <v>2.555269200077792E-5</v>
      </c>
      <c r="O84" s="293">
        <f>SUMPRODUCT(O70:O72,R70:R72)+SUMPRODUCT(O73:O83,R73:R83)/0.87</f>
        <v>0</v>
      </c>
      <c r="P84" s="293">
        <f>SUMPRODUCT(P70:P72,R70:R72)+SUMPRODUCT(P73:P83,R73:R83)/0.87</f>
        <v>4.2145920514878138E-4</v>
      </c>
      <c r="Q84" s="293">
        <f>SUMPRODUCT(Q70:Q72,R70:R72)+SUMPRODUCT(Q73:Q83,R73:R83)/0.87</f>
        <v>3.0598563451861104E-5</v>
      </c>
      <c r="R84" s="294"/>
      <c r="S84" s="295"/>
    </row>
    <row r="85" spans="1:20" x14ac:dyDescent="0.3">
      <c r="A85" s="137"/>
      <c r="B85" s="23" t="s">
        <v>381</v>
      </c>
      <c r="C85" s="24"/>
      <c r="D85" s="93"/>
      <c r="E85" s="93"/>
      <c r="F85" s="28">
        <f>SUMPRODUCT(F70:F72,S70:S72)+SUMPRODUCT(F73:F83,S73:S83)/0.87</f>
        <v>8.07773200080806E-4</v>
      </c>
      <c r="G85" s="28">
        <f>SUMPRODUCT(G70:G72,S70:S72)+SUMPRODUCT(G73:G83,S73:S83)/0.87</f>
        <v>1.1985403645087881E-4</v>
      </c>
      <c r="H85" s="28">
        <f>SUMPRODUCT(H70:H72,S70:S72)+SUMPRODUCT(H73:H83,S73:S83)/0.87</f>
        <v>9.3468570491881485E-5</v>
      </c>
      <c r="I85" s="28">
        <f>SUMPRODUCT(I70:I72,S70:S72)+SUMPRODUCT(I73:I83,S73:S83)/0.87</f>
        <v>0</v>
      </c>
      <c r="J85" s="28">
        <f>SUMPRODUCT(J70:J72,S70:S72)+SUMPRODUCT(J73:J83,S73:S83)/0.87</f>
        <v>0</v>
      </c>
      <c r="K85" s="28">
        <f>SUMPRODUCT(K70:K72,S70:S72)+SUMPRODUCT(K73:K83,S73:S83)/0.87</f>
        <v>1.8897544410752521E-5</v>
      </c>
      <c r="L85" s="28">
        <f>SUMPRODUCT(L70:L72,S70:S72)+SUMPRODUCT(L73:L83,S73:S83)/0.87</f>
        <v>0</v>
      </c>
      <c r="M85" s="28">
        <f>SUMPRODUCT(M70:M72,S70:S72)+SUMPRODUCT(M73:M83,S73:S83)/0.87</f>
        <v>1.4766944578426374E-6</v>
      </c>
      <c r="N85" s="28">
        <f>SUMPRODUCT(N70:N72,S70:S72)+SUMPRODUCT(N73:N83,S73:S83)/0.87</f>
        <v>2.5005899866545667E-5</v>
      </c>
      <c r="O85" s="28">
        <f>SUMPRODUCT(O70:O72,S70:S72)+SUMPRODUCT(O73:O83,S73:S83)/0.87</f>
        <v>0</v>
      </c>
      <c r="P85" s="28">
        <f>SUMPRODUCT(P70:P72,S70:S72)+SUMPRODUCT(P73:P83,S73:S83)/0.87</f>
        <v>5.2475307090831327E-4</v>
      </c>
      <c r="Q85" s="28">
        <f>SUMPRODUCT(Q70:Q72,S70:S72)+SUMPRODUCT(Q73:Q83,S73:S83)/0.87</f>
        <v>2.4317383494591492E-5</v>
      </c>
      <c r="R85" s="139"/>
      <c r="S85" s="139"/>
    </row>
    <row r="86" spans="1:20" x14ac:dyDescent="0.3">
      <c r="B86" s="16" t="s">
        <v>152</v>
      </c>
      <c r="C86" s="15" t="s">
        <v>361</v>
      </c>
      <c r="D86" s="21" t="s">
        <v>20</v>
      </c>
      <c r="E86" s="21" t="s">
        <v>72</v>
      </c>
      <c r="F86" s="117">
        <f>SUM(G86:Q86)</f>
        <v>2.8243490387347279E-4</v>
      </c>
      <c r="G86" s="27">
        <f>'Forage crops, CF'!F34</f>
        <v>1.7830890378398945E-4</v>
      </c>
      <c r="H86" s="27">
        <f>'Forage crops, CF'!G34</f>
        <v>9.5000000000000005E-5</v>
      </c>
      <c r="I86" s="27">
        <f>'Forage crops, CF'!H34</f>
        <v>0</v>
      </c>
      <c r="J86" s="27">
        <f>'Forage crops, CF'!I34</f>
        <v>0</v>
      </c>
      <c r="K86" s="27">
        <f>'Forage crops, CF'!J34</f>
        <v>9.1260000894833206E-6</v>
      </c>
      <c r="L86" s="27">
        <f>'Forage crops, CF'!K34</f>
        <v>0</v>
      </c>
      <c r="M86" s="27">
        <f>'Forage crops, CF'!L34</f>
        <v>0</v>
      </c>
      <c r="N86" s="27">
        <f>'Forage crops, CF'!M34</f>
        <v>0</v>
      </c>
      <c r="O86" s="27">
        <f>'Forage crops, CF'!N34</f>
        <v>0</v>
      </c>
      <c r="P86" s="27">
        <f>'Forage crops, CF'!O34</f>
        <v>0</v>
      </c>
      <c r="Q86" s="27">
        <f>'Forage crops, CF'!P34</f>
        <v>0</v>
      </c>
      <c r="R86" s="138">
        <f>'Parameters, country spec'!G16</f>
        <v>0</v>
      </c>
      <c r="S86" s="138">
        <f>'Parameters, country spec'!G34</f>
        <v>0</v>
      </c>
      <c r="T86" s="18"/>
    </row>
    <row r="87" spans="1:20" x14ac:dyDescent="0.3">
      <c r="B87" s="16" t="s">
        <v>154</v>
      </c>
      <c r="C87" s="15" t="s">
        <v>361</v>
      </c>
      <c r="D87" s="21" t="s">
        <v>20</v>
      </c>
      <c r="E87" s="21" t="s">
        <v>72</v>
      </c>
      <c r="F87" s="117">
        <f>SUM(G87:Q87)</f>
        <v>8.263613412349735E-4</v>
      </c>
      <c r="G87" s="27">
        <f>'Forage crops, CF'!F84</f>
        <v>2.166308627450026E-6</v>
      </c>
      <c r="H87" s="27">
        <f>'Forage crops, CF'!G84</f>
        <v>9.5000000000000005E-5</v>
      </c>
      <c r="I87" s="27"/>
      <c r="J87" s="27"/>
      <c r="K87" s="27">
        <f>'Forage crops, CF'!J84</f>
        <v>5.7150664601010523E-6</v>
      </c>
      <c r="L87" s="27"/>
      <c r="M87" s="27">
        <f>'Forage crops, CF'!L84</f>
        <v>1.5479966147422487E-5</v>
      </c>
      <c r="N87" s="27">
        <f>'Forage crops, CF'!M84</f>
        <v>0</v>
      </c>
      <c r="O87" s="27"/>
      <c r="P87" s="27">
        <f>'Forage crops, CF'!O84</f>
        <v>7.0799999999999997E-4</v>
      </c>
      <c r="Q87" s="27"/>
      <c r="R87" s="138">
        <f>'Parameters, country spec'!G17</f>
        <v>0</v>
      </c>
      <c r="S87" s="138">
        <f>'Parameters, country spec'!G35</f>
        <v>0</v>
      </c>
      <c r="T87" s="18"/>
    </row>
    <row r="88" spans="1:20" x14ac:dyDescent="0.3">
      <c r="B88" s="16" t="s">
        <v>362</v>
      </c>
      <c r="C88" s="15" t="s">
        <v>361</v>
      </c>
      <c r="D88" s="21" t="s">
        <v>20</v>
      </c>
      <c r="E88" s="21" t="s">
        <v>72</v>
      </c>
      <c r="F88" s="117">
        <f>SUM(G88:Q88)</f>
        <v>9.6599763175376802E-4</v>
      </c>
      <c r="G88" s="27">
        <f>'Forage crops, CF'!F134*'Forage, input data per ha'!$E$73+'Forage crops, CF'!F184*'Forage, input data per ha'!$G$73</f>
        <v>1.5412753184918936E-4</v>
      </c>
      <c r="H88" s="27">
        <f>'Forage crops, CF'!G134*'Forage, input data per ha'!$E$73+'Forage crops, CF'!G184*'Forage, input data per ha'!$G$73</f>
        <v>9.5000000000000005E-5</v>
      </c>
      <c r="I88" s="27"/>
      <c r="J88" s="27"/>
      <c r="K88" s="27">
        <f>'Forage crops, CF'!J134*'Forage, input data per ha'!$E$73+'Forage crops, CF'!J184*'Forage, input data per ha'!$G$73</f>
        <v>8.8700999045786299E-6</v>
      </c>
      <c r="L88" s="27"/>
      <c r="M88" s="27">
        <f>'Forage crops, CF'!L134*'Forage, input data per ha'!$E$73+'Forage crops, CF'!L184*'Forage, input data per ha'!$G$73</f>
        <v>0</v>
      </c>
      <c r="N88" s="27">
        <f>'Forage crops, CF'!M134*'Forage, input data per ha'!$E$73+'Forage crops, CF'!M184*'Forage, input data per ha'!$G$73</f>
        <v>0</v>
      </c>
      <c r="O88" s="27"/>
      <c r="P88" s="27">
        <f>'Forage crops, CF'!O134*'Forage, input data per ha'!$E$73+'Forage crops, CF'!O184*'Forage, input data per ha'!$G$73</f>
        <v>7.0799999999999997E-4</v>
      </c>
      <c r="Q88" s="27"/>
      <c r="R88" s="138">
        <f>'Parameters, country spec'!G18</f>
        <v>0.28000000000000003</v>
      </c>
      <c r="S88" s="138">
        <f>'Parameters, country spec'!G36</f>
        <v>0.3</v>
      </c>
      <c r="T88" s="18"/>
    </row>
    <row r="89" spans="1:20" x14ac:dyDescent="0.3">
      <c r="A89" s="20" t="s">
        <v>363</v>
      </c>
      <c r="B89" s="15" t="s">
        <v>159</v>
      </c>
      <c r="C89" s="15" t="s">
        <v>364</v>
      </c>
      <c r="D89" s="21" t="s">
        <v>20</v>
      </c>
      <c r="E89" s="21" t="s">
        <v>72</v>
      </c>
      <c r="F89" s="117">
        <f>SUM(G89:Q89)</f>
        <v>2.9616000000000006E-4</v>
      </c>
      <c r="G89" s="92">
        <v>1.4999999999999999E-4</v>
      </c>
      <c r="H89" s="92">
        <v>1E-4</v>
      </c>
      <c r="I89" s="92"/>
      <c r="J89" s="92"/>
      <c r="K89" s="92">
        <v>1.22E-5</v>
      </c>
      <c r="L89" s="92"/>
      <c r="M89" s="92">
        <v>1.7600000000000001E-6</v>
      </c>
      <c r="N89" s="92">
        <v>3.2199999999999997E-5</v>
      </c>
      <c r="O89" s="92"/>
      <c r="P89" s="92"/>
      <c r="Q89" s="92"/>
      <c r="R89" s="138">
        <f>'Parameters, country spec'!G19</f>
        <v>0.16</v>
      </c>
      <c r="S89" s="138">
        <f>'Parameters, country spec'!G37</f>
        <v>0.2</v>
      </c>
    </row>
    <row r="90" spans="1:20" x14ac:dyDescent="0.3">
      <c r="A90" s="20" t="s">
        <v>365</v>
      </c>
      <c r="B90" s="15" t="s">
        <v>161</v>
      </c>
      <c r="C90" s="15" t="s">
        <v>364</v>
      </c>
      <c r="D90" s="21" t="s">
        <v>20</v>
      </c>
      <c r="E90" s="21" t="s">
        <v>72</v>
      </c>
      <c r="F90" s="117">
        <f t="shared" ref="F90:F99" si="10">SUM(G90:Q90)</f>
        <v>3.0712999999999997E-4</v>
      </c>
      <c r="G90" s="92">
        <v>1.4999999999999999E-4</v>
      </c>
      <c r="H90" s="92">
        <v>1E-4</v>
      </c>
      <c r="I90" s="92"/>
      <c r="J90" s="92"/>
      <c r="K90" s="92">
        <v>8.8300000000000002E-6</v>
      </c>
      <c r="L90" s="92"/>
      <c r="M90" s="92">
        <v>1.6099999999999998E-5</v>
      </c>
      <c r="N90" s="92">
        <v>3.2199999999999997E-5</v>
      </c>
      <c r="O90" s="92"/>
      <c r="P90" s="92"/>
      <c r="Q90" s="92"/>
      <c r="R90" s="138">
        <f>'Parameters, country spec'!G20</f>
        <v>3.1075970320211814E-4</v>
      </c>
      <c r="S90" s="138">
        <f>'Parameters, country spec'!G38</f>
        <v>3.1075970320211814E-4</v>
      </c>
    </row>
    <row r="91" spans="1:20" x14ac:dyDescent="0.3">
      <c r="A91" s="20" t="s">
        <v>366</v>
      </c>
      <c r="B91" s="15" t="s">
        <v>163</v>
      </c>
      <c r="C91" s="15" t="s">
        <v>364</v>
      </c>
      <c r="D91" s="21" t="s">
        <v>20</v>
      </c>
      <c r="E91" s="21" t="s">
        <v>72</v>
      </c>
      <c r="F91" s="117">
        <f t="shared" si="10"/>
        <v>2.8722999999999997E-4</v>
      </c>
      <c r="G91" s="92">
        <v>1.2999999999999999E-4</v>
      </c>
      <c r="H91" s="92">
        <v>1E-4</v>
      </c>
      <c r="I91" s="92"/>
      <c r="J91" s="92"/>
      <c r="K91" s="92">
        <v>1.5999999999999999E-5</v>
      </c>
      <c r="L91" s="92"/>
      <c r="M91" s="92">
        <v>9.0299999999999999E-6</v>
      </c>
      <c r="N91" s="92">
        <v>3.2199999999999997E-5</v>
      </c>
      <c r="O91" s="92"/>
      <c r="P91" s="92"/>
      <c r="Q91" s="92"/>
      <c r="R91" s="138">
        <f>'Parameters, country spec'!G21</f>
        <v>8.6733359151412953E-5</v>
      </c>
      <c r="S91" s="138">
        <f>'Parameters, country spec'!G39</f>
        <v>8.6733359151412953E-5</v>
      </c>
    </row>
    <row r="92" spans="1:20" x14ac:dyDescent="0.3">
      <c r="A92" s="20" t="s">
        <v>367</v>
      </c>
      <c r="B92" s="15" t="s">
        <v>165</v>
      </c>
      <c r="C92" s="15" t="s">
        <v>364</v>
      </c>
      <c r="D92" s="21" t="s">
        <v>20</v>
      </c>
      <c r="E92" s="21" t="s">
        <v>72</v>
      </c>
      <c r="F92" s="117">
        <f t="shared" si="10"/>
        <v>2.7539999999999997E-4</v>
      </c>
      <c r="G92" s="92">
        <v>1.2E-4</v>
      </c>
      <c r="H92" s="92">
        <v>1E-4</v>
      </c>
      <c r="I92" s="92"/>
      <c r="J92" s="92"/>
      <c r="K92" s="92">
        <v>2.3200000000000001E-5</v>
      </c>
      <c r="L92" s="92"/>
      <c r="M92" s="92">
        <v>0</v>
      </c>
      <c r="N92" s="92">
        <v>3.2199999999999997E-5</v>
      </c>
      <c r="O92" s="92"/>
      <c r="P92" s="92"/>
      <c r="Q92" s="92"/>
      <c r="R92" s="138">
        <f>'Parameters, country spec'!G22</f>
        <v>6.2924072151971947E-5</v>
      </c>
      <c r="S92" s="138">
        <f>'Parameters, country spec'!G40</f>
        <v>6.2924072151971947E-5</v>
      </c>
    </row>
    <row r="93" spans="1:20" x14ac:dyDescent="0.3">
      <c r="A93" s="20" t="s">
        <v>368</v>
      </c>
      <c r="B93" s="15" t="s">
        <v>167</v>
      </c>
      <c r="C93" s="15" t="s">
        <v>364</v>
      </c>
      <c r="D93" s="21" t="s">
        <v>20</v>
      </c>
      <c r="E93" s="21" t="s">
        <v>72</v>
      </c>
      <c r="F93" s="117">
        <f t="shared" si="10"/>
        <v>3.1559000000000003E-4</v>
      </c>
      <c r="G93" s="92">
        <v>1.7000000000000001E-4</v>
      </c>
      <c r="H93" s="92">
        <v>1E-4</v>
      </c>
      <c r="I93" s="92"/>
      <c r="J93" s="92"/>
      <c r="K93" s="92">
        <v>9.6299999999999993E-6</v>
      </c>
      <c r="L93" s="92"/>
      <c r="M93" s="92">
        <v>3.76E-6</v>
      </c>
      <c r="N93" s="92">
        <v>3.2199999999999997E-5</v>
      </c>
      <c r="O93" s="92"/>
      <c r="P93" s="92"/>
      <c r="Q93" s="92"/>
      <c r="R93" s="138">
        <f>'Parameters, country spec'!G23</f>
        <v>0.20500000000000002</v>
      </c>
      <c r="S93" s="138">
        <f>'Parameters, country spec'!G41</f>
        <v>0.2</v>
      </c>
    </row>
    <row r="94" spans="1:20" x14ac:dyDescent="0.3">
      <c r="A94" s="20" t="s">
        <v>369</v>
      </c>
      <c r="B94" s="15" t="s">
        <v>168</v>
      </c>
      <c r="C94" s="15" t="s">
        <v>370</v>
      </c>
      <c r="D94" s="21" t="s">
        <v>20</v>
      </c>
      <c r="E94" s="21" t="s">
        <v>72</v>
      </c>
      <c r="F94" s="117">
        <f t="shared" si="10"/>
        <v>1.5197E-4</v>
      </c>
      <c r="G94" s="92">
        <v>0</v>
      </c>
      <c r="H94" s="92">
        <v>1E-4</v>
      </c>
      <c r="I94" s="92"/>
      <c r="J94" s="92"/>
      <c r="K94" s="92">
        <v>1.5E-5</v>
      </c>
      <c r="L94" s="92"/>
      <c r="M94" s="92">
        <v>4.7700000000000001E-6</v>
      </c>
      <c r="N94" s="92">
        <v>3.2199999999999997E-5</v>
      </c>
      <c r="O94" s="92"/>
      <c r="P94" s="92"/>
      <c r="Q94" s="92"/>
      <c r="R94" s="138">
        <f>'Parameters, country spec'!G24</f>
        <v>2.439015630520557E-4</v>
      </c>
      <c r="S94" s="138">
        <f>'Parameters, country spec'!G42</f>
        <v>2.439015630520557E-4</v>
      </c>
    </row>
    <row r="95" spans="1:20" x14ac:dyDescent="0.3">
      <c r="A95" s="20" t="s">
        <v>371</v>
      </c>
      <c r="B95" s="15" t="s">
        <v>170</v>
      </c>
      <c r="C95" s="15" t="s">
        <v>370</v>
      </c>
      <c r="D95" s="21" t="s">
        <v>20</v>
      </c>
      <c r="E95" s="21" t="s">
        <v>72</v>
      </c>
      <c r="F95" s="117">
        <f t="shared" si="10"/>
        <v>1.5696000000000002E-4</v>
      </c>
      <c r="G95" s="92">
        <v>7.5000000000000002E-6</v>
      </c>
      <c r="H95" s="92">
        <v>1E-4</v>
      </c>
      <c r="I95" s="92"/>
      <c r="J95" s="92"/>
      <c r="K95" s="92">
        <v>1.5E-5</v>
      </c>
      <c r="L95" s="92"/>
      <c r="M95" s="92">
        <v>2.26E-6</v>
      </c>
      <c r="N95" s="92">
        <v>3.2199999999999997E-5</v>
      </c>
      <c r="O95" s="92"/>
      <c r="P95" s="92"/>
      <c r="Q95" s="92"/>
      <c r="R95" s="138">
        <f>'Parameters, country spec'!G25</f>
        <v>2.3959170998341588E-4</v>
      </c>
      <c r="S95" s="138">
        <f>'Parameters, country spec'!G43</f>
        <v>2.3959170998341588E-4</v>
      </c>
    </row>
    <row r="96" spans="1:20" x14ac:dyDescent="0.3">
      <c r="B96" s="16" t="s">
        <v>171</v>
      </c>
      <c r="C96" s="15" t="s">
        <v>372</v>
      </c>
      <c r="D96" s="21" t="s">
        <v>20</v>
      </c>
      <c r="E96" s="21" t="s">
        <v>72</v>
      </c>
      <c r="F96" s="117">
        <f t="shared" si="10"/>
        <v>4.6478527325651394E-4</v>
      </c>
      <c r="G96" s="27">
        <f>'Off-farm feed'!$F$75</f>
        <v>3.0425509539765719E-4</v>
      </c>
      <c r="H96" s="27">
        <f>'Off-farm feed'!$G$75</f>
        <v>4.5862068965517246E-5</v>
      </c>
      <c r="I96" s="27"/>
      <c r="J96" s="27"/>
      <c r="K96" s="27">
        <f>'Off-farm feed'!$J$75</f>
        <v>1.0936279334641699E-5</v>
      </c>
      <c r="L96" s="27"/>
      <c r="M96" s="27">
        <f>'Off-farm feed'!$L$75</f>
        <v>6.4606960551724142E-7</v>
      </c>
      <c r="N96" s="27">
        <f>'Off-farm feed'!$M$75</f>
        <v>2.1884761697575221E-5</v>
      </c>
      <c r="O96" s="27"/>
      <c r="P96" s="27">
        <f>'Off-farm feed'!$O$75</f>
        <v>5.7027085212127035E-5</v>
      </c>
      <c r="Q96" s="27">
        <f>'Off-farm feed'!$P$75</f>
        <v>2.4173913043478263E-5</v>
      </c>
      <c r="R96" s="138">
        <f>'Parameters, country spec'!G26</f>
        <v>0.09</v>
      </c>
      <c r="S96" s="138">
        <f>'Parameters, country spec'!G44</f>
        <v>0.06</v>
      </c>
    </row>
    <row r="97" spans="1:20" x14ac:dyDescent="0.3">
      <c r="B97" s="16" t="s">
        <v>373</v>
      </c>
      <c r="C97" s="15" t="s">
        <v>372</v>
      </c>
      <c r="D97" s="21" t="s">
        <v>20</v>
      </c>
      <c r="E97" s="21" t="s">
        <v>72</v>
      </c>
      <c r="F97" s="117">
        <f t="shared" si="10"/>
        <v>4.7266553697523981E-4</v>
      </c>
      <c r="G97" s="27">
        <f>'Off-farm feed'!$F$24</f>
        <v>1.5603516238625262E-5</v>
      </c>
      <c r="H97" s="27">
        <f>'Off-farm feed'!$G$24</f>
        <v>7.5304878048780503E-5</v>
      </c>
      <c r="I97" s="27"/>
      <c r="J97" s="27"/>
      <c r="K97" s="27">
        <f>'Off-farm feed'!$J$24</f>
        <v>1.908459074435586E-5</v>
      </c>
      <c r="L97" s="27"/>
      <c r="M97" s="27">
        <f>'Off-farm feed'!$L$24</f>
        <v>5.9672097439024396E-7</v>
      </c>
      <c r="N97" s="27">
        <f>'Off-farm feed'!$M$24</f>
        <v>2.3084271612619523E-5</v>
      </c>
      <c r="O97" s="27"/>
      <c r="P97" s="27">
        <f>'Off-farm feed'!$O$24</f>
        <v>1.2899155935646844E-4</v>
      </c>
      <c r="Q97" s="27">
        <f>'Off-farm feed'!$P$24</f>
        <v>2.1000000000000001E-4</v>
      </c>
      <c r="R97" s="138">
        <f>'Parameters, country spec'!G27</f>
        <v>9.5000000000000001E-2</v>
      </c>
      <c r="S97" s="138">
        <f>'Parameters, country spec'!G45</f>
        <v>7.0000000000000007E-2</v>
      </c>
    </row>
    <row r="98" spans="1:20" x14ac:dyDescent="0.3">
      <c r="B98" s="15" t="s">
        <v>173</v>
      </c>
      <c r="C98" s="15" t="s">
        <v>374</v>
      </c>
      <c r="D98" s="21" t="s">
        <v>20</v>
      </c>
      <c r="E98" s="21" t="s">
        <v>72</v>
      </c>
      <c r="F98" s="354">
        <f t="shared" si="10"/>
        <v>1.1635230536951896E-3</v>
      </c>
      <c r="G98" s="92">
        <v>8.6135251234116994E-5</v>
      </c>
      <c r="H98" s="92">
        <v>4.7537999999999998E-5</v>
      </c>
      <c r="I98" s="42"/>
      <c r="J98" s="42"/>
      <c r="K98" s="92">
        <v>2.1158324202862201E-5</v>
      </c>
      <c r="L98" s="42"/>
      <c r="M98" s="42"/>
      <c r="N98" s="92"/>
      <c r="O98" s="92"/>
      <c r="P98" s="92">
        <v>9.9818289932063491E-4</v>
      </c>
      <c r="Q98" s="92">
        <v>1.05085789375756E-5</v>
      </c>
      <c r="R98" s="138">
        <f>'Parameters, country spec'!G28</f>
        <v>9.5000000000000001E-2</v>
      </c>
      <c r="S98" s="138">
        <f>'Parameters, country spec'!G46</f>
        <v>0.14000000000000001</v>
      </c>
      <c r="T98" t="s">
        <v>379</v>
      </c>
    </row>
    <row r="99" spans="1:20" x14ac:dyDescent="0.3">
      <c r="A99" s="74"/>
      <c r="B99" s="15" t="s">
        <v>375</v>
      </c>
      <c r="C99" s="75" t="s">
        <v>376</v>
      </c>
      <c r="D99" s="21" t="s">
        <v>20</v>
      </c>
      <c r="E99" s="21" t="s">
        <v>72</v>
      </c>
      <c r="F99" s="117">
        <f t="shared" si="10"/>
        <v>1.9902780798093425E-4</v>
      </c>
      <c r="G99" s="73">
        <f>SUMPRODUCT(G89:G97,$R89:$R97)</f>
        <v>8.7782529747111677E-5</v>
      </c>
      <c r="H99" s="73">
        <f t="shared" ref="H99:P99" si="11">SUMPRODUCT(H89:H97,$R89:$R97)</f>
        <v>4.7875940662284798E-5</v>
      </c>
      <c r="I99" s="73">
        <f t="shared" si="11"/>
        <v>0</v>
      </c>
      <c r="J99" s="73">
        <f t="shared" si="11"/>
        <v>0</v>
      </c>
      <c r="K99" s="73">
        <f t="shared" si="11"/>
        <v>6.7362952403267157E-6</v>
      </c>
      <c r="L99" s="73">
        <f t="shared" si="11"/>
        <v>0</v>
      </c>
      <c r="M99" s="73">
        <f t="shared" si="11"/>
        <v>1.174726078238637E-6</v>
      </c>
      <c r="N99" s="73">
        <f t="shared" si="11"/>
        <v>1.5946028271103445E-5</v>
      </c>
      <c r="O99" s="73">
        <f t="shared" si="11"/>
        <v>0</v>
      </c>
      <c r="P99" s="73">
        <f t="shared" si="11"/>
        <v>1.7386635807955936E-5</v>
      </c>
      <c r="Q99" s="73">
        <f>SUMPRODUCT(Q89:Q97,$R89:$R97)</f>
        <v>2.2125652173913045E-5</v>
      </c>
      <c r="R99" s="138">
        <f>'Parameters, country spec'!G29</f>
        <v>7.0000000000000007E-2</v>
      </c>
      <c r="S99" s="138">
        <f>'Parameters, country spec'!G47</f>
        <v>0.03</v>
      </c>
    </row>
    <row r="100" spans="1:20" x14ac:dyDescent="0.3">
      <c r="A100" s="287"/>
      <c r="B100" s="288" t="s">
        <v>377</v>
      </c>
      <c r="C100" s="289"/>
      <c r="D100" s="290"/>
      <c r="E100" s="290"/>
      <c r="F100" s="293">
        <f>SUMPRODUCT(F86:F88,R86:R88)+SUMPRODUCT(F89:F99,R89:R99)/0.87</f>
        <v>6.4231203188029942E-4</v>
      </c>
      <c r="G100" s="293">
        <f>SUMPRODUCT(G86:G88,R86:R88)+SUMPRODUCT(G89:G99,R89:R99)/0.87</f>
        <v>1.605237039713944E-4</v>
      </c>
      <c r="H100" s="293">
        <f>SUMPRODUCT(H86:H88,R86:R88)+SUMPRODUCT(H89:H99,R89:R99)/0.87</f>
        <v>9.0672835067407749E-5</v>
      </c>
      <c r="I100" s="293">
        <f>SUMPRODUCT(I86:I88,R86:R88)+SUMPRODUCT(I89:I99,R89:R99)/0.87</f>
        <v>0</v>
      </c>
      <c r="J100" s="293">
        <f>SUMPRODUCT(J86:J88,R86:R88)+SUMPRODUCT(J89:J99,R89:R99)/0.87</f>
        <v>0</v>
      </c>
      <c r="K100" s="293">
        <f>SUMPRODUCT(K86:K88,R86:R88)+SUMPRODUCT(K89:K99,R89:R99)/0.87</f>
        <v>1.307888855537569E-5</v>
      </c>
      <c r="L100" s="293">
        <f>SUMPRODUCT(L86:L88,R86:R88)+SUMPRODUCT(L89:L99,R89:R99)/0.87</f>
        <v>0</v>
      </c>
      <c r="M100" s="293">
        <f>SUMPRODUCT(M86:M88,R86:R88)+SUMPRODUCT(M89:M99,R89:R99)/0.87</f>
        <v>1.444778050247519E-6</v>
      </c>
      <c r="N100" s="293">
        <f>SUMPRODUCT(N86:N88,R86:R88)+SUMPRODUCT(N89:N99,R89:R99)/0.87</f>
        <v>1.9611781896644465E-5</v>
      </c>
      <c r="O100" s="293">
        <f>SUMPRODUCT(O86:O88,R86:R88)+SUMPRODUCT(O89:O99,R89:R99)/0.87</f>
        <v>0</v>
      </c>
      <c r="P100" s="293">
        <f>SUMPRODUCT(P86:P88,R86:R88)+SUMPRODUCT(P89:P99,R89:R99)/0.87</f>
        <v>3.2862054683904958E-4</v>
      </c>
      <c r="Q100" s="293">
        <f>SUMPRODUCT(Q86:Q88,R86:R88)+SUMPRODUCT(Q89:Q99,R89:R99)/0.87</f>
        <v>2.8359497500180044E-5</v>
      </c>
      <c r="R100" s="294"/>
      <c r="S100" s="295"/>
    </row>
    <row r="101" spans="1:20" x14ac:dyDescent="0.3">
      <c r="A101" s="137"/>
      <c r="B101" s="23" t="s">
        <v>381</v>
      </c>
      <c r="C101" s="24"/>
      <c r="D101" s="93"/>
      <c r="E101" s="93"/>
      <c r="F101" s="28">
        <f>SUMPRODUCT(F86:F88,S86:S88)+SUMPRODUCT(F89:F99,S89:S99)/0.87</f>
        <v>6.9485690230269652E-4</v>
      </c>
      <c r="G101" s="28">
        <f>SUMPRODUCT(G86:G88,S86:S88)+SUMPRODUCT(G89:G99,S89:S99)/0.87</f>
        <v>1.5900515615752236E-4</v>
      </c>
      <c r="H101" s="28">
        <f>SUMPRODUCT(H86:H88,S86:S88)+SUMPRODUCT(H89:H99,S89:S99)/0.87</f>
        <v>9.3108109036745186E-5</v>
      </c>
      <c r="I101" s="28">
        <f>SUMPRODUCT(I86:I88,S86:S88)+SUMPRODUCT(I89:I99,S89:S99)/0.87</f>
        <v>0</v>
      </c>
      <c r="J101" s="28">
        <f>SUMPRODUCT(J86:J88,S86:S88)+SUMPRODUCT(J89:J99,S89:S99)/0.87</f>
        <v>0</v>
      </c>
      <c r="K101" s="28">
        <f>SUMPRODUCT(K86:K88,S86:S88)+SUMPRODUCT(K89:K99,S89:S99)/0.87</f>
        <v>1.3621025761361037E-5</v>
      </c>
      <c r="L101" s="28">
        <f>SUMPRODUCT(L86:L88,S86:S88)+SUMPRODUCT(L89:L99,S89:S99)/0.87</f>
        <v>0</v>
      </c>
      <c r="M101" s="28">
        <f>SUMPRODUCT(M86:M88,S86:S88)+SUMPRODUCT(M89:M99,S89:S99)/0.87</f>
        <v>1.4106525839776125E-6</v>
      </c>
      <c r="N101" s="28">
        <f>SUMPRODUCT(N86:N88,S86:S88)+SUMPRODUCT(N89:N99,S89:S99)/0.87</f>
        <v>1.8756045377004371E-5</v>
      </c>
      <c r="O101" s="28">
        <f>SUMPRODUCT(O86:O88,S86:S88)+SUMPRODUCT(O89:O99,S89:S99)/0.87</f>
        <v>0</v>
      </c>
      <c r="P101" s="28">
        <f>SUMPRODUCT(P86:P88,S86:S88)+SUMPRODUCT(P89:P99,S89:S99)/0.87</f>
        <v>3.8793820603081372E-4</v>
      </c>
      <c r="Q101" s="28">
        <f>SUMPRODUCT(Q86:Q88,S86:S88)+SUMPRODUCT(Q89:Q99,S89:S99)/0.87</f>
        <v>2.1017707355272038E-5</v>
      </c>
      <c r="R101" s="139"/>
      <c r="S101" s="139"/>
    </row>
    <row r="102" spans="1:20" x14ac:dyDescent="0.3">
      <c r="B102" s="16" t="s">
        <v>152</v>
      </c>
      <c r="C102" s="15" t="s">
        <v>361</v>
      </c>
      <c r="D102" s="21" t="s">
        <v>22</v>
      </c>
      <c r="E102" s="21" t="s">
        <v>73</v>
      </c>
      <c r="F102" s="117">
        <f>SUM(G102:Q102)</f>
        <v>1.4164449758016619E-4</v>
      </c>
      <c r="G102" s="27">
        <f>'Forage crops, CF'!F39</f>
        <v>3.9901302719260733E-5</v>
      </c>
      <c r="H102" s="27">
        <f>'Forage crops, CF'!G39</f>
        <v>9.5000000000000005E-5</v>
      </c>
      <c r="I102" s="27">
        <f>'Forage crops, CF'!H39</f>
        <v>0</v>
      </c>
      <c r="J102" s="27">
        <f>'Forage crops, CF'!I39</f>
        <v>0</v>
      </c>
      <c r="K102" s="27">
        <f>'Forage crops, CF'!J39</f>
        <v>6.7431948609054584E-6</v>
      </c>
      <c r="L102" s="27">
        <f>'Forage crops, CF'!K39</f>
        <v>0</v>
      </c>
      <c r="M102" s="27">
        <f>'Forage crops, CF'!L39</f>
        <v>0</v>
      </c>
      <c r="N102" s="27">
        <f>'Forage crops, CF'!M39</f>
        <v>0</v>
      </c>
      <c r="O102" s="27">
        <f>'Forage crops, CF'!N39</f>
        <v>0</v>
      </c>
      <c r="P102" s="27">
        <f>'Forage crops, CF'!O39</f>
        <v>0</v>
      </c>
      <c r="Q102" s="27">
        <f>'Forage crops, CF'!P39</f>
        <v>0</v>
      </c>
      <c r="R102" s="138">
        <f>'Parameters, country spec'!H16</f>
        <v>0</v>
      </c>
      <c r="S102" s="138">
        <f>'Parameters, country spec'!H34</f>
        <v>0</v>
      </c>
      <c r="T102" s="18"/>
    </row>
    <row r="103" spans="1:20" x14ac:dyDescent="0.3">
      <c r="B103" s="16" t="s">
        <v>154</v>
      </c>
      <c r="C103" s="15" t="s">
        <v>361</v>
      </c>
      <c r="D103" s="21" t="s">
        <v>22</v>
      </c>
      <c r="E103" s="21" t="s">
        <v>73</v>
      </c>
      <c r="F103" s="117">
        <f>SUM(G103:Q103)</f>
        <v>8.6703907180116625E-4</v>
      </c>
      <c r="G103" s="27">
        <f>'Forage crops, CF'!F89</f>
        <v>5.5139938650563344E-5</v>
      </c>
      <c r="H103" s="27">
        <f>'Forage crops, CF'!G89</f>
        <v>9.5000000000000005E-5</v>
      </c>
      <c r="I103" s="27"/>
      <c r="J103" s="27"/>
      <c r="K103" s="27">
        <f>'Forage crops, CF'!J89</f>
        <v>5.8879873106029554E-6</v>
      </c>
      <c r="L103" s="27"/>
      <c r="M103" s="27">
        <f>'Forage crops, CF'!L89</f>
        <v>3.0111458400000005E-6</v>
      </c>
      <c r="N103" s="27">
        <f>'Forage crops, CF'!M89</f>
        <v>0</v>
      </c>
      <c r="O103" s="27"/>
      <c r="P103" s="27">
        <f>'Forage crops, CF'!O89</f>
        <v>7.0799999999999997E-4</v>
      </c>
      <c r="Q103" s="27"/>
      <c r="R103" s="138">
        <f>'Parameters, country spec'!H17</f>
        <v>0</v>
      </c>
      <c r="S103" s="138">
        <f>'Parameters, country spec'!H35</f>
        <v>0</v>
      </c>
      <c r="T103" s="18"/>
    </row>
    <row r="104" spans="1:20" x14ac:dyDescent="0.3">
      <c r="B104" s="16" t="s">
        <v>362</v>
      </c>
      <c r="C104" s="15" t="s">
        <v>361</v>
      </c>
      <c r="D104" s="21" t="s">
        <v>22</v>
      </c>
      <c r="E104" s="21" t="s">
        <v>73</v>
      </c>
      <c r="F104" s="117">
        <f>SUM(G104:Q104)</f>
        <v>8.4113057154292631E-4</v>
      </c>
      <c r="G104" s="27">
        <f>'Forage crops, CF'!F139*'Forage, input data per ha'!$E$74+'Forage crops, CF'!F189*'Forage, input data per ha'!$G$74</f>
        <v>3.1434234210546957E-5</v>
      </c>
      <c r="H104" s="27">
        <f>'Forage crops, CF'!G139*'Forage, input data per ha'!$E$74+'Forage crops, CF'!G189*'Forage, input data per ha'!$G$74</f>
        <v>9.5000000000000005E-5</v>
      </c>
      <c r="I104" s="27"/>
      <c r="J104" s="27"/>
      <c r="K104" s="27">
        <f>'Forage crops, CF'!J139*'Forage, input data per ha'!$E$74+'Forage crops, CF'!J189*'Forage, input data per ha'!$G$74</f>
        <v>6.6963373323794081E-6</v>
      </c>
      <c r="L104" s="27"/>
      <c r="M104" s="27">
        <f>'Forage crops, CF'!L139*'Forage, input data per ha'!$E$74+'Forage crops, CF'!L189*'Forage, input data per ha'!$G$74</f>
        <v>0</v>
      </c>
      <c r="N104" s="27">
        <f>'Forage crops, CF'!M139*'Forage, input data per ha'!$E$74+'Forage crops, CF'!M189*'Forage, input data per ha'!$G$74</f>
        <v>0</v>
      </c>
      <c r="O104" s="27"/>
      <c r="P104" s="27">
        <f>'Forage crops, CF'!O139*'Forage, input data per ha'!$E$74+'Forage crops, CF'!O189*'Forage, input data per ha'!$G$74</f>
        <v>7.0799999999999997E-4</v>
      </c>
      <c r="Q104" s="27"/>
      <c r="R104" s="138">
        <f>'Parameters, country spec'!H18</f>
        <v>0.28000000000000003</v>
      </c>
      <c r="S104" s="138">
        <f>'Parameters, country spec'!H36</f>
        <v>0.3</v>
      </c>
      <c r="T104" s="18"/>
    </row>
    <row r="105" spans="1:20" x14ac:dyDescent="0.3">
      <c r="A105" s="20" t="s">
        <v>363</v>
      </c>
      <c r="B105" s="15" t="s">
        <v>159</v>
      </c>
      <c r="C105" s="15" t="s">
        <v>364</v>
      </c>
      <c r="D105" s="21" t="s">
        <v>22</v>
      </c>
      <c r="E105" s="21" t="s">
        <v>73</v>
      </c>
      <c r="F105" s="117">
        <f>SUM(G105:Q105)</f>
        <v>3.2225099999999996E-4</v>
      </c>
      <c r="G105" s="92">
        <v>1.4999999999999999E-4</v>
      </c>
      <c r="H105" s="92">
        <v>1E-4</v>
      </c>
      <c r="I105" s="92"/>
      <c r="J105" s="92"/>
      <c r="K105" s="92">
        <v>2.19E-5</v>
      </c>
      <c r="L105" s="92"/>
      <c r="M105" s="92">
        <v>2.5100000000000001E-7</v>
      </c>
      <c r="N105" s="92">
        <v>5.0099999999999998E-5</v>
      </c>
      <c r="O105" s="92"/>
      <c r="P105" s="92"/>
      <c r="Q105" s="92"/>
      <c r="R105" s="138">
        <f>'Parameters, country spec'!H19</f>
        <v>0.16</v>
      </c>
      <c r="S105" s="138">
        <f>'Parameters, country spec'!H37</f>
        <v>0.2</v>
      </c>
    </row>
    <row r="106" spans="1:20" x14ac:dyDescent="0.3">
      <c r="A106" s="20" t="s">
        <v>365</v>
      </c>
      <c r="B106" s="15" t="s">
        <v>161</v>
      </c>
      <c r="C106" s="15" t="s">
        <v>364</v>
      </c>
      <c r="D106" s="21" t="s">
        <v>22</v>
      </c>
      <c r="E106" s="21" t="s">
        <v>73</v>
      </c>
      <c r="F106" s="117">
        <f t="shared" ref="F106:F115" si="12">SUM(G106:Q106)</f>
        <v>3.1550999999999997E-4</v>
      </c>
      <c r="G106" s="92">
        <v>1.4999999999999999E-4</v>
      </c>
      <c r="H106" s="92">
        <v>1E-4</v>
      </c>
      <c r="I106" s="92"/>
      <c r="J106" s="92"/>
      <c r="K106" s="92">
        <v>1.24E-5</v>
      </c>
      <c r="L106" s="92"/>
      <c r="M106" s="92">
        <v>3.01E-6</v>
      </c>
      <c r="N106" s="92">
        <v>5.0099999999999998E-5</v>
      </c>
      <c r="O106" s="92"/>
      <c r="P106" s="92"/>
      <c r="Q106" s="92"/>
      <c r="R106" s="138">
        <f>'Parameters, country spec'!H20</f>
        <v>3.1075970320211814E-4</v>
      </c>
      <c r="S106" s="138">
        <f>'Parameters, country spec'!H38</f>
        <v>3.1075970320211814E-4</v>
      </c>
    </row>
    <row r="107" spans="1:20" x14ac:dyDescent="0.3">
      <c r="A107" s="20" t="s">
        <v>366</v>
      </c>
      <c r="B107" s="15" t="s">
        <v>163</v>
      </c>
      <c r="C107" s="15" t="s">
        <v>364</v>
      </c>
      <c r="D107" s="21" t="s">
        <v>22</v>
      </c>
      <c r="E107" s="21" t="s">
        <v>73</v>
      </c>
      <c r="F107" s="117">
        <f t="shared" si="12"/>
        <v>3.0925099999999997E-4</v>
      </c>
      <c r="G107" s="92">
        <v>1.2999999999999999E-4</v>
      </c>
      <c r="H107" s="92">
        <v>1E-4</v>
      </c>
      <c r="I107" s="92"/>
      <c r="J107" s="92"/>
      <c r="K107" s="92">
        <v>2.8900000000000001E-5</v>
      </c>
      <c r="L107" s="92"/>
      <c r="M107" s="92">
        <v>2.5100000000000001E-7</v>
      </c>
      <c r="N107" s="92">
        <v>5.0099999999999998E-5</v>
      </c>
      <c r="O107" s="92"/>
      <c r="P107" s="92"/>
      <c r="Q107" s="92"/>
      <c r="R107" s="138">
        <f>'Parameters, country spec'!H21</f>
        <v>8.6733359151412953E-5</v>
      </c>
      <c r="S107" s="138">
        <f>'Parameters, country spec'!H39</f>
        <v>8.6733359151412953E-5</v>
      </c>
    </row>
    <row r="108" spans="1:20" x14ac:dyDescent="0.3">
      <c r="A108" s="20" t="s">
        <v>367</v>
      </c>
      <c r="B108" s="15" t="s">
        <v>165</v>
      </c>
      <c r="C108" s="15" t="s">
        <v>364</v>
      </c>
      <c r="D108" s="21" t="s">
        <v>22</v>
      </c>
      <c r="E108" s="21" t="s">
        <v>73</v>
      </c>
      <c r="F108" s="117">
        <f t="shared" si="12"/>
        <v>2.9759999999999997E-4</v>
      </c>
      <c r="G108" s="92">
        <v>1.2E-4</v>
      </c>
      <c r="H108" s="92">
        <v>1E-4</v>
      </c>
      <c r="I108" s="92"/>
      <c r="J108" s="92"/>
      <c r="K108" s="92">
        <v>2.7500000000000001E-5</v>
      </c>
      <c r="L108" s="92"/>
      <c r="M108" s="92">
        <v>0</v>
      </c>
      <c r="N108" s="92">
        <v>5.0099999999999998E-5</v>
      </c>
      <c r="O108" s="92"/>
      <c r="P108" s="92"/>
      <c r="Q108" s="92"/>
      <c r="R108" s="138">
        <f>'Parameters, country spec'!H22</f>
        <v>6.2924072151971947E-5</v>
      </c>
      <c r="S108" s="138">
        <f>'Parameters, country spec'!H40</f>
        <v>6.2924072151971947E-5</v>
      </c>
    </row>
    <row r="109" spans="1:20" x14ac:dyDescent="0.3">
      <c r="A109" s="20" t="s">
        <v>368</v>
      </c>
      <c r="B109" s="15" t="s">
        <v>167</v>
      </c>
      <c r="C109" s="15" t="s">
        <v>364</v>
      </c>
      <c r="D109" s="21" t="s">
        <v>22</v>
      </c>
      <c r="E109" s="21" t="s">
        <v>73</v>
      </c>
      <c r="F109" s="117">
        <f t="shared" si="12"/>
        <v>3.3835099999999997E-4</v>
      </c>
      <c r="G109" s="92">
        <v>1.7000000000000001E-4</v>
      </c>
      <c r="H109" s="92">
        <v>1E-4</v>
      </c>
      <c r="I109" s="92"/>
      <c r="J109" s="92"/>
      <c r="K109" s="92">
        <v>1.8E-5</v>
      </c>
      <c r="L109" s="92"/>
      <c r="M109" s="92">
        <v>2.5100000000000001E-7</v>
      </c>
      <c r="N109" s="92">
        <v>5.0099999999999998E-5</v>
      </c>
      <c r="O109" s="92"/>
      <c r="P109" s="92"/>
      <c r="Q109" s="92"/>
      <c r="R109" s="138">
        <f>'Parameters, country spec'!H23</f>
        <v>0.20500000000000002</v>
      </c>
      <c r="S109" s="138">
        <f>'Parameters, country spec'!H41</f>
        <v>0.2</v>
      </c>
    </row>
    <row r="110" spans="1:20" x14ac:dyDescent="0.3">
      <c r="A110" s="20" t="s">
        <v>369</v>
      </c>
      <c r="B110" s="15" t="s">
        <v>168</v>
      </c>
      <c r="C110" s="15" t="s">
        <v>370</v>
      </c>
      <c r="D110" s="21" t="s">
        <v>22</v>
      </c>
      <c r="E110" s="21" t="s">
        <v>73</v>
      </c>
      <c r="F110" s="117">
        <f t="shared" si="12"/>
        <v>1.8650000000000001E-4</v>
      </c>
      <c r="G110" s="92">
        <v>0</v>
      </c>
      <c r="H110" s="92">
        <v>1E-4</v>
      </c>
      <c r="I110" s="92"/>
      <c r="J110" s="92"/>
      <c r="K110" s="92">
        <v>3.6399999999999997E-5</v>
      </c>
      <c r="L110" s="92"/>
      <c r="M110" s="92">
        <v>0</v>
      </c>
      <c r="N110" s="92">
        <v>5.0099999999999998E-5</v>
      </c>
      <c r="O110" s="92"/>
      <c r="P110" s="92"/>
      <c r="Q110" s="92"/>
      <c r="R110" s="138">
        <f>'Parameters, country spec'!H24</f>
        <v>2.439015630520557E-4</v>
      </c>
      <c r="S110" s="138">
        <f>'Parameters, country spec'!H42</f>
        <v>2.439015630520557E-4</v>
      </c>
    </row>
    <row r="111" spans="1:20" x14ac:dyDescent="0.3">
      <c r="A111" s="20" t="s">
        <v>371</v>
      </c>
      <c r="B111" s="15" t="s">
        <v>170</v>
      </c>
      <c r="C111" s="15" t="s">
        <v>370</v>
      </c>
      <c r="D111" s="21" t="s">
        <v>22</v>
      </c>
      <c r="E111" s="21" t="s">
        <v>73</v>
      </c>
      <c r="F111" s="117">
        <f t="shared" si="12"/>
        <v>1.8700000000000002E-4</v>
      </c>
      <c r="G111" s="92">
        <v>7.5000000000000002E-6</v>
      </c>
      <c r="H111" s="92">
        <v>1E-4</v>
      </c>
      <c r="I111" s="92"/>
      <c r="J111" s="92"/>
      <c r="K111" s="92">
        <v>2.94E-5</v>
      </c>
      <c r="L111" s="92"/>
      <c r="M111" s="92">
        <v>0</v>
      </c>
      <c r="N111" s="92">
        <v>5.0099999999999998E-5</v>
      </c>
      <c r="O111" s="92"/>
      <c r="P111" s="92"/>
      <c r="Q111" s="92"/>
      <c r="R111" s="138">
        <f>'Parameters, country spec'!H25</f>
        <v>2.3959170998341588E-4</v>
      </c>
      <c r="S111" s="138">
        <f>'Parameters, country spec'!H43</f>
        <v>2.3959170998341588E-4</v>
      </c>
    </row>
    <row r="112" spans="1:20" x14ac:dyDescent="0.3">
      <c r="B112" s="16" t="s">
        <v>171</v>
      </c>
      <c r="C112" s="15" t="s">
        <v>372</v>
      </c>
      <c r="D112" s="21" t="s">
        <v>22</v>
      </c>
      <c r="E112" s="21" t="s">
        <v>73</v>
      </c>
      <c r="F112" s="117">
        <f t="shared" si="12"/>
        <v>4.6478527325651394E-4</v>
      </c>
      <c r="G112" s="27">
        <f>'Off-farm feed'!$F$75</f>
        <v>3.0425509539765719E-4</v>
      </c>
      <c r="H112" s="27">
        <f>'Off-farm feed'!$G$75</f>
        <v>4.5862068965517246E-5</v>
      </c>
      <c r="I112" s="27"/>
      <c r="J112" s="27"/>
      <c r="K112" s="27">
        <f>'Off-farm feed'!$J$75</f>
        <v>1.0936279334641699E-5</v>
      </c>
      <c r="L112" s="27"/>
      <c r="M112" s="27">
        <f>'Off-farm feed'!$L$75</f>
        <v>6.4606960551724142E-7</v>
      </c>
      <c r="N112" s="27">
        <f>'Off-farm feed'!$M$75</f>
        <v>2.1884761697575221E-5</v>
      </c>
      <c r="O112" s="27"/>
      <c r="P112" s="27">
        <f>'Off-farm feed'!$O$75</f>
        <v>5.7027085212127035E-5</v>
      </c>
      <c r="Q112" s="27">
        <f>'Off-farm feed'!$P$75</f>
        <v>2.4173913043478263E-5</v>
      </c>
      <c r="R112" s="138">
        <f>'Parameters, country spec'!H26</f>
        <v>0.09</v>
      </c>
      <c r="S112" s="138">
        <f>'Parameters, country spec'!H44</f>
        <v>0.06</v>
      </c>
    </row>
    <row r="113" spans="1:20" x14ac:dyDescent="0.3">
      <c r="B113" s="16" t="s">
        <v>373</v>
      </c>
      <c r="C113" s="15" t="s">
        <v>372</v>
      </c>
      <c r="D113" s="21" t="s">
        <v>22</v>
      </c>
      <c r="E113" s="21" t="s">
        <v>73</v>
      </c>
      <c r="F113" s="117">
        <f t="shared" si="12"/>
        <v>4.7266553697523981E-4</v>
      </c>
      <c r="G113" s="27">
        <f>'Off-farm feed'!$F$24</f>
        <v>1.5603516238625262E-5</v>
      </c>
      <c r="H113" s="27">
        <f>'Off-farm feed'!$G$24</f>
        <v>7.5304878048780503E-5</v>
      </c>
      <c r="I113" s="27"/>
      <c r="J113" s="27"/>
      <c r="K113" s="27">
        <f>'Off-farm feed'!$J$24</f>
        <v>1.908459074435586E-5</v>
      </c>
      <c r="L113" s="27"/>
      <c r="M113" s="27">
        <f>'Off-farm feed'!$L$24</f>
        <v>5.9672097439024396E-7</v>
      </c>
      <c r="N113" s="27">
        <f>'Off-farm feed'!$M$24</f>
        <v>2.3084271612619523E-5</v>
      </c>
      <c r="O113" s="27"/>
      <c r="P113" s="27">
        <f>'Off-farm feed'!$O$24</f>
        <v>1.2899155935646844E-4</v>
      </c>
      <c r="Q113" s="27">
        <f>'Off-farm feed'!$P$24</f>
        <v>2.1000000000000001E-4</v>
      </c>
      <c r="R113" s="138">
        <f>'Parameters, country spec'!H27</f>
        <v>9.5000000000000001E-2</v>
      </c>
      <c r="S113" s="138">
        <f>'Parameters, country spec'!H45</f>
        <v>7.0000000000000007E-2</v>
      </c>
    </row>
    <row r="114" spans="1:20" x14ac:dyDescent="0.3">
      <c r="B114" s="15" t="s">
        <v>173</v>
      </c>
      <c r="C114" s="15" t="s">
        <v>374</v>
      </c>
      <c r="D114" s="21" t="s">
        <v>22</v>
      </c>
      <c r="E114" s="21" t="s">
        <v>73</v>
      </c>
      <c r="F114" s="354">
        <f t="shared" si="12"/>
        <v>2.26969488258856E-3</v>
      </c>
      <c r="G114" s="92">
        <v>8.1101581605847706E-5</v>
      </c>
      <c r="H114" s="92">
        <v>4.7537999999999998E-5</v>
      </c>
      <c r="K114" s="92">
        <v>2.34544912894639E-5</v>
      </c>
      <c r="N114" s="12"/>
      <c r="O114" s="12"/>
      <c r="P114" s="92">
        <v>2.1139001122159199E-3</v>
      </c>
      <c r="Q114" s="92">
        <v>3.7006974773287098E-6</v>
      </c>
      <c r="R114" s="138">
        <f>'Parameters, country spec'!H28</f>
        <v>9.5000000000000001E-2</v>
      </c>
      <c r="S114" s="138">
        <f>'Parameters, country spec'!H46</f>
        <v>0.14000000000000001</v>
      </c>
    </row>
    <row r="115" spans="1:20" x14ac:dyDescent="0.3">
      <c r="A115" s="74"/>
      <c r="B115" s="15" t="s">
        <v>375</v>
      </c>
      <c r="C115" s="75" t="s">
        <v>376</v>
      </c>
      <c r="D115" s="21" t="s">
        <v>22</v>
      </c>
      <c r="E115" s="21" t="s">
        <v>73</v>
      </c>
      <c r="F115" s="117">
        <f t="shared" si="12"/>
        <v>2.0788990327289084E-4</v>
      </c>
      <c r="G115" s="73">
        <f>SUMPRODUCT(G105:G113,$R105:$R113)</f>
        <v>8.7782529747111677E-5</v>
      </c>
      <c r="H115" s="73">
        <f t="shared" ref="H115:P115" si="13">SUMPRODUCT(H105:H113,$R105:$R113)</f>
        <v>4.7875940662284798E-5</v>
      </c>
      <c r="I115" s="73">
        <f t="shared" si="13"/>
        <v>0</v>
      </c>
      <c r="J115" s="73">
        <f t="shared" si="13"/>
        <v>0</v>
      </c>
      <c r="K115" s="73">
        <f t="shared" si="13"/>
        <v>1.0015313700383529E-5</v>
      </c>
      <c r="L115" s="73">
        <f t="shared" si="13"/>
        <v>0</v>
      </c>
      <c r="M115" s="73">
        <f t="shared" si="13"/>
        <v>2.0740691384341029E-7</v>
      </c>
      <c r="N115" s="73">
        <f t="shared" si="13"/>
        <v>2.2496424267398428E-5</v>
      </c>
      <c r="O115" s="73">
        <f t="shared" si="13"/>
        <v>0</v>
      </c>
      <c r="P115" s="73">
        <f t="shared" si="13"/>
        <v>1.7386635807955936E-5</v>
      </c>
      <c r="Q115" s="73">
        <f>SUMPRODUCT(Q105:Q113,$R105:$R113)</f>
        <v>2.2125652173913045E-5</v>
      </c>
      <c r="R115" s="138">
        <f>'Parameters, country spec'!H29</f>
        <v>7.0000000000000007E-2</v>
      </c>
      <c r="S115" s="138">
        <f>'Parameters, country spec'!H47</f>
        <v>0.03</v>
      </c>
    </row>
    <row r="116" spans="1:20" x14ac:dyDescent="0.3">
      <c r="A116" s="287"/>
      <c r="B116" s="288" t="s">
        <v>377</v>
      </c>
      <c r="C116" s="289"/>
      <c r="D116" s="290"/>
      <c r="E116" s="290"/>
      <c r="F116" s="293">
        <f>SUMPRODUCT(F102:F104,R102:R104)+SUMPRODUCT(F105:F115,R105:R115)/0.87</f>
        <v>7.390374914663945E-4</v>
      </c>
      <c r="G116" s="293">
        <f>SUMPRODUCT(G102:G104,R102:R104)+SUMPRODUCT(G105:G115,R105:R115)/0.87</f>
        <v>1.2561992705247617E-4</v>
      </c>
      <c r="H116" s="293">
        <f>SUMPRODUCT(H102:H104,R102:R104)+SUMPRODUCT(H105:H115,R105:R115)/0.87</f>
        <v>9.0672835067407749E-5</v>
      </c>
      <c r="I116" s="293">
        <f>SUMPRODUCT(I102:I104,R102:R104)+SUMPRODUCT(I105:I115,R105:R115)/0.87</f>
        <v>0</v>
      </c>
      <c r="J116" s="293">
        <f>SUMPRODUCT(J102:J104,R102:R104)+SUMPRODUCT(J105:J115,R105:R115)/0.87</f>
        <v>0</v>
      </c>
      <c r="K116" s="293">
        <f>SUMPRODUCT(K102:K104,R102:R104)+SUMPRODUCT(K105:K115,R105:R115)/0.87</f>
        <v>1.6753781731123068E-5</v>
      </c>
      <c r="L116" s="293">
        <f>SUMPRODUCT(L102:L104,R102:R104)+SUMPRODUCT(L105:L115,R105:R115)/0.87</f>
        <v>0</v>
      </c>
      <c r="M116" s="293">
        <f>SUMPRODUCT(M102:M104,R102:R104)+SUMPRODUCT(M105:M115,R105:R115)/0.87</f>
        <v>2.5508666415224026E-7</v>
      </c>
      <c r="N116" s="293">
        <f>SUMPRODUCT(N102:N104,R102:R104)+SUMPRODUCT(N105:N115,R105:R115)/0.87</f>
        <v>2.7668016053007261E-5</v>
      </c>
      <c r="O116" s="293">
        <f>SUMPRODUCT(O102:O104,R102:R104)+SUMPRODUCT(O105:O115,R105:R115)/0.87</f>
        <v>0</v>
      </c>
      <c r="P116" s="293">
        <f>SUMPRODUCT(P102:P104,R102:R104)+SUMPRODUCT(P105:P115,R105:R115)/0.87</f>
        <v>4.5045173675290254E-4</v>
      </c>
      <c r="Q116" s="293">
        <f>SUMPRODUCT(Q102:Q104,R102:R104)+SUMPRODUCT(Q105:Q115,R105:R115)/0.87</f>
        <v>2.76161081453255E-5</v>
      </c>
      <c r="R116" s="294"/>
      <c r="S116" s="295"/>
    </row>
    <row r="117" spans="1:20" x14ac:dyDescent="0.3">
      <c r="A117" s="137"/>
      <c r="B117" s="23" t="s">
        <v>381</v>
      </c>
      <c r="C117" s="24"/>
      <c r="D117" s="93"/>
      <c r="E117" s="93"/>
      <c r="F117" s="28">
        <f>SUMPRODUCT(F102:F104,S102:S104)+SUMPRODUCT(F105:F115,S105:S115)/0.87</f>
        <v>8.4696212814264747E-4</v>
      </c>
      <c r="G117" s="28">
        <f>SUMPRODUCT(G102:G104,S102:S104)+SUMPRODUCT(G105:G115,S105:S115)/0.87</f>
        <v>1.2138715106367942E-4</v>
      </c>
      <c r="H117" s="28">
        <f>SUMPRODUCT(H102:H104,S102:S104)+SUMPRODUCT(H105:H115,S105:S115)/0.87</f>
        <v>9.3108109036745186E-5</v>
      </c>
      <c r="I117" s="28">
        <f>SUMPRODUCT(I102:I104,S102:S104)+SUMPRODUCT(I105:I115,S105:S115)/0.87</f>
        <v>0</v>
      </c>
      <c r="J117" s="28">
        <f>SUMPRODUCT(J102:J104,S102:S104)+SUMPRODUCT(J105:J115,S105:S115)/0.87</f>
        <v>0</v>
      </c>
      <c r="K117" s="28">
        <f>SUMPRODUCT(K102:K104,S102:S104)+SUMPRODUCT(K105:K115,S105:S115)/0.87</f>
        <v>1.7618325042555009E-5</v>
      </c>
      <c r="L117" s="28">
        <f>SUMPRODUCT(L102:L104,S102:S104)+SUMPRODUCT(L105:L115,S105:S115)/0.87</f>
        <v>0</v>
      </c>
      <c r="M117" s="28">
        <f>SUMPRODUCT(M102:M104,S102:S104)+SUMPRODUCT(M105:M115,S105:S115)/0.87</f>
        <v>2.1622299854418308E-7</v>
      </c>
      <c r="N117" s="28">
        <f>SUMPRODUCT(N102:N104,S102:S104)+SUMPRODUCT(N105:N115,S105:S115)/0.87</f>
        <v>2.7231226843882343E-5</v>
      </c>
      <c r="O117" s="28">
        <f>SUMPRODUCT(O102:O104,S102:S104)+SUMPRODUCT(O105:O115,S105:S115)/0.87</f>
        <v>0</v>
      </c>
      <c r="P117" s="28">
        <f>SUMPRODUCT(P102:P104,S102:S104)+SUMPRODUCT(P105:P115,S105:S115)/0.87</f>
        <v>5.6747890695649185E-4</v>
      </c>
      <c r="Q117" s="28">
        <f>SUMPRODUCT(Q102:Q104,S102:S104)+SUMPRODUCT(Q105:Q115,S105:S115)/0.87</f>
        <v>1.9922186200749552E-5</v>
      </c>
      <c r="R117" s="139"/>
      <c r="S117" s="139"/>
    </row>
    <row r="118" spans="1:20" x14ac:dyDescent="0.3">
      <c r="B118" s="16" t="s">
        <v>152</v>
      </c>
      <c r="C118" s="15" t="s">
        <v>361</v>
      </c>
      <c r="D118" s="21" t="s">
        <v>26</v>
      </c>
      <c r="E118" s="21" t="s">
        <v>74</v>
      </c>
      <c r="F118" s="117">
        <f>SUM(G118:Q118)</f>
        <v>1.4461073076603038E-4</v>
      </c>
      <c r="G118" s="27">
        <f>'Forage crops, CF'!F44</f>
        <v>3.9901302719260733E-5</v>
      </c>
      <c r="H118" s="27">
        <f>'Forage crops, CF'!G44</f>
        <v>9.5000000000000005E-5</v>
      </c>
      <c r="I118" s="27">
        <f>'Forage crops, CF'!H44</f>
        <v>0</v>
      </c>
      <c r="J118" s="27">
        <f>'Forage crops, CF'!I44</f>
        <v>0</v>
      </c>
      <c r="K118" s="27">
        <f>'Forage crops, CF'!J44</f>
        <v>9.7094280467696498E-6</v>
      </c>
      <c r="L118" s="27">
        <f>'Forage crops, CF'!K44</f>
        <v>0</v>
      </c>
      <c r="M118" s="27">
        <f>'Forage crops, CF'!L44</f>
        <v>0</v>
      </c>
      <c r="N118" s="27">
        <f>'Forage crops, CF'!M44</f>
        <v>0</v>
      </c>
      <c r="O118" s="27">
        <f>'Forage crops, CF'!N44</f>
        <v>0</v>
      </c>
      <c r="P118" s="27">
        <f>'Forage crops, CF'!O44</f>
        <v>0</v>
      </c>
      <c r="Q118" s="27">
        <f>'Forage crops, CF'!P44</f>
        <v>0</v>
      </c>
      <c r="R118" s="138">
        <f>'Parameters, country spec'!I16</f>
        <v>0</v>
      </c>
      <c r="S118" s="138">
        <f>'Parameters, country spec'!I34</f>
        <v>0</v>
      </c>
      <c r="T118" s="18"/>
    </row>
    <row r="119" spans="1:20" x14ac:dyDescent="0.3">
      <c r="B119" s="16" t="s">
        <v>154</v>
      </c>
      <c r="C119" s="15" t="s">
        <v>361</v>
      </c>
      <c r="D119" s="21" t="s">
        <v>26</v>
      </c>
      <c r="E119" s="21" t="s">
        <v>74</v>
      </c>
      <c r="F119" s="117">
        <f>SUM(G119:Q119)</f>
        <v>9.4194027560908812E-4</v>
      </c>
      <c r="G119" s="27">
        <f>'Forage crops, CF'!F94</f>
        <v>3.8936683186619176E-5</v>
      </c>
      <c r="H119" s="27">
        <f>'Forage crops, CF'!G94</f>
        <v>9.5000000000000005E-5</v>
      </c>
      <c r="I119" s="27"/>
      <c r="J119" s="27"/>
      <c r="K119" s="27">
        <f>'Forage crops, CF'!J94</f>
        <v>9.5250528905289057E-6</v>
      </c>
      <c r="L119" s="27"/>
      <c r="M119" s="27">
        <f>'Forage crops, CF'!L94</f>
        <v>9.0478539531940063E-5</v>
      </c>
      <c r="N119" s="27">
        <f>'Forage crops, CF'!M94</f>
        <v>0</v>
      </c>
      <c r="O119" s="27"/>
      <c r="P119" s="27">
        <f>'Forage crops, CF'!O94</f>
        <v>7.0799999999999997E-4</v>
      </c>
      <c r="Q119" s="27"/>
      <c r="R119" s="138">
        <f>'Parameters, country spec'!I17</f>
        <v>0</v>
      </c>
      <c r="S119" s="138">
        <f>'Parameters, country spec'!I35</f>
        <v>0</v>
      </c>
      <c r="T119" s="18"/>
    </row>
    <row r="120" spans="1:20" x14ac:dyDescent="0.3">
      <c r="B120" s="16" t="s">
        <v>362</v>
      </c>
      <c r="C120" s="15" t="s">
        <v>361</v>
      </c>
      <c r="D120" s="21" t="s">
        <v>26</v>
      </c>
      <c r="E120" s="21" t="s">
        <v>74</v>
      </c>
      <c r="F120" s="117">
        <f>SUM(G120:Q120)</f>
        <v>8.3172272139353162E-4</v>
      </c>
      <c r="G120" s="27">
        <f>'Forage crops, CF'!F144*'Forage, input data per ha'!$E$75+'Forage crops, CF'!F194*'Forage, input data per ha'!$G$75</f>
        <v>2.0808843922414577E-5</v>
      </c>
      <c r="H120" s="27">
        <f>'Forage crops, CF'!G144*'Forage, input data per ha'!$E$75+'Forage crops, CF'!G194*'Forage, input data per ha'!$G$75</f>
        <v>9.5000000000000005E-5</v>
      </c>
      <c r="I120" s="27"/>
      <c r="J120" s="27"/>
      <c r="K120" s="27">
        <f>'Forage crops, CF'!J144*'Forage, input data per ha'!$E$75+'Forage crops, CF'!J194*'Forage, input data per ha'!$G$75</f>
        <v>7.9138774711169853E-6</v>
      </c>
      <c r="L120" s="27"/>
      <c r="M120" s="27">
        <f>'Forage crops, CF'!L144*'Forage, input data per ha'!$E$75+'Forage crops, CF'!L194*'Forage, input data per ha'!$G$75</f>
        <v>0</v>
      </c>
      <c r="N120" s="27">
        <f>'Forage crops, CF'!M144*'Forage, input data per ha'!$E$75+'Forage crops, CF'!M194*'Forage, input data per ha'!$G$75</f>
        <v>0</v>
      </c>
      <c r="O120" s="27"/>
      <c r="P120" s="27">
        <f>'Forage crops, CF'!O144*'Forage, input data per ha'!$E$75+'Forage crops, CF'!O194*'Forage, input data per ha'!$G$75</f>
        <v>7.0800000000000008E-4</v>
      </c>
      <c r="Q120" s="27"/>
      <c r="R120" s="138">
        <f>'Parameters, country spec'!I18</f>
        <v>0.28000000000000003</v>
      </c>
      <c r="S120" s="138">
        <f>'Parameters, country spec'!I36</f>
        <v>0.3</v>
      </c>
      <c r="T120" s="18"/>
    </row>
    <row r="121" spans="1:20" x14ac:dyDescent="0.3">
      <c r="A121" s="20" t="s">
        <v>363</v>
      </c>
      <c r="B121" s="15" t="s">
        <v>159</v>
      </c>
      <c r="C121" s="15" t="s">
        <v>364</v>
      </c>
      <c r="D121" s="21" t="s">
        <v>26</v>
      </c>
      <c r="E121" s="21" t="s">
        <v>74</v>
      </c>
      <c r="F121" s="117">
        <f>SUM(G121:Q121)</f>
        <v>1.7320000000000001E-4</v>
      </c>
      <c r="G121" s="92">
        <v>0</v>
      </c>
      <c r="H121" s="92">
        <v>1E-4</v>
      </c>
      <c r="I121" s="92"/>
      <c r="J121" s="92"/>
      <c r="K121" s="92">
        <v>2.48E-5</v>
      </c>
      <c r="L121" s="92"/>
      <c r="M121" s="92">
        <v>1.9300000000000002E-5</v>
      </c>
      <c r="N121" s="92">
        <v>2.9099999999999999E-5</v>
      </c>
      <c r="O121" s="92"/>
      <c r="P121" s="92"/>
      <c r="Q121" s="92"/>
      <c r="R121" s="138">
        <f>'Parameters, country spec'!I19</f>
        <v>0.16</v>
      </c>
      <c r="S121" s="138">
        <f>'Parameters, country spec'!I37</f>
        <v>0.2</v>
      </c>
    </row>
    <row r="122" spans="1:20" x14ac:dyDescent="0.3">
      <c r="A122" s="20" t="s">
        <v>365</v>
      </c>
      <c r="B122" s="15" t="s">
        <v>161</v>
      </c>
      <c r="C122" s="15" t="s">
        <v>364</v>
      </c>
      <c r="D122" s="21" t="s">
        <v>26</v>
      </c>
      <c r="E122" s="21" t="s">
        <v>74</v>
      </c>
      <c r="F122" s="117">
        <f t="shared" ref="F122:F131" si="14">SUM(G122:Q122)</f>
        <v>1.9490000000000002E-4</v>
      </c>
      <c r="G122" s="92">
        <v>0</v>
      </c>
      <c r="H122" s="92">
        <v>1E-4</v>
      </c>
      <c r="I122" s="92"/>
      <c r="J122" s="92"/>
      <c r="K122" s="92">
        <v>6.8000000000000001E-6</v>
      </c>
      <c r="L122" s="92"/>
      <c r="M122" s="92">
        <v>5.8999999999999998E-5</v>
      </c>
      <c r="N122" s="92">
        <v>2.9099999999999999E-5</v>
      </c>
      <c r="O122" s="92"/>
      <c r="P122" s="92"/>
      <c r="Q122" s="92"/>
      <c r="R122" s="138">
        <f>'Parameters, country spec'!I20</f>
        <v>3.1075970320211814E-4</v>
      </c>
      <c r="S122" s="138">
        <f>'Parameters, country spec'!I38</f>
        <v>3.1075970320211814E-4</v>
      </c>
    </row>
    <row r="123" spans="1:20" x14ac:dyDescent="0.3">
      <c r="A123" s="20" t="s">
        <v>366</v>
      </c>
      <c r="B123" s="15" t="s">
        <v>163</v>
      </c>
      <c r="C123" s="15" t="s">
        <v>364</v>
      </c>
      <c r="D123" s="21" t="s">
        <v>26</v>
      </c>
      <c r="E123" s="21" t="s">
        <v>74</v>
      </c>
      <c r="F123" s="117">
        <f t="shared" si="14"/>
        <v>4.5219999999999999E-4</v>
      </c>
      <c r="G123" s="92">
        <v>0</v>
      </c>
      <c r="H123" s="92">
        <v>1E-4</v>
      </c>
      <c r="I123" s="92"/>
      <c r="J123" s="92"/>
      <c r="K123" s="92">
        <v>3.6100000000000003E-5</v>
      </c>
      <c r="L123" s="92"/>
      <c r="M123" s="92">
        <v>2.8699999999999998E-4</v>
      </c>
      <c r="N123" s="92">
        <v>2.9099999999999999E-5</v>
      </c>
      <c r="O123" s="92"/>
      <c r="P123" s="92"/>
      <c r="Q123" s="92"/>
      <c r="R123" s="138">
        <f>'Parameters, country spec'!I21</f>
        <v>8.6733359151412953E-5</v>
      </c>
      <c r="S123" s="138">
        <f>'Parameters, country spec'!I39</f>
        <v>8.6733359151412953E-5</v>
      </c>
    </row>
    <row r="124" spans="1:20" x14ac:dyDescent="0.3">
      <c r="A124" s="20" t="s">
        <v>367</v>
      </c>
      <c r="B124" s="15" t="s">
        <v>165</v>
      </c>
      <c r="C124" s="15" t="s">
        <v>364</v>
      </c>
      <c r="D124" s="21" t="s">
        <v>26</v>
      </c>
      <c r="E124" s="21" t="s">
        <v>74</v>
      </c>
      <c r="F124" s="117">
        <f t="shared" si="14"/>
        <v>1.6435300000000003E-4</v>
      </c>
      <c r="G124" s="92">
        <v>0</v>
      </c>
      <c r="H124" s="92">
        <v>1E-4</v>
      </c>
      <c r="I124" s="92"/>
      <c r="J124" s="92"/>
      <c r="K124" s="92">
        <v>3.4499999999999998E-5</v>
      </c>
      <c r="L124" s="92"/>
      <c r="M124" s="92">
        <v>7.5300000000000003E-7</v>
      </c>
      <c r="N124" s="92">
        <v>2.9099999999999999E-5</v>
      </c>
      <c r="O124" s="92"/>
      <c r="P124" s="92"/>
      <c r="Q124" s="92"/>
      <c r="R124" s="138">
        <f>'Parameters, country spec'!I22</f>
        <v>6.2924072151971947E-5</v>
      </c>
      <c r="S124" s="138">
        <f>'Parameters, country spec'!I40</f>
        <v>6.2924072151971947E-5</v>
      </c>
    </row>
    <row r="125" spans="1:20" x14ac:dyDescent="0.3">
      <c r="A125" s="20" t="s">
        <v>368</v>
      </c>
      <c r="B125" s="15" t="s">
        <v>167</v>
      </c>
      <c r="C125" s="15" t="s">
        <v>364</v>
      </c>
      <c r="D125" s="21" t="s">
        <v>26</v>
      </c>
      <c r="E125" s="21" t="s">
        <v>74</v>
      </c>
      <c r="F125" s="117">
        <f t="shared" si="14"/>
        <v>1.6173000000000001E-4</v>
      </c>
      <c r="G125" s="92">
        <v>0</v>
      </c>
      <c r="H125" s="92">
        <v>1E-4</v>
      </c>
      <c r="I125" s="92"/>
      <c r="J125" s="92"/>
      <c r="K125" s="92">
        <v>2.3600000000000001E-5</v>
      </c>
      <c r="L125" s="92"/>
      <c r="M125" s="92">
        <v>9.0299999999999999E-6</v>
      </c>
      <c r="N125" s="92">
        <v>2.9099999999999999E-5</v>
      </c>
      <c r="O125" s="92"/>
      <c r="P125" s="92"/>
      <c r="Q125" s="92"/>
      <c r="R125" s="138">
        <f>'Parameters, country spec'!I23</f>
        <v>0.20500000000000002</v>
      </c>
      <c r="S125" s="138">
        <f>'Parameters, country spec'!I41</f>
        <v>0.2</v>
      </c>
    </row>
    <row r="126" spans="1:20" x14ac:dyDescent="0.3">
      <c r="A126" s="20" t="s">
        <v>369</v>
      </c>
      <c r="B126" s="15" t="s">
        <v>168</v>
      </c>
      <c r="C126" s="15" t="s">
        <v>370</v>
      </c>
      <c r="D126" s="21" t="s">
        <v>26</v>
      </c>
      <c r="E126" s="21" t="s">
        <v>74</v>
      </c>
      <c r="F126" s="117">
        <f t="shared" si="14"/>
        <v>1.8352E-4</v>
      </c>
      <c r="G126" s="92">
        <v>0</v>
      </c>
      <c r="H126" s="92">
        <v>1E-4</v>
      </c>
      <c r="I126" s="92"/>
      <c r="J126" s="92"/>
      <c r="K126" s="92">
        <v>4.99E-5</v>
      </c>
      <c r="L126" s="92"/>
      <c r="M126" s="92">
        <v>4.5199999999999999E-6</v>
      </c>
      <c r="N126" s="92">
        <v>2.9099999999999999E-5</v>
      </c>
      <c r="O126" s="92"/>
      <c r="P126" s="92"/>
      <c r="Q126" s="92"/>
      <c r="R126" s="138">
        <f>'Parameters, country spec'!I24</f>
        <v>2.439015630520557E-4</v>
      </c>
      <c r="S126" s="138">
        <f>'Parameters, country spec'!I42</f>
        <v>2.439015630520557E-4</v>
      </c>
    </row>
    <row r="127" spans="1:20" x14ac:dyDescent="0.3">
      <c r="A127" s="20" t="s">
        <v>371</v>
      </c>
      <c r="B127" s="15" t="s">
        <v>170</v>
      </c>
      <c r="C127" s="15" t="s">
        <v>370</v>
      </c>
      <c r="D127" s="21" t="s">
        <v>26</v>
      </c>
      <c r="E127" s="21" t="s">
        <v>74</v>
      </c>
      <c r="F127" s="117">
        <f t="shared" si="14"/>
        <v>2.3980000000000003E-4</v>
      </c>
      <c r="G127" s="92">
        <v>0</v>
      </c>
      <c r="H127" s="92">
        <v>1E-4</v>
      </c>
      <c r="I127" s="92"/>
      <c r="J127" s="92"/>
      <c r="K127" s="92">
        <v>5.7800000000000002E-5</v>
      </c>
      <c r="L127" s="92"/>
      <c r="M127" s="92">
        <v>5.2899999999999998E-5</v>
      </c>
      <c r="N127" s="92">
        <v>2.9099999999999999E-5</v>
      </c>
      <c r="O127" s="92"/>
      <c r="P127" s="92"/>
      <c r="Q127" s="92"/>
      <c r="R127" s="138">
        <f>'Parameters, country spec'!I25</f>
        <v>2.3959170998341588E-4</v>
      </c>
      <c r="S127" s="138">
        <f>'Parameters, country spec'!I43</f>
        <v>2.3959170998341588E-4</v>
      </c>
    </row>
    <row r="128" spans="1:20" x14ac:dyDescent="0.3">
      <c r="B128" s="16" t="s">
        <v>171</v>
      </c>
      <c r="C128" s="15" t="s">
        <v>372</v>
      </c>
      <c r="D128" s="21" t="s">
        <v>26</v>
      </c>
      <c r="E128" s="21" t="s">
        <v>74</v>
      </c>
      <c r="F128" s="117">
        <f t="shared" si="14"/>
        <v>4.6478527325651394E-4</v>
      </c>
      <c r="G128" s="27">
        <f>'Off-farm feed'!$F$75</f>
        <v>3.0425509539765719E-4</v>
      </c>
      <c r="H128" s="27">
        <f>'Off-farm feed'!$G$75</f>
        <v>4.5862068965517246E-5</v>
      </c>
      <c r="I128" s="27"/>
      <c r="J128" s="27"/>
      <c r="K128" s="27">
        <f>'Off-farm feed'!$J$75</f>
        <v>1.0936279334641699E-5</v>
      </c>
      <c r="L128" s="27"/>
      <c r="M128" s="27">
        <f>'Off-farm feed'!$L$75</f>
        <v>6.4606960551724142E-7</v>
      </c>
      <c r="N128" s="27">
        <f>'Off-farm feed'!$M$75</f>
        <v>2.1884761697575221E-5</v>
      </c>
      <c r="O128" s="27"/>
      <c r="P128" s="27">
        <f>'Off-farm feed'!$O$75</f>
        <v>5.7027085212127035E-5</v>
      </c>
      <c r="Q128" s="27">
        <f>'Off-farm feed'!$P$75</f>
        <v>2.4173913043478263E-5</v>
      </c>
      <c r="R128" s="138">
        <f>'Parameters, country spec'!I26</f>
        <v>0.09</v>
      </c>
      <c r="S128" s="138">
        <f>'Parameters, country spec'!I44</f>
        <v>0.06</v>
      </c>
    </row>
    <row r="129" spans="1:19" x14ac:dyDescent="0.3">
      <c r="B129" s="16" t="s">
        <v>373</v>
      </c>
      <c r="C129" s="15" t="s">
        <v>372</v>
      </c>
      <c r="D129" s="21" t="s">
        <v>26</v>
      </c>
      <c r="E129" s="21" t="s">
        <v>74</v>
      </c>
      <c r="F129" s="117">
        <f t="shared" si="14"/>
        <v>4.7266553697523981E-4</v>
      </c>
      <c r="G129" s="27">
        <f>'Off-farm feed'!$F$24</f>
        <v>1.5603516238625262E-5</v>
      </c>
      <c r="H129" s="27">
        <f>'Off-farm feed'!$G$24</f>
        <v>7.5304878048780503E-5</v>
      </c>
      <c r="I129" s="27"/>
      <c r="J129" s="27"/>
      <c r="K129" s="27">
        <f>'Off-farm feed'!$J$24</f>
        <v>1.908459074435586E-5</v>
      </c>
      <c r="L129" s="27"/>
      <c r="M129" s="27">
        <f>'Off-farm feed'!$L$24</f>
        <v>5.9672097439024396E-7</v>
      </c>
      <c r="N129" s="27">
        <f>'Off-farm feed'!$M$24</f>
        <v>2.3084271612619523E-5</v>
      </c>
      <c r="O129" s="27"/>
      <c r="P129" s="27">
        <f>'Off-farm feed'!$O$24</f>
        <v>1.2899155935646844E-4</v>
      </c>
      <c r="Q129" s="27">
        <f>'Off-farm feed'!$P$24</f>
        <v>2.1000000000000001E-4</v>
      </c>
      <c r="R129" s="138">
        <f>'Parameters, country spec'!I27</f>
        <v>9.5000000000000001E-2</v>
      </c>
      <c r="S129" s="138">
        <f>'Parameters, country spec'!I45</f>
        <v>7.0000000000000007E-2</v>
      </c>
    </row>
    <row r="130" spans="1:19" x14ac:dyDescent="0.3">
      <c r="B130" s="15" t="s">
        <v>173</v>
      </c>
      <c r="C130" s="15" t="s">
        <v>374</v>
      </c>
      <c r="D130" s="21" t="s">
        <v>26</v>
      </c>
      <c r="E130" s="21" t="s">
        <v>74</v>
      </c>
      <c r="F130" s="354">
        <f t="shared" si="14"/>
        <v>1.1800079428461339E-3</v>
      </c>
      <c r="G130" s="92">
        <v>8.6160247731340001E-5</v>
      </c>
      <c r="H130" s="92">
        <v>4.7537999999999998E-5</v>
      </c>
      <c r="K130" s="92">
        <v>2.6999625124000199E-5</v>
      </c>
      <c r="N130" s="12"/>
      <c r="O130" s="12"/>
      <c r="P130" s="92">
        <v>9.3317281206467095E-4</v>
      </c>
      <c r="Q130" s="92">
        <v>8.6137257926122794E-5</v>
      </c>
      <c r="R130" s="138">
        <f>'Parameters, country spec'!I28</f>
        <v>9.5000000000000001E-2</v>
      </c>
      <c r="S130" s="138">
        <f>'Parameters, country spec'!I46</f>
        <v>0.14000000000000001</v>
      </c>
    </row>
    <row r="131" spans="1:19" x14ac:dyDescent="0.3">
      <c r="A131" s="74"/>
      <c r="B131" s="15" t="s">
        <v>375</v>
      </c>
      <c r="C131" s="75" t="s">
        <v>376</v>
      </c>
      <c r="D131" s="21" t="s">
        <v>26</v>
      </c>
      <c r="E131" s="21" t="s">
        <v>74</v>
      </c>
      <c r="F131" s="117">
        <f t="shared" si="14"/>
        <v>1.4781289516383213E-4</v>
      </c>
      <c r="G131" s="73">
        <f>SUMPRODUCT(G121:G129,$R121:$R129)</f>
        <v>2.8865292628458546E-5</v>
      </c>
      <c r="H131" s="73">
        <f t="shared" ref="H131:P131" si="15">SUMPRODUCT(H121:H129,$R121:$R129)</f>
        <v>4.7875940662284798E-5</v>
      </c>
      <c r="I131" s="73">
        <f t="shared" si="15"/>
        <v>0</v>
      </c>
      <c r="J131" s="73">
        <f t="shared" si="15"/>
        <v>0</v>
      </c>
      <c r="K131" s="73">
        <f t="shared" si="15"/>
        <v>1.1636735470401284E-5</v>
      </c>
      <c r="L131" s="73">
        <f t="shared" si="15"/>
        <v>0</v>
      </c>
      <c r="M131" s="73">
        <f t="shared" si="15"/>
        <v>5.1110362719784542E-6</v>
      </c>
      <c r="N131" s="73">
        <f t="shared" si="15"/>
        <v>1.4811602148840065E-5</v>
      </c>
      <c r="O131" s="73">
        <f t="shared" si="15"/>
        <v>0</v>
      </c>
      <c r="P131" s="73">
        <f t="shared" si="15"/>
        <v>1.7386635807955936E-5</v>
      </c>
      <c r="Q131" s="73">
        <f>SUMPRODUCT(Q121:Q129,$R121:$R129)</f>
        <v>2.2125652173913045E-5</v>
      </c>
      <c r="R131" s="138">
        <f>'Parameters, country spec'!I29</f>
        <v>7.0000000000000007E-2</v>
      </c>
      <c r="S131" s="138">
        <f>'Parameters, country spec'!I47</f>
        <v>0.03</v>
      </c>
    </row>
    <row r="132" spans="1:19" x14ac:dyDescent="0.3">
      <c r="A132" s="287"/>
      <c r="B132" s="288" t="s">
        <v>377</v>
      </c>
      <c r="C132" s="289"/>
      <c r="D132" s="290"/>
      <c r="E132" s="290"/>
      <c r="F132" s="293">
        <f>SUMPRODUCT(F118:F120,R118:R120)+SUMPRODUCT(F121:F131,R121:R131)/0.87</f>
        <v>5.4352667508867519E-4</v>
      </c>
      <c r="G132" s="293">
        <f>SUMPRODUCT(G118:G120,R118:R120)+SUMPRODUCT(G121:G131,R121:R131)/0.87</f>
        <v>5.0735771294744979E-5</v>
      </c>
      <c r="H132" s="293">
        <f>SUMPRODUCT(H118:H120,R118:R120)+SUMPRODUCT(H121:H131,R121:R131)/0.87</f>
        <v>9.0672835067407749E-5</v>
      </c>
      <c r="I132" s="293">
        <f>SUMPRODUCT(I118:I120,R118:R120)+SUMPRODUCT(I121:I131,R121:R131)/0.87</f>
        <v>0</v>
      </c>
      <c r="J132" s="293">
        <f>SUMPRODUCT(J118:J120,R118:R120)+SUMPRODUCT(J121:J131,R121:R131)/0.87</f>
        <v>0</v>
      </c>
      <c r="K132" s="293">
        <f>SUMPRODUCT(K118:K120,R118:R120)+SUMPRODUCT(K121:K131,R121:R131)/0.87</f>
        <v>1.9475967692038496E-5</v>
      </c>
      <c r="L132" s="293">
        <f>SUMPRODUCT(L118:L120,R118:R120)+SUMPRODUCT(L121:L131,R121:R131)/0.87</f>
        <v>0</v>
      </c>
      <c r="M132" s="293">
        <f>SUMPRODUCT(M118:M120,R118:R120)+SUMPRODUCT(M121:M131,R121:R131)/0.87</f>
        <v>6.2859871390999377E-6</v>
      </c>
      <c r="N132" s="293">
        <f>SUMPRODUCT(N118:N120,R118:R120)+SUMPRODUCT(N121:N131,R121:R131)/0.87</f>
        <v>1.8216568160067665E-5</v>
      </c>
      <c r="O132" s="293">
        <f>SUMPRODUCT(O118:O120,R118:R120)+SUMPRODUCT(O121:O131,R121:R131)/0.87</f>
        <v>0</v>
      </c>
      <c r="P132" s="293">
        <f>SUMPRODUCT(P118:P120,R118:R120)+SUMPRODUCT(P121:P131,R121:R131)/0.87</f>
        <v>3.215217442076513E-4</v>
      </c>
      <c r="Q132" s="293">
        <f>SUMPRODUCT(Q118:Q120,R118:R120)+SUMPRODUCT(Q121:Q131,R121:R131)/0.87</f>
        <v>3.6617801527665086E-5</v>
      </c>
      <c r="R132" s="294"/>
      <c r="S132" s="295"/>
    </row>
    <row r="133" spans="1:19" x14ac:dyDescent="0.3">
      <c r="A133" s="137"/>
      <c r="B133" s="23" t="s">
        <v>381</v>
      </c>
      <c r="C133" s="24"/>
      <c r="D133" s="93"/>
      <c r="E133" s="93"/>
      <c r="F133" s="28">
        <f>SUMPRODUCT(F118:F120,S118:S120)+SUMPRODUCT(F121:F131,S121:S131)/0.87</f>
        <v>5.9182434215958757E-4</v>
      </c>
      <c r="G133" s="28">
        <f>SUMPRODUCT(G118:G120,S118:S120)+SUMPRODUCT(G121:G131,S121:S131)/0.87</f>
        <v>4.3341440902936506E-5</v>
      </c>
      <c r="H133" s="28">
        <f>SUMPRODUCT(H118:H120,S118:S120)+SUMPRODUCT(H121:H131,S121:S131)/0.87</f>
        <v>9.3108109036745186E-5</v>
      </c>
      <c r="I133" s="28">
        <f>SUMPRODUCT(I118:I120,S118:S120)+SUMPRODUCT(I121:I131,S121:S131)/0.87</f>
        <v>0</v>
      </c>
      <c r="J133" s="28">
        <f>SUMPRODUCT(J118:J120,S118:S120)+SUMPRODUCT(J121:J131,S121:S131)/0.87</f>
        <v>0</v>
      </c>
      <c r="K133" s="28">
        <f>SUMPRODUCT(K118:K120,S118:S120)+SUMPRODUCT(K121:K131,S121:S131)/0.87</f>
        <v>2.0574832095616937E-5</v>
      </c>
      <c r="L133" s="28">
        <f>SUMPRODUCT(L118:L120,S118:S120)+SUMPRODUCT(L121:L131,S121:S131)/0.87</f>
        <v>0</v>
      </c>
      <c r="M133" s="28">
        <f>SUMPRODUCT(M118:M120,S118:S120)+SUMPRODUCT(M121:M131,S121:S131)/0.87</f>
        <v>6.8470313190948682E-6</v>
      </c>
      <c r="N133" s="28">
        <f>SUMPRODUCT(N118:N120,S118:S120)+SUMPRODUCT(N121:N131,S121:S131)/0.87</f>
        <v>1.7288276519612097E-5</v>
      </c>
      <c r="O133" s="28">
        <f>SUMPRODUCT(O118:O120,S118:S120)+SUMPRODUCT(O121:O131,S121:S131)/0.87</f>
        <v>0</v>
      </c>
      <c r="P133" s="28">
        <f>SUMPRODUCT(P118:P120,S118:S120)+SUMPRODUCT(P121:P131,S121:S131)/0.87</f>
        <v>3.774768126792793E-4</v>
      </c>
      <c r="Q133" s="28">
        <f>SUMPRODUCT(Q118:Q120,S118:S120)+SUMPRODUCT(Q121:Q131,S121:S131)/0.87</f>
        <v>3.3187839606302627E-5</v>
      </c>
      <c r="R133" s="139"/>
      <c r="S133" s="139"/>
    </row>
    <row r="134" spans="1:19" x14ac:dyDescent="0.3">
      <c r="B134" s="16" t="s">
        <v>152</v>
      </c>
      <c r="C134" s="15" t="s">
        <v>361</v>
      </c>
      <c r="D134" s="21" t="s">
        <v>27</v>
      </c>
      <c r="E134" s="21" t="s">
        <v>75</v>
      </c>
      <c r="F134" s="117">
        <f>SUM(G134:Q134)</f>
        <v>1.0963552846463486E-4</v>
      </c>
      <c r="G134" s="27">
        <f>'Forage crops, CF'!F49</f>
        <v>0</v>
      </c>
      <c r="H134" s="27">
        <f>'Forage crops, CF'!G49</f>
        <v>9.5000000000000005E-5</v>
      </c>
      <c r="I134" s="27">
        <f>'Forage crops, CF'!H49</f>
        <v>0</v>
      </c>
      <c r="J134" s="27">
        <f>'Forage crops, CF'!I49</f>
        <v>0</v>
      </c>
      <c r="K134" s="27">
        <f>'Forage crops, CF'!J49</f>
        <v>1.463552846463485E-5</v>
      </c>
      <c r="L134" s="27">
        <f>'Forage crops, CF'!K49</f>
        <v>0</v>
      </c>
      <c r="M134" s="27">
        <f>'Forage crops, CF'!L49</f>
        <v>0</v>
      </c>
      <c r="N134" s="27">
        <f>'Forage crops, CF'!M49</f>
        <v>0</v>
      </c>
      <c r="O134" s="27">
        <f>'Forage crops, CF'!N49</f>
        <v>0</v>
      </c>
      <c r="P134" s="27">
        <f>'Forage crops, CF'!O49</f>
        <v>0</v>
      </c>
      <c r="Q134" s="27">
        <f>'Forage crops, CF'!P49</f>
        <v>0</v>
      </c>
      <c r="R134" s="138">
        <f>'Parameters, country spec'!J16</f>
        <v>0</v>
      </c>
      <c r="S134" s="138">
        <f>'Parameters, country spec'!J34</f>
        <v>0</v>
      </c>
    </row>
    <row r="135" spans="1:19" x14ac:dyDescent="0.3">
      <c r="B135" s="16" t="s">
        <v>154</v>
      </c>
      <c r="C135" s="15" t="s">
        <v>361</v>
      </c>
      <c r="D135" s="21" t="s">
        <v>27</v>
      </c>
      <c r="E135" s="21" t="s">
        <v>75</v>
      </c>
      <c r="F135" s="117">
        <f>SUM(G135:Q135)</f>
        <v>8.4929872480248177E-4</v>
      </c>
      <c r="G135" s="27">
        <f>'Forage crops, CF'!F99</f>
        <v>2.5256780244444398E-5</v>
      </c>
      <c r="H135" s="27">
        <f>'Forage crops, CF'!G99</f>
        <v>9.5000000000000005E-5</v>
      </c>
      <c r="I135" s="27">
        <f>'Forage crops, CF'!H99</f>
        <v>0</v>
      </c>
      <c r="J135" s="27">
        <f>'Forage crops, CF'!I99</f>
        <v>0</v>
      </c>
      <c r="K135" s="27">
        <f>'Forage crops, CF'!J99</f>
        <v>8.4955035580373929E-6</v>
      </c>
      <c r="L135" s="27">
        <f>'Forage crops, CF'!K99</f>
        <v>0</v>
      </c>
      <c r="M135" s="27">
        <f>'Forage crops, CF'!L99</f>
        <v>1.2546441000000003E-5</v>
      </c>
      <c r="N135" s="27">
        <f>'Forage crops, CF'!M99</f>
        <v>0</v>
      </c>
      <c r="O135" s="27">
        <f>'Forage crops, CF'!N99</f>
        <v>0</v>
      </c>
      <c r="P135" s="27">
        <f>'Forage crops, CF'!O99</f>
        <v>7.0799999999999997E-4</v>
      </c>
      <c r="Q135" s="27">
        <f>'Forage crops, CF'!P99</f>
        <v>0</v>
      </c>
      <c r="R135" s="138">
        <f>'Parameters, country spec'!J17</f>
        <v>0</v>
      </c>
      <c r="S135" s="138">
        <f>'Parameters, country spec'!J35</f>
        <v>0</v>
      </c>
    </row>
    <row r="136" spans="1:19" x14ac:dyDescent="0.3">
      <c r="B136" s="16" t="s">
        <v>362</v>
      </c>
      <c r="C136" s="15" t="s">
        <v>361</v>
      </c>
      <c r="D136" s="21" t="s">
        <v>27</v>
      </c>
      <c r="E136" s="21" t="s">
        <v>75</v>
      </c>
      <c r="F136" s="117">
        <f>SUM(G136:Q136)</f>
        <v>8.2750891508058988E-4</v>
      </c>
      <c r="G136" s="27">
        <f>'Forage crops, CF'!F149*'Forage, input data per ha'!$E$76+'Forage crops, CF'!F199*'Forage, input data per ha'!$G$76</f>
        <v>1.8169335599617925E-5</v>
      </c>
      <c r="H136" s="27">
        <f>'Forage crops, CF'!G149*'Forage, input data per ha'!$E$76+'Forage crops, CF'!G199*'Forage, input data per ha'!$G$76</f>
        <v>9.5000000000000005E-5</v>
      </c>
      <c r="I136" s="27"/>
      <c r="J136" s="27"/>
      <c r="K136" s="27">
        <f>'Forage crops, CF'!J149*'Forage, input data per ha'!$E$76+'Forage crops, CF'!J199*'Forage, input data per ha'!$G$76</f>
        <v>6.3395794809719851E-6</v>
      </c>
      <c r="L136" s="27"/>
      <c r="M136" s="27">
        <f>'Forage crops, CF'!L149*'Forage, input data per ha'!$E$76+'Forage crops, CF'!L199*'Forage, input data per ha'!$G$76</f>
        <v>0</v>
      </c>
      <c r="N136" s="27">
        <f>'Forage crops, CF'!M149*'Forage, input data per ha'!$E$76+'Forage crops, CF'!M199*'Forage, input data per ha'!$G$76</f>
        <v>0</v>
      </c>
      <c r="O136" s="27"/>
      <c r="P136" s="27">
        <f>'Forage crops, CF'!O149*'Forage, input data per ha'!$E$76+'Forage crops, CF'!O199*'Forage, input data per ha'!$G$76</f>
        <v>7.0799999999999997E-4</v>
      </c>
      <c r="Q136" s="27"/>
      <c r="R136" s="138">
        <f>'Parameters, country spec'!J18</f>
        <v>0.6</v>
      </c>
      <c r="S136" s="138">
        <f>'Parameters, country spec'!J36</f>
        <v>0.3</v>
      </c>
    </row>
    <row r="137" spans="1:19" x14ac:dyDescent="0.3">
      <c r="A137" s="20" t="s">
        <v>363</v>
      </c>
      <c r="B137" s="15" t="s">
        <v>159</v>
      </c>
      <c r="C137" s="15" t="s">
        <v>364</v>
      </c>
      <c r="D137" s="21" t="s">
        <v>27</v>
      </c>
      <c r="E137" s="21" t="s">
        <v>75</v>
      </c>
      <c r="F137" s="117">
        <f>SUM(G137:Q137)</f>
        <v>2.0655355021385218E-4</v>
      </c>
      <c r="G137" s="92">
        <v>8.0930691575108743E-5</v>
      </c>
      <c r="H137" s="92">
        <v>9.5000000000000005E-5</v>
      </c>
      <c r="I137" s="92"/>
      <c r="J137" s="92"/>
      <c r="K137" s="92">
        <v>1.8076858638743458E-5</v>
      </c>
      <c r="L137" s="92"/>
      <c r="M137" s="92">
        <v>0</v>
      </c>
      <c r="N137" s="92">
        <v>1.2546000000000003E-5</v>
      </c>
      <c r="O137" s="92"/>
      <c r="P137" s="92"/>
      <c r="Q137" s="92"/>
      <c r="R137" s="138">
        <f>'Parameters, country spec'!J19</f>
        <v>1.6853932584269662E-2</v>
      </c>
      <c r="S137" s="138">
        <f>'Parameters, country spec'!J37</f>
        <v>0.2</v>
      </c>
    </row>
    <row r="138" spans="1:19" x14ac:dyDescent="0.3">
      <c r="A138" s="20" t="s">
        <v>365</v>
      </c>
      <c r="B138" s="15" t="s">
        <v>161</v>
      </c>
      <c r="C138" s="15" t="s">
        <v>364</v>
      </c>
      <c r="D138" s="21" t="s">
        <v>27</v>
      </c>
      <c r="E138" s="21" t="s">
        <v>75</v>
      </c>
      <c r="F138" s="117">
        <f t="shared" ref="F138:F147" si="16">SUM(G138:Q138)</f>
        <v>1.9871902439798405E-4</v>
      </c>
      <c r="G138" s="92">
        <v>7.8815626877616721E-5</v>
      </c>
      <c r="H138" s="92">
        <v>9.5000000000000005E-5</v>
      </c>
      <c r="I138" s="92"/>
      <c r="J138" s="92"/>
      <c r="K138" s="92">
        <v>1.2357397520367332E-5</v>
      </c>
      <c r="L138" s="92"/>
      <c r="M138" s="92">
        <v>0</v>
      </c>
      <c r="N138" s="92">
        <v>1.2546000000000003E-5</v>
      </c>
      <c r="O138" s="92"/>
      <c r="P138" s="92"/>
      <c r="Q138" s="92"/>
      <c r="R138" s="138">
        <f>'Parameters, country spec'!J20</f>
        <v>0</v>
      </c>
      <c r="S138" s="138">
        <f>'Parameters, country spec'!J38</f>
        <v>3.1075970320211814E-4</v>
      </c>
    </row>
    <row r="139" spans="1:19" x14ac:dyDescent="0.3">
      <c r="A139" s="20" t="s">
        <v>366</v>
      </c>
      <c r="B139" s="15" t="s">
        <v>163</v>
      </c>
      <c r="C139" s="15" t="s">
        <v>364</v>
      </c>
      <c r="D139" s="21" t="s">
        <v>27</v>
      </c>
      <c r="E139" s="21" t="s">
        <v>75</v>
      </c>
      <c r="F139" s="117">
        <f t="shared" si="16"/>
        <v>1.9956753055993292E-4</v>
      </c>
      <c r="G139" s="92">
        <v>7.134532609711123E-5</v>
      </c>
      <c r="H139" s="92">
        <v>9.5000000000000005E-5</v>
      </c>
      <c r="I139" s="92"/>
      <c r="J139" s="92"/>
      <c r="K139" s="92">
        <v>2.0676204462821701E-5</v>
      </c>
      <c r="L139" s="92"/>
      <c r="M139" s="92">
        <v>0</v>
      </c>
      <c r="N139" s="92">
        <v>1.2546000000000003E-5</v>
      </c>
      <c r="O139" s="92"/>
      <c r="P139" s="92"/>
      <c r="Q139" s="92"/>
      <c r="R139" s="138">
        <f>'Parameters, country spec'!J21</f>
        <v>0</v>
      </c>
      <c r="S139" s="138">
        <f>'Parameters, country spec'!J39</f>
        <v>8.6733359151412953E-5</v>
      </c>
    </row>
    <row r="140" spans="1:19" x14ac:dyDescent="0.3">
      <c r="A140" s="20" t="s">
        <v>367</v>
      </c>
      <c r="B140" s="15" t="s">
        <v>165</v>
      </c>
      <c r="C140" s="15" t="s">
        <v>364</v>
      </c>
      <c r="D140" s="21" t="s">
        <v>27</v>
      </c>
      <c r="E140" s="21" t="s">
        <v>75</v>
      </c>
      <c r="F140" s="117">
        <f t="shared" si="16"/>
        <v>1.840193507270561E-4</v>
      </c>
      <c r="G140" s="92">
        <v>6.2842418816841267E-5</v>
      </c>
      <c r="H140" s="92">
        <v>9.5000000000000005E-5</v>
      </c>
      <c r="I140" s="92"/>
      <c r="J140" s="92"/>
      <c r="K140" s="92">
        <v>1.3630931910214812E-5</v>
      </c>
      <c r="L140" s="92"/>
      <c r="M140" s="92">
        <v>0</v>
      </c>
      <c r="N140" s="92">
        <v>1.2546000000000003E-5</v>
      </c>
      <c r="O140" s="92"/>
      <c r="P140" s="92"/>
      <c r="Q140" s="92"/>
      <c r="R140" s="138">
        <f>'Parameters, country spec'!J22</f>
        <v>0</v>
      </c>
      <c r="S140" s="138">
        <f>'Parameters, country spec'!J40</f>
        <v>6.2924072151971947E-5</v>
      </c>
    </row>
    <row r="141" spans="1:19" x14ac:dyDescent="0.3">
      <c r="A141" s="20" t="s">
        <v>368</v>
      </c>
      <c r="B141" s="15" t="s">
        <v>167</v>
      </c>
      <c r="C141" s="15" t="s">
        <v>364</v>
      </c>
      <c r="D141" s="21" t="s">
        <v>27</v>
      </c>
      <c r="E141" s="21" t="s">
        <v>75</v>
      </c>
      <c r="F141" s="117">
        <f t="shared" si="16"/>
        <v>2.1322851393583626E-4</v>
      </c>
      <c r="G141" s="92">
        <v>9.2769916609057948E-5</v>
      </c>
      <c r="H141" s="92">
        <v>9.5000000000000005E-5</v>
      </c>
      <c r="I141" s="92"/>
      <c r="J141" s="92"/>
      <c r="K141" s="92">
        <v>1.291259732677831E-5</v>
      </c>
      <c r="L141" s="92"/>
      <c r="M141" s="92">
        <v>0</v>
      </c>
      <c r="N141" s="92">
        <v>1.2546000000000003E-5</v>
      </c>
      <c r="O141" s="92"/>
      <c r="P141" s="92"/>
      <c r="Q141" s="92"/>
      <c r="R141" s="138">
        <f>'Parameters, country spec'!J23</f>
        <v>0.31011235955056177</v>
      </c>
      <c r="S141" s="138">
        <f>'Parameters, country spec'!J41</f>
        <v>0.2</v>
      </c>
    </row>
    <row r="142" spans="1:19" x14ac:dyDescent="0.3">
      <c r="A142" s="20" t="s">
        <v>369</v>
      </c>
      <c r="B142" s="15" t="s">
        <v>168</v>
      </c>
      <c r="C142" s="15" t="s">
        <v>370</v>
      </c>
      <c r="D142" s="21" t="s">
        <v>27</v>
      </c>
      <c r="E142" s="21" t="s">
        <v>75</v>
      </c>
      <c r="F142" s="117">
        <f t="shared" si="16"/>
        <v>1.3280125199673234E-4</v>
      </c>
      <c r="G142" s="92">
        <v>0</v>
      </c>
      <c r="H142" s="92">
        <v>9.5000000000000005E-5</v>
      </c>
      <c r="I142" s="92"/>
      <c r="J142" s="92"/>
      <c r="K142" s="92">
        <v>2.5255251996732317E-5</v>
      </c>
      <c r="L142" s="92"/>
      <c r="M142" s="92">
        <v>0</v>
      </c>
      <c r="N142" s="92">
        <v>1.2546000000000003E-5</v>
      </c>
      <c r="O142" s="92"/>
      <c r="P142" s="92"/>
      <c r="Q142" s="92"/>
      <c r="R142" s="138">
        <f>'Parameters, country spec'!J24</f>
        <v>0</v>
      </c>
      <c r="S142" s="138">
        <f>'Parameters, country spec'!J42</f>
        <v>2.439015630520557E-4</v>
      </c>
    </row>
    <row r="143" spans="1:19" x14ac:dyDescent="0.3">
      <c r="A143" s="20" t="s">
        <v>371</v>
      </c>
      <c r="B143" s="15" t="s">
        <v>170</v>
      </c>
      <c r="C143" s="15" t="s">
        <v>370</v>
      </c>
      <c r="D143" s="21" t="s">
        <v>27</v>
      </c>
      <c r="E143" s="21" t="s">
        <v>75</v>
      </c>
      <c r="F143" s="117">
        <f t="shared" si="16"/>
        <v>1.4931770127423491E-4</v>
      </c>
      <c r="G143" s="92">
        <v>3.9865279409015522E-6</v>
      </c>
      <c r="H143" s="92">
        <v>9.5000000000000005E-5</v>
      </c>
      <c r="I143" s="92"/>
      <c r="J143" s="92"/>
      <c r="K143" s="92">
        <v>3.7785173333333341E-5</v>
      </c>
      <c r="L143" s="92"/>
      <c r="M143" s="92">
        <v>0</v>
      </c>
      <c r="N143" s="92">
        <v>1.2546000000000003E-5</v>
      </c>
      <c r="O143" s="92"/>
      <c r="P143" s="92"/>
      <c r="Q143" s="92"/>
      <c r="R143" s="138">
        <f>'Parameters, country spec'!J25</f>
        <v>0</v>
      </c>
      <c r="S143" s="138">
        <f>'Parameters, country spec'!J43</f>
        <v>2.3959170998341588E-4</v>
      </c>
    </row>
    <row r="144" spans="1:19" x14ac:dyDescent="0.3">
      <c r="B144" s="16" t="s">
        <v>171</v>
      </c>
      <c r="C144" s="15" t="s">
        <v>372</v>
      </c>
      <c r="D144" s="21" t="s">
        <v>27</v>
      </c>
      <c r="E144" s="21" t="s">
        <v>75</v>
      </c>
      <c r="F144" s="117">
        <f t="shared" si="16"/>
        <v>4.6478527325651394E-4</v>
      </c>
      <c r="G144" s="27">
        <f>'Off-farm feed'!$F$75</f>
        <v>3.0425509539765719E-4</v>
      </c>
      <c r="H144" s="27">
        <f>'Off-farm feed'!$G$75</f>
        <v>4.5862068965517246E-5</v>
      </c>
      <c r="I144" s="27"/>
      <c r="J144" s="27"/>
      <c r="K144" s="27">
        <f>'Off-farm feed'!$J$75</f>
        <v>1.0936279334641699E-5</v>
      </c>
      <c r="L144" s="27"/>
      <c r="M144" s="27">
        <f>'Off-farm feed'!$L$75</f>
        <v>6.4606960551724142E-7</v>
      </c>
      <c r="N144" s="27">
        <f>'Off-farm feed'!$M$75</f>
        <v>2.1884761697575221E-5</v>
      </c>
      <c r="O144" s="27"/>
      <c r="P144" s="27">
        <f>'Off-farm feed'!$O$75</f>
        <v>5.7027085212127035E-5</v>
      </c>
      <c r="Q144" s="27">
        <f>'Off-farm feed'!$P$75</f>
        <v>2.4173913043478263E-5</v>
      </c>
      <c r="R144" s="138">
        <f>'Parameters, country spec'!J26</f>
        <v>3.8764044943820221E-2</v>
      </c>
      <c r="S144" s="138">
        <f>'Parameters, country spec'!J44</f>
        <v>0.06</v>
      </c>
    </row>
    <row r="145" spans="1:19" x14ac:dyDescent="0.3">
      <c r="B145" s="16" t="s">
        <v>373</v>
      </c>
      <c r="C145" s="15" t="s">
        <v>372</v>
      </c>
      <c r="D145" s="21" t="s">
        <v>27</v>
      </c>
      <c r="E145" s="21" t="s">
        <v>75</v>
      </c>
      <c r="F145" s="117">
        <f t="shared" si="16"/>
        <v>4.7266553697523981E-4</v>
      </c>
      <c r="G145" s="27">
        <f>'Off-farm feed'!$F$24</f>
        <v>1.5603516238625262E-5</v>
      </c>
      <c r="H145" s="27">
        <f>'Off-farm feed'!$G$24</f>
        <v>7.5304878048780503E-5</v>
      </c>
      <c r="I145" s="27"/>
      <c r="J145" s="27"/>
      <c r="K145" s="27">
        <f>'Off-farm feed'!$J$24</f>
        <v>1.908459074435586E-5</v>
      </c>
      <c r="L145" s="27"/>
      <c r="M145" s="27">
        <f>'Off-farm feed'!$L$24</f>
        <v>5.9672097439024396E-7</v>
      </c>
      <c r="N145" s="27">
        <f>'Off-farm feed'!$M$24</f>
        <v>2.3084271612619523E-5</v>
      </c>
      <c r="O145" s="27"/>
      <c r="P145" s="27">
        <f>'Off-farm feed'!$O$24</f>
        <v>1.2899155935646844E-4</v>
      </c>
      <c r="Q145" s="27">
        <f>'Off-farm feed'!$P$24</f>
        <v>2.1000000000000001E-4</v>
      </c>
      <c r="R145" s="138">
        <f>'Parameters, country spec'!J27</f>
        <v>3.8764044943820221E-2</v>
      </c>
      <c r="S145" s="138">
        <f>'Parameters, country spec'!J45</f>
        <v>7.0000000000000007E-2</v>
      </c>
    </row>
    <row r="146" spans="1:19" x14ac:dyDescent="0.3">
      <c r="B146" s="15" t="s">
        <v>173</v>
      </c>
      <c r="C146" s="15" t="s">
        <v>374</v>
      </c>
      <c r="D146" s="21" t="s">
        <v>27</v>
      </c>
      <c r="E146" s="21" t="s">
        <v>75</v>
      </c>
      <c r="F146" s="354">
        <f t="shared" si="16"/>
        <v>2.4590017139572402E-4</v>
      </c>
      <c r="G146" s="92">
        <v>5.3696046963047799E-5</v>
      </c>
      <c r="H146" s="92">
        <v>4.7537999999999998E-5</v>
      </c>
      <c r="K146" s="92">
        <v>1.5715693358092801E-5</v>
      </c>
      <c r="N146" s="12"/>
      <c r="O146" s="12"/>
      <c r="P146" s="92">
        <v>1.12198537729509E-4</v>
      </c>
      <c r="Q146" s="92">
        <v>1.6751893345074401E-5</v>
      </c>
      <c r="R146" s="138">
        <f>'Parameters, country spec'!J28</f>
        <v>0</v>
      </c>
      <c r="S146" s="138">
        <f>'Parameters, country spec'!J46</f>
        <v>0.14000000000000001</v>
      </c>
    </row>
    <row r="147" spans="1:19" x14ac:dyDescent="0.3">
      <c r="A147" s="74"/>
      <c r="B147" s="15" t="s">
        <v>375</v>
      </c>
      <c r="C147" s="75" t="s">
        <v>376</v>
      </c>
      <c r="D147" s="21" t="s">
        <v>27</v>
      </c>
      <c r="E147" s="21" t="s">
        <v>75</v>
      </c>
      <c r="F147" s="117">
        <f t="shared" si="16"/>
        <v>1.0594542253089224E-4</v>
      </c>
      <c r="G147" s="73">
        <f>SUMPRODUCT(G137:G145,$R137:$R145)</f>
        <v>4.2532111751885806E-5</v>
      </c>
      <c r="H147" s="73">
        <f t="shared" ref="H147:P147" si="17">SUMPRODUCT(H137:H145,$R137:$R145)</f>
        <v>3.5758718732576708E-5</v>
      </c>
      <c r="I147" s="73">
        <f t="shared" si="17"/>
        <v>0</v>
      </c>
      <c r="J147" s="73">
        <f t="shared" si="17"/>
        <v>0</v>
      </c>
      <c r="K147" s="73">
        <f t="shared" si="17"/>
        <v>5.4727525387611014E-6</v>
      </c>
      <c r="L147" s="73">
        <f t="shared" si="17"/>
        <v>0</v>
      </c>
      <c r="M147" s="73">
        <f t="shared" si="17"/>
        <v>4.817558989529016E-8</v>
      </c>
      <c r="N147" s="73">
        <f t="shared" si="17"/>
        <v>5.8453007294401337E-6</v>
      </c>
      <c r="O147" s="73">
        <f t="shared" si="17"/>
        <v>0</v>
      </c>
      <c r="P147" s="73">
        <f t="shared" si="17"/>
        <v>7.2108350984455534E-6</v>
      </c>
      <c r="Q147" s="73">
        <f>SUMPRODUCT(Q137:Q145,$R137:$R145)</f>
        <v>9.0775280898876402E-6</v>
      </c>
      <c r="R147" s="138">
        <f>'Parameters, country spec'!J29</f>
        <v>0</v>
      </c>
      <c r="S147" s="138">
        <f>'Parameters, country spec'!J47</f>
        <v>0.03</v>
      </c>
    </row>
    <row r="148" spans="1:19" x14ac:dyDescent="0.3">
      <c r="A148" s="287"/>
      <c r="B148" s="288" t="s">
        <v>377</v>
      </c>
      <c r="C148" s="289"/>
      <c r="D148" s="290"/>
      <c r="E148" s="290"/>
      <c r="F148" s="293">
        <f>SUMPRODUCT(F134:F136,R134:R136)+SUMPRODUCT(F137:F147,R137:R147)/0.87</f>
        <v>6.1828169678501156E-4</v>
      </c>
      <c r="G148" s="293">
        <f>SUMPRODUCT(G134:G136,R134:R136)+SUMPRODUCT(G137:G147,R137:R147)/0.87</f>
        <v>5.9789086132053292E-5</v>
      </c>
      <c r="H148" s="293">
        <f>SUMPRODUCT(H134:H136,R134:R136)+SUMPRODUCT(H137:H147,R137:R147)/0.87</f>
        <v>9.8101975554685877E-5</v>
      </c>
      <c r="I148" s="293">
        <f>SUMPRODUCT(I134:I136,R134:R136)+SUMPRODUCT(I137:I147,R137:R147)/0.87</f>
        <v>0</v>
      </c>
      <c r="J148" s="293">
        <f>SUMPRODUCT(J134:J136,R134:R136)+SUMPRODUCT(J137:J147,R137:R147)/0.87</f>
        <v>0</v>
      </c>
      <c r="K148" s="293">
        <f>SUMPRODUCT(K134:K136,R134:R136)+SUMPRODUCT(K137:K147,R137:R147)/0.87</f>
        <v>1.009426784807871E-5</v>
      </c>
      <c r="L148" s="293">
        <f>SUMPRODUCT(L134:L136,R134:R136)+SUMPRODUCT(L137:L147,R137:R147)/0.87</f>
        <v>0</v>
      </c>
      <c r="M148" s="293">
        <f>SUMPRODUCT(M134:M136,R134:R136)+SUMPRODUCT(M137:M147,R137:R147)/0.87</f>
        <v>5.5374241258954209E-8</v>
      </c>
      <c r="N148" s="293">
        <f>SUMPRODUCT(N134:N136,R134:R136)+SUMPRODUCT(N137:N147,R137:R147)/0.87</f>
        <v>6.7187364706208431E-6</v>
      </c>
      <c r="O148" s="293">
        <f>SUMPRODUCT(O134:O136,R134:R136)+SUMPRODUCT(O137:O147,R137:R147)/0.87</f>
        <v>0</v>
      </c>
      <c r="P148" s="293">
        <f>SUMPRODUCT(P134:P136,R134:R136)+SUMPRODUCT(P137:P147,R137:R147)/0.87</f>
        <v>4.3308831620510982E-4</v>
      </c>
      <c r="Q148" s="293">
        <f>SUMPRODUCT(Q134:Q136,R134:R136)+SUMPRODUCT(Q137:Q147,R137:R147)/0.87</f>
        <v>1.0433940333204184E-5</v>
      </c>
      <c r="R148" s="294"/>
      <c r="S148" s="294"/>
    </row>
    <row r="149" spans="1:19" x14ac:dyDescent="0.3">
      <c r="A149" s="137"/>
      <c r="B149" s="23" t="s">
        <v>381</v>
      </c>
      <c r="C149" s="24"/>
      <c r="D149" s="93"/>
      <c r="E149" s="93"/>
      <c r="F149" s="28">
        <f>SUMPRODUCT(F134:F136,S134:S136)+SUMPRODUCT(F137:F147,S137:S147)/0.87</f>
        <v>4.5824498656496759E-4</v>
      </c>
      <c r="G149" s="28">
        <f>SUMPRODUCT(G134:G136,S134:S136)+SUMPRODUCT(G137:G147,S137:S147)/0.87</f>
        <v>7.7768816318195974E-5</v>
      </c>
      <c r="H149" s="28">
        <f>SUMPRODUCT(H134:H136,S134:S136)+SUMPRODUCT(H137:H147,S137:S147)/0.87</f>
        <v>9.0385998450619962E-5</v>
      </c>
      <c r="I149" s="28">
        <f>SUMPRODUCT(I134:I136,S134:S136)+SUMPRODUCT(I137:I147,S137:S147)/0.87</f>
        <v>0</v>
      </c>
      <c r="J149" s="28">
        <f>SUMPRODUCT(J134:J136,S134:S136)+SUMPRODUCT(J137:J147,S137:S147)/0.87</f>
        <v>0</v>
      </c>
      <c r="K149" s="28">
        <f>SUMPRODUCT(K134:K136,S134:S136)+SUMPRODUCT(K137:K147,S137:S147)/0.87</f>
        <v>1.4058279560278008E-5</v>
      </c>
      <c r="L149" s="28">
        <f>SUMPRODUCT(L134:L136,S134:S136)+SUMPRODUCT(L137:L147,S137:S147)/0.87</f>
        <v>0</v>
      </c>
      <c r="M149" s="28">
        <f>SUMPRODUCT(M134:M136,S134:S136)+SUMPRODUCT(M137:M147,S137:S147)/0.87</f>
        <v>9.422978417840261E-8</v>
      </c>
      <c r="N149" s="28">
        <f>SUMPRODUCT(N134:N136,S134:S136)+SUMPRODUCT(N137:N147,S137:S147)/0.87</f>
        <v>9.3500988926368911E-6</v>
      </c>
      <c r="O149" s="28">
        <f>SUMPRODUCT(O134:O136,S134:S136)+SUMPRODUCT(O137:O147,S137:S147)/0.87</f>
        <v>0</v>
      </c>
      <c r="P149" s="28">
        <f>SUMPRODUCT(P134:P136,S134:S136)+SUMPRODUCT(P137:P147,S137:S147)/0.87</f>
        <v>2.4501512023306326E-4</v>
      </c>
      <c r="Q149" s="28">
        <f>SUMPRODUCT(Q134:Q136,S134:S136)+SUMPRODUCT(Q137:Q147,S137:S147)/0.87</f>
        <v>2.1572443325995109E-5</v>
      </c>
      <c r="R149" s="139"/>
      <c r="S149" s="139"/>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theme="4" tint="0.79998168889431442"/>
  </sheetPr>
  <dimension ref="A1:T149"/>
  <sheetViews>
    <sheetView topLeftCell="A56" zoomScale="70" zoomScaleNormal="70" workbookViewId="0">
      <selection activeCell="G67" sqref="G67"/>
    </sheetView>
  </sheetViews>
  <sheetFormatPr defaultColWidth="8.6640625" defaultRowHeight="14.4" x14ac:dyDescent="0.3"/>
  <cols>
    <col min="1" max="1" width="8.6640625" customWidth="1"/>
    <col min="2" max="2" width="30.44140625" customWidth="1"/>
    <col min="3" max="3" width="19" customWidth="1"/>
    <col min="4" max="5" width="12.6640625" customWidth="1"/>
    <col min="6" max="6" width="12.6640625" style="15" customWidth="1"/>
    <col min="7" max="10" width="12.6640625" customWidth="1"/>
    <col min="11" max="11" width="14.44140625" customWidth="1"/>
    <col min="12" max="12" width="15" customWidth="1"/>
    <col min="13" max="17" width="12.6640625" customWidth="1"/>
    <col min="19" max="19" width="8.6640625" style="3"/>
  </cols>
  <sheetData>
    <row r="1" spans="1:20" x14ac:dyDescent="0.3">
      <c r="F1" s="6"/>
    </row>
    <row r="2" spans="1:20" ht="21" x14ac:dyDescent="0.4">
      <c r="A2" s="2" t="s">
        <v>382</v>
      </c>
      <c r="F2" t="s">
        <v>354</v>
      </c>
    </row>
    <row r="3" spans="1:20" x14ac:dyDescent="0.3">
      <c r="H3" s="7"/>
      <c r="I3" s="7"/>
      <c r="J3" s="7"/>
      <c r="K3" s="7"/>
      <c r="L3" s="7"/>
      <c r="M3" s="7"/>
      <c r="N3" s="7"/>
    </row>
    <row r="4" spans="1:20" ht="28.8" x14ac:dyDescent="0.3">
      <c r="A4" s="140" t="s">
        <v>355</v>
      </c>
      <c r="B4" s="132"/>
      <c r="C4" s="132"/>
      <c r="D4" s="132"/>
      <c r="E4" s="132"/>
      <c r="F4" s="259" t="s">
        <v>82</v>
      </c>
      <c r="G4" s="133" t="s">
        <v>83</v>
      </c>
      <c r="H4" s="134"/>
      <c r="I4" s="133" t="s">
        <v>84</v>
      </c>
      <c r="J4" s="94"/>
      <c r="K4" s="133" t="s">
        <v>85</v>
      </c>
      <c r="L4" s="94"/>
      <c r="M4" s="94"/>
      <c r="N4" s="94"/>
      <c r="O4" s="95" t="s">
        <v>86</v>
      </c>
      <c r="P4" s="95" t="s">
        <v>87</v>
      </c>
      <c r="Q4" s="135" t="s">
        <v>88</v>
      </c>
      <c r="R4" s="133" t="s">
        <v>356</v>
      </c>
      <c r="S4" s="308" t="s">
        <v>356</v>
      </c>
    </row>
    <row r="5" spans="1:20" ht="55.5" customHeight="1" x14ac:dyDescent="0.3">
      <c r="A5" s="88" t="s">
        <v>44</v>
      </c>
      <c r="B5" s="88" t="s">
        <v>355</v>
      </c>
      <c r="C5" s="88" t="s">
        <v>357</v>
      </c>
      <c r="D5" s="88" t="s">
        <v>47</v>
      </c>
      <c r="E5" s="136" t="s">
        <v>48</v>
      </c>
      <c r="F5" s="260"/>
      <c r="G5" s="89" t="s">
        <v>8</v>
      </c>
      <c r="H5" s="89" t="s">
        <v>9</v>
      </c>
      <c r="I5" s="89" t="s">
        <v>95</v>
      </c>
      <c r="J5" s="89" t="s">
        <v>358</v>
      </c>
      <c r="K5" s="89" t="s">
        <v>97</v>
      </c>
      <c r="L5" s="89" t="s">
        <v>98</v>
      </c>
      <c r="M5" s="89" t="s">
        <v>99</v>
      </c>
      <c r="N5" s="89" t="s">
        <v>100</v>
      </c>
      <c r="O5" s="89" t="s">
        <v>101</v>
      </c>
      <c r="P5" s="89" t="s">
        <v>87</v>
      </c>
      <c r="Q5" s="136" t="s">
        <v>359</v>
      </c>
      <c r="R5" s="89" t="s">
        <v>118</v>
      </c>
      <c r="S5" s="89" t="s">
        <v>247</v>
      </c>
    </row>
    <row r="6" spans="1:20" x14ac:dyDescent="0.3">
      <c r="B6" s="16" t="s">
        <v>152</v>
      </c>
      <c r="C6" s="15" t="s">
        <v>361</v>
      </c>
      <c r="D6" s="21" t="s">
        <v>28</v>
      </c>
      <c r="E6" s="21" t="s">
        <v>67</v>
      </c>
      <c r="F6" s="117">
        <f>SUM(G6:Q6)</f>
        <v>2.0524375665426878E-4</v>
      </c>
      <c r="G6" s="27">
        <f>'Forage crops, CF'!F11</f>
        <v>3.9622270994168309E-5</v>
      </c>
      <c r="H6" s="27">
        <f>'Forage crops, CF'!G11</f>
        <v>1.1000000000000001E-6</v>
      </c>
      <c r="I6" s="27">
        <f>'Forage crops, CF'!H11</f>
        <v>1.492448690828462E-4</v>
      </c>
      <c r="J6" s="27">
        <f>'Forage crops, CF'!I11</f>
        <v>1.4924486908284621E-5</v>
      </c>
      <c r="K6" s="27">
        <f>'Forage crops, CF'!J11</f>
        <v>3.521296689696708E-7</v>
      </c>
      <c r="L6" s="27">
        <f>'Forage crops, CF'!K11</f>
        <v>0</v>
      </c>
      <c r="M6" s="27">
        <f>'Forage crops, CF'!L11</f>
        <v>0</v>
      </c>
      <c r="N6" s="27">
        <f>'Forage crops, CF'!M11</f>
        <v>0</v>
      </c>
      <c r="O6" s="27">
        <f>'Forage crops, CF'!N11</f>
        <v>0</v>
      </c>
      <c r="P6" s="27">
        <f>'Forage crops, CF'!O11</f>
        <v>0</v>
      </c>
      <c r="Q6" s="27">
        <f>'Forage crops, CF'!P11</f>
        <v>0</v>
      </c>
      <c r="R6" s="138">
        <f>'Parameters, country spec'!B16</f>
        <v>0</v>
      </c>
      <c r="S6" s="138">
        <f>'Parameters, country spec'!B34</f>
        <v>0</v>
      </c>
      <c r="T6" s="18"/>
    </row>
    <row r="7" spans="1:20" x14ac:dyDescent="0.3">
      <c r="B7" s="16" t="s">
        <v>154</v>
      </c>
      <c r="C7" s="15" t="s">
        <v>361</v>
      </c>
      <c r="D7" s="21" t="s">
        <v>28</v>
      </c>
      <c r="E7" s="21" t="s">
        <v>67</v>
      </c>
      <c r="F7" s="117">
        <f>SUM(G7:Q7)</f>
        <v>2.6318615090141582E-4</v>
      </c>
      <c r="G7" s="27">
        <f>'Forage crops, CF'!F61</f>
        <v>4.0187053386844723E-5</v>
      </c>
      <c r="H7" s="27">
        <f>'Forage crops, CF'!G61</f>
        <v>1.1000000000000001E-6</v>
      </c>
      <c r="I7" s="27">
        <f>'Forage crops, CF'!H61</f>
        <v>1.3916035917453407E-4</v>
      </c>
      <c r="J7" s="27">
        <f>'Forage crops, CF'!I61</f>
        <v>1.3916035917453407E-5</v>
      </c>
      <c r="K7" s="27">
        <f>'Forage crops, CF'!J61</f>
        <v>4.4168049448757817E-7</v>
      </c>
      <c r="L7" s="27"/>
      <c r="M7" s="27">
        <f>'Forage crops, CF'!L61</f>
        <v>2.8102192809599998E-7</v>
      </c>
      <c r="N7" s="27">
        <f>'Forage crops, CF'!M61</f>
        <v>0</v>
      </c>
      <c r="O7" s="27"/>
      <c r="P7" s="27">
        <f>'Forage crops, CF'!O61</f>
        <v>6.8099999999999988E-5</v>
      </c>
      <c r="Q7" s="27"/>
      <c r="R7" s="138">
        <f>'Parameters, country spec'!B17</f>
        <v>0</v>
      </c>
      <c r="S7" s="138">
        <f>'Parameters, country spec'!B35</f>
        <v>0</v>
      </c>
      <c r="T7" s="18"/>
    </row>
    <row r="8" spans="1:20" x14ac:dyDescent="0.3">
      <c r="B8" s="16" t="s">
        <v>362</v>
      </c>
      <c r="C8" s="15" t="s">
        <v>361</v>
      </c>
      <c r="D8" s="21" t="s">
        <v>28</v>
      </c>
      <c r="E8" s="21" t="s">
        <v>67</v>
      </c>
      <c r="F8" s="117">
        <f>SUM(G8:Q8)</f>
        <v>2.5718974685190465E-4</v>
      </c>
      <c r="G8" s="27">
        <f>'Forage crops, CF'!F111*'Forage, input data per ha'!$E$67+'Forage crops, CF'!F161*'Forage, input data per ha'!$G$67</f>
        <v>3.5903158953308976E-5</v>
      </c>
      <c r="H8" s="27">
        <f>'Forage crops, CF'!G111*'Forage, input data per ha'!$E$67+'Forage crops, CF'!G161*'Forage, input data per ha'!$G$67</f>
        <v>1.1000000000000001E-6</v>
      </c>
      <c r="I8" s="27">
        <f>'Forage crops, CF'!H111*'Forage, input data per ha'!$E$67+'Forage crops, CF'!H161*'Forage, input data per ha'!$G$67</f>
        <v>1.3794105129811811E-4</v>
      </c>
      <c r="J8" s="27">
        <f>'Forage crops, CF'!I111*'Forage, input data per ha'!$E$67+'Forage crops, CF'!I161*'Forage, input data per ha'!$G$67</f>
        <v>1.3794105129811812E-5</v>
      </c>
      <c r="K8" s="27">
        <f>'Forage crops, CF'!J111*'Forage, input data per ha'!$E$67+'Forage crops, CF'!J161*'Forage, input data per ha'!$G$67</f>
        <v>3.5143147066577134E-7</v>
      </c>
      <c r="L8" s="27"/>
      <c r="M8" s="27">
        <f>'Forage crops, CF'!L111*'Forage, input data per ha'!$E$67+'Forage crops, CF'!L161*'Forage, input data per ha'!$G$67</f>
        <v>0</v>
      </c>
      <c r="N8" s="27">
        <f>'Forage crops, CF'!M111*'Forage, input data per ha'!$E$67+'Forage crops, CF'!M161*'Forage, input data per ha'!$G$67</f>
        <v>0</v>
      </c>
      <c r="O8" s="27"/>
      <c r="P8" s="27">
        <f>'Forage crops, CF'!O111*'Forage, input data per ha'!$E$67+'Forage crops, CF'!O161*'Forage, input data per ha'!$G$67</f>
        <v>6.8099999999999988E-5</v>
      </c>
      <c r="Q8" s="27"/>
      <c r="R8" s="138">
        <f>'Parameters, country spec'!B18</f>
        <v>0.28000000000000003</v>
      </c>
      <c r="S8" s="138">
        <f>'Parameters, country spec'!B36</f>
        <v>0.3</v>
      </c>
      <c r="T8" s="18"/>
    </row>
    <row r="9" spans="1:20" x14ac:dyDescent="0.3">
      <c r="A9" s="20" t="s">
        <v>363</v>
      </c>
      <c r="B9" s="15" t="s">
        <v>159</v>
      </c>
      <c r="C9" s="15" t="s">
        <v>364</v>
      </c>
      <c r="D9" s="21" t="s">
        <v>28</v>
      </c>
      <c r="E9" s="21" t="s">
        <v>67</v>
      </c>
      <c r="F9" s="117">
        <f>SUM(G9:Q9)</f>
        <v>6.9794440000000017E-4</v>
      </c>
      <c r="G9" s="90">
        <v>1.8000000000000001E-4</v>
      </c>
      <c r="H9" s="91">
        <v>9.9999999999999995E-7</v>
      </c>
      <c r="I9" s="92">
        <v>4.6799999999999999E-4</v>
      </c>
      <c r="J9" s="92">
        <v>4.6799999999999999E-5</v>
      </c>
      <c r="K9" s="92">
        <v>8.0200000000000001E-7</v>
      </c>
      <c r="L9" s="92"/>
      <c r="M9" s="92">
        <v>1.24E-8</v>
      </c>
      <c r="N9" s="92">
        <v>1.33E-6</v>
      </c>
      <c r="O9" s="92"/>
      <c r="P9" s="92"/>
      <c r="Q9" s="12"/>
      <c r="R9" s="138">
        <f>'Parameters, country spec'!B19</f>
        <v>0.16</v>
      </c>
      <c r="S9" s="138">
        <f>'Parameters, country spec'!B37</f>
        <v>0.2</v>
      </c>
    </row>
    <row r="10" spans="1:20" x14ac:dyDescent="0.3">
      <c r="A10" s="20" t="s">
        <v>365</v>
      </c>
      <c r="B10" s="15" t="s">
        <v>161</v>
      </c>
      <c r="C10" s="15" t="s">
        <v>364</v>
      </c>
      <c r="D10" s="21" t="s">
        <v>28</v>
      </c>
      <c r="E10" s="21" t="s">
        <v>67</v>
      </c>
      <c r="F10" s="117">
        <f t="shared" ref="F10:F19" si="0">SUM(G10:Q10)</f>
        <v>6.5715800000000003E-4</v>
      </c>
      <c r="G10" s="90">
        <v>1.7000000000000001E-4</v>
      </c>
      <c r="H10" s="91">
        <v>9.9999999999999995E-7</v>
      </c>
      <c r="I10" s="92">
        <v>4.4000000000000002E-4</v>
      </c>
      <c r="J10" s="92">
        <v>4.3999999999999999E-5</v>
      </c>
      <c r="K10" s="92">
        <v>5.4700000000000001E-7</v>
      </c>
      <c r="L10" s="92"/>
      <c r="M10" s="92">
        <v>2.8099999999999999E-7</v>
      </c>
      <c r="N10" s="92">
        <v>1.33E-6</v>
      </c>
      <c r="O10" s="92"/>
      <c r="P10" s="92"/>
      <c r="Q10" s="12"/>
      <c r="R10" s="138">
        <f>'Parameters, country spec'!B20</f>
        <v>3.1075970320211814E-4</v>
      </c>
      <c r="S10" s="138">
        <f>'Parameters, country spec'!B38</f>
        <v>3.1075970320211814E-4</v>
      </c>
    </row>
    <row r="11" spans="1:20" x14ac:dyDescent="0.3">
      <c r="A11" s="20" t="s">
        <v>366</v>
      </c>
      <c r="B11" s="15" t="s">
        <v>163</v>
      </c>
      <c r="C11" s="15" t="s">
        <v>364</v>
      </c>
      <c r="D11" s="21" t="s">
        <v>28</v>
      </c>
      <c r="E11" s="21" t="s">
        <v>67</v>
      </c>
      <c r="F11" s="117">
        <f t="shared" si="0"/>
        <v>6.6289399999999992E-4</v>
      </c>
      <c r="G11" s="90">
        <v>1.4999999999999999E-4</v>
      </c>
      <c r="H11" s="91">
        <v>9.9999999999999995E-7</v>
      </c>
      <c r="I11" s="92">
        <v>4.6299999999999998E-4</v>
      </c>
      <c r="J11" s="92">
        <v>4.6300000000000001E-5</v>
      </c>
      <c r="K11" s="92">
        <v>1.1000000000000001E-6</v>
      </c>
      <c r="L11" s="92"/>
      <c r="M11" s="92">
        <v>1.6400000000000001E-7</v>
      </c>
      <c r="N11" s="92">
        <v>1.33E-6</v>
      </c>
      <c r="O11" s="92"/>
      <c r="P11" s="92"/>
      <c r="Q11" s="12"/>
      <c r="R11" s="138">
        <f>'Parameters, country spec'!B21</f>
        <v>8.6733359151412953E-5</v>
      </c>
      <c r="S11" s="138">
        <f>'Parameters, country spec'!B39</f>
        <v>8.6733359151412953E-5</v>
      </c>
    </row>
    <row r="12" spans="1:20" x14ac:dyDescent="0.3">
      <c r="A12" s="20" t="s">
        <v>367</v>
      </c>
      <c r="B12" s="15" t="s">
        <v>165</v>
      </c>
      <c r="C12" s="15" t="s">
        <v>364</v>
      </c>
      <c r="D12" s="21" t="s">
        <v>28</v>
      </c>
      <c r="E12" s="21" t="s">
        <v>67</v>
      </c>
      <c r="F12" s="117">
        <f t="shared" si="0"/>
        <v>6.0983308999999991E-4</v>
      </c>
      <c r="G12" s="90">
        <v>1.3999999999999999E-4</v>
      </c>
      <c r="H12" s="91">
        <v>9.9999999999999995E-7</v>
      </c>
      <c r="I12" s="92">
        <v>4.2400000000000001E-4</v>
      </c>
      <c r="J12" s="92">
        <v>4.2400000000000001E-5</v>
      </c>
      <c r="K12" s="92">
        <v>1.1000000000000001E-6</v>
      </c>
      <c r="L12" s="92"/>
      <c r="M12" s="92">
        <v>3.0899999999999999E-9</v>
      </c>
      <c r="N12" s="92">
        <v>1.33E-6</v>
      </c>
      <c r="O12" s="92"/>
      <c r="P12" s="92"/>
      <c r="Q12" s="12"/>
      <c r="R12" s="138">
        <f>'Parameters, country spec'!B22</f>
        <v>6.2924072151971947E-5</v>
      </c>
      <c r="S12" s="138">
        <f>'Parameters, country spec'!B40</f>
        <v>6.2924072151971947E-5</v>
      </c>
    </row>
    <row r="13" spans="1:20" x14ac:dyDescent="0.3">
      <c r="A13" s="20" t="s">
        <v>368</v>
      </c>
      <c r="B13" s="15" t="s">
        <v>167</v>
      </c>
      <c r="C13" s="15" t="s">
        <v>364</v>
      </c>
      <c r="D13" s="21" t="s">
        <v>28</v>
      </c>
      <c r="E13" s="21" t="s">
        <v>67</v>
      </c>
      <c r="F13" s="117">
        <f t="shared" si="0"/>
        <v>7.9156026000000001E-4</v>
      </c>
      <c r="G13" s="90">
        <v>2.0000000000000001E-4</v>
      </c>
      <c r="H13" s="91">
        <v>9.9999999999999995E-7</v>
      </c>
      <c r="I13" s="92">
        <v>5.3499999999999999E-4</v>
      </c>
      <c r="J13" s="92">
        <v>5.3499999999999999E-5</v>
      </c>
      <c r="K13" s="92">
        <v>7.2099999999999996E-7</v>
      </c>
      <c r="L13" s="92"/>
      <c r="M13" s="92">
        <v>9.2599999999999999E-9</v>
      </c>
      <c r="N13" s="92">
        <v>1.33E-6</v>
      </c>
      <c r="O13" s="92"/>
      <c r="P13" s="92"/>
      <c r="Q13" s="12"/>
      <c r="R13" s="138">
        <f>'Parameters, country spec'!B23</f>
        <v>0.20500000000000002</v>
      </c>
      <c r="S13" s="138">
        <f>'Parameters, country spec'!B41</f>
        <v>0.2</v>
      </c>
    </row>
    <row r="14" spans="1:20" x14ac:dyDescent="0.3">
      <c r="A14" s="20" t="s">
        <v>369</v>
      </c>
      <c r="B14" s="15" t="s">
        <v>168</v>
      </c>
      <c r="C14" s="15" t="s">
        <v>370</v>
      </c>
      <c r="D14" s="21" t="s">
        <v>28</v>
      </c>
      <c r="E14" s="21" t="s">
        <v>67</v>
      </c>
      <c r="F14" s="117">
        <f t="shared" si="0"/>
        <v>3.4258030000000004E-4</v>
      </c>
      <c r="G14" s="90">
        <v>0</v>
      </c>
      <c r="H14" s="91">
        <v>9.9999999999999995E-7</v>
      </c>
      <c r="I14" s="92">
        <v>3.0800000000000001E-4</v>
      </c>
      <c r="J14" s="92">
        <v>3.0800000000000003E-5</v>
      </c>
      <c r="K14" s="92">
        <v>1.37E-6</v>
      </c>
      <c r="L14" s="92"/>
      <c r="M14" s="92">
        <v>8.0299999999999998E-8</v>
      </c>
      <c r="N14" s="92">
        <v>1.33E-6</v>
      </c>
      <c r="O14" s="92"/>
      <c r="P14" s="92"/>
      <c r="Q14" s="12"/>
      <c r="R14" s="138">
        <f>'Parameters, country spec'!B24</f>
        <v>2.439015630520557E-4</v>
      </c>
      <c r="S14" s="138">
        <f>'Parameters, country spec'!B42</f>
        <v>2.439015630520557E-4</v>
      </c>
    </row>
    <row r="15" spans="1:20" x14ac:dyDescent="0.3">
      <c r="A15" s="20" t="s">
        <v>371</v>
      </c>
      <c r="B15" s="15" t="s">
        <v>170</v>
      </c>
      <c r="C15" s="15" t="s">
        <v>370</v>
      </c>
      <c r="D15" s="21" t="s">
        <v>28</v>
      </c>
      <c r="E15" s="21" t="s">
        <v>67</v>
      </c>
      <c r="F15" s="117">
        <f t="shared" si="0"/>
        <v>3.6272900000000006E-4</v>
      </c>
      <c r="G15" s="90">
        <v>8.6000000000000007E-6</v>
      </c>
      <c r="H15" s="91">
        <v>9.9999999999999995E-7</v>
      </c>
      <c r="I15" s="92">
        <v>3.1799999999999998E-4</v>
      </c>
      <c r="J15" s="92">
        <v>3.18E-5</v>
      </c>
      <c r="K15" s="92">
        <v>1.86E-6</v>
      </c>
      <c r="L15" s="92"/>
      <c r="M15" s="92">
        <v>1.3899999999999999E-7</v>
      </c>
      <c r="N15" s="92">
        <v>1.33E-6</v>
      </c>
      <c r="O15" s="92"/>
      <c r="P15" s="92"/>
      <c r="Q15" s="12"/>
      <c r="R15" s="138">
        <f>'Parameters, country spec'!B25</f>
        <v>2.3959170998341588E-4</v>
      </c>
      <c r="S15" s="138">
        <f>'Parameters, country spec'!B43</f>
        <v>2.3959170998341588E-4</v>
      </c>
    </row>
    <row r="16" spans="1:20" x14ac:dyDescent="0.3">
      <c r="B16" s="16" t="s">
        <v>171</v>
      </c>
      <c r="C16" s="15" t="s">
        <v>372</v>
      </c>
      <c r="D16" s="21" t="s">
        <v>28</v>
      </c>
      <c r="E16" s="21" t="s">
        <v>67</v>
      </c>
      <c r="F16" s="117">
        <f t="shared" si="0"/>
        <v>1.5426052012212825E-3</v>
      </c>
      <c r="G16" s="32">
        <f>'Off-farm feed'!$F$77</f>
        <v>3.5160526410462907E-4</v>
      </c>
      <c r="H16" s="32">
        <f>'Off-farm feed'!$G$77</f>
        <v>5.3103448275862083E-7</v>
      </c>
      <c r="I16" s="32">
        <f>'Off-farm feed'!$H$77</f>
        <v>1.0756102664162708E-3</v>
      </c>
      <c r="J16" s="32">
        <f>'Off-farm feed'!$I$77</f>
        <v>1.0756102664162706E-4</v>
      </c>
      <c r="K16" s="32">
        <f>'Off-farm feed'!$J$77</f>
        <v>6.6339607025480414E-7</v>
      </c>
      <c r="L16" s="32"/>
      <c r="M16" s="32">
        <f>'Off-farm feed'!$L$77</f>
        <v>7.9511067188965511E-9</v>
      </c>
      <c r="N16" s="32">
        <f>'Off-farm feed'!$M$77</f>
        <v>1.2789681892721844E-6</v>
      </c>
      <c r="O16" s="32"/>
      <c r="P16" s="32">
        <f>'Off-farm feed'!$O$77</f>
        <v>4.8776996151562902E-6</v>
      </c>
      <c r="Q16" s="32">
        <f>'Off-farm feed'!$P$77</f>
        <v>4.6959459459459463E-7</v>
      </c>
      <c r="R16" s="138">
        <f>'Parameters, country spec'!B26</f>
        <v>0.09</v>
      </c>
      <c r="S16" s="138">
        <f>'Parameters, country spec'!B44</f>
        <v>0.06</v>
      </c>
    </row>
    <row r="17" spans="1:20" x14ac:dyDescent="0.3">
      <c r="B17" s="16" t="s">
        <v>373</v>
      </c>
      <c r="C17" s="15" t="s">
        <v>372</v>
      </c>
      <c r="D17" s="21" t="s">
        <v>28</v>
      </c>
      <c r="E17" s="21" t="s">
        <v>67</v>
      </c>
      <c r="F17" s="117">
        <f t="shared" si="0"/>
        <v>1.8866346644602505E-4</v>
      </c>
      <c r="G17" s="32">
        <f>'Off-farm feed'!$F$26</f>
        <v>1.6332109719061441E-5</v>
      </c>
      <c r="H17" s="32">
        <f>'Off-farm feed'!$G$26</f>
        <v>8.7195121951219526E-7</v>
      </c>
      <c r="I17" s="32">
        <f>'Off-farm feed'!$H$26</f>
        <v>1.3333449845358202E-4</v>
      </c>
      <c r="J17" s="32">
        <f>'Off-farm feed'!$I$26</f>
        <v>1.3333449845358203E-5</v>
      </c>
      <c r="K17" s="32">
        <f>'Off-farm feed'!$J$26</f>
        <v>1.1576736579983931E-6</v>
      </c>
      <c r="L17" s="32"/>
      <c r="M17" s="32">
        <f>'Off-farm feed'!$L$26</f>
        <v>7.3437786087804866E-9</v>
      </c>
      <c r="N17" s="32">
        <f>'Off-farm feed'!$M$26</f>
        <v>1.1195281639512197E-6</v>
      </c>
      <c r="O17" s="32"/>
      <c r="P17" s="32">
        <f>'Off-farm feed'!$O$26</f>
        <v>1.3419073770114991E-5</v>
      </c>
      <c r="Q17" s="32">
        <f>'Off-farm feed'!$P$26</f>
        <v>9.087837837837838E-6</v>
      </c>
      <c r="R17" s="138">
        <f>'Parameters, country spec'!B27</f>
        <v>9.5000000000000001E-2</v>
      </c>
      <c r="S17" s="138">
        <f>'Parameters, country spec'!B45</f>
        <v>7.0000000000000007E-2</v>
      </c>
    </row>
    <row r="18" spans="1:20" x14ac:dyDescent="0.3">
      <c r="B18" s="15" t="s">
        <v>173</v>
      </c>
      <c r="C18" s="15" t="s">
        <v>374</v>
      </c>
      <c r="D18" s="21" t="s">
        <v>28</v>
      </c>
      <c r="E18" s="21" t="s">
        <v>67</v>
      </c>
      <c r="F18" s="354">
        <f t="shared" si="0"/>
        <v>4.044373029707777E-4</v>
      </c>
      <c r="G18" s="92">
        <v>1.0053425703773099E-4</v>
      </c>
      <c r="H18" s="92">
        <v>5.5044E-7</v>
      </c>
      <c r="I18" s="92">
        <v>2.9265964297051902E-4</v>
      </c>
      <c r="K18" s="92">
        <v>1.0413866086089199E-6</v>
      </c>
      <c r="N18" s="12"/>
      <c r="O18" s="12"/>
      <c r="P18" s="92">
        <v>9.3385316151342001E-6</v>
      </c>
      <c r="Q18" s="92">
        <v>3.1304473878454498E-7</v>
      </c>
      <c r="R18" s="138">
        <f>'Parameters, country spec'!B28</f>
        <v>9.5000000000000001E-2</v>
      </c>
      <c r="S18" s="138">
        <f>'Parameters, country spec'!B46</f>
        <v>0.14000000000000001</v>
      </c>
    </row>
    <row r="19" spans="1:20" x14ac:dyDescent="0.3">
      <c r="A19" s="74"/>
      <c r="B19" s="15" t="s">
        <v>375</v>
      </c>
      <c r="C19" s="75" t="s">
        <v>376</v>
      </c>
      <c r="D19" s="21" t="s">
        <v>28</v>
      </c>
      <c r="E19" s="21" t="s">
        <v>67</v>
      </c>
      <c r="F19" s="117">
        <f t="shared" si="0"/>
        <v>4.3116900388407326E-4</v>
      </c>
      <c r="G19" s="73">
        <f>SUMPRODUCT(G9:G17,$R9:$R17)</f>
        <v>1.0307273320495166E-4</v>
      </c>
      <c r="H19" s="73">
        <f t="shared" ref="H19:P19" si="1">SUMPRODUCT(H9:H17,$R9:$R17)</f>
        <v>4.9657237970947544E-7</v>
      </c>
      <c r="I19" s="73">
        <f t="shared" si="1"/>
        <v>2.9438158479703792E-4</v>
      </c>
      <c r="J19" s="73">
        <f t="shared" si="1"/>
        <v>2.9438158479703788E-5</v>
      </c>
      <c r="K19" s="73">
        <f t="shared" si="1"/>
        <v>4.4692403828681543E-7</v>
      </c>
      <c r="L19" s="73">
        <f t="shared" si="1"/>
        <v>0</v>
      </c>
      <c r="M19" s="73">
        <f t="shared" si="1"/>
        <v>5.4501892986191874E-9</v>
      </c>
      <c r="N19" s="73">
        <f t="shared" si="1"/>
        <v>7.0816771345189201E-7</v>
      </c>
      <c r="O19" s="73">
        <f t="shared" si="1"/>
        <v>0</v>
      </c>
      <c r="P19" s="73">
        <f t="shared" si="1"/>
        <v>1.7138049735249903E-6</v>
      </c>
      <c r="Q19" s="73">
        <f>SUMPRODUCT(Q9:Q17,$R9:$R17)</f>
        <v>9.0560810810810813E-7</v>
      </c>
      <c r="R19" s="138">
        <f>'Parameters, country spec'!B29</f>
        <v>7.0000000000000007E-2</v>
      </c>
      <c r="S19" s="138">
        <f>'Parameters, country spec'!B47</f>
        <v>0.03</v>
      </c>
    </row>
    <row r="20" spans="1:20" x14ac:dyDescent="0.3">
      <c r="A20" s="287"/>
      <c r="B20" s="288" t="s">
        <v>377</v>
      </c>
      <c r="C20" s="289"/>
      <c r="D20" s="290"/>
      <c r="E20" s="290"/>
      <c r="F20" s="293">
        <f>SUMPRODUCT(F6:F8,R6:R8)+SUMPRODUCT(F9:F19,R9:R19)/0.87</f>
        <v>6.4646413824288071E-4</v>
      </c>
      <c r="G20" s="293">
        <f>SUMPRODUCT(G6:G8,R6:R8)+SUMPRODUCT(G9:G19,R9:R19)/0.87</f>
        <v>1.4779837755046987E-4</v>
      </c>
      <c r="H20" s="293">
        <f>SUMPRODUCT(H6:H8,R6:R8)+SUMPRODUCT(H9:H19,R9:R19)/0.87</f>
        <v>9.7883246699901002E-7</v>
      </c>
      <c r="I20" s="293">
        <f>SUMPRODUCT(I6:I8,R6:R8)+SUMPRODUCT(I9:I19,R9:R19)/0.87</f>
        <v>4.3263609415086378E-4</v>
      </c>
      <c r="J20" s="293">
        <f>SUMPRODUCT(J6:J8,R6:R8)+SUMPRODUCT(J9:J19,R9:R19)/0.87</f>
        <v>4.0067900670005992E-5</v>
      </c>
      <c r="K20" s="293">
        <f>SUMPRODUCT(K6:K8,R6:R8)+SUMPRODUCT(K9:K19,R9:R19)/0.87</f>
        <v>7.6178063797577223E-7</v>
      </c>
      <c r="L20" s="293">
        <f>SUMPRODUCT(L6:L8,R6:R8)+SUMPRODUCT(L9:L19,R9:R19)/0.87</f>
        <v>0</v>
      </c>
      <c r="M20" s="293">
        <f>SUMPRODUCT(M6:M8,R6:R8)+SUMPRODUCT(M9:M19,R9:R19)/0.87</f>
        <v>6.7031063787615295E-9</v>
      </c>
      <c r="N20" s="293">
        <f>SUMPRODUCT(N6:N8,R6:R8)+SUMPRODUCT(N9:N19,R9:R19)/0.87</f>
        <v>8.709648889580741E-7</v>
      </c>
      <c r="O20" s="293">
        <f>SUMPRODUCT(O6:O8,R6:R8)+SUMPRODUCT(O9:O19,R9:R19)/0.87</f>
        <v>0</v>
      </c>
      <c r="P20" s="293">
        <f>SUMPRODUCT(P6:P8,R6:R8)+SUMPRODUCT(P9:P19,R9:R19)/0.87</f>
        <v>2.2195507844953434E-5</v>
      </c>
      <c r="Q20" s="293">
        <f>SUMPRODUCT(Q6:Q8,R6:R8)+SUMPRODUCT(Q9:Q19,R9:R19)/0.87</f>
        <v>1.1479769262761006E-6</v>
      </c>
      <c r="R20" s="294"/>
      <c r="S20" s="295"/>
    </row>
    <row r="21" spans="1:20" x14ac:dyDescent="0.3">
      <c r="A21" s="137"/>
      <c r="B21" s="23" t="s">
        <v>381</v>
      </c>
      <c r="C21" s="24"/>
      <c r="D21" s="93"/>
      <c r="E21" s="93"/>
      <c r="F21" s="28">
        <f>SUMPRODUCT(F6:F8,S6:S8)+SUMPRODUCT(F9:F19,S9:S19)/0.87</f>
        <v>6.2162879580122119E-4</v>
      </c>
      <c r="G21" s="28">
        <f>SUMPRODUCT(G6:G8,S6:S8)+SUMPRODUCT(G9:G19,S9:S19)/0.87</f>
        <v>1.4351031610009289E-4</v>
      </c>
      <c r="H21" s="28">
        <f>SUMPRODUCT(H6:H8,S6:S8)+SUMPRODUCT(H9:H19,S9:S19)/0.87</f>
        <v>1.0033348691151681E-6</v>
      </c>
      <c r="I21" s="28">
        <f>SUMPRODUCT(I6:I8,S6:S8)+SUMPRODUCT(I9:I19,S9:S19)/0.87</f>
        <v>4.1451876585264704E-4</v>
      </c>
      <c r="J21" s="28">
        <f>SUMPRODUCT(J6:J8,S6:S8)+SUMPRODUCT(J9:J19,S9:S19)/0.87</f>
        <v>3.674241106619887E-5</v>
      </c>
      <c r="K21" s="28">
        <f>SUMPRODUCT(K6:K8,S6:S8)+SUMPRODUCT(K9:K19,S9:S19)/0.87</f>
        <v>7.7871353439865629E-7</v>
      </c>
      <c r="L21" s="28">
        <f>SUMPRODUCT(L6:L8,S6:S8)+SUMPRODUCT(L9:L19,S9:S19)/0.87</f>
        <v>0</v>
      </c>
      <c r="M21" s="28">
        <f>SUMPRODUCT(M6:M8,S6:S8)+SUMPRODUCT(M9:M19,S9:S19)/0.87</f>
        <v>6.4842152997601767E-9</v>
      </c>
      <c r="N21" s="28">
        <f>SUMPRODUCT(N6:N8,S6:S8)+SUMPRODUCT(N9:N19,S9:S19)/0.87</f>
        <v>8.1563850009023312E-7</v>
      </c>
      <c r="O21" s="28">
        <f>SUMPRODUCT(O6:O8,S6:S8)+SUMPRODUCT(O9:O19,S9:S19)/0.87</f>
        <v>0</v>
      </c>
      <c r="P21" s="28">
        <f>SUMPRODUCT(P6:P8,S6:S8)+SUMPRODUCT(P9:P19,S9:S19)/0.87</f>
        <v>2.3407937604760875E-5</v>
      </c>
      <c r="Q21" s="28">
        <f>SUMPRODUCT(Q6:Q8,S6:S8)+SUMPRODUCT(Q9:Q19,S9:S19)/0.87</f>
        <v>8.4519405861770568E-7</v>
      </c>
      <c r="R21" s="139"/>
      <c r="S21" s="139"/>
    </row>
    <row r="22" spans="1:20" x14ac:dyDescent="0.3">
      <c r="B22" s="16" t="s">
        <v>152</v>
      </c>
      <c r="C22" s="15" t="s">
        <v>361</v>
      </c>
      <c r="D22" s="21" t="s">
        <v>25</v>
      </c>
      <c r="E22" s="21" t="s">
        <v>68</v>
      </c>
      <c r="F22" s="117">
        <f>SUM(G22:Q22)</f>
        <v>2.348214170658229E-4</v>
      </c>
      <c r="G22" s="27">
        <f>'Forage crops, CF'!F16</f>
        <v>4.6431822132832091E-5</v>
      </c>
      <c r="H22" s="27">
        <f>'Forage crops, CF'!G16</f>
        <v>1.1000000000000001E-6</v>
      </c>
      <c r="I22" s="27">
        <f>'Forage crops, CF'!H16</f>
        <v>1.6994172478968788E-4</v>
      </c>
      <c r="J22" s="27">
        <f>'Forage crops, CF'!I16</f>
        <v>1.6994172478968787E-5</v>
      </c>
      <c r="K22" s="27">
        <f>'Forage crops, CF'!J16</f>
        <v>3.5369766433412225E-7</v>
      </c>
      <c r="L22" s="27">
        <f>'Forage crops, CF'!K16</f>
        <v>0</v>
      </c>
      <c r="M22" s="27">
        <f>'Forage crops, CF'!L16</f>
        <v>0</v>
      </c>
      <c r="N22" s="27">
        <f>'Forage crops, CF'!M16</f>
        <v>0</v>
      </c>
      <c r="O22" s="27">
        <f>'Forage crops, CF'!N16</f>
        <v>0</v>
      </c>
      <c r="P22" s="27">
        <f>'Forage crops, CF'!O16</f>
        <v>0</v>
      </c>
      <c r="Q22" s="27">
        <f>'Forage crops, CF'!P16</f>
        <v>0</v>
      </c>
      <c r="R22" s="138">
        <f>'Parameters, country spec'!C16</f>
        <v>0</v>
      </c>
      <c r="S22" s="138">
        <f>'Parameters, country spec'!C34</f>
        <v>0</v>
      </c>
      <c r="T22" s="18"/>
    </row>
    <row r="23" spans="1:20" x14ac:dyDescent="0.3">
      <c r="B23" s="16" t="s">
        <v>154</v>
      </c>
      <c r="C23" s="15" t="s">
        <v>361</v>
      </c>
      <c r="D23" s="21" t="s">
        <v>25</v>
      </c>
      <c r="E23" s="21" t="s">
        <v>68</v>
      </c>
      <c r="F23" s="117">
        <f>SUM(G23:Q23)</f>
        <v>2.0525580539015881E-4</v>
      </c>
      <c r="G23" s="27">
        <f>'Forage crops, CF'!F66</f>
        <v>2.691792179512361E-5</v>
      </c>
      <c r="H23" s="27">
        <f>'Forage crops, CF'!G66</f>
        <v>1.1000000000000001E-6</v>
      </c>
      <c r="I23" s="27">
        <f>'Forage crops, CF'!H66</f>
        <v>9.8830343830404321E-5</v>
      </c>
      <c r="J23" s="27">
        <f>'Forage crops, CF'!I66</f>
        <v>9.8830343830404331E-6</v>
      </c>
      <c r="K23" s="27">
        <f>'Forage crops, CF'!J66</f>
        <v>3.5965416741445745E-7</v>
      </c>
      <c r="L23" s="27"/>
      <c r="M23" s="27">
        <f>'Forage crops, CF'!L66</f>
        <v>6.4851214175999985E-8</v>
      </c>
      <c r="N23" s="27">
        <f>'Forage crops, CF'!M66</f>
        <v>0</v>
      </c>
      <c r="O23" s="27"/>
      <c r="P23" s="27">
        <f>'Forage crops, CF'!O66</f>
        <v>6.8099999999999988E-5</v>
      </c>
      <c r="Q23" s="27"/>
      <c r="R23" s="138">
        <f>'Parameters, country spec'!C17</f>
        <v>0</v>
      </c>
      <c r="S23" s="138">
        <f>'Parameters, country spec'!C35</f>
        <v>0</v>
      </c>
      <c r="T23" s="18"/>
    </row>
    <row r="24" spans="1:20" x14ac:dyDescent="0.3">
      <c r="B24" s="16" t="s">
        <v>362</v>
      </c>
      <c r="C24" s="15" t="s">
        <v>361</v>
      </c>
      <c r="D24" s="21" t="s">
        <v>25</v>
      </c>
      <c r="E24" s="21" t="s">
        <v>68</v>
      </c>
      <c r="F24" s="117">
        <f>SUM(G24:Q24)</f>
        <v>2.7558574482487621E-4</v>
      </c>
      <c r="G24" s="27">
        <f>'Forage crops, CF'!F116*'Forage, input data per ha'!$E$68+'Forage crops, CF'!F166*'Forage, input data per ha'!$G$68</f>
        <v>4.0134967983783636E-5</v>
      </c>
      <c r="H24" s="27">
        <f>'Forage crops, CF'!G116*'Forage, input data per ha'!$E$68+'Forage crops, CF'!G166*'Forage, input data per ha'!$G$68</f>
        <v>1.1000000000000001E-6</v>
      </c>
      <c r="I24" s="27">
        <f>'Forage crops, CF'!H116*'Forage, input data per ha'!$E$68+'Forage crops, CF'!H166*'Forage, input data per ha'!$G$68</f>
        <v>1.5080315323393381E-4</v>
      </c>
      <c r="J24" s="27">
        <f>'Forage crops, CF'!I116*'Forage, input data per ha'!$E$68+'Forage crops, CF'!I166*'Forage, input data per ha'!$G$68</f>
        <v>1.5080315323393381E-5</v>
      </c>
      <c r="K24" s="27">
        <f>'Forage crops, CF'!J116*'Forage, input data per ha'!$E$68+'Forage crops, CF'!J166*'Forage, input data per ha'!$G$68</f>
        <v>3.6730828376537743E-7</v>
      </c>
      <c r="L24" s="27"/>
      <c r="M24" s="27">
        <f>'Forage crops, CF'!L116*'Forage, input data per ha'!$E$68+'Forage crops, CF'!L166*'Forage, input data per ha'!$G$68</f>
        <v>0</v>
      </c>
      <c r="N24" s="27">
        <f>'Forage crops, CF'!M116*'Forage, input data per ha'!$E$68+'Forage crops, CF'!M166*'Forage, input data per ha'!$G$68</f>
        <v>0</v>
      </c>
      <c r="O24" s="27"/>
      <c r="P24" s="27">
        <f>'Forage crops, CF'!O116*'Forage, input data per ha'!$E$68+'Forage crops, CF'!O166*'Forage, input data per ha'!$G$68</f>
        <v>6.8099999999999975E-5</v>
      </c>
      <c r="Q24" s="27"/>
      <c r="R24" s="138">
        <f>'Parameters, country spec'!C18</f>
        <v>0.28000000000000003</v>
      </c>
      <c r="S24" s="138">
        <f>'Parameters, country spec'!C36</f>
        <v>0.3</v>
      </c>
      <c r="T24" s="18"/>
    </row>
    <row r="25" spans="1:20" x14ac:dyDescent="0.3">
      <c r="A25" s="20" t="s">
        <v>363</v>
      </c>
      <c r="B25" s="15" t="s">
        <v>159</v>
      </c>
      <c r="C25" s="15" t="s">
        <v>364</v>
      </c>
      <c r="D25" s="21" t="s">
        <v>25</v>
      </c>
      <c r="E25" s="21" t="s">
        <v>68</v>
      </c>
      <c r="F25" s="117">
        <f>SUM(G25:Q25)</f>
        <v>6.9154900000000007E-4</v>
      </c>
      <c r="G25" s="90">
        <v>1.8000000000000001E-4</v>
      </c>
      <c r="H25" s="91">
        <v>9.9999999999999995E-7</v>
      </c>
      <c r="I25" s="92">
        <v>4.6200000000000001E-4</v>
      </c>
      <c r="J25" s="92">
        <v>4.6199999999999998E-5</v>
      </c>
      <c r="K25" s="92">
        <v>7.6899999999999996E-7</v>
      </c>
      <c r="L25" s="92"/>
      <c r="M25" s="92">
        <v>0</v>
      </c>
      <c r="N25" s="92">
        <v>1.5799999999999999E-6</v>
      </c>
      <c r="O25" s="92"/>
      <c r="P25" s="92"/>
      <c r="Q25" s="12"/>
      <c r="R25" s="138">
        <f>'Parameters, country spec'!C19</f>
        <v>0.16</v>
      </c>
      <c r="S25" s="138">
        <f>'Parameters, country spec'!C37</f>
        <v>0.2</v>
      </c>
    </row>
    <row r="26" spans="1:20" x14ac:dyDescent="0.3">
      <c r="A26" s="20" t="s">
        <v>365</v>
      </c>
      <c r="B26" s="15" t="s">
        <v>161</v>
      </c>
      <c r="C26" s="15" t="s">
        <v>364</v>
      </c>
      <c r="D26" s="21" t="s">
        <v>25</v>
      </c>
      <c r="E26" s="21" t="s">
        <v>68</v>
      </c>
      <c r="F26" s="117">
        <f t="shared" ref="F26:F35" si="2">SUM(G26:Q26)</f>
        <v>6.5716690000000003E-4</v>
      </c>
      <c r="G26" s="90">
        <v>1.7000000000000001E-4</v>
      </c>
      <c r="H26" s="91">
        <v>9.9999999999999995E-7</v>
      </c>
      <c r="I26" s="92">
        <v>4.4000000000000002E-4</v>
      </c>
      <c r="J26" s="92">
        <v>4.3999999999999999E-5</v>
      </c>
      <c r="K26" s="92">
        <v>5.2200000000000004E-7</v>
      </c>
      <c r="L26" s="92"/>
      <c r="M26" s="92">
        <v>6.4900000000000005E-8</v>
      </c>
      <c r="N26" s="92">
        <v>1.5799999999999999E-6</v>
      </c>
      <c r="O26" s="92"/>
      <c r="P26" s="92"/>
      <c r="Q26" s="12"/>
      <c r="R26" s="138">
        <f>'Parameters, country spec'!C20</f>
        <v>3.1075970320211814E-4</v>
      </c>
      <c r="S26" s="138">
        <f>'Parameters, country spec'!C38</f>
        <v>3.1075970320211814E-4</v>
      </c>
    </row>
    <row r="27" spans="1:20" x14ac:dyDescent="0.3">
      <c r="A27" s="20" t="s">
        <v>366</v>
      </c>
      <c r="B27" s="15" t="s">
        <v>163</v>
      </c>
      <c r="C27" s="15" t="s">
        <v>364</v>
      </c>
      <c r="D27" s="21" t="s">
        <v>25</v>
      </c>
      <c r="E27" s="21" t="s">
        <v>68</v>
      </c>
      <c r="F27" s="117">
        <f t="shared" si="2"/>
        <v>6.6303239999999995E-4</v>
      </c>
      <c r="G27" s="90">
        <v>1.4999999999999999E-4</v>
      </c>
      <c r="H27" s="91">
        <v>9.9999999999999995E-7</v>
      </c>
      <c r="I27" s="92">
        <v>4.6299999999999998E-4</v>
      </c>
      <c r="J27" s="92">
        <v>4.6300000000000001E-5</v>
      </c>
      <c r="K27" s="92">
        <v>1.1400000000000001E-6</v>
      </c>
      <c r="L27" s="92"/>
      <c r="M27" s="92">
        <v>1.24E-8</v>
      </c>
      <c r="N27" s="92">
        <v>1.5799999999999999E-6</v>
      </c>
      <c r="O27" s="92"/>
      <c r="P27" s="92"/>
      <c r="Q27" s="12"/>
      <c r="R27" s="138">
        <f>'Parameters, country spec'!C21</f>
        <v>8.6733359151412953E-5</v>
      </c>
      <c r="S27" s="138">
        <f>'Parameters, country spec'!C39</f>
        <v>8.6733359151412953E-5</v>
      </c>
    </row>
    <row r="28" spans="1:20" x14ac:dyDescent="0.3">
      <c r="A28" s="20" t="s">
        <v>367</v>
      </c>
      <c r="B28" s="15" t="s">
        <v>165</v>
      </c>
      <c r="C28" s="15" t="s">
        <v>364</v>
      </c>
      <c r="D28" s="21" t="s">
        <v>25</v>
      </c>
      <c r="E28" s="21" t="s">
        <v>68</v>
      </c>
      <c r="F28" s="117">
        <f t="shared" si="2"/>
        <v>6.0995899999999998E-4</v>
      </c>
      <c r="G28" s="90">
        <v>1.3999999999999999E-4</v>
      </c>
      <c r="H28" s="91">
        <v>9.9999999999999995E-7</v>
      </c>
      <c r="I28" s="92">
        <v>4.2400000000000001E-4</v>
      </c>
      <c r="J28" s="92">
        <v>4.2400000000000001E-5</v>
      </c>
      <c r="K28" s="92">
        <v>9.7900000000000007E-7</v>
      </c>
      <c r="L28" s="92"/>
      <c r="M28" s="92">
        <v>0</v>
      </c>
      <c r="N28" s="92">
        <v>1.5799999999999999E-6</v>
      </c>
      <c r="O28" s="92"/>
      <c r="P28" s="92"/>
      <c r="Q28" s="12"/>
      <c r="R28" s="138">
        <f>'Parameters, country spec'!C22</f>
        <v>6.2924072151971947E-5</v>
      </c>
      <c r="S28" s="138">
        <f>'Parameters, country spec'!C40</f>
        <v>6.2924072151971947E-5</v>
      </c>
    </row>
    <row r="29" spans="1:20" x14ac:dyDescent="0.3">
      <c r="A29" s="20" t="s">
        <v>368</v>
      </c>
      <c r="B29" s="15" t="s">
        <v>167</v>
      </c>
      <c r="C29" s="15" t="s">
        <v>364</v>
      </c>
      <c r="D29" s="21" t="s">
        <v>25</v>
      </c>
      <c r="E29" s="21" t="s">
        <v>68</v>
      </c>
      <c r="F29" s="117">
        <f t="shared" si="2"/>
        <v>7.9177509000000017E-4</v>
      </c>
      <c r="G29" s="90">
        <v>2.0000000000000001E-4</v>
      </c>
      <c r="H29" s="91">
        <v>9.9999999999999995E-7</v>
      </c>
      <c r="I29" s="92">
        <v>5.3499999999999999E-4</v>
      </c>
      <c r="J29" s="92">
        <v>5.3499999999999999E-5</v>
      </c>
      <c r="K29" s="92">
        <v>6.92E-7</v>
      </c>
      <c r="L29" s="92"/>
      <c r="M29" s="92">
        <v>3.0899999999999999E-9</v>
      </c>
      <c r="N29" s="92">
        <v>1.5799999999999999E-6</v>
      </c>
      <c r="O29" s="92"/>
      <c r="P29" s="92"/>
      <c r="Q29" s="12"/>
      <c r="R29" s="138">
        <f>'Parameters, country spec'!C23</f>
        <v>0.20500000000000002</v>
      </c>
      <c r="S29" s="138">
        <f>'Parameters, country spec'!C41</f>
        <v>0.2</v>
      </c>
    </row>
    <row r="30" spans="1:20" x14ac:dyDescent="0.3">
      <c r="A30" s="20" t="s">
        <v>369</v>
      </c>
      <c r="B30" s="15" t="s">
        <v>168</v>
      </c>
      <c r="C30" s="15" t="s">
        <v>370</v>
      </c>
      <c r="D30" s="21" t="s">
        <v>25</v>
      </c>
      <c r="E30" s="21" t="s">
        <v>68</v>
      </c>
      <c r="F30" s="117">
        <f t="shared" si="2"/>
        <v>3.4280618000000006E-4</v>
      </c>
      <c r="G30" s="90">
        <v>0</v>
      </c>
      <c r="H30" s="91">
        <v>9.9999999999999995E-7</v>
      </c>
      <c r="I30" s="92">
        <v>3.0800000000000001E-4</v>
      </c>
      <c r="J30" s="92">
        <v>3.0800000000000003E-5</v>
      </c>
      <c r="K30" s="92">
        <v>1.42E-6</v>
      </c>
      <c r="L30" s="92"/>
      <c r="M30" s="92">
        <v>6.1799999999999998E-9</v>
      </c>
      <c r="N30" s="92">
        <v>1.5799999999999999E-6</v>
      </c>
      <c r="O30" s="92"/>
      <c r="P30" s="92"/>
      <c r="Q30" s="12"/>
      <c r="R30" s="138">
        <f>'Parameters, country spec'!C24</f>
        <v>2.439015630520557E-4</v>
      </c>
      <c r="S30" s="138">
        <f>'Parameters, country spec'!C42</f>
        <v>2.439015630520557E-4</v>
      </c>
    </row>
    <row r="31" spans="1:20" x14ac:dyDescent="0.3">
      <c r="A31" s="20" t="s">
        <v>371</v>
      </c>
      <c r="B31" s="15" t="s">
        <v>170</v>
      </c>
      <c r="C31" s="15" t="s">
        <v>370</v>
      </c>
      <c r="D31" s="21" t="s">
        <v>25</v>
      </c>
      <c r="E31" s="21" t="s">
        <v>68</v>
      </c>
      <c r="F31" s="117">
        <f t="shared" si="2"/>
        <v>3.6247300000000004E-4</v>
      </c>
      <c r="G31" s="90">
        <v>8.6000000000000007E-6</v>
      </c>
      <c r="H31" s="91">
        <v>9.9999999999999995E-7</v>
      </c>
      <c r="I31" s="92">
        <v>3.1799999999999998E-4</v>
      </c>
      <c r="J31" s="92">
        <v>3.18E-5</v>
      </c>
      <c r="K31" s="92">
        <v>1.24E-6</v>
      </c>
      <c r="L31" s="92"/>
      <c r="M31" s="92">
        <v>2.53E-7</v>
      </c>
      <c r="N31" s="92">
        <v>1.5799999999999999E-6</v>
      </c>
      <c r="O31" s="92"/>
      <c r="P31" s="92"/>
      <c r="Q31" s="12"/>
      <c r="R31" s="138">
        <f>'Parameters, country spec'!C25</f>
        <v>2.3959170998341588E-4</v>
      </c>
      <c r="S31" s="138">
        <f>'Parameters, country spec'!C43</f>
        <v>2.3959170998341588E-4</v>
      </c>
    </row>
    <row r="32" spans="1:20" x14ac:dyDescent="0.3">
      <c r="B32" s="16" t="s">
        <v>171</v>
      </c>
      <c r="C32" s="15" t="s">
        <v>372</v>
      </c>
      <c r="D32" s="21" t="s">
        <v>25</v>
      </c>
      <c r="E32" s="21" t="s">
        <v>68</v>
      </c>
      <c r="F32" s="117">
        <f t="shared" si="2"/>
        <v>1.5426052012212825E-3</v>
      </c>
      <c r="G32" s="32">
        <f>'Off-farm feed'!$F$77</f>
        <v>3.5160526410462907E-4</v>
      </c>
      <c r="H32" s="32">
        <f>'Off-farm feed'!$G$77</f>
        <v>5.3103448275862083E-7</v>
      </c>
      <c r="I32" s="32">
        <f>'Off-farm feed'!$H$77</f>
        <v>1.0756102664162708E-3</v>
      </c>
      <c r="J32" s="32">
        <f>'Off-farm feed'!$I$77</f>
        <v>1.0756102664162706E-4</v>
      </c>
      <c r="K32" s="32">
        <f>'Off-farm feed'!$J$77</f>
        <v>6.6339607025480414E-7</v>
      </c>
      <c r="L32" s="32"/>
      <c r="M32" s="32">
        <f>'Off-farm feed'!$L$77</f>
        <v>7.9511067188965511E-9</v>
      </c>
      <c r="N32" s="32">
        <f>'Off-farm feed'!$M$77</f>
        <v>1.2789681892721844E-6</v>
      </c>
      <c r="O32" s="32"/>
      <c r="P32" s="32">
        <f>'Off-farm feed'!$O$77</f>
        <v>4.8776996151562902E-6</v>
      </c>
      <c r="Q32" s="32">
        <f>'Off-farm feed'!$P$77</f>
        <v>4.6959459459459463E-7</v>
      </c>
      <c r="R32" s="138">
        <f>'Parameters, country spec'!C26</f>
        <v>0.09</v>
      </c>
      <c r="S32" s="138">
        <f>'Parameters, country spec'!C44</f>
        <v>0.06</v>
      </c>
    </row>
    <row r="33" spans="1:20" x14ac:dyDescent="0.3">
      <c r="B33" s="16" t="s">
        <v>373</v>
      </c>
      <c r="C33" s="15" t="s">
        <v>372</v>
      </c>
      <c r="D33" s="21" t="s">
        <v>25</v>
      </c>
      <c r="E33" s="21" t="s">
        <v>68</v>
      </c>
      <c r="F33" s="117">
        <f t="shared" si="2"/>
        <v>1.8866346644602505E-4</v>
      </c>
      <c r="G33" s="32">
        <f>'Off-farm feed'!$F$26</f>
        <v>1.6332109719061441E-5</v>
      </c>
      <c r="H33" s="32">
        <f>'Off-farm feed'!$G$26</f>
        <v>8.7195121951219526E-7</v>
      </c>
      <c r="I33" s="32">
        <f>'Off-farm feed'!$H$26</f>
        <v>1.3333449845358202E-4</v>
      </c>
      <c r="J33" s="32">
        <f>'Off-farm feed'!$I$26</f>
        <v>1.3333449845358203E-5</v>
      </c>
      <c r="K33" s="32">
        <f>'Off-farm feed'!$J$26</f>
        <v>1.1576736579983931E-6</v>
      </c>
      <c r="L33" s="32"/>
      <c r="M33" s="32">
        <f>'Off-farm feed'!$L$26</f>
        <v>7.3437786087804866E-9</v>
      </c>
      <c r="N33" s="32">
        <f>'Off-farm feed'!$M$26</f>
        <v>1.1195281639512197E-6</v>
      </c>
      <c r="O33" s="32"/>
      <c r="P33" s="32">
        <f>'Off-farm feed'!$O$26</f>
        <v>1.3419073770114991E-5</v>
      </c>
      <c r="Q33" s="32">
        <f>'Off-farm feed'!$P$26</f>
        <v>9.087837837837838E-6</v>
      </c>
      <c r="R33" s="138">
        <f>'Parameters, country spec'!C27</f>
        <v>9.5000000000000001E-2</v>
      </c>
      <c r="S33" s="138">
        <f>'Parameters, country spec'!C45</f>
        <v>7.0000000000000007E-2</v>
      </c>
    </row>
    <row r="34" spans="1:20" x14ac:dyDescent="0.3">
      <c r="B34" s="15" t="s">
        <v>173</v>
      </c>
      <c r="C34" s="15" t="s">
        <v>374</v>
      </c>
      <c r="D34" s="21" t="s">
        <v>25</v>
      </c>
      <c r="E34" s="21" t="s">
        <v>68</v>
      </c>
      <c r="F34" s="354">
        <f t="shared" si="2"/>
        <v>4.1534401534079949E-4</v>
      </c>
      <c r="G34" s="92">
        <v>1.0007435690198499E-4</v>
      </c>
      <c r="H34" s="92">
        <v>5.5044E-7</v>
      </c>
      <c r="I34" s="92">
        <v>2.8937314609885501E-4</v>
      </c>
      <c r="K34" s="92">
        <v>1.1474806386195299E-6</v>
      </c>
      <c r="N34" s="12"/>
      <c r="O34" s="12"/>
      <c r="P34" s="92">
        <v>2.3492890101997999E-5</v>
      </c>
      <c r="Q34" s="92">
        <v>7.0570159934197997E-7</v>
      </c>
      <c r="R34" s="138">
        <f>'Parameters, country spec'!C28</f>
        <v>9.5000000000000001E-2</v>
      </c>
      <c r="S34" s="138">
        <f>'Parameters, country spec'!C46</f>
        <v>0.14000000000000001</v>
      </c>
    </row>
    <row r="35" spans="1:20" x14ac:dyDescent="0.3">
      <c r="A35" s="74"/>
      <c r="B35" s="15" t="s">
        <v>375</v>
      </c>
      <c r="C35" s="75" t="s">
        <v>376</v>
      </c>
      <c r="D35" s="21" t="s">
        <v>25</v>
      </c>
      <c r="E35" s="21" t="s">
        <v>68</v>
      </c>
      <c r="F35" s="117">
        <f t="shared" si="2"/>
        <v>4.3018979648350869E-4</v>
      </c>
      <c r="G35" s="73">
        <f>SUMPRODUCT(G25:G33,$R25:$R33)</f>
        <v>1.0307273320495166E-4</v>
      </c>
      <c r="H35" s="73">
        <f t="shared" ref="H35:P35" si="3">SUMPRODUCT(H25:H33,$R25:$R33)</f>
        <v>4.9657237970947544E-7</v>
      </c>
      <c r="I35" s="73">
        <f t="shared" si="3"/>
        <v>2.9342158479703792E-4</v>
      </c>
      <c r="J35" s="73">
        <f t="shared" si="3"/>
        <v>2.9342158479703788E-5</v>
      </c>
      <c r="K35" s="73">
        <f t="shared" si="3"/>
        <v>4.3555077303383399E-7</v>
      </c>
      <c r="L35" s="73">
        <f t="shared" si="3"/>
        <v>0</v>
      </c>
      <c r="M35" s="73">
        <f t="shared" si="3"/>
        <v>2.1300763852115966E-9</v>
      </c>
      <c r="N35" s="73">
        <f t="shared" si="3"/>
        <v>7.9965369105377715E-7</v>
      </c>
      <c r="O35" s="73">
        <f t="shared" si="3"/>
        <v>0</v>
      </c>
      <c r="P35" s="73">
        <f t="shared" si="3"/>
        <v>1.7138049735249903E-6</v>
      </c>
      <c r="Q35" s="73">
        <f>SUMPRODUCT(Q25:Q33,$R25:$R33)</f>
        <v>9.0560810810810813E-7</v>
      </c>
      <c r="R35" s="138">
        <f>'Parameters, country spec'!C29</f>
        <v>7.0000000000000007E-2</v>
      </c>
      <c r="S35" s="138">
        <f>'Parameters, country spec'!C47</f>
        <v>0.03</v>
      </c>
    </row>
    <row r="36" spans="1:20" x14ac:dyDescent="0.3">
      <c r="A36" s="287"/>
      <c r="B36" s="288" t="s">
        <v>377</v>
      </c>
      <c r="C36" s="289"/>
      <c r="D36" s="290"/>
      <c r="E36" s="290"/>
      <c r="F36" s="293">
        <f>SUMPRODUCT(F22:F24,R22:R24)+SUMPRODUCT(F25:F35,R25:R35)/0.87</f>
        <v>6.5160166797019578E-4</v>
      </c>
      <c r="G36" s="293">
        <f>SUMPRODUCT(G22:G24,R22:R24)+SUMPRODUCT(G25:G35,R25:R35)/0.87</f>
        <v>1.4893306509866273E-4</v>
      </c>
      <c r="H36" s="293">
        <f>SUMPRODUCT(H22:H24,R22:R24)+SUMPRODUCT(H25:H35,R25:R35)/0.87</f>
        <v>9.7883246699901002E-7</v>
      </c>
      <c r="I36" s="293">
        <f>SUMPRODUCT(I22:I24,R22:R24)+SUMPRODUCT(I25:I35,R25:R35)/0.87</f>
        <v>4.3469792268966453E-4</v>
      </c>
      <c r="J36" s="293">
        <f>SUMPRODUCT(J22:J24,R22:R24)+SUMPRODUCT(J25:J35,R25:R35)/0.87</f>
        <v>4.0309970558691585E-5</v>
      </c>
      <c r="K36" s="293">
        <f>SUMPRODUCT(K22:K24,R22:R24)+SUMPRODUCT(K25:K35,R25:R35)/0.87</f>
        <v>7.6382331694287777E-7</v>
      </c>
      <c r="L36" s="293">
        <f>SUMPRODUCT(L22:L24,R22:R24)+SUMPRODUCT(L25:L35,R25:R35)/0.87</f>
        <v>0</v>
      </c>
      <c r="M36" s="293">
        <f>SUMPRODUCT(M22:M24,R22:R24)+SUMPRODUCT(M25:M35,R25:R35)/0.87</f>
        <v>2.619749117444148E-9</v>
      </c>
      <c r="N36" s="293">
        <f>SUMPRODUCT(N22:N24,R22:R24)+SUMPRODUCT(N25:N35,R25:R35)/0.87</f>
        <v>9.8348212577878353E-7</v>
      </c>
      <c r="O36" s="293">
        <f>SUMPRODUCT(O22:O24,R22:R24)+SUMPRODUCT(O25:O35,R25:R35)/0.87</f>
        <v>0</v>
      </c>
      <c r="P36" s="293">
        <f>SUMPRODUCT(P22:P24,R22:R24)+SUMPRODUCT(P25:P35,R25:R35)/0.87</f>
        <v>2.3741098714208671E-5</v>
      </c>
      <c r="Q36" s="293">
        <f>SUMPRODUCT(Q22:Q24,R22:R24)+SUMPRODUCT(Q25:Q35,R25:R35)/0.87</f>
        <v>1.1908532501300733E-6</v>
      </c>
      <c r="R36" s="294"/>
      <c r="S36" s="295"/>
    </row>
    <row r="37" spans="1:20" x14ac:dyDescent="0.3">
      <c r="A37" s="137"/>
      <c r="B37" s="23" t="s">
        <v>381</v>
      </c>
      <c r="C37" s="24"/>
      <c r="D37" s="93"/>
      <c r="E37" s="93"/>
      <c r="F37" s="28">
        <f>SUMPRODUCT(F22:F24,S22:S24)+SUMPRODUCT(F25:F35,S25:S35)/0.87</f>
        <v>6.2744813077842494E-4</v>
      </c>
      <c r="G37" s="28">
        <f>SUMPRODUCT(G22:G24,S22:S24)+SUMPRODUCT(G25:G35,S25:S35)/0.87</f>
        <v>1.4470585189083936E-4</v>
      </c>
      <c r="H37" s="28">
        <f>SUMPRODUCT(H22:H24,S22:S24)+SUMPRODUCT(H25:H35,S25:S35)/0.87</f>
        <v>1.0033348691151681E-6</v>
      </c>
      <c r="I37" s="28">
        <f>SUMPRODUCT(I22:I24,S22:S24)+SUMPRODUCT(I25:I35,S25:S35)/0.87</f>
        <v>4.1643612107473309E-4</v>
      </c>
      <c r="J37" s="28">
        <f>SUMPRODUCT(J22:J24,S22:S24)+SUMPRODUCT(J25:J35,S25:S35)/0.87</f>
        <v>3.6987032744963001E-5</v>
      </c>
      <c r="K37" s="28">
        <f>SUMPRODUCT(K22:K24,S22:S24)+SUMPRODUCT(K25:K35,S25:S35)/0.87</f>
        <v>7.8573370590430225E-7</v>
      </c>
      <c r="L37" s="28">
        <f>SUMPRODUCT(L22:L24,S22:S24)+SUMPRODUCT(L25:L35,S25:S35)/0.87</f>
        <v>0</v>
      </c>
      <c r="M37" s="28">
        <f>SUMPRODUCT(M22:M24,S22:S24)+SUMPRODUCT(M25:M35,S25:S35)/0.87</f>
        <v>2.0188517356109609E-9</v>
      </c>
      <c r="N37" s="28">
        <f>SUMPRODUCT(N22:N24,S22:S24)+SUMPRODUCT(N25:N35,S25:S35)/0.87</f>
        <v>9.3400695633154554E-7</v>
      </c>
      <c r="O37" s="28">
        <f>SUMPRODUCT(O22:O24,S22:S24)+SUMPRODUCT(O25:O35,S25:S35)/0.87</f>
        <v>0</v>
      </c>
      <c r="P37" s="28">
        <f>SUMPRODUCT(P22:P24,S22:S24)+SUMPRODUCT(P25:P35,S25:S35)/0.87</f>
        <v>2.5685650464715967E-5</v>
      </c>
      <c r="Q37" s="28">
        <f>SUMPRODUCT(Q22:Q24,S22:S24)+SUMPRODUCT(Q25:Q35,S25:S35)/0.87</f>
        <v>9.0838022008671816E-7</v>
      </c>
      <c r="R37" s="139"/>
      <c r="S37" s="139"/>
    </row>
    <row r="38" spans="1:20" x14ac:dyDescent="0.3">
      <c r="B38" s="16" t="s">
        <v>152</v>
      </c>
      <c r="C38" s="15" t="s">
        <v>361</v>
      </c>
      <c r="D38" s="21" t="s">
        <v>21</v>
      </c>
      <c r="E38" s="21" t="s">
        <v>69</v>
      </c>
      <c r="F38" s="117">
        <f>SUM(G38:Q38)</f>
        <v>2.412429127614697E-4</v>
      </c>
      <c r="G38" s="27">
        <f>'Forage crops, CF'!F21</f>
        <v>4.7791180802654265E-5</v>
      </c>
      <c r="H38" s="27">
        <f>'Forage crops, CF'!G21</f>
        <v>1.1000000000000001E-6</v>
      </c>
      <c r="I38" s="27">
        <f>'Forage crops, CF'!H21</f>
        <v>1.7407334076117382E-4</v>
      </c>
      <c r="J38" s="27">
        <f>'Forage crops, CF'!I21</f>
        <v>1.7407334076117384E-5</v>
      </c>
      <c r="K38" s="27">
        <f>'Forage crops, CF'!J21</f>
        <v>8.7105712152424362E-7</v>
      </c>
      <c r="L38" s="27">
        <f>'Forage crops, CF'!K21</f>
        <v>0</v>
      </c>
      <c r="M38" s="27">
        <f>'Forage crops, CF'!L21</f>
        <v>0</v>
      </c>
      <c r="N38" s="27">
        <f>'Forage crops, CF'!M21</f>
        <v>0</v>
      </c>
      <c r="O38" s="27">
        <f>'Forage crops, CF'!N21</f>
        <v>0</v>
      </c>
      <c r="P38" s="27">
        <f>'Forage crops, CF'!O21</f>
        <v>0</v>
      </c>
      <c r="Q38" s="27">
        <f>'Forage crops, CF'!P21</f>
        <v>0</v>
      </c>
      <c r="R38" s="138">
        <f>'Parameters, country spec'!D16</f>
        <v>0</v>
      </c>
      <c r="S38" s="138">
        <f>'Parameters, country spec'!D34</f>
        <v>0</v>
      </c>
      <c r="T38" s="18"/>
    </row>
    <row r="39" spans="1:20" x14ac:dyDescent="0.3">
      <c r="B39" s="16" t="s">
        <v>154</v>
      </c>
      <c r="C39" s="15" t="s">
        <v>361</v>
      </c>
      <c r="D39" s="21" t="s">
        <v>21</v>
      </c>
      <c r="E39" s="21" t="s">
        <v>69</v>
      </c>
      <c r="F39" s="117">
        <f>SUM(G39:Q39)</f>
        <v>1.0428937458682038E-3</v>
      </c>
      <c r="G39" s="27">
        <f>'Forage crops, CF'!F71</f>
        <v>2.1953423334417359E-4</v>
      </c>
      <c r="H39" s="27">
        <f>'Forage crops, CF'!G71</f>
        <v>1.1000000000000001E-6</v>
      </c>
      <c r="I39" s="27">
        <f>'Forage crops, CF'!H71</f>
        <v>6.842657015707418E-4</v>
      </c>
      <c r="J39" s="27">
        <f>'Forage crops, CF'!I71</f>
        <v>6.842657015707418E-5</v>
      </c>
      <c r="K39" s="27">
        <f>'Forage crops, CF'!J71</f>
        <v>8.3108126667827814E-7</v>
      </c>
      <c r="L39" s="27"/>
      <c r="M39" s="27">
        <f>'Forage crops, CF'!L71</f>
        <v>6.3615952953599989E-7</v>
      </c>
      <c r="N39" s="27">
        <f>'Forage crops, CF'!M71</f>
        <v>0</v>
      </c>
      <c r="O39" s="27"/>
      <c r="P39" s="27">
        <f>'Forage crops, CF'!O71</f>
        <v>6.8099999999999988E-5</v>
      </c>
      <c r="Q39" s="27"/>
      <c r="R39" s="138">
        <f>'Parameters, country spec'!D17</f>
        <v>0</v>
      </c>
      <c r="S39" s="138">
        <f>'Parameters, country spec'!D35</f>
        <v>0</v>
      </c>
      <c r="T39" s="18"/>
    </row>
    <row r="40" spans="1:20" x14ac:dyDescent="0.3">
      <c r="B40" s="16" t="s">
        <v>362</v>
      </c>
      <c r="C40" s="15" t="s">
        <v>361</v>
      </c>
      <c r="D40" s="21" t="s">
        <v>21</v>
      </c>
      <c r="E40" s="21" t="s">
        <v>69</v>
      </c>
      <c r="F40" s="117">
        <f>SUM(G40:Q40)</f>
        <v>1.8893065914416004E-4</v>
      </c>
      <c r="G40" s="27">
        <f>'Forage crops, CF'!F121*'Forage, input data per ha'!$E$69+'Forage crops, CF'!F171*'Forage, input data per ha'!$G$69</f>
        <v>2.0089368845286376E-5</v>
      </c>
      <c r="H40" s="27">
        <f>'Forage crops, CF'!G121*'Forage, input data per ha'!$E$69+'Forage crops, CF'!G171*'Forage, input data per ha'!$G$69</f>
        <v>1.1000000000000001E-6</v>
      </c>
      <c r="I40" s="27">
        <f>'Forage crops, CF'!H121*'Forage, input data per ha'!$E$69+'Forage crops, CF'!H171*'Forage, input data per ha'!$G$69</f>
        <v>8.9876835995338403E-5</v>
      </c>
      <c r="J40" s="27">
        <f>'Forage crops, CF'!I121*'Forage, input data per ha'!$E$69+'Forage crops, CF'!I171*'Forage, input data per ha'!$G$69</f>
        <v>8.9876835995338424E-6</v>
      </c>
      <c r="K40" s="27">
        <f>'Forage crops, CF'!J121*'Forage, input data per ha'!$E$69+'Forage crops, CF'!J171*'Forage, input data per ha'!$G$69</f>
        <v>7.7677070400142466E-7</v>
      </c>
      <c r="L40" s="27"/>
      <c r="M40" s="27">
        <f>'Forage crops, CF'!L121*'Forage, input data per ha'!$E$69+'Forage crops, CF'!L171*'Forage, input data per ha'!$G$69</f>
        <v>0</v>
      </c>
      <c r="N40" s="27">
        <f>'Forage crops, CF'!M121*'Forage, input data per ha'!$E$69+'Forage crops, CF'!M171*'Forage, input data per ha'!$G$69</f>
        <v>0</v>
      </c>
      <c r="O40" s="27"/>
      <c r="P40" s="27">
        <f>'Forage crops, CF'!O121*'Forage, input data per ha'!$E$69+'Forage crops, CF'!O171*'Forage, input data per ha'!$G$69</f>
        <v>6.8099999999999988E-5</v>
      </c>
      <c r="Q40" s="27"/>
      <c r="R40" s="138">
        <f>'Parameters, country spec'!D18</f>
        <v>0.28000000000000003</v>
      </c>
      <c r="S40" s="138">
        <f>'Parameters, country spec'!D36</f>
        <v>0.3</v>
      </c>
      <c r="T40" s="18"/>
    </row>
    <row r="41" spans="1:20" x14ac:dyDescent="0.3">
      <c r="A41" s="20" t="s">
        <v>363</v>
      </c>
      <c r="B41" s="15" t="s">
        <v>159</v>
      </c>
      <c r="C41" s="15" t="s">
        <v>364</v>
      </c>
      <c r="D41" s="21" t="s">
        <v>21</v>
      </c>
      <c r="E41" s="21" t="s">
        <v>69</v>
      </c>
      <c r="F41" s="117">
        <f>SUM(G41:Q41)</f>
        <v>5.3860780000000003E-4</v>
      </c>
      <c r="G41" s="92">
        <v>1.8000000000000001E-4</v>
      </c>
      <c r="H41" s="92">
        <v>9.9999999999999995E-7</v>
      </c>
      <c r="I41" s="92">
        <v>3.2200000000000002E-4</v>
      </c>
      <c r="J41" s="92">
        <v>3.2199999999999997E-5</v>
      </c>
      <c r="K41" s="92">
        <v>1.77E-6</v>
      </c>
      <c r="L41" s="92"/>
      <c r="M41" s="92">
        <v>2.7800000000000001E-8</v>
      </c>
      <c r="N41" s="92">
        <v>1.61E-6</v>
      </c>
      <c r="O41" s="92"/>
      <c r="P41" s="92"/>
      <c r="Q41" s="92"/>
      <c r="R41" s="138">
        <f>'Parameters, country spec'!D19</f>
        <v>0.16</v>
      </c>
      <c r="S41" s="138">
        <f>'Parameters, country spec'!D37</f>
        <v>0.2</v>
      </c>
    </row>
    <row r="42" spans="1:20" x14ac:dyDescent="0.3">
      <c r="A42" s="20" t="s">
        <v>365</v>
      </c>
      <c r="B42" s="15" t="s">
        <v>161</v>
      </c>
      <c r="C42" s="15" t="s">
        <v>364</v>
      </c>
      <c r="D42" s="21" t="s">
        <v>21</v>
      </c>
      <c r="E42" s="21" t="s">
        <v>69</v>
      </c>
      <c r="F42" s="117">
        <f t="shared" ref="F42:F51" si="4">SUM(G42:Q42)</f>
        <v>4.1570499999999999E-4</v>
      </c>
      <c r="G42" s="92">
        <v>1.7000000000000001E-4</v>
      </c>
      <c r="H42" s="92">
        <v>9.9999999999999995E-7</v>
      </c>
      <c r="I42" s="92">
        <v>2.2000000000000001E-4</v>
      </c>
      <c r="J42" s="92">
        <v>2.1999999999999999E-5</v>
      </c>
      <c r="K42" s="92">
        <v>4.5900000000000002E-7</v>
      </c>
      <c r="L42" s="92"/>
      <c r="M42" s="92">
        <v>6.3600000000000003E-7</v>
      </c>
      <c r="N42" s="92">
        <v>1.61E-6</v>
      </c>
      <c r="O42" s="92"/>
      <c r="P42" s="92"/>
      <c r="Q42" s="92"/>
      <c r="R42" s="138">
        <f>'Parameters, country spec'!D20</f>
        <v>3.1075970320211814E-4</v>
      </c>
      <c r="S42" s="138">
        <f>'Parameters, country spec'!D38</f>
        <v>3.1075970320211814E-4</v>
      </c>
    </row>
    <row r="43" spans="1:20" x14ac:dyDescent="0.3">
      <c r="A43" s="20" t="s">
        <v>366</v>
      </c>
      <c r="B43" s="15" t="s">
        <v>163</v>
      </c>
      <c r="C43" s="15" t="s">
        <v>364</v>
      </c>
      <c r="D43" s="21" t="s">
        <v>21</v>
      </c>
      <c r="E43" s="21" t="s">
        <v>69</v>
      </c>
      <c r="F43" s="117">
        <f t="shared" si="4"/>
        <v>4.1096199999999996E-4</v>
      </c>
      <c r="G43" s="92">
        <v>1.4999999999999999E-4</v>
      </c>
      <c r="H43" s="92">
        <v>9.9999999999999995E-7</v>
      </c>
      <c r="I43" s="92">
        <v>2.31E-4</v>
      </c>
      <c r="J43" s="92">
        <v>2.3099999999999999E-5</v>
      </c>
      <c r="K43" s="92">
        <v>3.7299999999999999E-6</v>
      </c>
      <c r="L43" s="92"/>
      <c r="M43" s="92">
        <v>5.2200000000000004E-7</v>
      </c>
      <c r="N43" s="92">
        <v>1.61E-6</v>
      </c>
      <c r="O43" s="92"/>
      <c r="P43" s="92"/>
      <c r="Q43" s="92"/>
      <c r="R43" s="138">
        <f>'Parameters, country spec'!D21</f>
        <v>8.6733359151412953E-5</v>
      </c>
      <c r="S43" s="138">
        <f>'Parameters, country spec'!D39</f>
        <v>8.6733359151412953E-5</v>
      </c>
    </row>
    <row r="44" spans="1:20" x14ac:dyDescent="0.3">
      <c r="A44" s="20" t="s">
        <v>367</v>
      </c>
      <c r="B44" s="15" t="s">
        <v>165</v>
      </c>
      <c r="C44" s="15" t="s">
        <v>364</v>
      </c>
      <c r="D44" s="21" t="s">
        <v>21</v>
      </c>
      <c r="E44" s="21" t="s">
        <v>69</v>
      </c>
      <c r="F44" s="117">
        <f t="shared" si="4"/>
        <v>3.7824308999999997E-4</v>
      </c>
      <c r="G44" s="92">
        <v>1.3999999999999999E-4</v>
      </c>
      <c r="H44" s="92">
        <v>9.9999999999999995E-7</v>
      </c>
      <c r="I44" s="92">
        <v>2.12E-4</v>
      </c>
      <c r="J44" s="92">
        <v>2.12E-5</v>
      </c>
      <c r="K44" s="92">
        <v>2.43E-6</v>
      </c>
      <c r="L44" s="92"/>
      <c r="M44" s="92">
        <v>3.0899999999999999E-9</v>
      </c>
      <c r="N44" s="92">
        <v>1.61E-6</v>
      </c>
      <c r="O44" s="92"/>
      <c r="P44" s="92"/>
      <c r="Q44" s="92"/>
      <c r="R44" s="138">
        <f>'Parameters, country spec'!D22</f>
        <v>6.2924072151971947E-5</v>
      </c>
      <c r="S44" s="138">
        <f>'Parameters, country spec'!D40</f>
        <v>6.2924072151971947E-5</v>
      </c>
    </row>
    <row r="45" spans="1:20" x14ac:dyDescent="0.3">
      <c r="A45" s="20" t="s">
        <v>368</v>
      </c>
      <c r="B45" s="15" t="s">
        <v>167</v>
      </c>
      <c r="C45" s="15" t="s">
        <v>364</v>
      </c>
      <c r="D45" s="21" t="s">
        <v>21</v>
      </c>
      <c r="E45" s="21" t="s">
        <v>69</v>
      </c>
      <c r="F45" s="117">
        <f t="shared" si="4"/>
        <v>4.992703E-4</v>
      </c>
      <c r="G45" s="92">
        <v>2.0000000000000001E-4</v>
      </c>
      <c r="H45" s="92">
        <v>9.9999999999999995E-7</v>
      </c>
      <c r="I45" s="92">
        <v>2.6800000000000001E-4</v>
      </c>
      <c r="J45" s="92">
        <v>2.6800000000000001E-5</v>
      </c>
      <c r="K45" s="92">
        <v>1.7799999999999999E-6</v>
      </c>
      <c r="L45" s="92"/>
      <c r="M45" s="92">
        <v>8.0299999999999998E-8</v>
      </c>
      <c r="N45" s="92">
        <v>1.61E-6</v>
      </c>
      <c r="O45" s="92"/>
      <c r="P45" s="92"/>
      <c r="Q45" s="92"/>
      <c r="R45" s="138">
        <f>'Parameters, country spec'!D23</f>
        <v>0.20500000000000002</v>
      </c>
      <c r="S45" s="138">
        <f>'Parameters, country spec'!D41</f>
        <v>0.2</v>
      </c>
    </row>
    <row r="46" spans="1:20" x14ac:dyDescent="0.3">
      <c r="A46" s="20" t="s">
        <v>369</v>
      </c>
      <c r="B46" s="15" t="s">
        <v>168</v>
      </c>
      <c r="C46" s="15" t="s">
        <v>370</v>
      </c>
      <c r="D46" s="21" t="s">
        <v>21</v>
      </c>
      <c r="E46" s="21" t="s">
        <v>69</v>
      </c>
      <c r="F46" s="117">
        <f t="shared" si="4"/>
        <v>1.7493699999999998E-4</v>
      </c>
      <c r="G46" s="92">
        <v>0</v>
      </c>
      <c r="H46" s="92">
        <v>9.9999999999999995E-7</v>
      </c>
      <c r="I46" s="92">
        <v>1.54E-4</v>
      </c>
      <c r="J46" s="92">
        <v>1.5400000000000002E-5</v>
      </c>
      <c r="K46" s="92">
        <v>2.7999999999999999E-6</v>
      </c>
      <c r="L46" s="92"/>
      <c r="M46" s="92">
        <v>1.2700000000000001E-7</v>
      </c>
      <c r="N46" s="92">
        <v>1.61E-6</v>
      </c>
      <c r="O46" s="92"/>
      <c r="P46" s="92"/>
      <c r="Q46" s="92"/>
      <c r="R46" s="138">
        <f>'Parameters, country spec'!D24</f>
        <v>2.439015630520557E-4</v>
      </c>
      <c r="S46" s="138">
        <f>'Parameters, country spec'!D42</f>
        <v>2.439015630520557E-4</v>
      </c>
    </row>
    <row r="47" spans="1:20" x14ac:dyDescent="0.3">
      <c r="A47" s="20" t="s">
        <v>371</v>
      </c>
      <c r="B47" s="15" t="s">
        <v>170</v>
      </c>
      <c r="C47" s="15" t="s">
        <v>370</v>
      </c>
      <c r="D47" s="21" t="s">
        <v>21</v>
      </c>
      <c r="E47" s="21" t="s">
        <v>69</v>
      </c>
      <c r="F47" s="117">
        <f t="shared" si="4"/>
        <v>1.8877999999999999E-4</v>
      </c>
      <c r="G47" s="92">
        <v>8.6000000000000007E-6</v>
      </c>
      <c r="H47" s="92">
        <v>9.9999999999999995E-7</v>
      </c>
      <c r="I47" s="92">
        <v>1.5899999999999999E-4</v>
      </c>
      <c r="J47" s="92">
        <v>1.59E-5</v>
      </c>
      <c r="K47" s="92">
        <v>1.7400000000000001E-6</v>
      </c>
      <c r="L47" s="92"/>
      <c r="M47" s="92">
        <v>9.2999999999999999E-7</v>
      </c>
      <c r="N47" s="92">
        <v>1.61E-6</v>
      </c>
      <c r="O47" s="92"/>
      <c r="P47" s="92"/>
      <c r="Q47" s="92"/>
      <c r="R47" s="138">
        <f>'Parameters, country spec'!D25</f>
        <v>2.3959170998341588E-4</v>
      </c>
      <c r="S47" s="138">
        <f>'Parameters, country spec'!D43</f>
        <v>2.3959170998341588E-4</v>
      </c>
    </row>
    <row r="48" spans="1:20" x14ac:dyDescent="0.3">
      <c r="B48" s="16" t="s">
        <v>171</v>
      </c>
      <c r="C48" s="15" t="s">
        <v>372</v>
      </c>
      <c r="D48" s="21" t="s">
        <v>21</v>
      </c>
      <c r="E48" s="21" t="s">
        <v>69</v>
      </c>
      <c r="F48" s="117">
        <f t="shared" si="4"/>
        <v>1.5426052012212825E-3</v>
      </c>
      <c r="G48" s="32">
        <f>'Off-farm feed'!$F$77</f>
        <v>3.5160526410462907E-4</v>
      </c>
      <c r="H48" s="32">
        <f>'Off-farm feed'!$G$77</f>
        <v>5.3103448275862083E-7</v>
      </c>
      <c r="I48" s="32">
        <f>'Off-farm feed'!$H$77</f>
        <v>1.0756102664162708E-3</v>
      </c>
      <c r="J48" s="32">
        <f>'Off-farm feed'!$I$77</f>
        <v>1.0756102664162706E-4</v>
      </c>
      <c r="K48" s="32">
        <f>'Off-farm feed'!$J$77</f>
        <v>6.6339607025480414E-7</v>
      </c>
      <c r="L48" s="32"/>
      <c r="M48" s="32">
        <f>'Off-farm feed'!$L$77</f>
        <v>7.9511067188965511E-9</v>
      </c>
      <c r="N48" s="32">
        <f>'Off-farm feed'!$M$77</f>
        <v>1.2789681892721844E-6</v>
      </c>
      <c r="O48" s="32"/>
      <c r="P48" s="32">
        <f>'Off-farm feed'!$O$77</f>
        <v>4.8776996151562902E-6</v>
      </c>
      <c r="Q48" s="32">
        <f>'Off-farm feed'!$P$77</f>
        <v>4.6959459459459463E-7</v>
      </c>
      <c r="R48" s="138">
        <f>'Parameters, country spec'!D26</f>
        <v>0.09</v>
      </c>
      <c r="S48" s="138">
        <f>'Parameters, country spec'!D44</f>
        <v>0.06</v>
      </c>
    </row>
    <row r="49" spans="1:20" x14ac:dyDescent="0.3">
      <c r="B49" s="16" t="s">
        <v>373</v>
      </c>
      <c r="C49" s="15" t="s">
        <v>372</v>
      </c>
      <c r="D49" s="21" t="s">
        <v>21</v>
      </c>
      <c r="E49" s="21" t="s">
        <v>69</v>
      </c>
      <c r="F49" s="117">
        <f t="shared" si="4"/>
        <v>1.8866346644602505E-4</v>
      </c>
      <c r="G49" s="32">
        <f>'Off-farm feed'!$F$26</f>
        <v>1.6332109719061441E-5</v>
      </c>
      <c r="H49" s="32">
        <f>'Off-farm feed'!$G$26</f>
        <v>8.7195121951219526E-7</v>
      </c>
      <c r="I49" s="32">
        <f>'Off-farm feed'!$H$26</f>
        <v>1.3333449845358202E-4</v>
      </c>
      <c r="J49" s="32">
        <f>'Off-farm feed'!$I$26</f>
        <v>1.3333449845358203E-5</v>
      </c>
      <c r="K49" s="32">
        <f>'Off-farm feed'!$J$26</f>
        <v>1.1576736579983931E-6</v>
      </c>
      <c r="L49" s="32"/>
      <c r="M49" s="32">
        <f>'Off-farm feed'!$L$26</f>
        <v>7.3437786087804866E-9</v>
      </c>
      <c r="N49" s="32">
        <f>'Off-farm feed'!$M$26</f>
        <v>1.1195281639512197E-6</v>
      </c>
      <c r="O49" s="32"/>
      <c r="P49" s="32">
        <f>'Off-farm feed'!$O$26</f>
        <v>1.3419073770114991E-5</v>
      </c>
      <c r="Q49" s="32">
        <f>'Off-farm feed'!$P$26</f>
        <v>9.087837837837838E-6</v>
      </c>
      <c r="R49" s="138">
        <f>'Parameters, country spec'!D27</f>
        <v>9.5000000000000001E-2</v>
      </c>
      <c r="S49" s="138">
        <f>'Parameters, country spec'!D45</f>
        <v>7.0000000000000007E-2</v>
      </c>
    </row>
    <row r="50" spans="1:20" x14ac:dyDescent="0.3">
      <c r="B50" s="15" t="s">
        <v>173</v>
      </c>
      <c r="C50" s="15" t="s">
        <v>374</v>
      </c>
      <c r="D50" s="21" t="s">
        <v>21</v>
      </c>
      <c r="E50" s="21" t="s">
        <v>69</v>
      </c>
      <c r="F50" s="354">
        <f t="shared" si="4"/>
        <v>3.0269258054285058E-4</v>
      </c>
      <c r="G50" s="92">
        <v>1.0009381421542E-4</v>
      </c>
      <c r="H50" s="92">
        <v>5.5044E-7</v>
      </c>
      <c r="I50" s="92">
        <v>1.7345242549902899E-4</v>
      </c>
      <c r="K50" s="92">
        <v>1.53492112232045E-6</v>
      </c>
      <c r="N50" s="12"/>
      <c r="O50" s="12"/>
      <c r="P50" s="92">
        <v>2.4913162191712101E-5</v>
      </c>
      <c r="Q50" s="92">
        <v>2.14781751436908E-6</v>
      </c>
      <c r="R50" s="138">
        <f>'Parameters, country spec'!D28</f>
        <v>9.5000000000000001E-2</v>
      </c>
      <c r="S50" s="138">
        <f>'Parameters, country spec'!D46</f>
        <v>0.14000000000000001</v>
      </c>
    </row>
    <row r="51" spans="1:20" x14ac:dyDescent="0.3">
      <c r="A51" s="74"/>
      <c r="B51" s="15" t="s">
        <v>375</v>
      </c>
      <c r="C51" s="75" t="s">
        <v>376</v>
      </c>
      <c r="D51" s="21" t="s">
        <v>21</v>
      </c>
      <c r="E51" s="21" t="s">
        <v>69</v>
      </c>
      <c r="F51" s="117">
        <f t="shared" si="4"/>
        <v>3.4556168352568346E-4</v>
      </c>
      <c r="G51" s="73">
        <f>SUMPRODUCT(G41:G49,$R41:$R49)</f>
        <v>1.0307273320495166E-4</v>
      </c>
      <c r="H51" s="73">
        <f t="shared" ref="H51:P51" si="5">SUMPRODUCT(H41:H49,$R41:$R49)</f>
        <v>4.9657237970947544E-7</v>
      </c>
      <c r="I51" s="73">
        <f t="shared" si="5"/>
        <v>2.1610909969711672E-4</v>
      </c>
      <c r="J51" s="73">
        <f t="shared" si="5"/>
        <v>2.1610909969711671E-5</v>
      </c>
      <c r="K51" s="73">
        <f t="shared" si="5"/>
        <v>8.1950351741343053E-7</v>
      </c>
      <c r="L51" s="73">
        <f t="shared" si="5"/>
        <v>0</v>
      </c>
      <c r="M51" s="73">
        <f t="shared" si="5"/>
        <v>2.2819666781423557E-8</v>
      </c>
      <c r="N51" s="73">
        <f t="shared" si="5"/>
        <v>8.1063200836600344E-7</v>
      </c>
      <c r="O51" s="73">
        <f t="shared" si="5"/>
        <v>0</v>
      </c>
      <c r="P51" s="73">
        <f t="shared" si="5"/>
        <v>1.7138049735249903E-6</v>
      </c>
      <c r="Q51" s="73">
        <f>SUMPRODUCT(Q41:Q49,$R41:$R49)</f>
        <v>9.0560810810810813E-7</v>
      </c>
      <c r="R51" s="138">
        <f>'Parameters, country spec'!D29</f>
        <v>7.0000000000000007E-2</v>
      </c>
      <c r="S51" s="138">
        <f>'Parameters, country spec'!D47</f>
        <v>0.03</v>
      </c>
    </row>
    <row r="52" spans="1:20" x14ac:dyDescent="0.3">
      <c r="A52" s="287"/>
      <c r="B52" s="288" t="s">
        <v>377</v>
      </c>
      <c r="C52" s="289"/>
      <c r="D52" s="290"/>
      <c r="E52" s="290"/>
      <c r="F52" s="293">
        <f>SUMPRODUCT(F38:F40,R38:R40)+SUMPRODUCT(F41:F51,R41:R51)/0.87</f>
        <v>5.1095437366847083E-4</v>
      </c>
      <c r="G52" s="293">
        <f>SUMPRODUCT(G38:G40,R38:R40)+SUMPRODUCT(G41:G51,R41:R51)/0.87</f>
        <v>1.4332242198905167E-4</v>
      </c>
      <c r="H52" s="293">
        <f>SUMPRODUCT(H38:H40,R38:R40)+SUMPRODUCT(H41:H51,R41:R51)/0.87</f>
        <v>9.7883246699901002E-7</v>
      </c>
      <c r="I52" s="293">
        <f>SUMPRODUCT(I38:I40,R38:R40)+SUMPRODUCT(I41:I51,R41:R51)/0.87</f>
        <v>3.0989507396182427E-4</v>
      </c>
      <c r="J52" s="293">
        <f>SUMPRODUCT(J38:J40,R38:R40)+SUMPRODUCT(J41:J51,R41:R51)/0.87</f>
        <v>2.9095486657974632E-5</v>
      </c>
      <c r="K52" s="293">
        <f>SUMPRODUCT(K38:K40,R38:R40)+SUMPRODUCT(K41:K51,R41:R51)/0.87</f>
        <v>1.3929972571811041E-6</v>
      </c>
      <c r="L52" s="293">
        <f>SUMPRODUCT(L38:L40,R38:R40)+SUMPRODUCT(L41:L51,R41:R51)/0.87</f>
        <v>0</v>
      </c>
      <c r="M52" s="293">
        <f>SUMPRODUCT(M38:M40,R38:R40)+SUMPRODUCT(M41:M51,R41:R51)/0.87</f>
        <v>2.8065567190946213E-8</v>
      </c>
      <c r="N52" s="293">
        <f>SUMPRODUCT(N38:N40,R38:R40)+SUMPRODUCT(N41:N51,R41:R51)/0.87</f>
        <v>9.9698419419726867E-7</v>
      </c>
      <c r="O52" s="293">
        <f>SUMPRODUCT(O38:O40,R38:R40)+SUMPRODUCT(O41:O51,R41:R51)/0.87</f>
        <v>0</v>
      </c>
      <c r="P52" s="293">
        <f>SUMPRODUCT(P38:P40,R38:R40)+SUMPRODUCT(P41:P51,R41:R51)/0.87</f>
        <v>2.3896185896418836E-5</v>
      </c>
      <c r="Q52" s="293">
        <f>SUMPRODUCT(Q38:Q40,R38:R40)+SUMPRODUCT(Q41:Q51,R41:R51)/0.87</f>
        <v>1.3483256776330326E-6</v>
      </c>
      <c r="R52" s="294"/>
      <c r="S52" s="295"/>
    </row>
    <row r="53" spans="1:20" x14ac:dyDescent="0.3">
      <c r="A53" s="137"/>
      <c r="B53" s="23" t="s">
        <v>381</v>
      </c>
      <c r="C53" s="24"/>
      <c r="D53" s="93"/>
      <c r="E53" s="93"/>
      <c r="F53" s="28">
        <f>SUMPRODUCT(F38:F40,S38:S40)+SUMPRODUCT(F41:F51,S41:S51)/0.87</f>
        <v>4.777811668348158E-4</v>
      </c>
      <c r="G53" s="28">
        <f>SUMPRODUCT(G38:G40,S38:S40)+SUMPRODUCT(G41:G51,S41:S51)/0.87</f>
        <v>1.3869530321122226E-4</v>
      </c>
      <c r="H53" s="28">
        <f>SUMPRODUCT(H38:H40,S38:S40)+SUMPRODUCT(H41:H51,S41:S51)/0.87</f>
        <v>1.0033348691151681E-6</v>
      </c>
      <c r="I53" s="28">
        <f>SUMPRODUCT(I38:I40,S38:S40)+SUMPRODUCT(I41:I51,S41:S51)/0.87</f>
        <v>2.8307114482626429E-4</v>
      </c>
      <c r="J53" s="28">
        <f>SUMPRODUCT(J38:J40,S38:S40)+SUMPRODUCT(J41:J51,S41:S51)/0.87</f>
        <v>2.5515926026320216E-5</v>
      </c>
      <c r="K53" s="28">
        <f>SUMPRODUCT(K38:K40,S38:S40)+SUMPRODUCT(K41:K51,S41:S51)/0.87</f>
        <v>1.4652540347672004E-6</v>
      </c>
      <c r="L53" s="28">
        <f>SUMPRODUCT(L38:L40,S38:S40)+SUMPRODUCT(L41:L51,S41:S51)/0.87</f>
        <v>0</v>
      </c>
      <c r="M53" s="28">
        <f>SUMPRODUCT(M38:M40,S38:S40)+SUMPRODUCT(M41:M51,S41:S51)/0.87</f>
        <v>2.7347849561011328E-8</v>
      </c>
      <c r="N53" s="28">
        <f>SUMPRODUCT(N38:N40,S38:S40)+SUMPRODUCT(N41:N51,S41:S51)/0.87</f>
        <v>9.4821117108050292E-7</v>
      </c>
      <c r="O53" s="28">
        <f>SUMPRODUCT(O38:O40,S38:S40)+SUMPRODUCT(O41:O51,S41:S51)/0.87</f>
        <v>0</v>
      </c>
      <c r="P53" s="28">
        <f>SUMPRODUCT(P38:P40,S38:S40)+SUMPRODUCT(P41:P51,S41:S51)/0.87</f>
        <v>2.5914199996394103E-5</v>
      </c>
      <c r="Q53" s="28">
        <f>SUMPRODUCT(Q38:Q40,S38:S40)+SUMPRODUCT(Q41:Q51,S41:S51)/0.87</f>
        <v>1.1404448500910793E-6</v>
      </c>
      <c r="R53" s="139"/>
      <c r="S53" s="139"/>
    </row>
    <row r="54" spans="1:20" x14ac:dyDescent="0.3">
      <c r="B54" s="16" t="s">
        <v>152</v>
      </c>
      <c r="C54" s="15" t="s">
        <v>361</v>
      </c>
      <c r="D54" s="21" t="s">
        <v>114</v>
      </c>
      <c r="E54" s="21" t="s">
        <v>70</v>
      </c>
      <c r="F54" s="117">
        <f>SUM(G54:Q54)</f>
        <v>2.4168039479153511E-4</v>
      </c>
      <c r="G54" s="27">
        <f>'Forage crops, CF'!F26</f>
        <v>4.7791180802654265E-5</v>
      </c>
      <c r="H54" s="27">
        <f>'Forage crops, CF'!G26</f>
        <v>1.1000000000000001E-6</v>
      </c>
      <c r="I54" s="27">
        <f>'Forage crops, CF'!H26</f>
        <v>1.7407334076117385E-4</v>
      </c>
      <c r="J54" s="27">
        <f>'Forage crops, CF'!I26</f>
        <v>1.7407334076117384E-5</v>
      </c>
      <c r="K54" s="27">
        <f>'Forage crops, CF'!J26</f>
        <v>1.3085391515895945E-6</v>
      </c>
      <c r="L54" s="27">
        <f>'Forage crops, CF'!K26</f>
        <v>0</v>
      </c>
      <c r="M54" s="27">
        <f>'Forage crops, CF'!L26</f>
        <v>0</v>
      </c>
      <c r="N54" s="27">
        <f>'Forage crops, CF'!M26</f>
        <v>0</v>
      </c>
      <c r="O54" s="27">
        <f>'Forage crops, CF'!N26</f>
        <v>0</v>
      </c>
      <c r="P54" s="27">
        <f>'Forage crops, CF'!O26</f>
        <v>0</v>
      </c>
      <c r="Q54" s="27">
        <f>'Forage crops, CF'!P26</f>
        <v>0</v>
      </c>
      <c r="R54" s="138">
        <f>'Parameters, country spec'!E16</f>
        <v>0</v>
      </c>
      <c r="S54" s="138">
        <f>'Parameters, country spec'!E34</f>
        <v>0</v>
      </c>
      <c r="T54" s="18"/>
    </row>
    <row r="55" spans="1:20" x14ac:dyDescent="0.3">
      <c r="B55" s="16" t="s">
        <v>154</v>
      </c>
      <c r="C55" s="15" t="s">
        <v>361</v>
      </c>
      <c r="D55" s="21" t="s">
        <v>114</v>
      </c>
      <c r="E55" s="21" t="s">
        <v>70</v>
      </c>
      <c r="F55" s="117">
        <f>SUM(G55:Q55)</f>
        <v>5.2940112441992693E-4</v>
      </c>
      <c r="G55" s="27">
        <f>'Forage crops, CF'!F76</f>
        <v>1.0151185038431108E-4</v>
      </c>
      <c r="H55" s="27">
        <f>'Forage crops, CF'!G76</f>
        <v>1.1000000000000001E-6</v>
      </c>
      <c r="I55" s="27">
        <f>'Forage crops, CF'!H76</f>
        <v>3.2555010041627146E-4</v>
      </c>
      <c r="J55" s="27">
        <f>'Forage crops, CF'!I76</f>
        <v>3.2555010041627146E-5</v>
      </c>
      <c r="K55" s="27">
        <f>'Forage crops, CF'!J76</f>
        <v>5.7798727160526391E-7</v>
      </c>
      <c r="L55" s="27"/>
      <c r="M55" s="27">
        <f>'Forage crops, CF'!L76</f>
        <v>6.1763061119999986E-9</v>
      </c>
      <c r="N55" s="27">
        <f>'Forage crops, CF'!M76</f>
        <v>0</v>
      </c>
      <c r="O55" s="27">
        <f>'Forage crops, CF'!N76</f>
        <v>0</v>
      </c>
      <c r="P55" s="27">
        <f>'Forage crops, CF'!O76</f>
        <v>6.8099999999999988E-5</v>
      </c>
      <c r="Q55" s="27"/>
      <c r="R55" s="138">
        <f>'Parameters, country spec'!E17</f>
        <v>0</v>
      </c>
      <c r="S55" s="138">
        <f>'Parameters, country spec'!E35</f>
        <v>0</v>
      </c>
      <c r="T55" s="18"/>
    </row>
    <row r="56" spans="1:20" x14ac:dyDescent="0.3">
      <c r="B56" s="16" t="s">
        <v>362</v>
      </c>
      <c r="C56" s="15" t="s">
        <v>361</v>
      </c>
      <c r="D56" s="21" t="s">
        <v>114</v>
      </c>
      <c r="E56" s="21" t="s">
        <v>70</v>
      </c>
      <c r="F56" s="117">
        <f>SUM(G56:Q56)</f>
        <v>1.3562863037717965E-4</v>
      </c>
      <c r="G56" s="27">
        <f>'Forage crops, CF'!F126*'Forage, input data per ha'!$E$70+'Forage crops, CF'!F176*'Forage, input data per ha'!$G$70</f>
        <v>7.8038856610645942E-6</v>
      </c>
      <c r="H56" s="27">
        <f>'Forage crops, CF'!G126*'Forage, input data per ha'!$E$70+'Forage crops, CF'!G176*'Forage, input data per ha'!$G$70</f>
        <v>1.1000000000000001E-6</v>
      </c>
      <c r="I56" s="27">
        <f>'Forage crops, CF'!H126*'Forage, input data per ha'!$E$70+'Forage crops, CF'!H176*'Forage, input data per ha'!$G$70</f>
        <v>5.2536508039072698E-5</v>
      </c>
      <c r="J56" s="27">
        <f>'Forage crops, CF'!I126*'Forage, input data per ha'!$E$70+'Forage crops, CF'!I176*'Forage, input data per ha'!$G$70</f>
        <v>5.2536508039072694E-6</v>
      </c>
      <c r="K56" s="27">
        <f>'Forage crops, CF'!J126*'Forage, input data per ha'!$E$70+'Forage crops, CF'!J176*'Forage, input data per ha'!$G$70</f>
        <v>8.3458587313510728E-7</v>
      </c>
      <c r="L56" s="27"/>
      <c r="M56" s="27">
        <f>'Forage crops, CF'!L126*'Forage, input data per ha'!$E$70+'Forage crops, CF'!L176*'Forage, input data per ha'!$G$70</f>
        <v>0</v>
      </c>
      <c r="N56" s="27">
        <f>'Forage crops, CF'!M126*'Forage, input data per ha'!$E$70+'Forage crops, CF'!M176*'Forage, input data per ha'!$G$70</f>
        <v>0</v>
      </c>
      <c r="O56" s="27">
        <f>'Forage crops, CF'!N126*'Forage, input data per ha'!$E$70+'Forage crops, CF'!N176*'Forage, input data per ha'!$G$70</f>
        <v>0</v>
      </c>
      <c r="P56" s="27">
        <f>'Forage crops, CF'!O126*'Forage, input data per ha'!$E$70+'Forage crops, CF'!O176*'Forage, input data per ha'!$G$70</f>
        <v>6.8099999999999988E-5</v>
      </c>
      <c r="Q56" s="27"/>
      <c r="R56" s="138">
        <f>'Parameters, country spec'!E18</f>
        <v>0.28000000000000003</v>
      </c>
      <c r="S56" s="138">
        <f>'Parameters, country spec'!E36</f>
        <v>0.3</v>
      </c>
      <c r="T56" s="18"/>
    </row>
    <row r="57" spans="1:20" x14ac:dyDescent="0.3">
      <c r="A57" s="20" t="s">
        <v>363</v>
      </c>
      <c r="B57" s="15" t="s">
        <v>159</v>
      </c>
      <c r="C57" s="15" t="s">
        <v>364</v>
      </c>
      <c r="D57" s="21" t="s">
        <v>114</v>
      </c>
      <c r="E57" s="21" t="s">
        <v>70</v>
      </c>
      <c r="F57" s="117">
        <f>SUM(G57:Q57)</f>
        <v>4.5179309000000005E-4</v>
      </c>
      <c r="G57" s="92">
        <v>1.8000000000000001E-4</v>
      </c>
      <c r="H57" s="92">
        <v>9.9999999999999995E-7</v>
      </c>
      <c r="I57" s="92">
        <v>2.4399999999999999E-4</v>
      </c>
      <c r="J57" s="92">
        <v>2.44E-5</v>
      </c>
      <c r="K57" s="92">
        <v>9.0999999999999997E-7</v>
      </c>
      <c r="L57" s="92"/>
      <c r="M57" s="92">
        <v>3.0899999999999999E-9</v>
      </c>
      <c r="N57" s="92">
        <v>1.48E-6</v>
      </c>
      <c r="O57" s="92"/>
      <c r="P57" s="92"/>
      <c r="Q57" s="92"/>
      <c r="R57" s="138">
        <f>'Parameters, country spec'!E19</f>
        <v>0.16</v>
      </c>
      <c r="S57" s="138">
        <f>'Parameters, country spec'!E37</f>
        <v>0.2</v>
      </c>
    </row>
    <row r="58" spans="1:20" x14ac:dyDescent="0.3">
      <c r="A58" s="20" t="s">
        <v>365</v>
      </c>
      <c r="B58" s="15" t="s">
        <v>161</v>
      </c>
      <c r="C58" s="15" t="s">
        <v>364</v>
      </c>
      <c r="D58" s="21" t="s">
        <v>114</v>
      </c>
      <c r="E58" s="21" t="s">
        <v>70</v>
      </c>
      <c r="F58" s="117">
        <f t="shared" ref="F58:F67" si="6">SUM(G58:Q58)</f>
        <v>4.1514018000000003E-4</v>
      </c>
      <c r="G58" s="92">
        <v>1.7000000000000001E-4</v>
      </c>
      <c r="H58" s="92">
        <v>9.9999999999999995E-7</v>
      </c>
      <c r="I58" s="92">
        <v>2.2000000000000001E-4</v>
      </c>
      <c r="J58" s="92">
        <v>2.1999999999999999E-5</v>
      </c>
      <c r="K58" s="92">
        <v>6.5400000000000001E-7</v>
      </c>
      <c r="L58" s="92"/>
      <c r="M58" s="92">
        <v>6.1799999999999998E-9</v>
      </c>
      <c r="N58" s="92">
        <v>1.48E-6</v>
      </c>
      <c r="O58" s="92"/>
      <c r="P58" s="92"/>
      <c r="Q58" s="92"/>
      <c r="R58" s="138">
        <f>'Parameters, country spec'!E20</f>
        <v>3.1075970320211814E-4</v>
      </c>
      <c r="S58" s="138">
        <f>'Parameters, country spec'!E38</f>
        <v>3.1075970320211814E-4</v>
      </c>
    </row>
    <row r="59" spans="1:20" x14ac:dyDescent="0.3">
      <c r="A59" s="20" t="s">
        <v>366</v>
      </c>
      <c r="B59" s="15" t="s">
        <v>163</v>
      </c>
      <c r="C59" s="15" t="s">
        <v>364</v>
      </c>
      <c r="D59" s="21" t="s">
        <v>114</v>
      </c>
      <c r="E59" s="21" t="s">
        <v>70</v>
      </c>
      <c r="F59" s="117">
        <f t="shared" si="6"/>
        <v>4.0830779999999995E-4</v>
      </c>
      <c r="G59" s="92">
        <v>1.4999999999999999E-4</v>
      </c>
      <c r="H59" s="92">
        <v>9.9999999999999995E-7</v>
      </c>
      <c r="I59" s="92">
        <v>2.31E-4</v>
      </c>
      <c r="J59" s="92">
        <v>2.3099999999999999E-5</v>
      </c>
      <c r="K59" s="92">
        <v>1.7E-6</v>
      </c>
      <c r="L59" s="92"/>
      <c r="M59" s="92">
        <v>2.7800000000000001E-8</v>
      </c>
      <c r="N59" s="92">
        <v>1.48E-6</v>
      </c>
      <c r="O59" s="92"/>
      <c r="P59" s="92"/>
      <c r="Q59" s="92"/>
      <c r="R59" s="138">
        <f>'Parameters, country spec'!E21</f>
        <v>8.6733359151412953E-5</v>
      </c>
      <c r="S59" s="138">
        <f>'Parameters, country spec'!E39</f>
        <v>8.6733359151412953E-5</v>
      </c>
    </row>
    <row r="60" spans="1:20" x14ac:dyDescent="0.3">
      <c r="A60" s="20" t="s">
        <v>367</v>
      </c>
      <c r="B60" s="15" t="s">
        <v>165</v>
      </c>
      <c r="C60" s="15" t="s">
        <v>364</v>
      </c>
      <c r="D60" s="21" t="s">
        <v>114</v>
      </c>
      <c r="E60" s="21" t="s">
        <v>70</v>
      </c>
      <c r="F60" s="117">
        <f t="shared" si="6"/>
        <v>3.7715999999999997E-4</v>
      </c>
      <c r="G60" s="92">
        <v>1.3999999999999999E-4</v>
      </c>
      <c r="H60" s="92">
        <v>9.9999999999999995E-7</v>
      </c>
      <c r="I60" s="92">
        <v>2.12E-4</v>
      </c>
      <c r="J60" s="92">
        <v>2.12E-5</v>
      </c>
      <c r="K60" s="92">
        <v>1.48E-6</v>
      </c>
      <c r="L60" s="92"/>
      <c r="M60" s="92">
        <v>0</v>
      </c>
      <c r="N60" s="92">
        <v>1.48E-6</v>
      </c>
      <c r="O60" s="92"/>
      <c r="P60" s="92"/>
      <c r="Q60" s="92"/>
      <c r="R60" s="138">
        <f>'Parameters, country spec'!E22</f>
        <v>6.2924072151971947E-5</v>
      </c>
      <c r="S60" s="138">
        <f>'Parameters, country spec'!E40</f>
        <v>6.2924072151971947E-5</v>
      </c>
    </row>
    <row r="61" spans="1:20" x14ac:dyDescent="0.3">
      <c r="A61" s="20" t="s">
        <v>368</v>
      </c>
      <c r="B61" s="15" t="s">
        <v>167</v>
      </c>
      <c r="C61" s="15" t="s">
        <v>364</v>
      </c>
      <c r="D61" s="21" t="s">
        <v>114</v>
      </c>
      <c r="E61" s="21" t="s">
        <v>70</v>
      </c>
      <c r="F61" s="117">
        <f t="shared" si="6"/>
        <v>4.9822218000000003E-4</v>
      </c>
      <c r="G61" s="92">
        <v>2.0000000000000001E-4</v>
      </c>
      <c r="H61" s="92">
        <v>9.9999999999999995E-7</v>
      </c>
      <c r="I61" s="92">
        <v>2.6800000000000001E-4</v>
      </c>
      <c r="J61" s="92">
        <v>2.6800000000000001E-5</v>
      </c>
      <c r="K61" s="92">
        <v>9.3600000000000002E-7</v>
      </c>
      <c r="L61" s="92"/>
      <c r="M61" s="92">
        <v>6.1799999999999998E-9</v>
      </c>
      <c r="N61" s="92">
        <v>1.48E-6</v>
      </c>
      <c r="O61" s="92"/>
      <c r="P61" s="92"/>
      <c r="Q61" s="92"/>
      <c r="R61" s="138">
        <f>'Parameters, country spec'!E23</f>
        <v>0.20500000000000002</v>
      </c>
      <c r="S61" s="138">
        <f>'Parameters, country spec'!E41</f>
        <v>0.2</v>
      </c>
    </row>
    <row r="62" spans="1:20" x14ac:dyDescent="0.3">
      <c r="A62" s="20" t="s">
        <v>369</v>
      </c>
      <c r="B62" s="15" t="s">
        <v>168</v>
      </c>
      <c r="C62" s="15" t="s">
        <v>370</v>
      </c>
      <c r="D62" s="21" t="s">
        <v>114</v>
      </c>
      <c r="E62" s="21" t="s">
        <v>70</v>
      </c>
      <c r="F62" s="117">
        <f t="shared" si="6"/>
        <v>1.7401899999999997E-4</v>
      </c>
      <c r="G62" s="92">
        <v>0</v>
      </c>
      <c r="H62" s="92">
        <v>9.9999999999999995E-7</v>
      </c>
      <c r="I62" s="92">
        <v>1.54E-4</v>
      </c>
      <c r="J62" s="92">
        <v>1.5400000000000002E-5</v>
      </c>
      <c r="K62" s="92">
        <v>1.9099999999999999E-6</v>
      </c>
      <c r="L62" s="92"/>
      <c r="M62" s="92">
        <v>2.29E-7</v>
      </c>
      <c r="N62" s="92">
        <v>1.48E-6</v>
      </c>
      <c r="O62" s="92"/>
      <c r="P62" s="92"/>
      <c r="Q62" s="92"/>
      <c r="R62" s="138">
        <f>'Parameters, country spec'!E24</f>
        <v>2.439015630520557E-4</v>
      </c>
      <c r="S62" s="138">
        <f>'Parameters, country spec'!E42</f>
        <v>2.439015630520557E-4</v>
      </c>
    </row>
    <row r="63" spans="1:20" x14ac:dyDescent="0.3">
      <c r="A63" s="20" t="s">
        <v>371</v>
      </c>
      <c r="B63" s="15" t="s">
        <v>170</v>
      </c>
      <c r="C63" s="15" t="s">
        <v>370</v>
      </c>
      <c r="D63" s="21" t="s">
        <v>114</v>
      </c>
      <c r="E63" s="21" t="s">
        <v>70</v>
      </c>
      <c r="F63" s="117">
        <f t="shared" si="6"/>
        <v>1.8870699999999998E-4</v>
      </c>
      <c r="G63" s="92">
        <v>8.6000000000000007E-6</v>
      </c>
      <c r="H63" s="92">
        <v>9.9999999999999995E-7</v>
      </c>
      <c r="I63" s="92">
        <v>1.5899999999999999E-4</v>
      </c>
      <c r="J63" s="92">
        <v>1.59E-5</v>
      </c>
      <c r="K63" s="92">
        <v>2.39E-6</v>
      </c>
      <c r="L63" s="92"/>
      <c r="M63" s="92">
        <v>3.3700000000000001E-7</v>
      </c>
      <c r="N63" s="92">
        <v>1.48E-6</v>
      </c>
      <c r="O63" s="92"/>
      <c r="P63" s="92"/>
      <c r="Q63" s="92"/>
      <c r="R63" s="138">
        <f>'Parameters, country spec'!E25</f>
        <v>2.3959170998341588E-4</v>
      </c>
      <c r="S63" s="138">
        <f>'Parameters, country spec'!E43</f>
        <v>2.3959170998341588E-4</v>
      </c>
    </row>
    <row r="64" spans="1:20" x14ac:dyDescent="0.3">
      <c r="B64" s="16" t="s">
        <v>171</v>
      </c>
      <c r="C64" s="15" t="s">
        <v>372</v>
      </c>
      <c r="D64" s="21" t="s">
        <v>114</v>
      </c>
      <c r="E64" s="21" t="s">
        <v>70</v>
      </c>
      <c r="F64" s="117">
        <f>SUM(G64:Q64)</f>
        <v>1.5426052012212825E-3</v>
      </c>
      <c r="G64" s="32">
        <f>'Off-farm feed'!$F$77</f>
        <v>3.5160526410462907E-4</v>
      </c>
      <c r="H64" s="32">
        <f>'Off-farm feed'!$G$77</f>
        <v>5.3103448275862083E-7</v>
      </c>
      <c r="I64" s="32">
        <f>'Off-farm feed'!$H$77</f>
        <v>1.0756102664162708E-3</v>
      </c>
      <c r="J64" s="32">
        <f>'Off-farm feed'!$I$77</f>
        <v>1.0756102664162706E-4</v>
      </c>
      <c r="K64" s="32">
        <f>'Off-farm feed'!$J$77</f>
        <v>6.6339607025480414E-7</v>
      </c>
      <c r="L64" s="32"/>
      <c r="M64" s="32">
        <f>'Off-farm feed'!$L$77</f>
        <v>7.9511067188965511E-9</v>
      </c>
      <c r="N64" s="32">
        <f>'Off-farm feed'!$M$77</f>
        <v>1.2789681892721844E-6</v>
      </c>
      <c r="O64" s="32"/>
      <c r="P64" s="32">
        <f>'Off-farm feed'!$O$77</f>
        <v>4.8776996151562902E-6</v>
      </c>
      <c r="Q64" s="32">
        <f>'Off-farm feed'!$P$77</f>
        <v>4.6959459459459463E-7</v>
      </c>
      <c r="R64" s="138">
        <f>'Parameters, country spec'!E26</f>
        <v>0.09</v>
      </c>
      <c r="S64" s="138">
        <f>'Parameters, country spec'!E44</f>
        <v>0.06</v>
      </c>
    </row>
    <row r="65" spans="1:20" x14ac:dyDescent="0.3">
      <c r="B65" s="16" t="s">
        <v>373</v>
      </c>
      <c r="C65" s="15" t="s">
        <v>372</v>
      </c>
      <c r="D65" s="21" t="s">
        <v>114</v>
      </c>
      <c r="E65" s="21" t="s">
        <v>70</v>
      </c>
      <c r="F65" s="117">
        <f t="shared" si="6"/>
        <v>1.8866346644602505E-4</v>
      </c>
      <c r="G65" s="32">
        <f>'Off-farm feed'!$F$26</f>
        <v>1.6332109719061441E-5</v>
      </c>
      <c r="H65" s="32">
        <f>'Off-farm feed'!$G$26</f>
        <v>8.7195121951219526E-7</v>
      </c>
      <c r="I65" s="32">
        <f>'Off-farm feed'!$H$26</f>
        <v>1.3333449845358202E-4</v>
      </c>
      <c r="J65" s="32">
        <f>'Off-farm feed'!$I$26</f>
        <v>1.3333449845358203E-5</v>
      </c>
      <c r="K65" s="32">
        <f>'Off-farm feed'!$J$26</f>
        <v>1.1576736579983931E-6</v>
      </c>
      <c r="L65" s="32"/>
      <c r="M65" s="32">
        <f>'Off-farm feed'!$L$26</f>
        <v>7.3437786087804866E-9</v>
      </c>
      <c r="N65" s="32">
        <f>'Off-farm feed'!$M$26</f>
        <v>1.1195281639512197E-6</v>
      </c>
      <c r="O65" s="32"/>
      <c r="P65" s="32">
        <f>'Off-farm feed'!$O$26</f>
        <v>1.3419073770114991E-5</v>
      </c>
      <c r="Q65" s="32">
        <f>'Off-farm feed'!$P$26</f>
        <v>9.087837837837838E-6</v>
      </c>
      <c r="R65" s="138">
        <f>'Parameters, country spec'!E27</f>
        <v>9.5000000000000001E-2</v>
      </c>
      <c r="S65" s="138">
        <f>'Parameters, country spec'!E45</f>
        <v>7.0000000000000007E-2</v>
      </c>
    </row>
    <row r="66" spans="1:20" x14ac:dyDescent="0.3">
      <c r="B66" s="15" t="s">
        <v>173</v>
      </c>
      <c r="C66" s="15" t="s">
        <v>374</v>
      </c>
      <c r="D66" s="21" t="s">
        <v>114</v>
      </c>
      <c r="E66" s="21" t="s">
        <v>70</v>
      </c>
      <c r="F66" s="354">
        <f t="shared" si="6"/>
        <v>2.7233578633188921E-4</v>
      </c>
      <c r="G66" s="92">
        <v>1.00470578557397E-4</v>
      </c>
      <c r="H66" s="92">
        <v>5.5044E-7</v>
      </c>
      <c r="I66" s="92">
        <v>1.5251629312989701E-4</v>
      </c>
      <c r="K66" s="92">
        <v>1.2096981783282799E-6</v>
      </c>
      <c r="N66" s="12"/>
      <c r="O66" s="12"/>
      <c r="P66" s="92">
        <v>1.7376008471844101E-5</v>
      </c>
      <c r="Q66" s="92">
        <v>2.1276799442287201E-7</v>
      </c>
      <c r="R66" s="138">
        <f>'Parameters, country spec'!E28</f>
        <v>9.5000000000000001E-2</v>
      </c>
      <c r="S66" s="138">
        <f>'Parameters, country spec'!E46</f>
        <v>0.14000000000000001</v>
      </c>
    </row>
    <row r="67" spans="1:20" x14ac:dyDescent="0.3">
      <c r="A67" s="74"/>
      <c r="B67" s="15" t="s">
        <v>375</v>
      </c>
      <c r="C67" s="75" t="s">
        <v>376</v>
      </c>
      <c r="D67" s="21" t="s">
        <v>114</v>
      </c>
      <c r="E67" s="21" t="s">
        <v>70</v>
      </c>
      <c r="F67" s="117">
        <f t="shared" si="6"/>
        <v>3.3145575005044301E-4</v>
      </c>
      <c r="G67" s="73">
        <f>SUMPRODUCT(G57:G65,$R57:$R65)</f>
        <v>1.0307273320495166E-4</v>
      </c>
      <c r="H67" s="73">
        <f t="shared" ref="H67:P67" si="7">SUMPRODUCT(H57:H65,$R57:$R65)</f>
        <v>4.9657237970947544E-7</v>
      </c>
      <c r="I67" s="73">
        <f t="shared" si="7"/>
        <v>2.0362909969711668E-4</v>
      </c>
      <c r="J67" s="73">
        <f t="shared" si="7"/>
        <v>2.0362909969711672E-5</v>
      </c>
      <c r="K67" s="73">
        <f t="shared" si="7"/>
        <v>5.0864693118830599E-7</v>
      </c>
      <c r="L67" s="73">
        <f t="shared" si="7"/>
        <v>0</v>
      </c>
      <c r="M67" s="73">
        <f t="shared" si="7"/>
        <v>3.3154861190883665E-9</v>
      </c>
      <c r="N67" s="73">
        <f t="shared" si="7"/>
        <v>7.6305930001302314E-7</v>
      </c>
      <c r="O67" s="73">
        <f t="shared" si="7"/>
        <v>0</v>
      </c>
      <c r="P67" s="73">
        <f t="shared" si="7"/>
        <v>1.7138049735249903E-6</v>
      </c>
      <c r="Q67" s="73">
        <f>SUMPRODUCT(Q57:Q65,$R57:$R65)</f>
        <v>9.0560810810810813E-7</v>
      </c>
      <c r="R67" s="138">
        <f>'Parameters, country spec'!E29</f>
        <v>7.0000000000000007E-2</v>
      </c>
      <c r="S67" s="138">
        <f>'Parameters, country spec'!E47</f>
        <v>0.03</v>
      </c>
    </row>
    <row r="68" spans="1:20" x14ac:dyDescent="0.3">
      <c r="A68" s="287"/>
      <c r="B68" s="288" t="s">
        <v>377</v>
      </c>
      <c r="C68" s="289"/>
      <c r="D68" s="290"/>
      <c r="E68" s="290"/>
      <c r="F68" s="293">
        <f>SUMPRODUCT(F54:F56,R54:R56)+SUMPRODUCT(F57:F67,R57:R67)/0.87</f>
        <v>4.7536630645446501E-4</v>
      </c>
      <c r="G68" s="293">
        <f>SUMPRODUCT(G54:G56,R54:R56)+SUMPRODUCT(G57:G67,R57:R67)/0.87</f>
        <v>1.399236276313636E-4</v>
      </c>
      <c r="H68" s="293">
        <f>SUMPRODUCT(H54:H56,R54:R56)+SUMPRODUCT(H57:H67,R57:R67)/0.87</f>
        <v>9.7883246699901002E-7</v>
      </c>
      <c r="I68" s="293">
        <f>SUMPRODUCT(I54:I56,R54:R56)+SUMPRODUCT(I57:I67,R57:R67)/0.87</f>
        <v>2.8180468722019907E-4</v>
      </c>
      <c r="J68" s="293">
        <f>SUMPRODUCT(J54:J56,R54:R56)+SUMPRODUCT(J57:J67,R57:R67)/0.87</f>
        <v>2.6515060923475059E-5</v>
      </c>
      <c r="K68" s="293">
        <f>SUMPRODUCT(K54:K56,R54:R56)+SUMPRODUCT(K57:K67,R57:R67)/0.87</f>
        <v>9.9135478391768516E-7</v>
      </c>
      <c r="L68" s="293">
        <f>SUMPRODUCT(L54:L56,R54:R56)+SUMPRODUCT(L57:L67,R57:R67)/0.87</f>
        <v>0</v>
      </c>
      <c r="M68" s="293">
        <f>SUMPRODUCT(M54:M56,R54:R56)+SUMPRODUCT(M57:M67,R57:R67)/0.87</f>
        <v>4.0776668361201747E-9</v>
      </c>
      <c r="N68" s="293">
        <f>SUMPRODUCT(N54:N56,R54:R56)+SUMPRODUCT(N57:N67,R57:R67)/0.87</f>
        <v>9.3847523105049972E-7</v>
      </c>
      <c r="O68" s="293">
        <f>SUMPRODUCT(O54:O56,R54:R56)+SUMPRODUCT(O57:O67,R57:R67)/0.87</f>
        <v>0</v>
      </c>
      <c r="P68" s="293">
        <f>SUMPRODUCT(P54:P56,R54:R56)+SUMPRODUCT(P57:P67,R57:R67)/0.87</f>
        <v>2.3073163363789572E-5</v>
      </c>
      <c r="Q68" s="293">
        <f>SUMPRODUCT(Q54:Q56,R54:R56)+SUMPRODUCT(Q57:Q67,R57:R67)/0.87</f>
        <v>1.1370271668343086E-6</v>
      </c>
      <c r="R68" s="294"/>
      <c r="S68" s="295"/>
    </row>
    <row r="69" spans="1:20" x14ac:dyDescent="0.3">
      <c r="A69" s="137"/>
      <c r="B69" s="23" t="s">
        <v>381</v>
      </c>
      <c r="C69" s="24"/>
      <c r="D69" s="93"/>
      <c r="E69" s="93"/>
      <c r="F69" s="28">
        <f>SUMPRODUCT(F54:F56,S54:S56)+SUMPRODUCT(F57:F67,S57:S67)/0.87</f>
        <v>4.362199714587077E-4</v>
      </c>
      <c r="G69" s="28">
        <f>SUMPRODUCT(G54:G56,S54:S56)+SUMPRODUCT(G57:G67,S57:S67)/0.87</f>
        <v>1.3507028700064167E-4</v>
      </c>
      <c r="H69" s="28">
        <f>SUMPRODUCT(H54:H56,S54:S56)+SUMPRODUCT(H57:H67,S57:S67)/0.87</f>
        <v>1.0033348691151681E-6</v>
      </c>
      <c r="I69" s="28">
        <f>SUMPRODUCT(I54:I56,S54:S56)+SUMPRODUCT(I57:I67,S57:S67)/0.87</f>
        <v>2.5013863433400699E-4</v>
      </c>
      <c r="J69" s="28">
        <f>SUMPRODUCT(J54:J56,S54:S56)+SUMPRODUCT(J57:J67,S57:S67)/0.87</f>
        <v>2.2559578256597762E-5</v>
      </c>
      <c r="K69" s="28">
        <f>SUMPRODUCT(K54:K56,S54:S56)+SUMPRODUCT(K57:K67,S57:S67)/0.87</f>
        <v>1.0275485901385902E-6</v>
      </c>
      <c r="L69" s="28">
        <f>SUMPRODUCT(L54:L56,S54:S56)+SUMPRODUCT(L57:L67,S57:S67)/0.87</f>
        <v>0</v>
      </c>
      <c r="M69" s="28">
        <f>SUMPRODUCT(M54:M56,S54:S56)+SUMPRODUCT(M57:M67,S57:S67)/0.87</f>
        <v>3.5465782021547226E-9</v>
      </c>
      <c r="N69" s="28">
        <f>SUMPRODUCT(N54:N56,S54:S56)+SUMPRODUCT(N57:N67,S57:S67)/0.87</f>
        <v>8.8665957383502044E-7</v>
      </c>
      <c r="O69" s="28">
        <f>SUMPRODUCT(O54:O56,S54:S56)+SUMPRODUCT(O57:O67,S57:S67)/0.87</f>
        <v>0</v>
      </c>
      <c r="P69" s="28">
        <f>SUMPRODUCT(P54:P56,S54:S56)+SUMPRODUCT(P57:P67,S57:S67)/0.87</f>
        <v>2.4701324685150974E-5</v>
      </c>
      <c r="Q69" s="28">
        <f>SUMPRODUCT(Q54:Q56,S54:S56)+SUMPRODUCT(Q57:Q67,S57:S67)/0.87</f>
        <v>8.2905757101927558E-7</v>
      </c>
      <c r="R69" s="139"/>
      <c r="S69" s="139"/>
    </row>
    <row r="70" spans="1:20" x14ac:dyDescent="0.3">
      <c r="B70" s="16" t="s">
        <v>152</v>
      </c>
      <c r="C70" s="15" t="s">
        <v>361</v>
      </c>
      <c r="D70" s="21" t="s">
        <v>23</v>
      </c>
      <c r="E70" s="21" t="s">
        <v>71</v>
      </c>
      <c r="F70" s="117">
        <f>SUM(G70:Q70)</f>
        <v>2.4069767531023409E-4</v>
      </c>
      <c r="G70" s="27">
        <f>'Forage crops, CF'!F31</f>
        <v>4.7791180802654258E-5</v>
      </c>
      <c r="H70" s="27">
        <f>'Forage crops, CF'!G31</f>
        <v>1.1000000000000001E-6</v>
      </c>
      <c r="I70" s="27">
        <f>'Forage crops, CF'!H31</f>
        <v>1.7407334076117382E-4</v>
      </c>
      <c r="J70" s="27">
        <f>'Forage crops, CF'!I31</f>
        <v>1.7407334076117384E-5</v>
      </c>
      <c r="K70" s="27">
        <f>'Forage crops, CF'!J31</f>
        <v>3.2581967028863559E-7</v>
      </c>
      <c r="L70" s="27">
        <f>'Forage crops, CF'!K31</f>
        <v>0</v>
      </c>
      <c r="M70" s="27">
        <f>'Forage crops, CF'!L31</f>
        <v>0</v>
      </c>
      <c r="N70" s="27">
        <f>'Forage crops, CF'!M31</f>
        <v>0</v>
      </c>
      <c r="O70" s="27">
        <f>'Forage crops, CF'!N31</f>
        <v>0</v>
      </c>
      <c r="P70" s="27">
        <f>'Forage crops, CF'!O31</f>
        <v>0</v>
      </c>
      <c r="Q70" s="27">
        <f>'Forage crops, CF'!P31</f>
        <v>0</v>
      </c>
      <c r="R70" s="138">
        <f>'Parameters, country spec'!F16</f>
        <v>0</v>
      </c>
      <c r="S70" s="138">
        <f>'Parameters, country spec'!F34</f>
        <v>0</v>
      </c>
      <c r="T70" s="18"/>
    </row>
    <row r="71" spans="1:20" x14ac:dyDescent="0.3">
      <c r="B71" s="16" t="s">
        <v>154</v>
      </c>
      <c r="C71" s="15" t="s">
        <v>361</v>
      </c>
      <c r="D71" s="21" t="s">
        <v>23</v>
      </c>
      <c r="E71" s="21" t="s">
        <v>71</v>
      </c>
      <c r="F71" s="117">
        <f>SUM(G71:Q71)</f>
        <v>3.6416434545226845E-4</v>
      </c>
      <c r="G71" s="27">
        <f>'Forage crops, CF'!F81</f>
        <v>6.346463293397086E-5</v>
      </c>
      <c r="H71" s="27">
        <f>'Forage crops, CF'!G81</f>
        <v>1.1000000000000001E-6</v>
      </c>
      <c r="I71" s="27">
        <f>'Forage crops, CF'!H81</f>
        <v>2.0990991304100756E-4</v>
      </c>
      <c r="J71" s="27">
        <f>'Forage crops, CF'!I81</f>
        <v>2.0990991304100757E-5</v>
      </c>
      <c r="K71" s="27">
        <f>'Forage crops, CF'!J81</f>
        <v>2.8999286758927875E-7</v>
      </c>
      <c r="L71" s="27"/>
      <c r="M71" s="27">
        <f>'Forage crops, CF'!L81</f>
        <v>3.0881530559999997E-7</v>
      </c>
      <c r="N71" s="27">
        <f>'Forage crops, CF'!M81</f>
        <v>0</v>
      </c>
      <c r="O71" s="27">
        <f>'Forage crops, CF'!N81</f>
        <v>0</v>
      </c>
      <c r="P71" s="27">
        <f>'Forage crops, CF'!O81</f>
        <v>6.8099999999999988E-5</v>
      </c>
      <c r="Q71" s="27"/>
      <c r="R71" s="138">
        <f>'Parameters, country spec'!F17</f>
        <v>0</v>
      </c>
      <c r="S71" s="138">
        <f>'Parameters, country spec'!F35</f>
        <v>0</v>
      </c>
      <c r="T71" s="18"/>
    </row>
    <row r="72" spans="1:20" x14ac:dyDescent="0.3">
      <c r="B72" s="16" t="s">
        <v>362</v>
      </c>
      <c r="C72" s="15" t="s">
        <v>361</v>
      </c>
      <c r="D72" s="21" t="s">
        <v>23</v>
      </c>
      <c r="E72" s="21" t="s">
        <v>71</v>
      </c>
      <c r="F72" s="117">
        <f>SUM(G72:Q72)</f>
        <v>2.1383456086826474E-4</v>
      </c>
      <c r="G72" s="27">
        <f>'Forage crops, CF'!F131*'Forage, input data per ha'!$E$72+'Forage crops, CF'!F181*'Forage, input data per ha'!$G$72</f>
        <v>2.5916582771406657E-5</v>
      </c>
      <c r="H72" s="27">
        <f>'Forage crops, CF'!G131*'Forage, input data per ha'!$E$72+'Forage crops, CF'!G181*'Forage, input data per ha'!$G$72</f>
        <v>1.1000000000000001E-6</v>
      </c>
      <c r="I72" s="27">
        <f>'Forage crops, CF'!H131*'Forage, input data per ha'!$E$72+'Forage crops, CF'!H181*'Forage, input data per ha'!$G$72</f>
        <v>1.0758798954216029E-4</v>
      </c>
      <c r="J72" s="27">
        <f>'Forage crops, CF'!I131*'Forage, input data per ha'!$E$72+'Forage crops, CF'!I181*'Forage, input data per ha'!$G$72</f>
        <v>1.0758798954216029E-5</v>
      </c>
      <c r="K72" s="27">
        <f>'Forage crops, CF'!J131*'Forage, input data per ha'!$E$72+'Forage crops, CF'!J181*'Forage, input data per ha'!$G$72</f>
        <v>3.7118960048178393E-7</v>
      </c>
      <c r="L72" s="27"/>
      <c r="M72" s="27">
        <f>'Forage crops, CF'!L131*'Forage, input data per ha'!$E$72+'Forage crops, CF'!L181*'Forage, input data per ha'!$G$72</f>
        <v>0</v>
      </c>
      <c r="N72" s="27">
        <f>'Forage crops, CF'!M131*'Forage, input data per ha'!$E$72+'Forage crops, CF'!M181*'Forage, input data per ha'!$G$72</f>
        <v>0</v>
      </c>
      <c r="O72" s="27">
        <f>'Forage crops, CF'!N131*'Forage, input data per ha'!$E$72+'Forage crops, CF'!N181*'Forage, input data per ha'!$G$72</f>
        <v>0</v>
      </c>
      <c r="P72" s="27">
        <f>'Forage crops, CF'!O131*'Forage, input data per ha'!$E$72+'Forage crops, CF'!O181*'Forage, input data per ha'!$G$72</f>
        <v>6.8099999999999988E-5</v>
      </c>
      <c r="Q72" s="27"/>
      <c r="R72" s="138">
        <f>'Parameters, country spec'!F18</f>
        <v>0.28000000000000003</v>
      </c>
      <c r="S72" s="138">
        <f>'Parameters, country spec'!F36</f>
        <v>0.3</v>
      </c>
      <c r="T72" s="18"/>
    </row>
    <row r="73" spans="1:20" x14ac:dyDescent="0.3">
      <c r="A73" s="20" t="s">
        <v>363</v>
      </c>
      <c r="B73" s="15" t="s">
        <v>159</v>
      </c>
      <c r="C73" s="15" t="s">
        <v>364</v>
      </c>
      <c r="D73" s="21" t="s">
        <v>23</v>
      </c>
      <c r="E73" s="21" t="s">
        <v>71</v>
      </c>
      <c r="F73" s="117">
        <f>SUM(G73:Q73)</f>
        <v>4.8181926000000002E-4</v>
      </c>
      <c r="G73" s="92">
        <v>1.8000000000000001E-4</v>
      </c>
      <c r="H73" s="92">
        <v>9.9999999999999995E-7</v>
      </c>
      <c r="I73" s="92">
        <v>2.7099999999999997E-4</v>
      </c>
      <c r="J73" s="92">
        <v>2.7100000000000001E-5</v>
      </c>
      <c r="K73" s="92">
        <v>1.2100000000000001E-6</v>
      </c>
      <c r="L73" s="92"/>
      <c r="M73" s="92">
        <v>9.2599999999999999E-9</v>
      </c>
      <c r="N73" s="92">
        <v>1.5E-6</v>
      </c>
      <c r="O73" s="92"/>
      <c r="P73" s="92"/>
      <c r="Q73" s="92"/>
      <c r="R73" s="138">
        <f>'Parameters, country spec'!F19</f>
        <v>0.16</v>
      </c>
      <c r="S73" s="138">
        <f>'Parameters, country spec'!F37</f>
        <v>0.2</v>
      </c>
    </row>
    <row r="74" spans="1:20" x14ac:dyDescent="0.3">
      <c r="A74" s="20" t="s">
        <v>365</v>
      </c>
      <c r="B74" s="15" t="s">
        <v>161</v>
      </c>
      <c r="C74" s="15" t="s">
        <v>364</v>
      </c>
      <c r="D74" s="21" t="s">
        <v>23</v>
      </c>
      <c r="E74" s="21" t="s">
        <v>71</v>
      </c>
      <c r="F74" s="117">
        <f t="shared" ref="F74:F83" si="8">SUM(G74:Q74)</f>
        <v>4.1529099999999998E-4</v>
      </c>
      <c r="G74" s="92">
        <v>1.7000000000000001E-4</v>
      </c>
      <c r="H74" s="92">
        <v>9.9999999999999995E-7</v>
      </c>
      <c r="I74" s="92">
        <v>2.2000000000000001E-4</v>
      </c>
      <c r="J74" s="92">
        <v>2.1999999999999999E-5</v>
      </c>
      <c r="K74" s="92">
        <v>4.82E-7</v>
      </c>
      <c r="L74" s="92"/>
      <c r="M74" s="92">
        <v>3.0899999999999997E-7</v>
      </c>
      <c r="N74" s="92">
        <v>1.5E-6</v>
      </c>
      <c r="O74" s="92"/>
      <c r="P74" s="92"/>
      <c r="Q74" s="92"/>
      <c r="R74" s="138">
        <f>'Parameters, country spec'!F20</f>
        <v>3.1075970320211814E-4</v>
      </c>
      <c r="S74" s="138">
        <f>'Parameters, country spec'!F38</f>
        <v>3.1075970320211814E-4</v>
      </c>
    </row>
    <row r="75" spans="1:20" x14ac:dyDescent="0.3">
      <c r="A75" s="20" t="s">
        <v>366</v>
      </c>
      <c r="B75" s="15" t="s">
        <v>163</v>
      </c>
      <c r="C75" s="15" t="s">
        <v>364</v>
      </c>
      <c r="D75" s="21" t="s">
        <v>23</v>
      </c>
      <c r="E75" s="21" t="s">
        <v>71</v>
      </c>
      <c r="F75" s="117">
        <f t="shared" si="8"/>
        <v>4.0906299999999993E-4</v>
      </c>
      <c r="G75" s="92">
        <v>1.4999999999999999E-4</v>
      </c>
      <c r="H75" s="92">
        <v>9.9999999999999995E-7</v>
      </c>
      <c r="I75" s="92">
        <v>2.31E-4</v>
      </c>
      <c r="J75" s="92">
        <v>2.3099999999999999E-5</v>
      </c>
      <c r="K75" s="92">
        <v>2.12E-6</v>
      </c>
      <c r="L75" s="92"/>
      <c r="M75" s="92">
        <v>3.4299999999999999E-7</v>
      </c>
      <c r="N75" s="92">
        <v>1.5E-6</v>
      </c>
      <c r="O75" s="92"/>
      <c r="P75" s="92"/>
      <c r="Q75" s="92"/>
      <c r="R75" s="138">
        <f>'Parameters, country spec'!F21</f>
        <v>8.6733359151412953E-5</v>
      </c>
      <c r="S75" s="138">
        <f>'Parameters, country spec'!F39</f>
        <v>8.6733359151412953E-5</v>
      </c>
    </row>
    <row r="76" spans="1:20" x14ac:dyDescent="0.3">
      <c r="A76" s="20" t="s">
        <v>367</v>
      </c>
      <c r="B76" s="15" t="s">
        <v>165</v>
      </c>
      <c r="C76" s="15" t="s">
        <v>364</v>
      </c>
      <c r="D76" s="21" t="s">
        <v>23</v>
      </c>
      <c r="E76" s="21" t="s">
        <v>71</v>
      </c>
      <c r="F76" s="117">
        <f t="shared" si="8"/>
        <v>3.7724239999999999E-4</v>
      </c>
      <c r="G76" s="92">
        <v>1.3999999999999999E-4</v>
      </c>
      <c r="H76" s="92">
        <v>9.9999999999999995E-7</v>
      </c>
      <c r="I76" s="92">
        <v>2.12E-4</v>
      </c>
      <c r="J76" s="92">
        <v>2.12E-5</v>
      </c>
      <c r="K76" s="92">
        <v>1.53E-6</v>
      </c>
      <c r="L76" s="92"/>
      <c r="M76" s="92">
        <v>1.24E-8</v>
      </c>
      <c r="N76" s="92">
        <v>1.5E-6</v>
      </c>
      <c r="O76" s="92"/>
      <c r="P76" s="92"/>
      <c r="Q76" s="92"/>
      <c r="R76" s="138">
        <f>'Parameters, country spec'!F22</f>
        <v>6.2924072151971947E-5</v>
      </c>
      <c r="S76" s="138">
        <f>'Parameters, country spec'!F40</f>
        <v>6.2924072151971947E-5</v>
      </c>
    </row>
    <row r="77" spans="1:20" x14ac:dyDescent="0.3">
      <c r="A77" s="20" t="s">
        <v>368</v>
      </c>
      <c r="B77" s="15" t="s">
        <v>167</v>
      </c>
      <c r="C77" s="15" t="s">
        <v>364</v>
      </c>
      <c r="D77" s="21" t="s">
        <v>23</v>
      </c>
      <c r="E77" s="21" t="s">
        <v>71</v>
      </c>
      <c r="F77" s="117">
        <f t="shared" si="8"/>
        <v>4.9865180000000008E-4</v>
      </c>
      <c r="G77" s="92">
        <v>2.0000000000000001E-4</v>
      </c>
      <c r="H77" s="92">
        <v>9.9999999999999995E-7</v>
      </c>
      <c r="I77" s="92">
        <v>2.6800000000000001E-4</v>
      </c>
      <c r="J77" s="92">
        <v>2.6800000000000001E-5</v>
      </c>
      <c r="K77" s="92">
        <v>1.2899999999999999E-6</v>
      </c>
      <c r="L77" s="92"/>
      <c r="M77" s="92">
        <v>6.1799999999999998E-8</v>
      </c>
      <c r="N77" s="92">
        <v>1.5E-6</v>
      </c>
      <c r="O77" s="92"/>
      <c r="P77" s="92"/>
      <c r="Q77" s="92"/>
      <c r="R77" s="138">
        <f>'Parameters, country spec'!F23</f>
        <v>0.20500000000000002</v>
      </c>
      <c r="S77" s="138">
        <f>'Parameters, country spec'!F41</f>
        <v>0.2</v>
      </c>
    </row>
    <row r="78" spans="1:20" x14ac:dyDescent="0.3">
      <c r="A78" s="20" t="s">
        <v>369</v>
      </c>
      <c r="B78" s="15" t="s">
        <v>168</v>
      </c>
      <c r="C78" s="15" t="s">
        <v>370</v>
      </c>
      <c r="D78" s="21" t="s">
        <v>23</v>
      </c>
      <c r="E78" s="21" t="s">
        <v>71</v>
      </c>
      <c r="F78" s="117">
        <f t="shared" si="8"/>
        <v>1.7349010000000003E-4</v>
      </c>
      <c r="G78" s="92">
        <v>0</v>
      </c>
      <c r="H78" s="92">
        <v>9.9999999999999995E-7</v>
      </c>
      <c r="I78" s="92">
        <v>1.54E-4</v>
      </c>
      <c r="J78" s="92">
        <v>1.5400000000000002E-5</v>
      </c>
      <c r="K78" s="92">
        <v>1.55E-6</v>
      </c>
      <c r="L78" s="92"/>
      <c r="M78" s="92">
        <v>4.0100000000000002E-8</v>
      </c>
      <c r="N78" s="92">
        <v>1.5E-6</v>
      </c>
      <c r="O78" s="92"/>
      <c r="P78" s="92"/>
      <c r="Q78" s="92"/>
      <c r="R78" s="138">
        <f>'Parameters, country spec'!F24</f>
        <v>2.439015630520557E-4</v>
      </c>
      <c r="S78" s="138">
        <f>'Parameters, country spec'!F42</f>
        <v>2.439015630520557E-4</v>
      </c>
    </row>
    <row r="79" spans="1:20" x14ac:dyDescent="0.3">
      <c r="A79" s="20" t="s">
        <v>371</v>
      </c>
      <c r="B79" s="15" t="s">
        <v>170</v>
      </c>
      <c r="C79" s="15" t="s">
        <v>370</v>
      </c>
      <c r="D79" s="21" t="s">
        <v>23</v>
      </c>
      <c r="E79" s="21" t="s">
        <v>71</v>
      </c>
      <c r="F79" s="117">
        <f t="shared" si="8"/>
        <v>1.8834240000000001E-4</v>
      </c>
      <c r="G79" s="92">
        <v>8.6000000000000007E-6</v>
      </c>
      <c r="H79" s="92">
        <v>9.9999999999999995E-7</v>
      </c>
      <c r="I79" s="92">
        <v>1.5899999999999999E-4</v>
      </c>
      <c r="J79" s="92">
        <v>1.59E-5</v>
      </c>
      <c r="K79" s="92">
        <v>2.3300000000000001E-6</v>
      </c>
      <c r="L79" s="92"/>
      <c r="M79" s="92">
        <v>1.24E-8</v>
      </c>
      <c r="N79" s="92">
        <v>1.5E-6</v>
      </c>
      <c r="O79" s="92"/>
      <c r="P79" s="92"/>
      <c r="Q79" s="92"/>
      <c r="R79" s="138">
        <f>'Parameters, country spec'!F25</f>
        <v>2.3959170998341588E-4</v>
      </c>
      <c r="S79" s="138">
        <f>'Parameters, country spec'!F43</f>
        <v>2.3959170998341588E-4</v>
      </c>
    </row>
    <row r="80" spans="1:20" x14ac:dyDescent="0.3">
      <c r="B80" s="16" t="s">
        <v>171</v>
      </c>
      <c r="C80" s="15" t="s">
        <v>372</v>
      </c>
      <c r="D80" s="21" t="s">
        <v>23</v>
      </c>
      <c r="E80" s="21" t="s">
        <v>71</v>
      </c>
      <c r="F80" s="117">
        <f t="shared" si="8"/>
        <v>1.5426052012212825E-3</v>
      </c>
      <c r="G80" s="32">
        <f>'Off-farm feed'!$F$77</f>
        <v>3.5160526410462907E-4</v>
      </c>
      <c r="H80" s="32">
        <f>'Off-farm feed'!$G$77</f>
        <v>5.3103448275862083E-7</v>
      </c>
      <c r="I80" s="32">
        <f>'Off-farm feed'!$H$77</f>
        <v>1.0756102664162708E-3</v>
      </c>
      <c r="J80" s="32">
        <f>'Off-farm feed'!$I$77</f>
        <v>1.0756102664162706E-4</v>
      </c>
      <c r="K80" s="32">
        <f>'Off-farm feed'!$J$77</f>
        <v>6.6339607025480414E-7</v>
      </c>
      <c r="L80" s="32"/>
      <c r="M80" s="32">
        <f>'Off-farm feed'!$L$77</f>
        <v>7.9511067188965511E-9</v>
      </c>
      <c r="N80" s="32">
        <f>'Off-farm feed'!$M$77</f>
        <v>1.2789681892721844E-6</v>
      </c>
      <c r="O80" s="32"/>
      <c r="P80" s="32">
        <f>'Off-farm feed'!$O$77</f>
        <v>4.8776996151562902E-6</v>
      </c>
      <c r="Q80" s="32">
        <f>'Off-farm feed'!$P$77</f>
        <v>4.6959459459459463E-7</v>
      </c>
      <c r="R80" s="138">
        <f>'Parameters, country spec'!F26</f>
        <v>0.09</v>
      </c>
      <c r="S80" s="138">
        <f>'Parameters, country spec'!F44</f>
        <v>0.06</v>
      </c>
    </row>
    <row r="81" spans="1:20" x14ac:dyDescent="0.3">
      <c r="B81" s="16" t="s">
        <v>373</v>
      </c>
      <c r="C81" s="15" t="s">
        <v>372</v>
      </c>
      <c r="D81" s="21" t="s">
        <v>23</v>
      </c>
      <c r="E81" s="21" t="s">
        <v>71</v>
      </c>
      <c r="F81" s="117">
        <f t="shared" si="8"/>
        <v>1.8866346644602505E-4</v>
      </c>
      <c r="G81" s="32">
        <f>'Off-farm feed'!$F$26</f>
        <v>1.6332109719061441E-5</v>
      </c>
      <c r="H81" s="32">
        <f>'Off-farm feed'!$G$26</f>
        <v>8.7195121951219526E-7</v>
      </c>
      <c r="I81" s="32">
        <f>'Off-farm feed'!$H$26</f>
        <v>1.3333449845358202E-4</v>
      </c>
      <c r="J81" s="32">
        <f>'Off-farm feed'!$I$26</f>
        <v>1.3333449845358203E-5</v>
      </c>
      <c r="K81" s="32">
        <f>'Off-farm feed'!$J$26</f>
        <v>1.1576736579983931E-6</v>
      </c>
      <c r="L81" s="32"/>
      <c r="M81" s="32">
        <f>'Off-farm feed'!$L$26</f>
        <v>7.3437786087804866E-9</v>
      </c>
      <c r="N81" s="32">
        <f>'Off-farm feed'!$M$26</f>
        <v>1.1195281639512197E-6</v>
      </c>
      <c r="O81" s="32"/>
      <c r="P81" s="32">
        <f>'Off-farm feed'!$O$26</f>
        <v>1.3419073770114991E-5</v>
      </c>
      <c r="Q81" s="32">
        <f>'Off-farm feed'!$P$26</f>
        <v>9.087837837837838E-6</v>
      </c>
      <c r="R81" s="138">
        <f>'Parameters, country spec'!F27</f>
        <v>9.5000000000000001E-2</v>
      </c>
      <c r="S81" s="138">
        <f>'Parameters, country spec'!F45</f>
        <v>7.0000000000000007E-2</v>
      </c>
    </row>
    <row r="82" spans="1:20" x14ac:dyDescent="0.3">
      <c r="B82" s="15" t="s">
        <v>173</v>
      </c>
      <c r="C82" s="15" t="s">
        <v>374</v>
      </c>
      <c r="D82" s="21" t="s">
        <v>23</v>
      </c>
      <c r="E82" s="21" t="s">
        <v>71</v>
      </c>
      <c r="F82" s="354">
        <f t="shared" si="8"/>
        <v>3.3417879443169461E-4</v>
      </c>
      <c r="G82" s="92">
        <v>1.0458801320869801E-4</v>
      </c>
      <c r="H82" s="92">
        <v>5.7637696335078501E-7</v>
      </c>
      <c r="I82" s="92">
        <v>2.0689750580614601E-4</v>
      </c>
      <c r="K82" s="92">
        <v>1.3687022202079601E-6</v>
      </c>
      <c r="N82" s="12"/>
      <c r="O82" s="12"/>
      <c r="P82" s="92">
        <v>1.8648447718521899E-5</v>
      </c>
      <c r="Q82" s="92">
        <v>2.0997485147699699E-6</v>
      </c>
      <c r="R82" s="138">
        <f>'Parameters, country spec'!F28</f>
        <v>9.5000000000000001E-2</v>
      </c>
      <c r="S82" s="138">
        <f>'Parameters, country spec'!F46</f>
        <v>0.14000000000000001</v>
      </c>
    </row>
    <row r="83" spans="1:20" x14ac:dyDescent="0.3">
      <c r="A83" s="74"/>
      <c r="B83" s="15" t="s">
        <v>375</v>
      </c>
      <c r="C83" s="75" t="s">
        <v>376</v>
      </c>
      <c r="D83" s="21" t="s">
        <v>23</v>
      </c>
      <c r="E83" s="21" t="s">
        <v>71</v>
      </c>
      <c r="F83" s="117">
        <f t="shared" si="8"/>
        <v>3.3634791055052373E-4</v>
      </c>
      <c r="G83" s="73">
        <f>SUMPRODUCT(G73:G81,$R73:$R81)</f>
        <v>1.0307273320495166E-4</v>
      </c>
      <c r="H83" s="73">
        <f t="shared" ref="H83:P83" si="9">SUMPRODUCT(H73:H81,$R73:$R81)</f>
        <v>4.9657237970947544E-7</v>
      </c>
      <c r="I83" s="73">
        <f t="shared" si="9"/>
        <v>2.0794909969711672E-4</v>
      </c>
      <c r="J83" s="73">
        <f t="shared" si="9"/>
        <v>2.0794909969711671E-5</v>
      </c>
      <c r="K83" s="73">
        <f t="shared" si="9"/>
        <v>6.2910087466850872E-7</v>
      </c>
      <c r="L83" s="73">
        <f t="shared" si="9"/>
        <v>0</v>
      </c>
      <c r="M83" s="73">
        <f t="shared" si="9"/>
        <v>1.5703164511390091E-8</v>
      </c>
      <c r="N83" s="73">
        <f t="shared" si="9"/>
        <v>7.7037817822117396E-7</v>
      </c>
      <c r="O83" s="73">
        <f t="shared" si="9"/>
        <v>0</v>
      </c>
      <c r="P83" s="73">
        <f t="shared" si="9"/>
        <v>1.7138049735249903E-6</v>
      </c>
      <c r="Q83" s="73">
        <f>SUMPRODUCT(Q73:Q81,$R73:$R81)</f>
        <v>9.0560810810810813E-7</v>
      </c>
      <c r="R83" s="138">
        <f>'Parameters, country spec'!F29</f>
        <v>7.0000000000000007E-2</v>
      </c>
      <c r="S83" s="138">
        <f>'Parameters, country spec'!F47</f>
        <v>0.03</v>
      </c>
    </row>
    <row r="84" spans="1:20" x14ac:dyDescent="0.3">
      <c r="A84" s="287"/>
      <c r="B84" s="288" t="s">
        <v>377</v>
      </c>
      <c r="C84" s="289"/>
      <c r="D84" s="290"/>
      <c r="E84" s="290"/>
      <c r="F84" s="293">
        <f>SUMPRODUCT(F70:F72,R70:R72)+SUMPRODUCT(F73:F83,R73:R83)/0.87</f>
        <v>5.1003373423859854E-4</v>
      </c>
      <c r="G84" s="293">
        <f>SUMPRODUCT(G70:G72,R70:R72)+SUMPRODUCT(G73:G83,R73:R83)/0.87</f>
        <v>1.4544478775544741E-4</v>
      </c>
      <c r="H84" s="293">
        <f>SUMPRODUCT(H70:H72,R70:R72)+SUMPRODUCT(H73:H83,R73:R83)/0.87</f>
        <v>9.8166466414650959E-7</v>
      </c>
      <c r="I84" s="293">
        <f>SUMPRODUCT(I70:I72,R70:R72)+SUMPRODUCT(I73:I83,R73:R83)/0.87</f>
        <v>3.0847038388502184E-4</v>
      </c>
      <c r="J84" s="293">
        <f>SUMPRODUCT(J70:J72,R70:R72)+SUMPRODUCT(J73:J83,R73:R83)/0.87</f>
        <v>2.8587812750389094E-5</v>
      </c>
      <c r="K84" s="293">
        <f>SUMPRODUCT(K70:K72,R70:R72)+SUMPRODUCT(K73:K83,R73:R83)/0.87</f>
        <v>1.0271108430947391E-6</v>
      </c>
      <c r="L84" s="293">
        <f>SUMPRODUCT(L70:L72,R70:R72)+SUMPRODUCT(L73:L83,R73:R83)/0.87</f>
        <v>0</v>
      </c>
      <c r="M84" s="293">
        <f>SUMPRODUCT(M70:M72,R70:R72)+SUMPRODUCT(M73:M83,R73:R83)/0.87</f>
        <v>1.9313087387571721E-8</v>
      </c>
      <c r="N84" s="293">
        <f>SUMPRODUCT(N70:N72,R70:R72)+SUMPRODUCT(N73:N83,R73:R83)/0.87</f>
        <v>9.4747660999615648E-7</v>
      </c>
      <c r="O84" s="293">
        <f>SUMPRODUCT(O70:O72,R70:R72)+SUMPRODUCT(O73:O83,R73:R83)/0.87</f>
        <v>0</v>
      </c>
      <c r="P84" s="293">
        <f>SUMPRODUCT(P70:P72,R70:R72)+SUMPRODUCT(P73:P83,R73:R83)/0.87</f>
        <v>2.32121078792314E-5</v>
      </c>
      <c r="Q84" s="293">
        <f>SUMPRODUCT(Q70:Q72,R70:R72)+SUMPRODUCT(Q73:Q83,R73:R83)/0.87</f>
        <v>1.3430767638837042E-6</v>
      </c>
      <c r="R84" s="294"/>
      <c r="S84" s="295"/>
    </row>
    <row r="85" spans="1:20" x14ac:dyDescent="0.3">
      <c r="A85" s="137"/>
      <c r="B85" s="23" t="s">
        <v>381</v>
      </c>
      <c r="C85" s="24"/>
      <c r="D85" s="93"/>
      <c r="E85" s="93"/>
      <c r="F85" s="28">
        <f>SUMPRODUCT(F70:F72,S70:S72)+SUMPRODUCT(F73:F83,S73:S83)/0.87</f>
        <v>4.7680341169690192E-4</v>
      </c>
      <c r="G85" s="28">
        <f>SUMPRODUCT(G70:G72,S70:S72)+SUMPRODUCT(G73:G83,S73:S83)/0.87</f>
        <v>1.4116667182475826E-4</v>
      </c>
      <c r="H85" s="28">
        <f>SUMPRODUCT(H70:H72,S70:S72)+SUMPRODUCT(H73:H83,S73:S83)/0.87</f>
        <v>1.0075086333325356E-6</v>
      </c>
      <c r="I85" s="28">
        <f>SUMPRODUCT(I70:I72,S70:S72)+SUMPRODUCT(I73:I83,S73:S83)/0.87</f>
        <v>2.8176094059490436E-4</v>
      </c>
      <c r="J85" s="28">
        <f>SUMPRODUCT(J70:J72,S70:S72)+SUMPRODUCT(J73:J83,S73:S83)/0.87</f>
        <v>2.4846708908586939E-5</v>
      </c>
      <c r="K85" s="28">
        <f>SUMPRODUCT(K70:K72,S70:S72)+SUMPRODUCT(K73:K83,S73:S83)/0.87</f>
        <v>1.0684815792020919E-6</v>
      </c>
      <c r="L85" s="28">
        <f>SUMPRODUCT(L70:L72,S70:S72)+SUMPRODUCT(L73:L83,S73:S83)/0.87</f>
        <v>0</v>
      </c>
      <c r="M85" s="28">
        <f>SUMPRODUCT(M70:M72,S70:S72)+SUMPRODUCT(M73:M83,S73:S83)/0.87</f>
        <v>1.8176473310282051E-8</v>
      </c>
      <c r="N85" s="28">
        <f>SUMPRODUCT(N70:N72,S70:S72)+SUMPRODUCT(N73:N83,S73:S83)/0.87</f>
        <v>8.9612905033432551E-7</v>
      </c>
      <c r="O85" s="28">
        <f>SUMPRODUCT(O70:O72,S70:S72)+SUMPRODUCT(O73:O83,S73:S83)/0.87</f>
        <v>0</v>
      </c>
      <c r="P85" s="28">
        <f>SUMPRODUCT(P70:P72,S70:S72)+SUMPRODUCT(P73:P83,S73:S83)/0.87</f>
        <v>2.4906085023696825E-5</v>
      </c>
      <c r="Q85" s="28">
        <f>SUMPRODUCT(Q70:Q72,S70:S72)+SUMPRODUCT(Q73:Q83,S73:S83)/0.87</f>
        <v>1.13270960877628E-6</v>
      </c>
      <c r="R85" s="139"/>
      <c r="S85" s="139"/>
    </row>
    <row r="86" spans="1:20" x14ac:dyDescent="0.3">
      <c r="B86" s="16" t="s">
        <v>152</v>
      </c>
      <c r="C86" s="15" t="s">
        <v>361</v>
      </c>
      <c r="D86" s="21" t="s">
        <v>20</v>
      </c>
      <c r="E86" s="21" t="s">
        <v>72</v>
      </c>
      <c r="F86" s="117">
        <f>SUM(G86:Q86)</f>
        <v>9.6094274791355889E-4</v>
      </c>
      <c r="G86" s="27">
        <f>'Forage crops, CF'!F36</f>
        <v>2.1356678801743158E-4</v>
      </c>
      <c r="H86" s="27">
        <f>'Forage crops, CF'!G36</f>
        <v>1.1000000000000001E-6</v>
      </c>
      <c r="I86" s="27">
        <f>'Forage crops, CF'!H36</f>
        <v>6.7792943235542443E-4</v>
      </c>
      <c r="J86" s="27">
        <f>'Forage crops, CF'!I36</f>
        <v>6.7792943235542451E-5</v>
      </c>
      <c r="K86" s="27">
        <f>'Forage crops, CF'!J36</f>
        <v>5.5358430516045113E-7</v>
      </c>
      <c r="L86" s="27">
        <f>'Forage crops, CF'!K36</f>
        <v>0</v>
      </c>
      <c r="M86" s="27">
        <f>'Forage crops, CF'!L36</f>
        <v>0</v>
      </c>
      <c r="N86" s="27">
        <f>'Forage crops, CF'!M36</f>
        <v>0</v>
      </c>
      <c r="O86" s="27">
        <f>'Forage crops, CF'!N36</f>
        <v>0</v>
      </c>
      <c r="P86" s="27">
        <f>'Forage crops, CF'!O36</f>
        <v>0</v>
      </c>
      <c r="Q86" s="27">
        <f>'Forage crops, CF'!P36</f>
        <v>0</v>
      </c>
      <c r="R86" s="138">
        <f>'Parameters, country spec'!G16</f>
        <v>0</v>
      </c>
      <c r="S86" s="138">
        <f>'Parameters, country spec'!G34</f>
        <v>0</v>
      </c>
      <c r="T86" s="18"/>
    </row>
    <row r="87" spans="1:20" x14ac:dyDescent="0.3">
      <c r="B87" s="16" t="s">
        <v>154</v>
      </c>
      <c r="C87" s="15" t="s">
        <v>361</v>
      </c>
      <c r="D87" s="21" t="s">
        <v>20</v>
      </c>
      <c r="E87" s="21" t="s">
        <v>72</v>
      </c>
      <c r="F87" s="117">
        <f>SUM(G87:Q87)</f>
        <v>9.9724674917397383E-5</v>
      </c>
      <c r="G87" s="27">
        <f>'Forage crops, CF'!F86</f>
        <v>2.5946633376167656E-6</v>
      </c>
      <c r="H87" s="27">
        <f>'Forage crops, CF'!G86</f>
        <v>1.1000000000000001E-6</v>
      </c>
      <c r="I87" s="27">
        <f>'Forage crops, CF'!H86</f>
        <v>2.4902567922105637E-5</v>
      </c>
      <c r="J87" s="27">
        <f>'Forage crops, CF'!I86</f>
        <v>2.490256792210564E-6</v>
      </c>
      <c r="K87" s="27">
        <f>'Forage crops, CF'!J86</f>
        <v>3.466766452157641E-7</v>
      </c>
      <c r="L87" s="27"/>
      <c r="M87" s="27">
        <f>'Forage crops, CF'!L86</f>
        <v>1.905102202486717E-7</v>
      </c>
      <c r="N87" s="27">
        <f>'Forage crops, CF'!M86</f>
        <v>0</v>
      </c>
      <c r="O87" s="27">
        <f>'Forage crops, CF'!N86</f>
        <v>0</v>
      </c>
      <c r="P87" s="27">
        <f>'Forage crops, CF'!O86</f>
        <v>6.8099999999999988E-5</v>
      </c>
      <c r="Q87" s="27"/>
      <c r="R87" s="138">
        <f>'Parameters, country spec'!G17</f>
        <v>0</v>
      </c>
      <c r="S87" s="138">
        <f>'Parameters, country spec'!G35</f>
        <v>0</v>
      </c>
      <c r="T87" s="18"/>
    </row>
    <row r="88" spans="1:20" x14ac:dyDescent="0.3">
      <c r="B88" s="16" t="s">
        <v>362</v>
      </c>
      <c r="C88" s="15" t="s">
        <v>361</v>
      </c>
      <c r="D88" s="21" t="s">
        <v>20</v>
      </c>
      <c r="E88" s="21" t="s">
        <v>72</v>
      </c>
      <c r="F88" s="117">
        <f>SUM(G88:Q88)</f>
        <v>9.0323206495958579E-4</v>
      </c>
      <c r="G88" s="27">
        <f>'Forage crops, CF'!F136*'Forage, input data per ha'!$E$73+'Forage crops, CF'!F186*'Forage, input data per ha'!$G$73</f>
        <v>1.846039161452204E-4</v>
      </c>
      <c r="H88" s="27">
        <f>'Forage crops, CF'!G136*'Forage, input data per ha'!$E$73+'Forage crops, CF'!G186*'Forage, input data per ha'!$G$73</f>
        <v>1.1000000000000001E-6</v>
      </c>
      <c r="I88" s="27">
        <f>'Forage crops, CF'!H136*'Forage, input data per ha'!$E$73+'Forage crops, CF'!H186*'Forage, input data per ha'!$G$73</f>
        <v>5.8990007949670932E-4</v>
      </c>
      <c r="J88" s="27">
        <f>'Forage crops, CF'!I136*'Forage, input data per ha'!$E$73+'Forage crops, CF'!I186*'Forage, input data per ha'!$G$73</f>
        <v>5.8990007949670947E-5</v>
      </c>
      <c r="K88" s="27">
        <f>'Forage crops, CF'!J136*'Forage, input data per ha'!$E$73+'Forage crops, CF'!J186*'Forage, input data per ha'!$G$73</f>
        <v>5.3806136798514423E-7</v>
      </c>
      <c r="L88" s="27"/>
      <c r="M88" s="27">
        <f>'Forage crops, CF'!L136*'Forage, input data per ha'!$E$73+'Forage crops, CF'!L186*'Forage, input data per ha'!$G$73</f>
        <v>0</v>
      </c>
      <c r="N88" s="27">
        <f>'Forage crops, CF'!M136*'Forage, input data per ha'!$E$73+'Forage crops, CF'!M186*'Forage, input data per ha'!$G$73</f>
        <v>0</v>
      </c>
      <c r="O88" s="27">
        <f>'Forage crops, CF'!N136*'Forage, input data per ha'!$E$73+'Forage crops, CF'!N186*'Forage, input data per ha'!$G$73</f>
        <v>0</v>
      </c>
      <c r="P88" s="27">
        <f>'Forage crops, CF'!O136*'Forage, input data per ha'!$E$73+'Forage crops, CF'!O186*'Forage, input data per ha'!$G$73</f>
        <v>6.8099999999999975E-5</v>
      </c>
      <c r="Q88" s="27"/>
      <c r="R88" s="138">
        <f>'Parameters, country spec'!G18</f>
        <v>0.28000000000000003</v>
      </c>
      <c r="S88" s="138">
        <f>'Parameters, country spec'!G36</f>
        <v>0.3</v>
      </c>
      <c r="T88" s="18"/>
    </row>
    <row r="89" spans="1:20" x14ac:dyDescent="0.3">
      <c r="A89" s="20" t="s">
        <v>363</v>
      </c>
      <c r="B89" s="15" t="s">
        <v>159</v>
      </c>
      <c r="C89" s="15" t="s">
        <v>364</v>
      </c>
      <c r="D89" s="21" t="s">
        <v>20</v>
      </c>
      <c r="E89" s="21" t="s">
        <v>72</v>
      </c>
      <c r="F89" s="117">
        <f>SUM(G89:Q89)</f>
        <v>8.3892959999999996E-4</v>
      </c>
      <c r="G89" s="92">
        <v>1.8000000000000001E-4</v>
      </c>
      <c r="H89" s="92">
        <v>9.9999999999999995E-7</v>
      </c>
      <c r="I89" s="92">
        <v>5.9599999999999996E-4</v>
      </c>
      <c r="J89" s="92">
        <v>5.9599999999999999E-5</v>
      </c>
      <c r="K89" s="92">
        <v>7.3799999999999996E-7</v>
      </c>
      <c r="L89" s="92"/>
      <c r="M89" s="92">
        <v>2.1600000000000002E-8</v>
      </c>
      <c r="N89" s="92">
        <v>1.57E-6</v>
      </c>
      <c r="O89" s="92"/>
      <c r="P89" s="92"/>
      <c r="Q89" s="92"/>
      <c r="R89" s="138">
        <f>'Parameters, country spec'!G19</f>
        <v>0.16</v>
      </c>
      <c r="S89" s="138">
        <f>'Parameters, country spec'!G37</f>
        <v>0.2</v>
      </c>
    </row>
    <row r="90" spans="1:20" x14ac:dyDescent="0.3">
      <c r="A90" s="20" t="s">
        <v>365</v>
      </c>
      <c r="B90" s="15" t="s">
        <v>161</v>
      </c>
      <c r="C90" s="15" t="s">
        <v>364</v>
      </c>
      <c r="D90" s="21" t="s">
        <v>20</v>
      </c>
      <c r="E90" s="21" t="s">
        <v>72</v>
      </c>
      <c r="F90" s="117">
        <f t="shared" ref="F90:F99" si="10">SUM(G90:Q90)</f>
        <v>8.0910399999999994E-4</v>
      </c>
      <c r="G90" s="92">
        <v>1.7000000000000001E-4</v>
      </c>
      <c r="H90" s="92">
        <v>9.9999999999999995E-7</v>
      </c>
      <c r="I90" s="92">
        <v>5.7799999999999995E-4</v>
      </c>
      <c r="J90" s="92">
        <v>5.7800000000000002E-5</v>
      </c>
      <c r="K90" s="92">
        <v>5.3600000000000004E-7</v>
      </c>
      <c r="L90" s="92"/>
      <c r="M90" s="92">
        <v>1.98E-7</v>
      </c>
      <c r="N90" s="92">
        <v>1.57E-6</v>
      </c>
      <c r="O90" s="92"/>
      <c r="P90" s="92"/>
      <c r="Q90" s="92"/>
      <c r="R90" s="138">
        <f>'Parameters, country spec'!G20</f>
        <v>3.1075970320211814E-4</v>
      </c>
      <c r="S90" s="138">
        <f>'Parameters, country spec'!G38</f>
        <v>3.1075970320211814E-4</v>
      </c>
    </row>
    <row r="91" spans="1:20" x14ac:dyDescent="0.3">
      <c r="A91" s="20" t="s">
        <v>366</v>
      </c>
      <c r="B91" s="15" t="s">
        <v>163</v>
      </c>
      <c r="C91" s="15" t="s">
        <v>364</v>
      </c>
      <c r="D91" s="21" t="s">
        <v>20</v>
      </c>
      <c r="E91" s="21" t="s">
        <v>72</v>
      </c>
      <c r="F91" s="117">
        <f t="shared" si="10"/>
        <v>7.7184899999999991E-4</v>
      </c>
      <c r="G91" s="92">
        <v>1.4999999999999999E-4</v>
      </c>
      <c r="H91" s="92">
        <v>9.9999999999999995E-7</v>
      </c>
      <c r="I91" s="92">
        <v>5.62E-4</v>
      </c>
      <c r="J91" s="92">
        <v>5.6199999999999997E-5</v>
      </c>
      <c r="K91" s="92">
        <v>9.6800000000000009E-7</v>
      </c>
      <c r="L91" s="92"/>
      <c r="M91" s="92">
        <v>1.11E-7</v>
      </c>
      <c r="N91" s="92">
        <v>1.57E-6</v>
      </c>
      <c r="O91" s="92"/>
      <c r="P91" s="92"/>
      <c r="Q91" s="92"/>
      <c r="R91" s="138">
        <f>'Parameters, country spec'!G21</f>
        <v>8.6733359151412953E-5</v>
      </c>
      <c r="S91" s="138">
        <f>'Parameters, country spec'!G39</f>
        <v>8.6733359151412953E-5</v>
      </c>
    </row>
    <row r="92" spans="1:20" x14ac:dyDescent="0.3">
      <c r="A92" s="20" t="s">
        <v>367</v>
      </c>
      <c r="B92" s="15" t="s">
        <v>165</v>
      </c>
      <c r="C92" s="15" t="s">
        <v>364</v>
      </c>
      <c r="D92" s="21" t="s">
        <v>20</v>
      </c>
      <c r="E92" s="21" t="s">
        <v>72</v>
      </c>
      <c r="F92" s="117">
        <f t="shared" si="10"/>
        <v>6.9837999999999996E-4</v>
      </c>
      <c r="G92" s="92">
        <v>1.3999999999999999E-4</v>
      </c>
      <c r="H92" s="92">
        <v>9.9999999999999995E-7</v>
      </c>
      <c r="I92" s="92">
        <v>5.04E-4</v>
      </c>
      <c r="J92" s="92">
        <v>5.0399999999999999E-5</v>
      </c>
      <c r="K92" s="92">
        <v>1.4100000000000001E-6</v>
      </c>
      <c r="L92" s="92"/>
      <c r="M92" s="92">
        <v>0</v>
      </c>
      <c r="N92" s="92">
        <v>1.57E-6</v>
      </c>
      <c r="O92" s="92"/>
      <c r="P92" s="92"/>
      <c r="Q92" s="92"/>
      <c r="R92" s="138">
        <f>'Parameters, country spec'!G22</f>
        <v>6.2924072151971947E-5</v>
      </c>
      <c r="S92" s="138">
        <f>'Parameters, country spec'!G40</f>
        <v>6.2924072151971947E-5</v>
      </c>
    </row>
    <row r="93" spans="1:20" x14ac:dyDescent="0.3">
      <c r="A93" s="20" t="s">
        <v>368</v>
      </c>
      <c r="B93" s="15" t="s">
        <v>167</v>
      </c>
      <c r="C93" s="15" t="s">
        <v>364</v>
      </c>
      <c r="D93" s="21" t="s">
        <v>20</v>
      </c>
      <c r="E93" s="21" t="s">
        <v>72</v>
      </c>
      <c r="F93" s="117">
        <f t="shared" si="10"/>
        <v>9.6220029999999985E-4</v>
      </c>
      <c r="G93" s="92">
        <v>2.0000000000000001E-4</v>
      </c>
      <c r="H93" s="92">
        <v>9.9999999999999995E-7</v>
      </c>
      <c r="I93" s="92">
        <v>6.8999999999999997E-4</v>
      </c>
      <c r="J93" s="92">
        <v>6.8999999999999997E-5</v>
      </c>
      <c r="K93" s="92">
        <v>5.8400000000000004E-7</v>
      </c>
      <c r="L93" s="92"/>
      <c r="M93" s="92">
        <v>4.6299999999999998E-8</v>
      </c>
      <c r="N93" s="92">
        <v>1.57E-6</v>
      </c>
      <c r="O93" s="92"/>
      <c r="P93" s="92"/>
      <c r="Q93" s="92"/>
      <c r="R93" s="138">
        <f>'Parameters, country spec'!G23</f>
        <v>0.20500000000000002</v>
      </c>
      <c r="S93" s="138">
        <f>'Parameters, country spec'!G41</f>
        <v>0.2</v>
      </c>
    </row>
    <row r="94" spans="1:20" x14ac:dyDescent="0.3">
      <c r="A94" s="20" t="s">
        <v>369</v>
      </c>
      <c r="B94" s="15" t="s">
        <v>168</v>
      </c>
      <c r="C94" s="15" t="s">
        <v>370</v>
      </c>
      <c r="D94" s="21" t="s">
        <v>20</v>
      </c>
      <c r="E94" s="21" t="s">
        <v>72</v>
      </c>
      <c r="F94" s="117">
        <f t="shared" si="10"/>
        <v>2.0703569999999999E-4</v>
      </c>
      <c r="G94" s="92">
        <v>0</v>
      </c>
      <c r="H94" s="92">
        <v>9.9999999999999995E-7</v>
      </c>
      <c r="I94" s="92">
        <v>1.85E-4</v>
      </c>
      <c r="J94" s="92">
        <v>1.8499999999999999E-5</v>
      </c>
      <c r="K94" s="92">
        <v>9.0699999999999996E-7</v>
      </c>
      <c r="L94" s="92"/>
      <c r="M94" s="92">
        <v>5.8700000000000003E-8</v>
      </c>
      <c r="N94" s="92">
        <v>1.57E-6</v>
      </c>
      <c r="O94" s="92"/>
      <c r="P94" s="92"/>
      <c r="Q94" s="92"/>
      <c r="R94" s="138">
        <f>'Parameters, country spec'!G24</f>
        <v>2.439015630520557E-4</v>
      </c>
      <c r="S94" s="138">
        <f>'Parameters, country spec'!G42</f>
        <v>2.439015630520557E-4</v>
      </c>
    </row>
    <row r="95" spans="1:20" x14ac:dyDescent="0.3">
      <c r="A95" s="20" t="s">
        <v>371</v>
      </c>
      <c r="B95" s="15" t="s">
        <v>170</v>
      </c>
      <c r="C95" s="15" t="s">
        <v>370</v>
      </c>
      <c r="D95" s="21" t="s">
        <v>20</v>
      </c>
      <c r="E95" s="21" t="s">
        <v>72</v>
      </c>
      <c r="F95" s="117">
        <f t="shared" si="10"/>
        <v>2.3980779999999995E-4</v>
      </c>
      <c r="G95" s="92">
        <v>8.6000000000000007E-6</v>
      </c>
      <c r="H95" s="92">
        <v>9.9999999999999995E-7</v>
      </c>
      <c r="I95" s="92">
        <v>2.0699999999999999E-4</v>
      </c>
      <c r="J95" s="92">
        <v>2.0699999999999998E-5</v>
      </c>
      <c r="K95" s="92">
        <v>9.0999999999999997E-7</v>
      </c>
      <c r="L95" s="92"/>
      <c r="M95" s="92">
        <v>2.7800000000000001E-8</v>
      </c>
      <c r="N95" s="92">
        <v>1.57E-6</v>
      </c>
      <c r="O95" s="92"/>
      <c r="P95" s="92"/>
      <c r="Q95" s="92"/>
      <c r="R95" s="138">
        <f>'Parameters, country spec'!G25</f>
        <v>2.3959170998341588E-4</v>
      </c>
      <c r="S95" s="138">
        <f>'Parameters, country spec'!G43</f>
        <v>2.3959170998341588E-4</v>
      </c>
    </row>
    <row r="96" spans="1:20" x14ac:dyDescent="0.3">
      <c r="B96" s="16" t="s">
        <v>171</v>
      </c>
      <c r="C96" s="15" t="s">
        <v>372</v>
      </c>
      <c r="D96" s="21" t="s">
        <v>20</v>
      </c>
      <c r="E96" s="21" t="s">
        <v>72</v>
      </c>
      <c r="F96" s="117">
        <f>SUM(G96:Q96)</f>
        <v>1.5426052012212825E-3</v>
      </c>
      <c r="G96" s="32">
        <f>'Off-farm feed'!$F$77</f>
        <v>3.5160526410462907E-4</v>
      </c>
      <c r="H96" s="32">
        <f>'Off-farm feed'!$G$77</f>
        <v>5.3103448275862083E-7</v>
      </c>
      <c r="I96" s="32">
        <f>'Off-farm feed'!$H$77</f>
        <v>1.0756102664162708E-3</v>
      </c>
      <c r="J96" s="32">
        <f>'Off-farm feed'!$I$77</f>
        <v>1.0756102664162706E-4</v>
      </c>
      <c r="K96" s="32">
        <f>'Off-farm feed'!$J$77</f>
        <v>6.6339607025480414E-7</v>
      </c>
      <c r="L96" s="32"/>
      <c r="M96" s="32">
        <f>'Off-farm feed'!$L$77</f>
        <v>7.9511067188965511E-9</v>
      </c>
      <c r="N96" s="32">
        <f>'Off-farm feed'!$M$77</f>
        <v>1.2789681892721844E-6</v>
      </c>
      <c r="O96" s="32"/>
      <c r="P96" s="32">
        <f>'Off-farm feed'!$O$77</f>
        <v>4.8776996151562902E-6</v>
      </c>
      <c r="Q96" s="32">
        <f>'Off-farm feed'!$P$77</f>
        <v>4.6959459459459463E-7</v>
      </c>
      <c r="R96" s="138">
        <f>'Parameters, country spec'!G26</f>
        <v>0.09</v>
      </c>
      <c r="S96" s="138">
        <f>'Parameters, country spec'!G44</f>
        <v>0.06</v>
      </c>
    </row>
    <row r="97" spans="1:20" x14ac:dyDescent="0.3">
      <c r="B97" s="16" t="s">
        <v>373</v>
      </c>
      <c r="C97" s="15" t="s">
        <v>372</v>
      </c>
      <c r="D97" s="21" t="s">
        <v>20</v>
      </c>
      <c r="E97" s="21" t="s">
        <v>72</v>
      </c>
      <c r="F97" s="117">
        <f t="shared" si="10"/>
        <v>1.8866346644602505E-4</v>
      </c>
      <c r="G97" s="32">
        <f>'Off-farm feed'!$F$26</f>
        <v>1.6332109719061441E-5</v>
      </c>
      <c r="H97" s="32">
        <f>'Off-farm feed'!$G$26</f>
        <v>8.7195121951219526E-7</v>
      </c>
      <c r="I97" s="32">
        <f>'Off-farm feed'!$H$26</f>
        <v>1.3333449845358202E-4</v>
      </c>
      <c r="J97" s="32">
        <f>'Off-farm feed'!$I$26</f>
        <v>1.3333449845358203E-5</v>
      </c>
      <c r="K97" s="32">
        <f>'Off-farm feed'!$J$26</f>
        <v>1.1576736579983931E-6</v>
      </c>
      <c r="L97" s="32"/>
      <c r="M97" s="32">
        <f>'Off-farm feed'!$L$26</f>
        <v>7.3437786087804866E-9</v>
      </c>
      <c r="N97" s="32">
        <f>'Off-farm feed'!$M$26</f>
        <v>1.1195281639512197E-6</v>
      </c>
      <c r="O97" s="32"/>
      <c r="P97" s="32">
        <f>'Off-farm feed'!$O$26</f>
        <v>1.3419073770114991E-5</v>
      </c>
      <c r="Q97" s="32">
        <f>'Off-farm feed'!$P$26</f>
        <v>9.087837837837838E-6</v>
      </c>
      <c r="R97" s="138">
        <f>'Parameters, country spec'!G27</f>
        <v>9.5000000000000001E-2</v>
      </c>
      <c r="S97" s="138">
        <f>'Parameters, country spec'!G45</f>
        <v>7.0000000000000007E-2</v>
      </c>
    </row>
    <row r="98" spans="1:20" x14ac:dyDescent="0.3">
      <c r="B98" s="15" t="s">
        <v>173</v>
      </c>
      <c r="C98" s="15" t="s">
        <v>374</v>
      </c>
      <c r="D98" s="21" t="s">
        <v>20</v>
      </c>
      <c r="E98" s="21" t="s">
        <v>72</v>
      </c>
      <c r="F98" s="354">
        <f t="shared" si="10"/>
        <v>4.1534401534079949E-4</v>
      </c>
      <c r="G98" s="92">
        <v>1.0007435690198499E-4</v>
      </c>
      <c r="H98" s="92">
        <v>5.5044E-7</v>
      </c>
      <c r="I98" s="92">
        <v>2.8937314609885501E-4</v>
      </c>
      <c r="K98" s="92">
        <v>1.1474806386195299E-6</v>
      </c>
      <c r="N98" s="12"/>
      <c r="O98" s="12"/>
      <c r="P98" s="92">
        <v>2.3492890101997999E-5</v>
      </c>
      <c r="Q98" s="92">
        <v>7.0570159934197997E-7</v>
      </c>
      <c r="R98" s="138">
        <f>'Parameters, country spec'!G28</f>
        <v>9.5000000000000001E-2</v>
      </c>
      <c r="S98" s="138">
        <f>'Parameters, country spec'!G46</f>
        <v>0.14000000000000001</v>
      </c>
      <c r="T98" t="s">
        <v>379</v>
      </c>
    </row>
    <row r="99" spans="1:20" x14ac:dyDescent="0.3">
      <c r="A99" s="74"/>
      <c r="B99" s="15" t="s">
        <v>375</v>
      </c>
      <c r="C99" s="75" t="s">
        <v>376</v>
      </c>
      <c r="D99" s="21" t="s">
        <v>20</v>
      </c>
      <c r="E99" s="21" t="s">
        <v>72</v>
      </c>
      <c r="F99" s="117">
        <f t="shared" si="10"/>
        <v>4.8870757410293144E-4</v>
      </c>
      <c r="G99" s="73">
        <f>SUMPRODUCT(G89:G97,$R89:$R97)</f>
        <v>1.0307273320495166E-4</v>
      </c>
      <c r="H99" s="73">
        <f t="shared" ref="H99:P99" si="11">SUMPRODUCT(H89:H97,$R89:$R97)</f>
        <v>4.9657237970947544E-7</v>
      </c>
      <c r="I99" s="73">
        <f t="shared" si="11"/>
        <v>3.4663649559234434E-4</v>
      </c>
      <c r="J99" s="73">
        <f t="shared" si="11"/>
        <v>3.466364955923444E-5</v>
      </c>
      <c r="K99" s="73">
        <f t="shared" si="11"/>
        <v>4.0826313904086207E-7</v>
      </c>
      <c r="L99" s="73">
        <f t="shared" si="11"/>
        <v>0</v>
      </c>
      <c r="M99" s="73">
        <f t="shared" si="11"/>
        <v>1.445289406792336E-8</v>
      </c>
      <c r="N99" s="73">
        <f t="shared" si="11"/>
        <v>7.959942519497018E-7</v>
      </c>
      <c r="O99" s="73">
        <f t="shared" si="11"/>
        <v>0</v>
      </c>
      <c r="P99" s="73">
        <f t="shared" si="11"/>
        <v>1.7138049735249903E-6</v>
      </c>
      <c r="Q99" s="73">
        <f>SUMPRODUCT(Q89:Q97,$R89:$R97)</f>
        <v>9.0560810810810813E-7</v>
      </c>
      <c r="R99" s="138">
        <f>'Parameters, country spec'!G29</f>
        <v>7.0000000000000007E-2</v>
      </c>
      <c r="S99" s="138">
        <f>'Parameters, country spec'!G47</f>
        <v>0.03</v>
      </c>
    </row>
    <row r="100" spans="1:20" x14ac:dyDescent="0.3">
      <c r="A100" s="287"/>
      <c r="B100" s="288" t="s">
        <v>377</v>
      </c>
      <c r="C100" s="289"/>
      <c r="D100" s="290"/>
      <c r="E100" s="290"/>
      <c r="F100" s="293">
        <f>SUMPRODUCT(F86:F88,R86:R88)+SUMPRODUCT(F89:F99,R89:R99)/0.87</f>
        <v>8.9931277789846893E-4</v>
      </c>
      <c r="G100" s="293">
        <f>SUMPRODUCT(G86:G88,R86:R88)+SUMPRODUCT(G89:G99,R89:R99)/0.87</f>
        <v>1.8938437058386501E-4</v>
      </c>
      <c r="H100" s="293">
        <f>SUMPRODUCT(H86:H88,R86:R88)+SUMPRODUCT(H89:H99,R89:R99)/0.87</f>
        <v>9.7883246699901002E-7</v>
      </c>
      <c r="I100" s="293">
        <f>SUMPRODUCT(I86:I88,R86:R88)+SUMPRODUCT(I89:I99,R89:R99)/0.87</f>
        <v>6.2309328566505532E-4</v>
      </c>
      <c r="J100" s="293">
        <f>SUMPRODUCT(J86:J88,R86:R88)+SUMPRODUCT(J89:J99,R89:R99)/0.87</f>
        <v>5.9149506856230678E-5</v>
      </c>
      <c r="K100" s="293">
        <f>SUMPRODUCT(K86:K88,R86:R88)+SUMPRODUCT(K89:K99,R89:R99)/0.87</f>
        <v>7.7807352722271134E-7</v>
      </c>
      <c r="L100" s="293">
        <f>SUMPRODUCT(L86:L88,R86:R88)+SUMPRODUCT(L89:L99,R89:R99)/0.87</f>
        <v>0</v>
      </c>
      <c r="M100" s="293">
        <f>SUMPRODUCT(M86:M88,R86:R88)+SUMPRODUCT(M89:M99,R89:R99)/0.87</f>
        <v>1.7775398451354016E-8</v>
      </c>
      <c r="N100" s="293">
        <f>SUMPRODUCT(N86:N88,R86:R88)+SUMPRODUCT(N89:N99,R89:R99)/0.87</f>
        <v>9.7898143630595493E-7</v>
      </c>
      <c r="O100" s="293">
        <f>SUMPRODUCT(O86:O88,R86:R88)+SUMPRODUCT(O89:O99,R89:R99)/0.87</f>
        <v>0</v>
      </c>
      <c r="P100" s="293">
        <f>SUMPRODUCT(P86:P88,R86:R88)+SUMPRODUCT(P89:P99,R89:R99)/0.87</f>
        <v>2.3741098714208671E-5</v>
      </c>
      <c r="Q100" s="293">
        <f>SUMPRODUCT(Q86:Q88,R86:R88)+SUMPRODUCT(Q89:Q99,R89:R99)/0.87</f>
        <v>1.1908532501300733E-6</v>
      </c>
      <c r="R100" s="294"/>
      <c r="S100" s="295"/>
    </row>
    <row r="101" spans="1:20" x14ac:dyDescent="0.3">
      <c r="A101" s="137"/>
      <c r="B101" s="23" t="s">
        <v>381</v>
      </c>
      <c r="C101" s="24"/>
      <c r="D101" s="93"/>
      <c r="E101" s="93"/>
      <c r="F101" s="28">
        <f>SUMPRODUCT(F86:F88,S86:S88)+SUMPRODUCT(F89:F99,S89:S99)/0.87</f>
        <v>8.9081835888551065E-4</v>
      </c>
      <c r="G101" s="28">
        <f>SUMPRODUCT(G86:G88,S86:S88)+SUMPRODUCT(G89:G99,S89:S99)/0.87</f>
        <v>1.880465363392704E-4</v>
      </c>
      <c r="H101" s="28">
        <f>SUMPRODUCT(H86:H88,S86:S88)+SUMPRODUCT(H89:H99,S89:S99)/0.87</f>
        <v>1.0033348691151681E-6</v>
      </c>
      <c r="I101" s="28">
        <f>SUMPRODUCT(I86:I88,S86:S88)+SUMPRODUCT(I89:I99,S89:S99)/0.87</f>
        <v>6.1643687495260672E-4</v>
      </c>
      <c r="J101" s="28">
        <f>SUMPRODUCT(J86:J88,S86:S88)+SUMPRODUCT(J89:J99,S89:S99)/0.87</f>
        <v>5.6987108132750368E-5</v>
      </c>
      <c r="K101" s="28">
        <f>SUMPRODUCT(K86:K88,S86:S88)+SUMPRODUCT(K89:K99,S89:S99)/0.87</f>
        <v>8.0384898402912741E-7</v>
      </c>
      <c r="L101" s="28">
        <f>SUMPRODUCT(L86:L88,S86:S88)+SUMPRODUCT(L89:L99,S89:S99)/0.87</f>
        <v>0</v>
      </c>
      <c r="M101" s="28">
        <f>SUMPRODUCT(M86:M88,S86:S88)+SUMPRODUCT(M89:M99,S89:S99)/0.87</f>
        <v>1.7352704854223732E-8</v>
      </c>
      <c r="N101" s="28">
        <f>SUMPRODUCT(N86:N88,S86:S88)+SUMPRODUCT(N89:N99,S89:S99)/0.87</f>
        <v>9.292722180818929E-7</v>
      </c>
      <c r="O101" s="28">
        <f>SUMPRODUCT(O86:O88,S86:S88)+SUMPRODUCT(O89:O99,S89:S99)/0.87</f>
        <v>0</v>
      </c>
      <c r="P101" s="28">
        <f>SUMPRODUCT(P86:P88,S86:S88)+SUMPRODUCT(P89:P99,S89:S99)/0.87</f>
        <v>2.5685650464715967E-5</v>
      </c>
      <c r="Q101" s="28">
        <f>SUMPRODUCT(Q86:Q88,S86:S88)+SUMPRODUCT(Q89:Q99,S89:S99)/0.87</f>
        <v>9.0838022008671816E-7</v>
      </c>
      <c r="R101" s="139"/>
      <c r="S101" s="139"/>
    </row>
    <row r="102" spans="1:20" x14ac:dyDescent="0.3">
      <c r="B102" s="16" t="s">
        <v>152</v>
      </c>
      <c r="C102" s="15" t="s">
        <v>361</v>
      </c>
      <c r="D102" s="21" t="s">
        <v>22</v>
      </c>
      <c r="E102" s="21" t="s">
        <v>73</v>
      </c>
      <c r="F102" s="117">
        <f>SUM(G102:Q102)</f>
        <v>2.4078089868235546E-4</v>
      </c>
      <c r="G102" s="27">
        <f>'Forage crops, CF'!F41</f>
        <v>4.7791180802654265E-5</v>
      </c>
      <c r="H102" s="27">
        <f>'Forage crops, CF'!G41</f>
        <v>1.1000000000000001E-6</v>
      </c>
      <c r="I102" s="27">
        <f>'Forage crops, CF'!H41</f>
        <v>1.7407334076117385E-4</v>
      </c>
      <c r="J102" s="27">
        <f>'Forage crops, CF'!I41</f>
        <v>1.7407334076117384E-5</v>
      </c>
      <c r="K102" s="27">
        <f>'Forage crops, CF'!J41</f>
        <v>4.0904304240996531E-7</v>
      </c>
      <c r="L102" s="27">
        <f>'Forage crops, CF'!K41</f>
        <v>0</v>
      </c>
      <c r="M102" s="27">
        <f>'Forage crops, CF'!L41</f>
        <v>0</v>
      </c>
      <c r="N102" s="27">
        <f>'Forage crops, CF'!M41</f>
        <v>0</v>
      </c>
      <c r="O102" s="27">
        <f>'Forage crops, CF'!N41</f>
        <v>0</v>
      </c>
      <c r="P102" s="27">
        <f>'Forage crops, CF'!O41</f>
        <v>0</v>
      </c>
      <c r="Q102" s="27">
        <f>'Forage crops, CF'!P41</f>
        <v>0</v>
      </c>
      <c r="R102" s="138">
        <f>'Parameters, country spec'!H16</f>
        <v>0</v>
      </c>
      <c r="S102" s="138">
        <f>'Parameters, country spec'!H34</f>
        <v>0</v>
      </c>
      <c r="T102" s="18"/>
    </row>
    <row r="103" spans="1:20" x14ac:dyDescent="0.3">
      <c r="B103" s="16" t="s">
        <v>154</v>
      </c>
      <c r="C103" s="15" t="s">
        <v>361</v>
      </c>
      <c r="D103" s="21" t="s">
        <v>22</v>
      </c>
      <c r="E103" s="21" t="s">
        <v>73</v>
      </c>
      <c r="F103" s="117">
        <f>SUM(G103:Q103)</f>
        <v>3.7515856023693324E-4</v>
      </c>
      <c r="G103" s="27">
        <f>'Forage crops, CF'!F91</f>
        <v>6.6043026114641107E-5</v>
      </c>
      <c r="H103" s="27">
        <f>'Forage crops, CF'!G91</f>
        <v>1.1000000000000001E-6</v>
      </c>
      <c r="I103" s="27">
        <f>'Forage crops, CF'!H91</f>
        <v>2.1774664567274286E-4</v>
      </c>
      <c r="J103" s="27">
        <f>'Forage crops, CF'!I91</f>
        <v>2.1774664567274287E-5</v>
      </c>
      <c r="K103" s="27">
        <f>'Forage crops, CF'!J91</f>
        <v>3.571660456030339E-7</v>
      </c>
      <c r="L103" s="27"/>
      <c r="M103" s="27">
        <f>'Forage crops, CF'!L91</f>
        <v>3.7057836671999995E-8</v>
      </c>
      <c r="N103" s="27">
        <f>'Forage crops, CF'!M91</f>
        <v>0</v>
      </c>
      <c r="O103" s="27">
        <f>'Forage crops, CF'!N91</f>
        <v>0</v>
      </c>
      <c r="P103" s="27">
        <f>'Forage crops, CF'!O91</f>
        <v>6.8099999999999988E-5</v>
      </c>
      <c r="Q103" s="27"/>
      <c r="R103" s="138">
        <f>'Parameters, country spec'!H17</f>
        <v>0</v>
      </c>
      <c r="S103" s="138">
        <f>'Parameters, country spec'!H35</f>
        <v>0</v>
      </c>
      <c r="T103" s="18"/>
    </row>
    <row r="104" spans="1:20" x14ac:dyDescent="0.3">
      <c r="B104" s="16" t="s">
        <v>362</v>
      </c>
      <c r="C104" s="15" t="s">
        <v>361</v>
      </c>
      <c r="D104" s="21" t="s">
        <v>22</v>
      </c>
      <c r="E104" s="21" t="s">
        <v>73</v>
      </c>
      <c r="F104" s="117">
        <f>SUM(G104:Q104)</f>
        <v>2.6483108324871254E-4</v>
      </c>
      <c r="G104" s="27">
        <f>'Forage crops, CF'!F141*'Forage, input data per ha'!$E$74+'Forage crops, CF'!F191*'Forage, input data per ha'!$G$74</f>
        <v>3.7649877777651236E-5</v>
      </c>
      <c r="H104" s="27">
        <f>'Forage crops, CF'!G141*'Forage, input data per ha'!$E$74+'Forage crops, CF'!G191*'Forage, input data per ha'!$G$74</f>
        <v>1.1000000000000001E-6</v>
      </c>
      <c r="I104" s="27">
        <f>'Forage crops, CF'!H141*'Forage, input data per ha'!$E$74+'Forage crops, CF'!H191*'Forage, input data per ha'!$G$74</f>
        <v>1.4325000437471246E-4</v>
      </c>
      <c r="J104" s="27">
        <f>'Forage crops, CF'!I141*'Forage, input data per ha'!$E$74+'Forage crops, CF'!I191*'Forage, input data per ha'!$G$74</f>
        <v>1.4325000437471247E-5</v>
      </c>
      <c r="K104" s="27">
        <f>'Forage crops, CF'!J141*'Forage, input data per ha'!$E$74+'Forage crops, CF'!J191*'Forage, input data per ha'!$G$74</f>
        <v>4.0620065887760901E-7</v>
      </c>
      <c r="L104" s="27"/>
      <c r="M104" s="27">
        <f>'Forage crops, CF'!L141*'Forage, input data per ha'!$E$74+'Forage crops, CF'!L191*'Forage, input data per ha'!$G$74</f>
        <v>0</v>
      </c>
      <c r="N104" s="27">
        <f>'Forage crops, CF'!M141*'Forage, input data per ha'!$E$74+'Forage crops, CF'!M191*'Forage, input data per ha'!$G$74</f>
        <v>0</v>
      </c>
      <c r="O104" s="27">
        <f>'Forage crops, CF'!N141*'Forage, input data per ha'!$E$74+'Forage crops, CF'!N191*'Forage, input data per ha'!$G$74</f>
        <v>0</v>
      </c>
      <c r="P104" s="27">
        <f>'Forage crops, CF'!O141*'Forage, input data per ha'!$E$74+'Forage crops, CF'!O191*'Forage, input data per ha'!$G$74</f>
        <v>6.8099999999999988E-5</v>
      </c>
      <c r="Q104" s="27"/>
      <c r="R104" s="138">
        <f>'Parameters, country spec'!H18</f>
        <v>0.28000000000000003</v>
      </c>
      <c r="S104" s="138">
        <f>'Parameters, country spec'!H36</f>
        <v>0.3</v>
      </c>
      <c r="T104" s="18"/>
    </row>
    <row r="105" spans="1:20" x14ac:dyDescent="0.3">
      <c r="A105" s="20" t="s">
        <v>363</v>
      </c>
      <c r="B105" s="15" t="s">
        <v>159</v>
      </c>
      <c r="C105" s="15" t="s">
        <v>364</v>
      </c>
      <c r="D105" s="21" t="s">
        <v>22</v>
      </c>
      <c r="E105" s="21" t="s">
        <v>73</v>
      </c>
      <c r="F105" s="117">
        <f>SUM(G105:Q105)</f>
        <v>8.031530900000001E-4</v>
      </c>
      <c r="G105" s="92">
        <v>1.8000000000000001E-4</v>
      </c>
      <c r="H105" s="92">
        <v>9.9999999999999995E-7</v>
      </c>
      <c r="I105" s="92">
        <v>5.6300000000000002E-4</v>
      </c>
      <c r="J105" s="92">
        <v>5.63E-5</v>
      </c>
      <c r="K105" s="92">
        <v>1.33E-6</v>
      </c>
      <c r="L105" s="92"/>
      <c r="M105" s="92">
        <v>3.0899999999999999E-9</v>
      </c>
      <c r="N105" s="92">
        <v>1.5200000000000001E-6</v>
      </c>
      <c r="O105" s="92"/>
      <c r="P105" s="92"/>
      <c r="Q105" s="92"/>
      <c r="R105" s="138">
        <f>'Parameters, country spec'!H19</f>
        <v>0.16</v>
      </c>
      <c r="S105" s="138">
        <f>'Parameters, country spec'!H37</f>
        <v>0.2</v>
      </c>
    </row>
    <row r="106" spans="1:20" x14ac:dyDescent="0.3">
      <c r="A106" s="20" t="s">
        <v>365</v>
      </c>
      <c r="B106" s="15" t="s">
        <v>161</v>
      </c>
      <c r="C106" s="15" t="s">
        <v>364</v>
      </c>
      <c r="D106" s="21" t="s">
        <v>22</v>
      </c>
      <c r="E106" s="21" t="s">
        <v>73</v>
      </c>
      <c r="F106" s="117">
        <f t="shared" ref="F106:F115" si="12">SUM(G106:Q106)</f>
        <v>6.5730909999999994E-4</v>
      </c>
      <c r="G106" s="92">
        <v>1.7000000000000001E-4</v>
      </c>
      <c r="H106" s="92">
        <v>9.9999999999999995E-7</v>
      </c>
      <c r="I106" s="92">
        <v>4.4000000000000002E-4</v>
      </c>
      <c r="J106" s="92">
        <v>4.3999999999999999E-5</v>
      </c>
      <c r="K106" s="92">
        <v>7.5199999999999996E-7</v>
      </c>
      <c r="L106" s="92"/>
      <c r="M106" s="92">
        <v>3.7100000000000001E-8</v>
      </c>
      <c r="N106" s="92">
        <v>1.5200000000000001E-6</v>
      </c>
      <c r="O106" s="92"/>
      <c r="P106" s="92"/>
      <c r="Q106" s="92"/>
      <c r="R106" s="138">
        <f>'Parameters, country spec'!H20</f>
        <v>3.1075970320211814E-4</v>
      </c>
      <c r="S106" s="138">
        <f>'Parameters, country spec'!H38</f>
        <v>3.1075970320211814E-4</v>
      </c>
    </row>
    <row r="107" spans="1:20" x14ac:dyDescent="0.3">
      <c r="A107" s="20" t="s">
        <v>366</v>
      </c>
      <c r="B107" s="15" t="s">
        <v>163</v>
      </c>
      <c r="C107" s="15" t="s">
        <v>364</v>
      </c>
      <c r="D107" s="21" t="s">
        <v>22</v>
      </c>
      <c r="E107" s="21" t="s">
        <v>73</v>
      </c>
      <c r="F107" s="117">
        <f t="shared" si="12"/>
        <v>6.6357308999999995E-4</v>
      </c>
      <c r="G107" s="92">
        <v>1.4999999999999999E-4</v>
      </c>
      <c r="H107" s="92">
        <v>9.9999999999999995E-7</v>
      </c>
      <c r="I107" s="92">
        <v>4.6299999999999998E-4</v>
      </c>
      <c r="J107" s="92">
        <v>4.6300000000000001E-5</v>
      </c>
      <c r="K107" s="92">
        <v>1.75E-6</v>
      </c>
      <c r="L107" s="92"/>
      <c r="M107" s="92">
        <v>3.0899999999999999E-9</v>
      </c>
      <c r="N107" s="92">
        <v>1.5200000000000001E-6</v>
      </c>
      <c r="O107" s="92"/>
      <c r="P107" s="92"/>
      <c r="Q107" s="92"/>
      <c r="R107" s="138">
        <f>'Parameters, country spec'!H21</f>
        <v>8.6733359151412953E-5</v>
      </c>
      <c r="S107" s="138">
        <f>'Parameters, country spec'!H39</f>
        <v>8.6733359151412953E-5</v>
      </c>
    </row>
    <row r="108" spans="1:20" x14ac:dyDescent="0.3">
      <c r="A108" s="20" t="s">
        <v>367</v>
      </c>
      <c r="B108" s="15" t="s">
        <v>165</v>
      </c>
      <c r="C108" s="15" t="s">
        <v>364</v>
      </c>
      <c r="D108" s="21" t="s">
        <v>22</v>
      </c>
      <c r="E108" s="21" t="s">
        <v>73</v>
      </c>
      <c r="F108" s="117">
        <f t="shared" si="12"/>
        <v>6.1058999999999983E-4</v>
      </c>
      <c r="G108" s="92">
        <v>1.3999999999999999E-4</v>
      </c>
      <c r="H108" s="92">
        <v>9.9999999999999995E-7</v>
      </c>
      <c r="I108" s="92">
        <v>4.2400000000000001E-4</v>
      </c>
      <c r="J108" s="92">
        <v>4.2400000000000001E-5</v>
      </c>
      <c r="K108" s="92">
        <v>1.6700000000000001E-6</v>
      </c>
      <c r="L108" s="92"/>
      <c r="M108" s="92">
        <v>0</v>
      </c>
      <c r="N108" s="92">
        <v>1.5200000000000001E-6</v>
      </c>
      <c r="O108" s="92"/>
      <c r="P108" s="92"/>
      <c r="Q108" s="92"/>
      <c r="R108" s="138">
        <f>'Parameters, country spec'!H22</f>
        <v>6.2924072151971947E-5</v>
      </c>
      <c r="S108" s="138">
        <f>'Parameters, country spec'!H40</f>
        <v>6.2924072151971947E-5</v>
      </c>
    </row>
    <row r="109" spans="1:20" x14ac:dyDescent="0.3">
      <c r="A109" s="20" t="s">
        <v>368</v>
      </c>
      <c r="B109" s="15" t="s">
        <v>167</v>
      </c>
      <c r="C109" s="15" t="s">
        <v>364</v>
      </c>
      <c r="D109" s="21" t="s">
        <v>22</v>
      </c>
      <c r="E109" s="21" t="s">
        <v>73</v>
      </c>
      <c r="F109" s="117">
        <f t="shared" si="12"/>
        <v>7.9211309000000007E-4</v>
      </c>
      <c r="G109" s="92">
        <v>2.0000000000000001E-4</v>
      </c>
      <c r="H109" s="92">
        <v>9.9999999999999995E-7</v>
      </c>
      <c r="I109" s="92">
        <v>5.3499999999999999E-4</v>
      </c>
      <c r="J109" s="92">
        <v>5.3499999999999999E-5</v>
      </c>
      <c r="K109" s="92">
        <v>1.0899999999999999E-6</v>
      </c>
      <c r="L109" s="92"/>
      <c r="M109" s="92">
        <v>3.0899999999999999E-9</v>
      </c>
      <c r="N109" s="92">
        <v>1.5200000000000001E-6</v>
      </c>
      <c r="O109" s="92"/>
      <c r="P109" s="92"/>
      <c r="Q109" s="92"/>
      <c r="R109" s="138">
        <f>'Parameters, country spec'!H23</f>
        <v>0.20500000000000002</v>
      </c>
      <c r="S109" s="138">
        <f>'Parameters, country spec'!H41</f>
        <v>0.2</v>
      </c>
    </row>
    <row r="110" spans="1:20" x14ac:dyDescent="0.3">
      <c r="A110" s="20" t="s">
        <v>369</v>
      </c>
      <c r="B110" s="15" t="s">
        <v>168</v>
      </c>
      <c r="C110" s="15" t="s">
        <v>370</v>
      </c>
      <c r="D110" s="21" t="s">
        <v>22</v>
      </c>
      <c r="E110" s="21" t="s">
        <v>73</v>
      </c>
      <c r="F110" s="117">
        <f t="shared" si="12"/>
        <v>3.4353000000000004E-4</v>
      </c>
      <c r="G110" s="92">
        <v>0</v>
      </c>
      <c r="H110" s="92">
        <v>9.9999999999999995E-7</v>
      </c>
      <c r="I110" s="92">
        <v>3.0800000000000001E-4</v>
      </c>
      <c r="J110" s="92">
        <v>3.0800000000000003E-5</v>
      </c>
      <c r="K110" s="92">
        <v>2.21E-6</v>
      </c>
      <c r="L110" s="92"/>
      <c r="M110" s="92">
        <v>0</v>
      </c>
      <c r="N110" s="92">
        <v>1.5200000000000001E-6</v>
      </c>
      <c r="O110" s="92"/>
      <c r="P110" s="92"/>
      <c r="Q110" s="92"/>
      <c r="R110" s="138">
        <f>'Parameters, country spec'!H24</f>
        <v>2.439015630520557E-4</v>
      </c>
      <c r="S110" s="138">
        <f>'Parameters, country spec'!H42</f>
        <v>2.439015630520557E-4</v>
      </c>
    </row>
    <row r="111" spans="1:20" x14ac:dyDescent="0.3">
      <c r="A111" s="20" t="s">
        <v>371</v>
      </c>
      <c r="B111" s="15" t="s">
        <v>170</v>
      </c>
      <c r="C111" s="15" t="s">
        <v>370</v>
      </c>
      <c r="D111" s="21" t="s">
        <v>22</v>
      </c>
      <c r="E111" s="21" t="s">
        <v>73</v>
      </c>
      <c r="F111" s="117">
        <f t="shared" si="12"/>
        <v>3.6270000000000003E-4</v>
      </c>
      <c r="G111" s="92">
        <v>8.6000000000000007E-6</v>
      </c>
      <c r="H111" s="92">
        <v>9.9999999999999995E-7</v>
      </c>
      <c r="I111" s="92">
        <v>3.1799999999999998E-4</v>
      </c>
      <c r="J111" s="92">
        <v>3.18E-5</v>
      </c>
      <c r="K111" s="92">
        <v>1.7799999999999999E-6</v>
      </c>
      <c r="L111" s="92"/>
      <c r="M111" s="92">
        <v>0</v>
      </c>
      <c r="N111" s="92">
        <v>1.5200000000000001E-6</v>
      </c>
      <c r="O111" s="92"/>
      <c r="P111" s="92"/>
      <c r="Q111" s="92"/>
      <c r="R111" s="138">
        <f>'Parameters, country spec'!H25</f>
        <v>2.3959170998341588E-4</v>
      </c>
      <c r="S111" s="138">
        <f>'Parameters, country spec'!H43</f>
        <v>2.3959170998341588E-4</v>
      </c>
    </row>
    <row r="112" spans="1:20" x14ac:dyDescent="0.3">
      <c r="B112" s="16" t="s">
        <v>171</v>
      </c>
      <c r="C112" s="15" t="s">
        <v>372</v>
      </c>
      <c r="D112" s="21" t="s">
        <v>22</v>
      </c>
      <c r="E112" s="21" t="s">
        <v>73</v>
      </c>
      <c r="F112" s="117">
        <f t="shared" si="12"/>
        <v>1.5426052012212825E-3</v>
      </c>
      <c r="G112" s="32">
        <f>'Off-farm feed'!$F$77</f>
        <v>3.5160526410462907E-4</v>
      </c>
      <c r="H112" s="32">
        <f>'Off-farm feed'!$G$77</f>
        <v>5.3103448275862083E-7</v>
      </c>
      <c r="I112" s="32">
        <f>'Off-farm feed'!$H$77</f>
        <v>1.0756102664162708E-3</v>
      </c>
      <c r="J112" s="32">
        <f>'Off-farm feed'!$I$77</f>
        <v>1.0756102664162706E-4</v>
      </c>
      <c r="K112" s="32">
        <f>'Off-farm feed'!$J$77</f>
        <v>6.6339607025480414E-7</v>
      </c>
      <c r="L112" s="32"/>
      <c r="M112" s="32">
        <f>'Off-farm feed'!$L$77</f>
        <v>7.9511067188965511E-9</v>
      </c>
      <c r="N112" s="32">
        <f>'Off-farm feed'!$M$77</f>
        <v>1.2789681892721844E-6</v>
      </c>
      <c r="O112" s="32"/>
      <c r="P112" s="32">
        <f>'Off-farm feed'!$O$77</f>
        <v>4.8776996151562902E-6</v>
      </c>
      <c r="Q112" s="32">
        <f>'Off-farm feed'!$P$77</f>
        <v>4.6959459459459463E-7</v>
      </c>
      <c r="R112" s="138">
        <f>'Parameters, country spec'!H26</f>
        <v>0.09</v>
      </c>
      <c r="S112" s="138">
        <f>'Parameters, country spec'!H44</f>
        <v>0.06</v>
      </c>
    </row>
    <row r="113" spans="1:20" x14ac:dyDescent="0.3">
      <c r="B113" s="16" t="s">
        <v>373</v>
      </c>
      <c r="C113" s="15" t="s">
        <v>372</v>
      </c>
      <c r="D113" s="21" t="s">
        <v>22</v>
      </c>
      <c r="E113" s="21" t="s">
        <v>73</v>
      </c>
      <c r="F113" s="117">
        <f t="shared" si="12"/>
        <v>1.8866346644602505E-4</v>
      </c>
      <c r="G113" s="32">
        <f>'Off-farm feed'!$F$26</f>
        <v>1.6332109719061441E-5</v>
      </c>
      <c r="H113" s="32">
        <f>'Off-farm feed'!$G$26</f>
        <v>8.7195121951219526E-7</v>
      </c>
      <c r="I113" s="32">
        <f>'Off-farm feed'!$H$26</f>
        <v>1.3333449845358202E-4</v>
      </c>
      <c r="J113" s="32">
        <f>'Off-farm feed'!$I$26</f>
        <v>1.3333449845358203E-5</v>
      </c>
      <c r="K113" s="32">
        <f>'Off-farm feed'!$J$26</f>
        <v>1.1576736579983931E-6</v>
      </c>
      <c r="L113" s="32"/>
      <c r="M113" s="32">
        <f>'Off-farm feed'!$L$26</f>
        <v>7.3437786087804866E-9</v>
      </c>
      <c r="N113" s="32">
        <f>'Off-farm feed'!$M$26</f>
        <v>1.1195281639512197E-6</v>
      </c>
      <c r="O113" s="32"/>
      <c r="P113" s="32">
        <f>'Off-farm feed'!$O$26</f>
        <v>1.3419073770114991E-5</v>
      </c>
      <c r="Q113" s="32">
        <f>'Off-farm feed'!$P$26</f>
        <v>9.087837837837838E-6</v>
      </c>
      <c r="R113" s="138">
        <f>'Parameters, country spec'!H27</f>
        <v>9.5000000000000001E-2</v>
      </c>
      <c r="S113" s="138">
        <f>'Parameters, country spec'!H45</f>
        <v>7.0000000000000007E-2</v>
      </c>
    </row>
    <row r="114" spans="1:20" x14ac:dyDescent="0.3">
      <c r="B114" s="15" t="s">
        <v>173</v>
      </c>
      <c r="C114" s="15" t="s">
        <v>374</v>
      </c>
      <c r="D114" s="21" t="s">
        <v>22</v>
      </c>
      <c r="E114" s="21" t="s">
        <v>73</v>
      </c>
      <c r="F114" s="354">
        <f t="shared" si="12"/>
        <v>3.8798940652426048E-4</v>
      </c>
      <c r="G114" s="92">
        <v>9.7224744907034604E-5</v>
      </c>
      <c r="H114" s="92">
        <v>5.5043999999999904E-7</v>
      </c>
      <c r="I114" s="92">
        <v>2.6879135201816602E-4</v>
      </c>
      <c r="K114" s="92">
        <v>1.21772600391597E-6</v>
      </c>
      <c r="N114" s="12"/>
      <c r="O114" s="12"/>
      <c r="P114" s="92">
        <v>1.9943224185242898E-5</v>
      </c>
      <c r="Q114" s="92">
        <v>2.6191940990099401E-7</v>
      </c>
      <c r="R114" s="138">
        <f>'Parameters, country spec'!H28</f>
        <v>9.5000000000000001E-2</v>
      </c>
      <c r="S114" s="138">
        <f>'Parameters, country spec'!H46</f>
        <v>0.14000000000000001</v>
      </c>
    </row>
    <row r="115" spans="1:20" x14ac:dyDescent="0.3">
      <c r="A115" s="74"/>
      <c r="B115" s="15" t="s">
        <v>375</v>
      </c>
      <c r="C115" s="75" t="s">
        <v>376</v>
      </c>
      <c r="D115" s="21" t="s">
        <v>22</v>
      </c>
      <c r="E115" s="21" t="s">
        <v>73</v>
      </c>
      <c r="F115" s="117">
        <f t="shared" si="12"/>
        <v>4.4811610260263557E-4</v>
      </c>
      <c r="G115" s="73">
        <f>SUMPRODUCT(G105:G113,$R105:$R113)</f>
        <v>1.0307273320495166E-4</v>
      </c>
      <c r="H115" s="73">
        <f t="shared" ref="H115:P115" si="13">SUMPRODUCT(H105:H113,$R105:$R113)</f>
        <v>4.9657237970947544E-7</v>
      </c>
      <c r="I115" s="73">
        <f t="shared" si="13"/>
        <v>3.0958158479703791E-4</v>
      </c>
      <c r="J115" s="73">
        <f t="shared" si="13"/>
        <v>3.0958158479703791E-5</v>
      </c>
      <c r="K115" s="73">
        <f t="shared" si="13"/>
        <v>6.0739069740671211E-7</v>
      </c>
      <c r="L115" s="73">
        <f t="shared" si="13"/>
        <v>0</v>
      </c>
      <c r="M115" s="73">
        <f t="shared" si="13"/>
        <v>2.5529057636034123E-9</v>
      </c>
      <c r="N115" s="73">
        <f t="shared" si="13"/>
        <v>7.7769705642932468E-7</v>
      </c>
      <c r="O115" s="73">
        <f t="shared" si="13"/>
        <v>0</v>
      </c>
      <c r="P115" s="73">
        <f t="shared" si="13"/>
        <v>1.7138049735249903E-6</v>
      </c>
      <c r="Q115" s="73">
        <f>SUMPRODUCT(Q105:Q113,$R105:$R113)</f>
        <v>9.0560810810810813E-7</v>
      </c>
      <c r="R115" s="138">
        <f>'Parameters, country spec'!H29</f>
        <v>7.0000000000000007E-2</v>
      </c>
      <c r="S115" s="138">
        <f>'Parameters, country spec'!H47</f>
        <v>0.03</v>
      </c>
    </row>
    <row r="116" spans="1:20" x14ac:dyDescent="0.3">
      <c r="A116" s="287"/>
      <c r="B116" s="288" t="s">
        <v>377</v>
      </c>
      <c r="C116" s="289"/>
      <c r="D116" s="290"/>
      <c r="E116" s="290"/>
      <c r="F116" s="293">
        <f>SUMPRODUCT(F102:F104,R102:R104)+SUMPRODUCT(F105:F115,R105:R115)/0.87</f>
        <v>6.6765066124599003E-4</v>
      </c>
      <c r="G116" s="293">
        <f>SUMPRODUCT(G102:G104,R102:R104)+SUMPRODUCT(G105:G115,R105:R115)/0.87</f>
        <v>1.4792607531276139E-4</v>
      </c>
      <c r="H116" s="293">
        <f>SUMPRODUCT(H102:H104,R102:R104)+SUMPRODUCT(H105:H115,R105:R115)/0.87</f>
        <v>9.788324669990098E-7</v>
      </c>
      <c r="I116" s="293">
        <f>SUMPRODUCT(I102:I104,R102:R104)+SUMPRODUCT(I105:I115,R105:R115)/0.87</f>
        <v>4.5021054625314519E-4</v>
      </c>
      <c r="J116" s="293">
        <f>SUMPRODUCT(J102:J104,R102:R104)+SUMPRODUCT(J105:J115,R105:R115)/0.87</f>
        <v>4.208597664350696E-5</v>
      </c>
      <c r="K116" s="293">
        <f>SUMPRODUCT(K102:K104,R102:R104)+SUMPRODUCT(K105:K115,R105:R115)/0.87</f>
        <v>9.9372700816067203E-7</v>
      </c>
      <c r="L116" s="293">
        <f>SUMPRODUCT(L102:L104,R102:R104)+SUMPRODUCT(L105:L115,R105:R115)/0.87</f>
        <v>0</v>
      </c>
      <c r="M116" s="293">
        <f>SUMPRODUCT(M102:M104,R102:R104)+SUMPRODUCT(M105:M115,R105:R115)/0.87</f>
        <v>3.1397806517881046E-9</v>
      </c>
      <c r="N116" s="293">
        <f>SUMPRODUCT(N102:N104,R102:R104)+SUMPRODUCT(N105:N115,R105:R115)/0.87</f>
        <v>9.5647798894181324E-7</v>
      </c>
      <c r="O116" s="293">
        <f>SUMPRODUCT(O102:O104,R102:R104)+SUMPRODUCT(O105:O115,R105:R115)/0.87</f>
        <v>0</v>
      </c>
      <c r="P116" s="293">
        <f>SUMPRODUCT(P102:P104,R102:R104)+SUMPRODUCT(P105:P115,R105:R115)/0.87</f>
        <v>2.3353491516402084E-5</v>
      </c>
      <c r="Q116" s="293">
        <f>SUMPRODUCT(Q102:Q104,R102:R104)+SUMPRODUCT(Q105:Q115,R105:R115)/0.87</f>
        <v>1.1423942754210001E-6</v>
      </c>
      <c r="R116" s="294"/>
      <c r="S116" s="295"/>
    </row>
    <row r="117" spans="1:20" x14ac:dyDescent="0.3">
      <c r="A117" s="137"/>
      <c r="B117" s="23" t="s">
        <v>381</v>
      </c>
      <c r="C117" s="24"/>
      <c r="D117" s="93"/>
      <c r="E117" s="93"/>
      <c r="F117" s="28">
        <f>SUMPRODUCT(F102:F104,S102:S104)+SUMPRODUCT(F105:F115,S105:S115)/0.87</f>
        <v>6.4617221928073103E-4</v>
      </c>
      <c r="G117" s="28">
        <f>SUMPRODUCT(G102:G104,S102:S104)+SUMPRODUCT(G105:G115,S105:S115)/0.87</f>
        <v>1.4350176657693868E-4</v>
      </c>
      <c r="H117" s="28">
        <f>SUMPRODUCT(H102:H104,S102:S104)+SUMPRODUCT(H105:H115,S105:S115)/0.87</f>
        <v>1.0033348691151678E-6</v>
      </c>
      <c r="I117" s="28">
        <f>SUMPRODUCT(I102:I104,S102:S104)+SUMPRODUCT(I105:I115,S105:S115)/0.87</f>
        <v>4.3463379576030398E-4</v>
      </c>
      <c r="J117" s="28">
        <f>SUMPRODUCT(J102:J104,S102:S104)+SUMPRODUCT(J105:J115,S105:S115)/0.87</f>
        <v>3.9138001497577165E-5</v>
      </c>
      <c r="K117" s="28">
        <f>SUMPRODUCT(K102:K104,S102:S104)+SUMPRODUCT(K105:K115,S105:S115)/0.87</f>
        <v>1.0356536865363233E-6</v>
      </c>
      <c r="L117" s="28">
        <f>SUMPRODUCT(L102:L104,S102:S104)+SUMPRODUCT(L105:L115,S105:S115)/0.87</f>
        <v>0</v>
      </c>
      <c r="M117" s="28">
        <f>SUMPRODUCT(M102:M104,S102:S104)+SUMPRODUCT(M105:M115,S105:S115)/0.87</f>
        <v>2.6615118042817313E-9</v>
      </c>
      <c r="N117" s="28">
        <f>SUMPRODUCT(N102:N104,S102:S104)+SUMPRODUCT(N105:N115,S105:S115)/0.87</f>
        <v>9.0559852683363057E-7</v>
      </c>
      <c r="O117" s="28">
        <f>SUMPRODUCT(O102:O104,S102:S104)+SUMPRODUCT(O105:O115,S105:S115)/0.87</f>
        <v>0</v>
      </c>
      <c r="P117" s="28">
        <f>SUMPRODUCT(P102:P104,S102:S104)+SUMPRODUCT(P105:P115,S105:S115)/0.87</f>
        <v>2.5114439857422045E-5</v>
      </c>
      <c r="Q117" s="28">
        <f>SUMPRODUCT(Q102:Q104,S102:S104)+SUMPRODUCT(Q105:Q115,S105:S115)/0.87</f>
        <v>8.3696699419966304E-7</v>
      </c>
      <c r="R117" s="139"/>
      <c r="S117" s="139"/>
    </row>
    <row r="118" spans="1:20" x14ac:dyDescent="0.3">
      <c r="B118" s="16" t="s">
        <v>152</v>
      </c>
      <c r="C118" s="15" t="s">
        <v>361</v>
      </c>
      <c r="D118" s="21" t="s">
        <v>26</v>
      </c>
      <c r="E118" s="21" t="s">
        <v>74</v>
      </c>
      <c r="F118" s="117">
        <f>SUM(G118:Q118)</f>
        <v>2.4096083075785839E-4</v>
      </c>
      <c r="G118" s="27">
        <f>'Forage crops, CF'!F46</f>
        <v>4.7791180802654265E-5</v>
      </c>
      <c r="H118" s="27">
        <f>'Forage crops, CF'!G46</f>
        <v>1.1000000000000001E-6</v>
      </c>
      <c r="I118" s="27">
        <f>'Forage crops, CF'!H46</f>
        <v>1.7407334076117385E-4</v>
      </c>
      <c r="J118" s="27">
        <f>'Forage crops, CF'!I46</f>
        <v>1.7407334076117384E-5</v>
      </c>
      <c r="K118" s="27">
        <f>'Forage crops, CF'!J46</f>
        <v>5.8897511791287795E-7</v>
      </c>
      <c r="L118" s="27">
        <f>'Forage crops, CF'!K46</f>
        <v>0</v>
      </c>
      <c r="M118" s="27">
        <f>'Forage crops, CF'!L46</f>
        <v>0</v>
      </c>
      <c r="N118" s="27">
        <f>'Forage crops, CF'!M46</f>
        <v>0</v>
      </c>
      <c r="O118" s="27">
        <f>'Forage crops, CF'!N46</f>
        <v>0</v>
      </c>
      <c r="P118" s="27">
        <f>'Forage crops, CF'!O46</f>
        <v>0</v>
      </c>
      <c r="Q118" s="27">
        <f>'Forage crops, CF'!P46</f>
        <v>0</v>
      </c>
      <c r="R118" s="138">
        <f>'Parameters, country spec'!I16</f>
        <v>0</v>
      </c>
      <c r="S118" s="138">
        <f>'Parameters, country spec'!I34</f>
        <v>0</v>
      </c>
      <c r="T118" s="18"/>
    </row>
    <row r="119" spans="1:20" x14ac:dyDescent="0.3">
      <c r="B119" s="16" t="s">
        <v>154</v>
      </c>
      <c r="C119" s="15" t="s">
        <v>361</v>
      </c>
      <c r="D119" s="21" t="s">
        <v>26</v>
      </c>
      <c r="E119" s="21" t="s">
        <v>74</v>
      </c>
      <c r="F119" s="117">
        <f>SUM(G119:Q119)</f>
        <v>2.921638470286316E-4</v>
      </c>
      <c r="G119" s="27">
        <f>'Forage crops, CF'!F96</f>
        <v>4.6635822372013562E-5</v>
      </c>
      <c r="H119" s="27">
        <f>'Forage crops, CF'!G96</f>
        <v>1.1000000000000001E-6</v>
      </c>
      <c r="I119" s="27">
        <f>'Forage crops, CF'!H96</f>
        <v>1.58760658585603E-4</v>
      </c>
      <c r="J119" s="27">
        <f>'Forage crops, CF'!I96</f>
        <v>1.58760658585603E-5</v>
      </c>
      <c r="K119" s="27">
        <f>'Forage crops, CF'!J96</f>
        <v>5.7779089790897923E-7</v>
      </c>
      <c r="L119" s="27"/>
      <c r="M119" s="27">
        <f>'Forage crops, CF'!L96</f>
        <v>1.1135093145457642E-6</v>
      </c>
      <c r="N119" s="27">
        <f>'Forage crops, CF'!M96</f>
        <v>0</v>
      </c>
      <c r="O119" s="27">
        <f>'Forage crops, CF'!N96</f>
        <v>0</v>
      </c>
      <c r="P119" s="27">
        <f>'Forage crops, CF'!O96</f>
        <v>6.8099999999999988E-5</v>
      </c>
      <c r="Q119" s="27"/>
      <c r="R119" s="138">
        <f>'Parameters, country spec'!I17</f>
        <v>0</v>
      </c>
      <c r="S119" s="138">
        <f>'Parameters, country spec'!I35</f>
        <v>0</v>
      </c>
      <c r="T119" s="18"/>
    </row>
    <row r="120" spans="1:20" x14ac:dyDescent="0.3">
      <c r="B120" s="16" t="s">
        <v>362</v>
      </c>
      <c r="C120" s="15" t="s">
        <v>361</v>
      </c>
      <c r="D120" s="21" t="s">
        <v>26</v>
      </c>
      <c r="E120" s="21" t="s">
        <v>74</v>
      </c>
      <c r="F120" s="117">
        <f>SUM(G120:Q120)</f>
        <v>2.0963004947692075E-4</v>
      </c>
      <c r="G120" s="27">
        <f>'Forage crops, CF'!F146*'Forage, input data per ha'!$E$75+'Forage crops, CF'!F196*'Forage, input data per ha'!$G$75</f>
        <v>2.4923477541255415E-5</v>
      </c>
      <c r="H120" s="27">
        <f>'Forage crops, CF'!G146*'Forage, input data per ha'!$E$75+'Forage crops, CF'!G196*'Forage, input data per ha'!$G$75</f>
        <v>1.1000000000000001E-6</v>
      </c>
      <c r="I120" s="27">
        <f>'Forage crops, CF'!H146*'Forage, input data per ha'!$E$75+'Forage crops, CF'!H196*'Forage, input data per ha'!$G$75</f>
        <v>1.0456955921810469E-4</v>
      </c>
      <c r="J120" s="27">
        <f>'Forage crops, CF'!I146*'Forage, input data per ha'!$E$75+'Forage crops, CF'!I196*'Forage, input data per ha'!$G$75</f>
        <v>1.045695592181047E-5</v>
      </c>
      <c r="K120" s="27">
        <f>'Forage crops, CF'!J146*'Forage, input data per ha'!$E$75+'Forage crops, CF'!J196*'Forage, input data per ha'!$G$75</f>
        <v>4.8005679575018282E-7</v>
      </c>
      <c r="L120" s="27"/>
      <c r="M120" s="27">
        <f>'Forage crops, CF'!L146*'Forage, input data per ha'!$E$75+'Forage crops, CF'!L196*'Forage, input data per ha'!$G$75</f>
        <v>0</v>
      </c>
      <c r="N120" s="27">
        <f>'Forage crops, CF'!M146*'Forage, input data per ha'!$E$75+'Forage crops, CF'!M196*'Forage, input data per ha'!$G$75</f>
        <v>0</v>
      </c>
      <c r="O120" s="27">
        <f>'Forage crops, CF'!N146*'Forage, input data per ha'!$E$75+'Forage crops, CF'!N196*'Forage, input data per ha'!$G$75</f>
        <v>0</v>
      </c>
      <c r="P120" s="27">
        <f>'Forage crops, CF'!O146*'Forage, input data per ha'!$E$75+'Forage crops, CF'!O196*'Forage, input data per ha'!$G$75</f>
        <v>6.8099999999999988E-5</v>
      </c>
      <c r="Q120" s="27"/>
      <c r="R120" s="138">
        <f>'Parameters, country spec'!I18</f>
        <v>0.28000000000000003</v>
      </c>
      <c r="S120" s="138">
        <f>'Parameters, country spec'!I36</f>
        <v>0.3</v>
      </c>
      <c r="T120" s="18"/>
    </row>
    <row r="121" spans="1:20" x14ac:dyDescent="0.3">
      <c r="A121" s="20" t="s">
        <v>363</v>
      </c>
      <c r="B121" s="15" t="s">
        <v>159</v>
      </c>
      <c r="C121" s="15" t="s">
        <v>364</v>
      </c>
      <c r="D121" s="21" t="s">
        <v>26</v>
      </c>
      <c r="E121" s="21" t="s">
        <v>74</v>
      </c>
      <c r="F121" s="117">
        <f>SUM(G121:Q121)</f>
        <v>3.3195799999999998E-4</v>
      </c>
      <c r="G121" s="92">
        <v>0</v>
      </c>
      <c r="H121" s="92">
        <v>9.9999999999999995E-7</v>
      </c>
      <c r="I121" s="92">
        <v>2.9799999999999998E-4</v>
      </c>
      <c r="J121" s="92">
        <v>2.9799999999999999E-5</v>
      </c>
      <c r="K121" s="92">
        <v>1.5099999999999999E-6</v>
      </c>
      <c r="L121" s="92"/>
      <c r="M121" s="92">
        <v>2.3799999999999999E-7</v>
      </c>
      <c r="N121" s="92">
        <v>1.4100000000000001E-6</v>
      </c>
      <c r="O121" s="92"/>
      <c r="P121" s="92"/>
      <c r="Q121" s="92"/>
      <c r="R121" s="138">
        <f>'Parameters, country spec'!I19</f>
        <v>0.16</v>
      </c>
      <c r="S121" s="138">
        <f>'Parameters, country spec'!I37</f>
        <v>0.2</v>
      </c>
    </row>
    <row r="122" spans="1:20" x14ac:dyDescent="0.3">
      <c r="A122" s="20" t="s">
        <v>365</v>
      </c>
      <c r="B122" s="15" t="s">
        <v>161</v>
      </c>
      <c r="C122" s="15" t="s">
        <v>364</v>
      </c>
      <c r="D122" s="21" t="s">
        <v>26</v>
      </c>
      <c r="E122" s="21" t="s">
        <v>74</v>
      </c>
      <c r="F122" s="117">
        <f t="shared" ref="F122:F131" si="14">SUM(G122:Q122)</f>
        <v>2.4554899999999996E-4</v>
      </c>
      <c r="G122" s="92">
        <v>0</v>
      </c>
      <c r="H122" s="92">
        <v>9.9999999999999995E-7</v>
      </c>
      <c r="I122" s="92">
        <v>2.2000000000000001E-4</v>
      </c>
      <c r="J122" s="92">
        <v>2.1999999999999999E-5</v>
      </c>
      <c r="K122" s="92">
        <v>4.1300000000000001E-7</v>
      </c>
      <c r="L122" s="92"/>
      <c r="M122" s="92">
        <v>7.2600000000000002E-7</v>
      </c>
      <c r="N122" s="92">
        <v>1.4100000000000001E-6</v>
      </c>
      <c r="O122" s="92"/>
      <c r="P122" s="92"/>
      <c r="Q122" s="92"/>
      <c r="R122" s="138">
        <f>'Parameters, country spec'!I20</f>
        <v>3.1075970320211814E-4</v>
      </c>
      <c r="S122" s="138">
        <f>'Parameters, country spec'!I38</f>
        <v>3.1075970320211814E-4</v>
      </c>
    </row>
    <row r="123" spans="1:20" x14ac:dyDescent="0.3">
      <c r="A123" s="20" t="s">
        <v>366</v>
      </c>
      <c r="B123" s="15" t="s">
        <v>163</v>
      </c>
      <c r="C123" s="15" t="s">
        <v>364</v>
      </c>
      <c r="D123" s="21" t="s">
        <v>26</v>
      </c>
      <c r="E123" s="21" t="s">
        <v>74</v>
      </c>
      <c r="F123" s="117">
        <f t="shared" si="14"/>
        <v>2.6223000000000002E-4</v>
      </c>
      <c r="G123" s="92">
        <v>0</v>
      </c>
      <c r="H123" s="92">
        <v>9.9999999999999995E-7</v>
      </c>
      <c r="I123" s="92">
        <v>2.31E-4</v>
      </c>
      <c r="J123" s="92">
        <v>2.3099999999999999E-5</v>
      </c>
      <c r="K123" s="92">
        <v>2.1900000000000002E-6</v>
      </c>
      <c r="L123" s="92"/>
      <c r="M123" s="92">
        <v>3.5300000000000001E-6</v>
      </c>
      <c r="N123" s="92">
        <v>1.4100000000000001E-6</v>
      </c>
      <c r="O123" s="92"/>
      <c r="P123" s="92"/>
      <c r="Q123" s="92"/>
      <c r="R123" s="138">
        <f>'Parameters, country spec'!I21</f>
        <v>8.6733359151412953E-5</v>
      </c>
      <c r="S123" s="138">
        <f>'Parameters, country spec'!I39</f>
        <v>8.6733359151412953E-5</v>
      </c>
    </row>
    <row r="124" spans="1:20" x14ac:dyDescent="0.3">
      <c r="A124" s="20" t="s">
        <v>367</v>
      </c>
      <c r="B124" s="15" t="s">
        <v>165</v>
      </c>
      <c r="C124" s="15" t="s">
        <v>364</v>
      </c>
      <c r="D124" s="21" t="s">
        <v>26</v>
      </c>
      <c r="E124" s="21" t="s">
        <v>74</v>
      </c>
      <c r="F124" s="117">
        <f t="shared" si="14"/>
        <v>2.3770926E-4</v>
      </c>
      <c r="G124" s="92">
        <v>0</v>
      </c>
      <c r="H124" s="92">
        <v>9.9999999999999995E-7</v>
      </c>
      <c r="I124" s="92">
        <v>2.12E-4</v>
      </c>
      <c r="J124" s="92">
        <v>2.12E-5</v>
      </c>
      <c r="K124" s="92">
        <v>2.0899999999999999E-6</v>
      </c>
      <c r="L124" s="92"/>
      <c r="M124" s="92">
        <v>9.2599999999999999E-9</v>
      </c>
      <c r="N124" s="92">
        <v>1.4100000000000001E-6</v>
      </c>
      <c r="O124" s="92"/>
      <c r="P124" s="92"/>
      <c r="Q124" s="92"/>
      <c r="R124" s="138">
        <f>'Parameters, country spec'!I22</f>
        <v>6.2924072151971947E-5</v>
      </c>
      <c r="S124" s="138">
        <f>'Parameters, country spec'!I40</f>
        <v>6.2924072151971947E-5</v>
      </c>
    </row>
    <row r="125" spans="1:20" x14ac:dyDescent="0.3">
      <c r="A125" s="20" t="s">
        <v>368</v>
      </c>
      <c r="B125" s="15" t="s">
        <v>167</v>
      </c>
      <c r="C125" s="15" t="s">
        <v>364</v>
      </c>
      <c r="D125" s="21" t="s">
        <v>26</v>
      </c>
      <c r="E125" s="21" t="s">
        <v>74</v>
      </c>
      <c r="F125" s="117">
        <f t="shared" si="14"/>
        <v>2.9875100000000004E-4</v>
      </c>
      <c r="G125" s="92">
        <v>0</v>
      </c>
      <c r="H125" s="92">
        <v>9.9999999999999995E-7</v>
      </c>
      <c r="I125" s="92">
        <v>2.6800000000000001E-4</v>
      </c>
      <c r="J125" s="92">
        <v>2.6800000000000001E-5</v>
      </c>
      <c r="K125" s="92">
        <v>1.4300000000000001E-6</v>
      </c>
      <c r="L125" s="92"/>
      <c r="M125" s="92">
        <v>1.11E-7</v>
      </c>
      <c r="N125" s="92">
        <v>1.4100000000000001E-6</v>
      </c>
      <c r="O125" s="92"/>
      <c r="P125" s="92"/>
      <c r="Q125" s="92"/>
      <c r="R125" s="138">
        <f>'Parameters, country spec'!I23</f>
        <v>0.20500000000000002</v>
      </c>
      <c r="S125" s="138">
        <f>'Parameters, country spec'!I41</f>
        <v>0.2</v>
      </c>
    </row>
    <row r="126" spans="1:20" x14ac:dyDescent="0.3">
      <c r="A126" s="20" t="s">
        <v>369</v>
      </c>
      <c r="B126" s="15" t="s">
        <v>168</v>
      </c>
      <c r="C126" s="15" t="s">
        <v>370</v>
      </c>
      <c r="D126" s="21" t="s">
        <v>26</v>
      </c>
      <c r="E126" s="21" t="s">
        <v>74</v>
      </c>
      <c r="F126" s="117">
        <f t="shared" si="14"/>
        <v>1.7489560000000001E-4</v>
      </c>
      <c r="G126" s="92">
        <v>0</v>
      </c>
      <c r="H126" s="92">
        <v>9.9999999999999995E-7</v>
      </c>
      <c r="I126" s="92">
        <v>1.54E-4</v>
      </c>
      <c r="J126" s="92">
        <v>1.5400000000000002E-5</v>
      </c>
      <c r="K126" s="92">
        <v>3.0299999999999998E-6</v>
      </c>
      <c r="L126" s="92"/>
      <c r="M126" s="92">
        <v>5.5600000000000002E-8</v>
      </c>
      <c r="N126" s="92">
        <v>1.4100000000000001E-6</v>
      </c>
      <c r="O126" s="92"/>
      <c r="P126" s="92"/>
      <c r="Q126" s="92"/>
      <c r="R126" s="138">
        <f>'Parameters, country spec'!I24</f>
        <v>2.439015630520557E-4</v>
      </c>
      <c r="S126" s="138">
        <f>'Parameters, country spec'!I42</f>
        <v>2.439015630520557E-4</v>
      </c>
    </row>
    <row r="127" spans="1:20" x14ac:dyDescent="0.3">
      <c r="A127" s="20" t="s">
        <v>371</v>
      </c>
      <c r="B127" s="15" t="s">
        <v>170</v>
      </c>
      <c r="C127" s="15" t="s">
        <v>370</v>
      </c>
      <c r="D127" s="21" t="s">
        <v>26</v>
      </c>
      <c r="E127" s="21" t="s">
        <v>74</v>
      </c>
      <c r="F127" s="117">
        <f t="shared" si="14"/>
        <v>1.8147199999999999E-4</v>
      </c>
      <c r="G127" s="92">
        <v>0</v>
      </c>
      <c r="H127" s="92">
        <v>9.9999999999999995E-7</v>
      </c>
      <c r="I127" s="92">
        <v>1.5899999999999999E-4</v>
      </c>
      <c r="J127" s="92">
        <v>1.59E-5</v>
      </c>
      <c r="K127" s="92">
        <v>3.5099999999999999E-6</v>
      </c>
      <c r="L127" s="92"/>
      <c r="M127" s="92">
        <v>6.5199999999999996E-7</v>
      </c>
      <c r="N127" s="92">
        <v>1.4100000000000001E-6</v>
      </c>
      <c r="O127" s="92"/>
      <c r="P127" s="92"/>
      <c r="Q127" s="92"/>
      <c r="R127" s="138">
        <f>'Parameters, country spec'!I25</f>
        <v>2.3959170998341588E-4</v>
      </c>
      <c r="S127" s="138">
        <f>'Parameters, country spec'!I43</f>
        <v>2.3959170998341588E-4</v>
      </c>
    </row>
    <row r="128" spans="1:20" x14ac:dyDescent="0.3">
      <c r="B128" s="16" t="s">
        <v>171</v>
      </c>
      <c r="C128" s="15" t="s">
        <v>372</v>
      </c>
      <c r="D128" s="21" t="s">
        <v>26</v>
      </c>
      <c r="E128" s="21" t="s">
        <v>74</v>
      </c>
      <c r="F128" s="117">
        <f>SUM(G128:Q128)</f>
        <v>1.5426052012212825E-3</v>
      </c>
      <c r="G128" s="32">
        <f>'Off-farm feed'!$F$77</f>
        <v>3.5160526410462907E-4</v>
      </c>
      <c r="H128" s="32">
        <f>'Off-farm feed'!$G$77</f>
        <v>5.3103448275862083E-7</v>
      </c>
      <c r="I128" s="32">
        <f>'Off-farm feed'!$H$77</f>
        <v>1.0756102664162708E-3</v>
      </c>
      <c r="J128" s="32">
        <f>'Off-farm feed'!$I$77</f>
        <v>1.0756102664162706E-4</v>
      </c>
      <c r="K128" s="32">
        <f>'Off-farm feed'!$J$77</f>
        <v>6.6339607025480414E-7</v>
      </c>
      <c r="L128" s="32"/>
      <c r="M128" s="32">
        <f>'Off-farm feed'!$L$77</f>
        <v>7.9511067188965511E-9</v>
      </c>
      <c r="N128" s="32">
        <f>'Off-farm feed'!$M$77</f>
        <v>1.2789681892721844E-6</v>
      </c>
      <c r="O128" s="32"/>
      <c r="P128" s="32">
        <f>'Off-farm feed'!$O$77</f>
        <v>4.8776996151562902E-6</v>
      </c>
      <c r="Q128" s="32">
        <f>'Off-farm feed'!$P$77</f>
        <v>4.6959459459459463E-7</v>
      </c>
      <c r="R128" s="138">
        <f>'Parameters, country spec'!I26</f>
        <v>0.09</v>
      </c>
      <c r="S128" s="138">
        <f>'Parameters, country spec'!I44</f>
        <v>0.06</v>
      </c>
    </row>
    <row r="129" spans="1:19" x14ac:dyDescent="0.3">
      <c r="B129" s="16" t="s">
        <v>373</v>
      </c>
      <c r="C129" s="15" t="s">
        <v>372</v>
      </c>
      <c r="D129" s="21" t="s">
        <v>26</v>
      </c>
      <c r="E129" s="21" t="s">
        <v>74</v>
      </c>
      <c r="F129" s="117">
        <f t="shared" si="14"/>
        <v>1.8866346644602505E-4</v>
      </c>
      <c r="G129" s="32">
        <f>'Off-farm feed'!$F$26</f>
        <v>1.6332109719061441E-5</v>
      </c>
      <c r="H129" s="32">
        <f>'Off-farm feed'!$G$26</f>
        <v>8.7195121951219526E-7</v>
      </c>
      <c r="I129" s="32">
        <f>'Off-farm feed'!$H$26</f>
        <v>1.3333449845358202E-4</v>
      </c>
      <c r="J129" s="32">
        <f>'Off-farm feed'!$I$26</f>
        <v>1.3333449845358203E-5</v>
      </c>
      <c r="K129" s="32">
        <f>'Off-farm feed'!$J$26</f>
        <v>1.1576736579983931E-6</v>
      </c>
      <c r="L129" s="32"/>
      <c r="M129" s="32">
        <f>'Off-farm feed'!$L$26</f>
        <v>7.3437786087804866E-9</v>
      </c>
      <c r="N129" s="32">
        <f>'Off-farm feed'!$M$26</f>
        <v>1.1195281639512197E-6</v>
      </c>
      <c r="O129" s="32"/>
      <c r="P129" s="32">
        <f>'Off-farm feed'!$O$26</f>
        <v>1.3419073770114991E-5</v>
      </c>
      <c r="Q129" s="32">
        <f>'Off-farm feed'!$P$26</f>
        <v>9.087837837837838E-6</v>
      </c>
      <c r="R129" s="138">
        <f>'Parameters, country spec'!I27</f>
        <v>9.5000000000000001E-2</v>
      </c>
      <c r="S129" s="138">
        <f>'Parameters, country spec'!I45</f>
        <v>7.0000000000000007E-2</v>
      </c>
    </row>
    <row r="130" spans="1:19" x14ac:dyDescent="0.3">
      <c r="B130" s="15" t="s">
        <v>173</v>
      </c>
      <c r="C130" s="15" t="s">
        <v>374</v>
      </c>
      <c r="D130" s="21" t="s">
        <v>26</v>
      </c>
      <c r="E130" s="21" t="s">
        <v>74</v>
      </c>
      <c r="F130" s="354">
        <f t="shared" si="14"/>
        <v>3.0776258352119469E-4</v>
      </c>
      <c r="G130" s="92">
        <v>1.00088507675393E-4</v>
      </c>
      <c r="H130" s="92">
        <v>5.5044E-7</v>
      </c>
      <c r="I130" s="92">
        <v>1.8590351879845999E-4</v>
      </c>
      <c r="K130" s="92">
        <v>1.3625897315771799E-6</v>
      </c>
      <c r="N130" s="12"/>
      <c r="O130" s="12"/>
      <c r="P130" s="92">
        <v>1.3804343589274599E-5</v>
      </c>
      <c r="Q130" s="92">
        <v>6.0531837264898599E-6</v>
      </c>
      <c r="R130" s="138">
        <f>'Parameters, country spec'!I28</f>
        <v>9.5000000000000001E-2</v>
      </c>
      <c r="S130" s="138">
        <f>'Parameters, country spec'!I46</f>
        <v>0.14000000000000001</v>
      </c>
    </row>
    <row r="131" spans="1:19" x14ac:dyDescent="0.3">
      <c r="A131" s="74"/>
      <c r="B131" s="15" t="s">
        <v>375</v>
      </c>
      <c r="C131" s="75" t="s">
        <v>376</v>
      </c>
      <c r="D131" s="21" t="s">
        <v>26</v>
      </c>
      <c r="E131" s="21" t="s">
        <v>74</v>
      </c>
      <c r="F131" s="117">
        <f t="shared" si="14"/>
        <v>2.7131487737705213E-4</v>
      </c>
      <c r="G131" s="73">
        <f>SUMPRODUCT(G121:G129,$R121:$R129)</f>
        <v>3.3196024192727451E-5</v>
      </c>
      <c r="H131" s="73">
        <f t="shared" ref="H131:P131" si="15">SUMPRODUCT(H121:H129,$R121:$R129)</f>
        <v>4.9657237970947544E-7</v>
      </c>
      <c r="I131" s="73">
        <f t="shared" si="15"/>
        <v>2.122690996971167E-4</v>
      </c>
      <c r="J131" s="73">
        <f t="shared" si="15"/>
        <v>2.122690996971167E-5</v>
      </c>
      <c r="K131" s="73">
        <f t="shared" si="15"/>
        <v>7.06464433595631E-7</v>
      </c>
      <c r="L131" s="73">
        <f t="shared" si="15"/>
        <v>0</v>
      </c>
      <c r="M131" s="73">
        <f t="shared" si="15"/>
        <v>6.2950396273587074E-8</v>
      </c>
      <c r="N131" s="73">
        <f t="shared" si="15"/>
        <v>7.374432262844952E-7</v>
      </c>
      <c r="O131" s="73">
        <f t="shared" si="15"/>
        <v>0</v>
      </c>
      <c r="P131" s="73">
        <f t="shared" si="15"/>
        <v>1.7138049735249903E-6</v>
      </c>
      <c r="Q131" s="73">
        <f>SUMPRODUCT(Q121:Q129,$R121:$R129)</f>
        <v>9.0560810810810813E-7</v>
      </c>
      <c r="R131" s="138">
        <f>'Parameters, country spec'!I29</f>
        <v>7.0000000000000007E-2</v>
      </c>
      <c r="S131" s="138">
        <f>'Parameters, country spec'!I47</f>
        <v>0.03</v>
      </c>
    </row>
    <row r="132" spans="1:19" x14ac:dyDescent="0.3">
      <c r="A132" s="287"/>
      <c r="B132" s="288" t="s">
        <v>377</v>
      </c>
      <c r="C132" s="289"/>
      <c r="D132" s="290"/>
      <c r="E132" s="290"/>
      <c r="F132" s="293">
        <f>SUMPRODUCT(F118:F120,R118:R120)+SUMPRODUCT(F121:F131,R121:R131)/0.87</f>
        <v>4.2598878652935307E-4</v>
      </c>
      <c r="G132" s="293">
        <f>SUMPRODUCT(G118:G120,R118:R120)+SUMPRODUCT(G121:G131,R121:R131)/0.87</f>
        <v>5.8735072694747743E-5</v>
      </c>
      <c r="H132" s="293">
        <f>SUMPRODUCT(H118:H120,R118:R120)+SUMPRODUCT(H121:H131,R121:R131)/0.87</f>
        <v>9.7883246699901002E-7</v>
      </c>
      <c r="I132" s="293">
        <f>SUMPRODUCT(I118:I120,R118:R120)+SUMPRODUCT(I121:I131,R121:R131)/0.87</f>
        <v>3.1064587998540097E-4</v>
      </c>
      <c r="J132" s="293">
        <f>SUMPRODUCT(J118:J120,R118:R120)+SUMPRODUCT(J121:J131,R121:R131)/0.87</f>
        <v>2.9034607046143123E-5</v>
      </c>
      <c r="K132" s="293">
        <f>SUMPRODUCT(K118:K120,R118:R120)+SUMPRODUCT(K121:K131,R121:R131)/0.87</f>
        <v>1.1520744872320712E-6</v>
      </c>
      <c r="L132" s="293">
        <f>SUMPRODUCT(L118:L120,R118:R120)+SUMPRODUCT(L121:L131,R121:R131)/0.87</f>
        <v>0</v>
      </c>
      <c r="M132" s="293">
        <f>SUMPRODUCT(M118:M120,R118:R120)+SUMPRODUCT(M121:M131,R121:R131)/0.87</f>
        <v>7.7421751738779503E-8</v>
      </c>
      <c r="N132" s="293">
        <f>SUMPRODUCT(N118:N120,R118:R120)+SUMPRODUCT(N121:N131,R121:R131)/0.87</f>
        <v>9.0697040474070105E-7</v>
      </c>
      <c r="O132" s="293">
        <f>SUMPRODUCT(O118:O120,R118:R120)+SUMPRODUCT(O121:O131,R121:R131)/0.87</f>
        <v>0</v>
      </c>
      <c r="P132" s="293">
        <f>SUMPRODUCT(P118:P120,R118:R120)+SUMPRODUCT(P121:P131,R121:R131)/0.87</f>
        <v>2.2683153980060716E-5</v>
      </c>
      <c r="Q132" s="293">
        <f>SUMPRODUCT(Q118:Q120,R118:R120)+SUMPRODUCT(Q121:Q131,R121:R131)/0.87</f>
        <v>1.7747737122898992E-6</v>
      </c>
      <c r="R132" s="294"/>
      <c r="S132" s="295"/>
    </row>
    <row r="133" spans="1:19" x14ac:dyDescent="0.3">
      <c r="A133" s="137"/>
      <c r="B133" s="23" t="s">
        <v>381</v>
      </c>
      <c r="C133" s="24"/>
      <c r="D133" s="93"/>
      <c r="E133" s="93"/>
      <c r="F133" s="28">
        <f>SUMPRODUCT(F118:F120,S118:S120)+SUMPRODUCT(F121:F131,S121:S131)/0.87</f>
        <v>3.8855672483565306E-4</v>
      </c>
      <c r="G133" s="28">
        <f>SUMPRODUCT(G118:G120,S118:S120)+SUMPRODUCT(G121:G131,S121:S131)/0.87</f>
        <v>5.0290647086455797E-5</v>
      </c>
      <c r="H133" s="28">
        <f>SUMPRODUCT(H118:H120,S118:S120)+SUMPRODUCT(H121:H131,S121:S131)/0.87</f>
        <v>1.0033348691151681E-6</v>
      </c>
      <c r="I133" s="28">
        <f>SUMPRODUCT(I118:I120,S118:S120)+SUMPRODUCT(I121:I131,S121:S131)/0.87</f>
        <v>2.8383293082978421E-4</v>
      </c>
      <c r="J133" s="28">
        <f>SUMPRODUCT(J118:J120,S118:S120)+SUMPRODUCT(J121:J131,S121:S131)/0.87</f>
        <v>2.5391742205761824E-5</v>
      </c>
      <c r="K133" s="28">
        <f>SUMPRODUCT(K118:K120,S118:S120)+SUMPRODUCT(K121:K131,S121:S131)/0.87</f>
        <v>1.2047379645488496E-6</v>
      </c>
      <c r="L133" s="28">
        <f>SUMPRODUCT(L118:L120,S118:S120)+SUMPRODUCT(L121:L131,S121:S131)/0.87</f>
        <v>0</v>
      </c>
      <c r="M133" s="28">
        <f>SUMPRODUCT(M118:M120,S118:S120)+SUMPRODUCT(M121:M131,S121:S131)/0.87</f>
        <v>8.4346874132193415E-8</v>
      </c>
      <c r="N133" s="28">
        <f>SUMPRODUCT(N118:N120,S118:S120)+SUMPRODUCT(N121:N131,S121:S131)/0.87</f>
        <v>8.5351640608745294E-7</v>
      </c>
      <c r="O133" s="28">
        <f>SUMPRODUCT(O118:O120,S118:S120)+SUMPRODUCT(O121:O131,S121:S131)/0.87</f>
        <v>0</v>
      </c>
      <c r="P133" s="28">
        <f>SUMPRODUCT(P118:P120,S118:S120)+SUMPRODUCT(P121:P131,S121:S131)/0.87</f>
        <v>2.4126574014392664E-5</v>
      </c>
      <c r="Q133" s="28">
        <f>SUMPRODUCT(Q118:Q120,S118:S120)+SUMPRODUCT(Q121:Q131,S121:S131)/0.87</f>
        <v>1.7688945853748831E-6</v>
      </c>
      <c r="R133" s="139"/>
      <c r="S133" s="139"/>
    </row>
    <row r="134" spans="1:19" x14ac:dyDescent="0.3">
      <c r="B134" s="16" t="s">
        <v>152</v>
      </c>
      <c r="C134" s="15" t="s">
        <v>361</v>
      </c>
      <c r="D134" s="21" t="s">
        <v>27</v>
      </c>
      <c r="E134" s="21" t="s">
        <v>75</v>
      </c>
      <c r="F134" s="117">
        <f>SUM(G134:Q134)</f>
        <v>7.520505556662538E-5</v>
      </c>
      <c r="G134" s="27">
        <f>'Forage crops, CF'!F51</f>
        <v>0</v>
      </c>
      <c r="H134" s="27">
        <f>'Forage crops, CF'!G51</f>
        <v>1.1000000000000001E-6</v>
      </c>
      <c r="I134" s="27">
        <f>'Forage crops, CF'!H51</f>
        <v>6.6561147801955938E-5</v>
      </c>
      <c r="J134" s="27">
        <f>'Forage crops, CF'!I51</f>
        <v>6.6561147801955938E-6</v>
      </c>
      <c r="K134" s="27">
        <f>'Forage crops, CF'!J51</f>
        <v>8.8779298447383559E-7</v>
      </c>
      <c r="L134" s="27">
        <f>'Forage crops, CF'!K51</f>
        <v>0</v>
      </c>
      <c r="M134" s="27">
        <f>'Forage crops, CF'!L51</f>
        <v>0</v>
      </c>
      <c r="N134" s="27">
        <f>'Forage crops, CF'!M51</f>
        <v>0</v>
      </c>
      <c r="O134" s="27">
        <f>'Forage crops, CF'!N51</f>
        <v>0</v>
      </c>
      <c r="P134" s="27">
        <f>'Forage crops, CF'!O51</f>
        <v>0</v>
      </c>
      <c r="Q134" s="27">
        <f>'Forage crops, CF'!P51</f>
        <v>0</v>
      </c>
      <c r="R134" s="138">
        <f>'Parameters, country spec'!J16</f>
        <v>0</v>
      </c>
      <c r="S134" s="138">
        <f>'Parameters, country spec'!J34</f>
        <v>0</v>
      </c>
    </row>
    <row r="135" spans="1:19" x14ac:dyDescent="0.3">
      <c r="B135" s="16" t="s">
        <v>154</v>
      </c>
      <c r="C135" s="15" t="s">
        <v>361</v>
      </c>
      <c r="D135" s="21" t="s">
        <v>27</v>
      </c>
      <c r="E135" s="21" t="s">
        <v>75</v>
      </c>
      <c r="F135" s="117">
        <f>SUM(G135:Q135)</f>
        <v>3.0779597131143279E-4</v>
      </c>
      <c r="G135" s="27">
        <f>'Forage crops, CF'!F101</f>
        <v>4.2215528572113299E-5</v>
      </c>
      <c r="H135" s="27">
        <f>'Forage crops, CF'!G101</f>
        <v>1.1000000000000001E-6</v>
      </c>
      <c r="I135" s="27">
        <f>'Forage crops, CF'!H101</f>
        <v>1.7791881525427124E-4</v>
      </c>
      <c r="J135" s="27">
        <f>'Forage crops, CF'!I101</f>
        <v>1.7791881525427124E-5</v>
      </c>
      <c r="K135" s="27">
        <f>'Forage crops, CF'!J101</f>
        <v>5.1533830682117992E-7</v>
      </c>
      <c r="L135" s="27">
        <f>'Forage crops, CF'!K101</f>
        <v>0</v>
      </c>
      <c r="M135" s="27">
        <f>'Forage crops, CF'!L101</f>
        <v>1.5440765280000001E-7</v>
      </c>
      <c r="N135" s="27">
        <f>'Forage crops, CF'!M101</f>
        <v>0</v>
      </c>
      <c r="O135" s="27">
        <f>'Forage crops, CF'!N101</f>
        <v>0</v>
      </c>
      <c r="P135" s="27">
        <f>'Forage crops, CF'!O101</f>
        <v>6.8099999999999988E-5</v>
      </c>
      <c r="Q135" s="27">
        <f>'Forage crops, CF'!P101</f>
        <v>0</v>
      </c>
      <c r="R135" s="138">
        <f>'Parameters, country spec'!J17</f>
        <v>0</v>
      </c>
      <c r="S135" s="138">
        <f>'Parameters, country spec'!J35</f>
        <v>0</v>
      </c>
    </row>
    <row r="136" spans="1:19" x14ac:dyDescent="0.3">
      <c r="B136" s="16" t="s">
        <v>362</v>
      </c>
      <c r="C136" s="15" t="s">
        <v>361</v>
      </c>
      <c r="D136" s="21" t="s">
        <v>27</v>
      </c>
      <c r="E136" s="21" t="s">
        <v>75</v>
      </c>
      <c r="F136" s="117">
        <f>SUM(G136:Q136)</f>
        <v>2.5897877199340268E-4</v>
      </c>
      <c r="G136" s="27">
        <f>'Forage crops, CF'!F151*'Forage, input data per ha'!$E$76+'Forage crops, CF'!F201*'Forage, input data per ha'!$G$76</f>
        <v>3.0369195864176115E-5</v>
      </c>
      <c r="H136" s="27">
        <f>'Forage crops, CF'!G151*'Forage, input data per ha'!$E$76+'Forage crops, CF'!G201*'Forage, input data per ha'!$G$76</f>
        <v>1.1000000000000001E-6</v>
      </c>
      <c r="I136" s="27">
        <f>'Forage crops, CF'!H151*'Forage, input data per ha'!$E$76+'Forage crops, CF'!H201*'Forage, input data per ha'!$G$76</f>
        <v>1.445681967692457E-4</v>
      </c>
      <c r="J136" s="27">
        <f>'Forage crops, CF'!I151*'Forage, input data per ha'!$E$76+'Forage crops, CF'!I201*'Forage, input data per ha'!$G$76</f>
        <v>1.445681967692457E-5</v>
      </c>
      <c r="K136" s="27">
        <f>'Forage crops, CF'!J151*'Forage, input data per ha'!$E$76+'Forage crops, CF'!J201*'Forage, input data per ha'!$G$76</f>
        <v>3.845596830562845E-7</v>
      </c>
      <c r="L136" s="27">
        <f>'Forage crops, CF'!K151*'Forage, input data per ha'!$E$76+'Forage crops, CF'!K201*'Forage, input data per ha'!$G$76</f>
        <v>0</v>
      </c>
      <c r="M136" s="27">
        <f>'Forage crops, CF'!L151*'Forage, input data per ha'!$E$76+'Forage crops, CF'!L201*'Forage, input data per ha'!$G$76</f>
        <v>0</v>
      </c>
      <c r="N136" s="27">
        <f>'Forage crops, CF'!M151*'Forage, input data per ha'!$E$76+'Forage crops, CF'!M201*'Forage, input data per ha'!$G$76</f>
        <v>0</v>
      </c>
      <c r="O136" s="27">
        <f>'Forage crops, CF'!N151*'Forage, input data per ha'!$E$76+'Forage crops, CF'!N201*'Forage, input data per ha'!$G$76</f>
        <v>0</v>
      </c>
      <c r="P136" s="27">
        <f>'Forage crops, CF'!O151*'Forage, input data per ha'!$E$76+'Forage crops, CF'!O201*'Forage, input data per ha'!$G$76</f>
        <v>6.8099999999999988E-5</v>
      </c>
      <c r="Q136" s="27">
        <f>'Forage crops, CF'!P151*'Forage, input data per ha'!$E$76+'Forage crops, CF'!P201*'Forage, input data per ha'!$G$76</f>
        <v>0</v>
      </c>
      <c r="R136" s="138">
        <f>'Parameters, country spec'!J18</f>
        <v>0.6</v>
      </c>
      <c r="S136" s="138">
        <f>'Parameters, country spec'!J36</f>
        <v>0.3</v>
      </c>
    </row>
    <row r="137" spans="1:19" x14ac:dyDescent="0.3">
      <c r="A137" s="20" t="s">
        <v>363</v>
      </c>
      <c r="B137" s="15" t="s">
        <v>159</v>
      </c>
      <c r="C137" s="15" t="s">
        <v>364</v>
      </c>
      <c r="D137" s="21" t="s">
        <v>27</v>
      </c>
      <c r="E137" s="21" t="s">
        <v>75</v>
      </c>
      <c r="F137" s="117">
        <f>SUM(G137:Q137)</f>
        <v>8.4192999999999996E-4</v>
      </c>
      <c r="G137" s="92">
        <v>1.3999999999999999E-4</v>
      </c>
      <c r="H137" s="92">
        <v>9.9999999999999995E-7</v>
      </c>
      <c r="I137" s="92">
        <v>6.3500000000000004E-4</v>
      </c>
      <c r="J137" s="92">
        <v>6.3499999999999999E-5</v>
      </c>
      <c r="K137" s="92">
        <v>1.1000000000000001E-6</v>
      </c>
      <c r="L137" s="92"/>
      <c r="M137" s="92">
        <v>0</v>
      </c>
      <c r="N137" s="92">
        <v>1.33E-6</v>
      </c>
      <c r="O137" s="92"/>
      <c r="P137" s="92"/>
      <c r="Q137" s="92"/>
      <c r="R137" s="138">
        <f>'Parameters, country spec'!J19</f>
        <v>1.6853932584269662E-2</v>
      </c>
      <c r="S137" s="138">
        <f>'Parameters, country spec'!J37</f>
        <v>0.2</v>
      </c>
    </row>
    <row r="138" spans="1:19" x14ac:dyDescent="0.3">
      <c r="A138" s="20" t="s">
        <v>365</v>
      </c>
      <c r="B138" s="15" t="s">
        <v>161</v>
      </c>
      <c r="C138" s="15" t="s">
        <v>364</v>
      </c>
      <c r="D138" s="21" t="s">
        <v>27</v>
      </c>
      <c r="E138" s="21" t="s">
        <v>75</v>
      </c>
      <c r="F138" s="117">
        <f t="shared" ref="F138:F147" si="16">SUM(G138:Q138)</f>
        <v>7.6903400000000004E-4</v>
      </c>
      <c r="G138" s="92">
        <v>1.2999999999999999E-4</v>
      </c>
      <c r="H138" s="92">
        <v>9.9999999999999995E-7</v>
      </c>
      <c r="I138" s="92">
        <v>5.7799999999999995E-4</v>
      </c>
      <c r="J138" s="92">
        <v>5.7800000000000002E-5</v>
      </c>
      <c r="K138" s="92">
        <v>7.5000000000000002E-7</v>
      </c>
      <c r="L138" s="92"/>
      <c r="M138" s="92">
        <v>1.54E-7</v>
      </c>
      <c r="N138" s="92">
        <v>1.33E-6</v>
      </c>
      <c r="O138" s="92"/>
      <c r="P138" s="92"/>
      <c r="Q138" s="92"/>
      <c r="R138" s="138">
        <f>'Parameters, country spec'!J20</f>
        <v>0</v>
      </c>
      <c r="S138" s="138">
        <f>'Parameters, country spec'!J38</f>
        <v>3.1075970320211814E-4</v>
      </c>
    </row>
    <row r="139" spans="1:19" x14ac:dyDescent="0.3">
      <c r="A139" s="20" t="s">
        <v>366</v>
      </c>
      <c r="B139" s="15" t="s">
        <v>163</v>
      </c>
      <c r="C139" s="15" t="s">
        <v>364</v>
      </c>
      <c r="D139" s="21" t="s">
        <v>27</v>
      </c>
      <c r="E139" s="21" t="s">
        <v>75</v>
      </c>
      <c r="F139" s="117">
        <f t="shared" si="16"/>
        <v>7.4177999999999994E-4</v>
      </c>
      <c r="G139" s="92">
        <v>1.2E-4</v>
      </c>
      <c r="H139" s="92">
        <v>9.9999999999999995E-7</v>
      </c>
      <c r="I139" s="92">
        <v>5.62E-4</v>
      </c>
      <c r="J139" s="92">
        <v>5.6199999999999997E-5</v>
      </c>
      <c r="K139" s="92">
        <v>1.2500000000000001E-6</v>
      </c>
      <c r="L139" s="92"/>
      <c r="M139" s="92">
        <v>0</v>
      </c>
      <c r="N139" s="92">
        <v>1.33E-6</v>
      </c>
      <c r="O139" s="92"/>
      <c r="P139" s="92"/>
      <c r="Q139" s="92"/>
      <c r="R139" s="138">
        <f>'Parameters, country spec'!J21</f>
        <v>0</v>
      </c>
      <c r="S139" s="138">
        <f>'Parameters, country spec'!J39</f>
        <v>8.6733359151412953E-5</v>
      </c>
    </row>
    <row r="140" spans="1:19" x14ac:dyDescent="0.3">
      <c r="A140" s="20" t="s">
        <v>367</v>
      </c>
      <c r="B140" s="15" t="s">
        <v>165</v>
      </c>
      <c r="C140" s="15" t="s">
        <v>364</v>
      </c>
      <c r="D140" s="21" t="s">
        <v>27</v>
      </c>
      <c r="E140" s="21" t="s">
        <v>75</v>
      </c>
      <c r="F140" s="117">
        <f t="shared" si="16"/>
        <v>6.6755700000000005E-4</v>
      </c>
      <c r="G140" s="92">
        <v>1.1E-4</v>
      </c>
      <c r="H140" s="92">
        <v>9.9999999999999995E-7</v>
      </c>
      <c r="I140" s="92">
        <v>5.04E-4</v>
      </c>
      <c r="J140" s="92">
        <v>5.0399999999999999E-5</v>
      </c>
      <c r="K140" s="92">
        <v>8.2699999999999998E-7</v>
      </c>
      <c r="L140" s="92"/>
      <c r="M140" s="92">
        <v>0</v>
      </c>
      <c r="N140" s="92">
        <v>1.33E-6</v>
      </c>
      <c r="O140" s="92"/>
      <c r="P140" s="92"/>
      <c r="Q140" s="92"/>
      <c r="R140" s="138">
        <f>'Parameters, country spec'!J22</f>
        <v>0</v>
      </c>
      <c r="S140" s="138">
        <f>'Parameters, country spec'!J40</f>
        <v>6.2924072151971947E-5</v>
      </c>
    </row>
    <row r="141" spans="1:19" x14ac:dyDescent="0.3">
      <c r="A141" s="20" t="s">
        <v>368</v>
      </c>
      <c r="B141" s="15" t="s">
        <v>167</v>
      </c>
      <c r="C141" s="15" t="s">
        <v>364</v>
      </c>
      <c r="D141" s="21" t="s">
        <v>27</v>
      </c>
      <c r="E141" s="21" t="s">
        <v>75</v>
      </c>
      <c r="F141" s="117">
        <f t="shared" si="16"/>
        <v>9.2211918000000004E-4</v>
      </c>
      <c r="G141" s="92">
        <v>1.6000000000000001E-4</v>
      </c>
      <c r="H141" s="92">
        <v>9.9999999999999995E-7</v>
      </c>
      <c r="I141" s="92">
        <v>6.8999999999999997E-4</v>
      </c>
      <c r="J141" s="92">
        <v>6.8999999999999997E-5</v>
      </c>
      <c r="K141" s="92">
        <v>7.8299999999999996E-7</v>
      </c>
      <c r="L141" s="92"/>
      <c r="M141" s="92">
        <v>6.1799999999999998E-9</v>
      </c>
      <c r="N141" s="92">
        <v>1.33E-6</v>
      </c>
      <c r="O141" s="92"/>
      <c r="P141" s="92"/>
      <c r="Q141" s="92"/>
      <c r="R141" s="138">
        <f>'Parameters, country spec'!J23</f>
        <v>0.31011235955056177</v>
      </c>
      <c r="S141" s="138">
        <f>'Parameters, country spec'!J41</f>
        <v>0.2</v>
      </c>
    </row>
    <row r="142" spans="1:19" x14ac:dyDescent="0.3">
      <c r="A142" s="20" t="s">
        <v>369</v>
      </c>
      <c r="B142" s="15" t="s">
        <v>168</v>
      </c>
      <c r="C142" s="15" t="s">
        <v>370</v>
      </c>
      <c r="D142" s="21" t="s">
        <v>27</v>
      </c>
      <c r="E142" s="21" t="s">
        <v>75</v>
      </c>
      <c r="F142" s="117">
        <f t="shared" si="16"/>
        <v>2.0736308999999998E-4</v>
      </c>
      <c r="G142" s="92">
        <v>0</v>
      </c>
      <c r="H142" s="92">
        <v>9.9999999999999995E-7</v>
      </c>
      <c r="I142" s="92">
        <v>1.85E-4</v>
      </c>
      <c r="J142" s="92">
        <v>1.8499999999999999E-5</v>
      </c>
      <c r="K142" s="92">
        <v>1.53E-6</v>
      </c>
      <c r="L142" s="92"/>
      <c r="M142" s="92">
        <v>3.0899999999999999E-9</v>
      </c>
      <c r="N142" s="92">
        <v>1.33E-6</v>
      </c>
      <c r="O142" s="92"/>
      <c r="P142" s="92"/>
      <c r="Q142" s="92"/>
      <c r="R142" s="138">
        <f>'Parameters, country spec'!J24</f>
        <v>0</v>
      </c>
      <c r="S142" s="138">
        <f>'Parameters, country spec'!J42</f>
        <v>2.439015630520557E-4</v>
      </c>
    </row>
    <row r="143" spans="1:19" x14ac:dyDescent="0.3">
      <c r="A143" s="20" t="s">
        <v>371</v>
      </c>
      <c r="B143" s="15" t="s">
        <v>170</v>
      </c>
      <c r="C143" s="15" t="s">
        <v>370</v>
      </c>
      <c r="D143" s="21" t="s">
        <v>27</v>
      </c>
      <c r="E143" s="21" t="s">
        <v>75</v>
      </c>
      <c r="F143" s="117">
        <f t="shared" si="16"/>
        <v>2.3902308999999998E-4</v>
      </c>
      <c r="G143" s="92">
        <v>6.7000000000000002E-6</v>
      </c>
      <c r="H143" s="92">
        <v>9.9999999999999995E-7</v>
      </c>
      <c r="I143" s="92">
        <v>2.0699999999999999E-4</v>
      </c>
      <c r="J143" s="92">
        <v>2.0699999999999998E-5</v>
      </c>
      <c r="K143" s="92">
        <v>2.2900000000000001E-6</v>
      </c>
      <c r="L143" s="92"/>
      <c r="M143" s="92">
        <v>3.0899999999999999E-9</v>
      </c>
      <c r="N143" s="92">
        <v>1.33E-6</v>
      </c>
      <c r="O143" s="92"/>
      <c r="P143" s="92"/>
      <c r="Q143" s="92"/>
      <c r="R143" s="138">
        <f>'Parameters, country spec'!J25</f>
        <v>0</v>
      </c>
      <c r="S143" s="138">
        <f>'Parameters, country spec'!J43</f>
        <v>2.3959170998341588E-4</v>
      </c>
    </row>
    <row r="144" spans="1:19" x14ac:dyDescent="0.3">
      <c r="B144" s="16" t="s">
        <v>171</v>
      </c>
      <c r="C144" s="15" t="s">
        <v>372</v>
      </c>
      <c r="D144" s="21" t="s">
        <v>27</v>
      </c>
      <c r="E144" s="21" t="s">
        <v>75</v>
      </c>
      <c r="F144" s="117">
        <f t="shared" si="16"/>
        <v>1.5426052012212825E-3</v>
      </c>
      <c r="G144" s="32">
        <f>'Off-farm feed'!$F$77</f>
        <v>3.5160526410462907E-4</v>
      </c>
      <c r="H144" s="32">
        <f>'Off-farm feed'!$G$77</f>
        <v>5.3103448275862083E-7</v>
      </c>
      <c r="I144" s="32">
        <f>'Off-farm feed'!$H$77</f>
        <v>1.0756102664162708E-3</v>
      </c>
      <c r="J144" s="32">
        <f>'Off-farm feed'!$I$77</f>
        <v>1.0756102664162706E-4</v>
      </c>
      <c r="K144" s="32">
        <f>'Off-farm feed'!$J$77</f>
        <v>6.6339607025480414E-7</v>
      </c>
      <c r="L144" s="32"/>
      <c r="M144" s="32">
        <f>'Off-farm feed'!$L$77</f>
        <v>7.9511067188965511E-9</v>
      </c>
      <c r="N144" s="32">
        <f>'Off-farm feed'!$M$77</f>
        <v>1.2789681892721844E-6</v>
      </c>
      <c r="O144" s="32"/>
      <c r="P144" s="32">
        <f>'Off-farm feed'!$O$77</f>
        <v>4.8776996151562902E-6</v>
      </c>
      <c r="Q144" s="32">
        <f>'Off-farm feed'!$P$77</f>
        <v>4.6959459459459463E-7</v>
      </c>
      <c r="R144" s="138">
        <f>'Parameters, country spec'!J26</f>
        <v>3.8764044943820221E-2</v>
      </c>
      <c r="S144" s="138">
        <f>'Parameters, country spec'!J44</f>
        <v>0.06</v>
      </c>
    </row>
    <row r="145" spans="1:19" x14ac:dyDescent="0.3">
      <c r="B145" s="16" t="s">
        <v>373</v>
      </c>
      <c r="C145" s="15" t="s">
        <v>372</v>
      </c>
      <c r="D145" s="21" t="s">
        <v>27</v>
      </c>
      <c r="E145" s="21" t="s">
        <v>75</v>
      </c>
      <c r="F145" s="117">
        <f t="shared" si="16"/>
        <v>1.8866346644602505E-4</v>
      </c>
      <c r="G145" s="32">
        <f>'Off-farm feed'!$F$26</f>
        <v>1.6332109719061441E-5</v>
      </c>
      <c r="H145" s="32">
        <f>'Off-farm feed'!$G$26</f>
        <v>8.7195121951219526E-7</v>
      </c>
      <c r="I145" s="32">
        <f>'Off-farm feed'!$H$26</f>
        <v>1.3333449845358202E-4</v>
      </c>
      <c r="J145" s="32">
        <f>'Off-farm feed'!$I$26</f>
        <v>1.3333449845358203E-5</v>
      </c>
      <c r="K145" s="32">
        <f>'Off-farm feed'!$J$26</f>
        <v>1.1576736579983931E-6</v>
      </c>
      <c r="L145" s="32"/>
      <c r="M145" s="32">
        <f>'Off-farm feed'!$L$26</f>
        <v>7.3437786087804866E-9</v>
      </c>
      <c r="N145" s="32">
        <f>'Off-farm feed'!$M$26</f>
        <v>1.1195281639512197E-6</v>
      </c>
      <c r="O145" s="32"/>
      <c r="P145" s="32">
        <f>'Off-farm feed'!$O$26</f>
        <v>1.3419073770114991E-5</v>
      </c>
      <c r="Q145" s="32">
        <f>'Off-farm feed'!$P$26</f>
        <v>9.087837837837838E-6</v>
      </c>
      <c r="R145" s="138">
        <f>'Parameters, country spec'!J27</f>
        <v>3.8764044943820221E-2</v>
      </c>
      <c r="S145" s="138">
        <f>'Parameters, country spec'!J45</f>
        <v>7.0000000000000007E-2</v>
      </c>
    </row>
    <row r="146" spans="1:19" x14ac:dyDescent="0.3">
      <c r="B146" s="15" t="s">
        <v>173</v>
      </c>
      <c r="C146" s="15" t="s">
        <v>374</v>
      </c>
      <c r="D146" s="21" t="s">
        <v>27</v>
      </c>
      <c r="E146" s="21" t="s">
        <v>75</v>
      </c>
      <c r="F146" s="354">
        <f t="shared" si="16"/>
        <v>4.5209651364689057E-4</v>
      </c>
      <c r="G146" s="92">
        <v>8.1710190712302194E-5</v>
      </c>
      <c r="H146" s="92">
        <v>5.5043999999999904E-7</v>
      </c>
      <c r="I146" s="92">
        <v>3.5822639957807799E-4</v>
      </c>
      <c r="K146" s="92">
        <v>1.08819106688444E-6</v>
      </c>
      <c r="N146" s="12"/>
      <c r="O146" s="12"/>
      <c r="P146" s="92">
        <v>9.3475299429580403E-6</v>
      </c>
      <c r="Q146" s="92">
        <v>1.1737623466679099E-6</v>
      </c>
      <c r="R146" s="138">
        <f>'Parameters, country spec'!J28</f>
        <v>0</v>
      </c>
      <c r="S146" s="138">
        <f>'Parameters, country spec'!J46</f>
        <v>0.14000000000000001</v>
      </c>
    </row>
    <row r="147" spans="1:19" x14ac:dyDescent="0.3">
      <c r="A147" s="74"/>
      <c r="B147" s="15" t="s">
        <v>375</v>
      </c>
      <c r="C147" s="75" t="s">
        <v>376</v>
      </c>
      <c r="D147" s="21" t="s">
        <v>27</v>
      </c>
      <c r="E147" s="21" t="s">
        <v>75</v>
      </c>
      <c r="F147" s="117">
        <f t="shared" si="16"/>
        <v>3.6726136260058657E-4</v>
      </c>
      <c r="G147" s="73">
        <f>SUMPRODUCT(G137:G145,$R137:$R145)</f>
        <v>6.6240268985300358E-5</v>
      </c>
      <c r="H147" s="73">
        <f t="shared" ref="H147:P147" si="17">SUMPRODUCT(H137:H145,$R137:$R145)</f>
        <v>3.8135169295319456E-7</v>
      </c>
      <c r="I147" s="73">
        <f t="shared" si="17"/>
        <v>2.7154336448090998E-4</v>
      </c>
      <c r="J147" s="73">
        <f t="shared" si="17"/>
        <v>2.7154336448090997E-5</v>
      </c>
      <c r="K147" s="73">
        <f t="shared" si="17"/>
        <v>3.3194933216262388E-7</v>
      </c>
      <c r="L147" s="73">
        <f t="shared" si="17"/>
        <v>0</v>
      </c>
      <c r="M147" s="73">
        <f t="shared" si="17"/>
        <v>2.509386004275121E-9</v>
      </c>
      <c r="N147" s="73">
        <f t="shared" si="17"/>
        <v>5.278405889732667E-7</v>
      </c>
      <c r="O147" s="73">
        <f t="shared" si="17"/>
        <v>0</v>
      </c>
      <c r="P147" s="73">
        <f t="shared" si="17"/>
        <v>7.0925694583354958E-7</v>
      </c>
      <c r="Q147" s="73">
        <f>SUMPRODUCT(Q137:Q145,$R137:$R145)</f>
        <v>3.7048474035833587E-7</v>
      </c>
      <c r="R147" s="138">
        <f>'Parameters, country spec'!J29</f>
        <v>0</v>
      </c>
      <c r="S147" s="138">
        <f>'Parameters, country spec'!J47</f>
        <v>0.03</v>
      </c>
    </row>
    <row r="148" spans="1:19" x14ac:dyDescent="0.3">
      <c r="A148" s="287"/>
      <c r="B148" s="288" t="s">
        <v>377</v>
      </c>
      <c r="C148" s="289"/>
      <c r="D148" s="290"/>
      <c r="E148" s="290"/>
      <c r="F148" s="293">
        <f>SUMPRODUCT(F134:F136,R134:R136)+SUMPRODUCT(F137:F147,R137:R147)/0.87</f>
        <v>5.7752676043809517E-4</v>
      </c>
      <c r="G148" s="293">
        <f>SUMPRODUCT(G134:G136,R134:R136)+SUMPRODUCT(G137:G147,R137:R147)/0.87</f>
        <v>9.4359757731494583E-5</v>
      </c>
      <c r="H148" s="293">
        <f>SUMPRODUCT(H134:H136,R134:R136)+SUMPRODUCT(H137:H147,R137:R147)/0.87</f>
        <v>1.0983352792565454E-6</v>
      </c>
      <c r="I148" s="293">
        <f>SUMPRODUCT(I134:I136,R134:R136)+SUMPRODUCT(I137:I147,R137:R147)/0.87</f>
        <v>3.9885972780971982E-4</v>
      </c>
      <c r="J148" s="293">
        <f>SUMPRODUCT(J134:J136,R134:R136)+SUMPRODUCT(J137:J147,R137:R147)/0.87</f>
        <v>3.9885972780971974E-5</v>
      </c>
      <c r="K148" s="293">
        <f>SUMPRODUCT(K134:K136,R134:R136)+SUMPRODUCT(K137:K147,R137:R147)/0.87</f>
        <v>6.1228676634253378E-7</v>
      </c>
      <c r="L148" s="293">
        <f>SUMPRODUCT(L134:L136,R134:R136)+SUMPRODUCT(L137:L147,R137:R147)/0.87</f>
        <v>0</v>
      </c>
      <c r="M148" s="293">
        <f>SUMPRODUCT(M134:M136,R134:R136)+SUMPRODUCT(M137:M147,R137:R147)/0.87</f>
        <v>2.8843517290518632E-9</v>
      </c>
      <c r="N148" s="293">
        <f>SUMPRODUCT(N134:N136,R134:R136)+SUMPRODUCT(N137:N147,R137:R147)/0.87</f>
        <v>6.0671332065892724E-7</v>
      </c>
      <c r="O148" s="293">
        <f>SUMPRODUCT(O134:O136,R134:R136)+SUMPRODUCT(O137:O147,R137:R147)/0.87</f>
        <v>0</v>
      </c>
      <c r="P148" s="293">
        <f>SUMPRODUCT(P134:P136,R134:R136)+SUMPRODUCT(P137:P147,R137:R147)/0.87</f>
        <v>4.1675237868774187E-5</v>
      </c>
      <c r="Q148" s="293">
        <f>SUMPRODUCT(Q134:Q136,R134:R136)+SUMPRODUCT(Q137:Q147,R137:R147)/0.87</f>
        <v>4.2584452914751251E-7</v>
      </c>
      <c r="R148" s="294"/>
      <c r="S148" s="294"/>
    </row>
    <row r="149" spans="1:19" x14ac:dyDescent="0.3">
      <c r="A149" s="137"/>
      <c r="B149" s="23" t="s">
        <v>381</v>
      </c>
      <c r="C149" s="24"/>
      <c r="D149" s="93"/>
      <c r="E149" s="93"/>
      <c r="F149" s="28">
        <f>SUMPRODUCT(F134:F136,S134:S136)+SUMPRODUCT(F137:F147,S137:S147)/0.87</f>
        <v>6.9072479814892562E-4</v>
      </c>
      <c r="G149" s="28">
        <f>SUMPRODUCT(G134:G136,S134:S136)+SUMPRODUCT(G137:G147,S137:S147)/0.87</f>
        <v>1.1914010585442687E-4</v>
      </c>
      <c r="H149" s="28">
        <f>SUMPRODUCT(H134:H136,S134:S136)+SUMPRODUCT(H137:H147,S137:S147)/0.87</f>
        <v>9.9936174198564093E-7</v>
      </c>
      <c r="I149" s="28">
        <f>SUMPRODUCT(I134:I136,S134:S136)+SUMPRODUCT(I137:I147,S137:S147)/0.87</f>
        <v>5.0029324295476781E-4</v>
      </c>
      <c r="J149" s="28">
        <f>SUMPRODUCT(J134:J136,S134:S136)+SUMPRODUCT(J137:J147,S137:S147)/0.87</f>
        <v>4.4264761543645651E-5</v>
      </c>
      <c r="K149" s="28">
        <f>SUMPRODUCT(K134:K136,S134:S136)+SUMPRODUCT(K137:K147,S137:S147)/0.87</f>
        <v>8.7520871950909017E-7</v>
      </c>
      <c r="L149" s="28">
        <f>SUMPRODUCT(L134:L136,S134:S136)+SUMPRODUCT(L137:L147,S137:S147)/0.87</f>
        <v>0</v>
      </c>
      <c r="M149" s="28">
        <f>SUMPRODUCT(M134:M136,S134:S136)+SUMPRODUCT(M137:M147,S137:S147)/0.87</f>
        <v>2.7031764073373409E-9</v>
      </c>
      <c r="N149" s="28">
        <f>SUMPRODUCT(N134:N136,S134:S136)+SUMPRODUCT(N137:N147,S137:S147)/0.87</f>
        <v>8.094203233840736E-7</v>
      </c>
      <c r="O149" s="28">
        <f>SUMPRODUCT(O134:O136,S134:S136)+SUMPRODUCT(O137:O147,S137:S147)/0.87</f>
        <v>0</v>
      </c>
      <c r="P149" s="28">
        <f>SUMPRODUCT(P134:P136,S134:S136)+SUMPRODUCT(P137:P147,S137:S147)/0.87</f>
        <v>2.3374746024375353E-5</v>
      </c>
      <c r="Q149" s="28">
        <f>SUMPRODUCT(Q134:Q136,S134:S136)+SUMPRODUCT(Q137:Q147,S137:S147)/0.87</f>
        <v>9.6524781042365739E-7</v>
      </c>
      <c r="R149" s="139"/>
      <c r="S149" s="139"/>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4" tint="0.39997558519241921"/>
  </sheetPr>
  <dimension ref="A1:P149"/>
  <sheetViews>
    <sheetView topLeftCell="A134" zoomScale="80" zoomScaleNormal="80" workbookViewId="0">
      <selection activeCell="F132" sqref="F132"/>
    </sheetView>
  </sheetViews>
  <sheetFormatPr defaultColWidth="8.6640625" defaultRowHeight="14.4" x14ac:dyDescent="0.3"/>
  <cols>
    <col min="1" max="1" width="8.6640625" customWidth="1"/>
    <col min="2" max="2" width="30.44140625" customWidth="1"/>
    <col min="3" max="3" width="19" customWidth="1"/>
    <col min="4" max="4" width="12.6640625" customWidth="1"/>
    <col min="5" max="5" width="8.6640625" customWidth="1"/>
    <col min="6" max="10" width="15.6640625" customWidth="1"/>
    <col min="11" max="11" width="15.6640625" style="42" customWidth="1"/>
    <col min="12" max="12" width="15.6640625" customWidth="1"/>
    <col min="14" max="14" width="8.6640625" style="3"/>
  </cols>
  <sheetData>
    <row r="1" spans="1:16" x14ac:dyDescent="0.3">
      <c r="D1" s="6"/>
    </row>
    <row r="2" spans="1:16" ht="21" x14ac:dyDescent="0.4">
      <c r="A2" s="2" t="s">
        <v>383</v>
      </c>
      <c r="F2" t="s">
        <v>354</v>
      </c>
    </row>
    <row r="3" spans="1:16" x14ac:dyDescent="0.3">
      <c r="H3" s="7"/>
      <c r="I3" s="7"/>
      <c r="J3" s="7"/>
      <c r="K3" s="57"/>
    </row>
    <row r="4" spans="1:16" x14ac:dyDescent="0.3">
      <c r="A4" s="143" t="s">
        <v>355</v>
      </c>
      <c r="B4" s="144"/>
      <c r="C4" s="144"/>
      <c r="D4" s="144"/>
      <c r="E4" s="144"/>
      <c r="F4" s="145" t="s">
        <v>34</v>
      </c>
      <c r="G4" s="145" t="s">
        <v>35</v>
      </c>
      <c r="H4" s="145" t="s">
        <v>36</v>
      </c>
      <c r="I4" s="145" t="s">
        <v>37</v>
      </c>
      <c r="J4" s="146" t="s">
        <v>38</v>
      </c>
      <c r="K4" s="146" t="s">
        <v>39</v>
      </c>
      <c r="L4" s="146" t="s">
        <v>40</v>
      </c>
      <c r="M4" s="147" t="s">
        <v>356</v>
      </c>
      <c r="N4" s="147" t="s">
        <v>356</v>
      </c>
    </row>
    <row r="5" spans="1:16" ht="43.2" x14ac:dyDescent="0.3">
      <c r="A5" s="148" t="s">
        <v>44</v>
      </c>
      <c r="B5" s="148" t="s">
        <v>355</v>
      </c>
      <c r="C5" s="148" t="s">
        <v>357</v>
      </c>
      <c r="D5" s="148" t="s">
        <v>47</v>
      </c>
      <c r="E5" s="136" t="s">
        <v>48</v>
      </c>
      <c r="F5" s="152" t="s">
        <v>55</v>
      </c>
      <c r="G5" s="152" t="s">
        <v>384</v>
      </c>
      <c r="H5" s="152" t="s">
        <v>385</v>
      </c>
      <c r="I5" s="153" t="s">
        <v>58</v>
      </c>
      <c r="J5" s="154" t="s">
        <v>59</v>
      </c>
      <c r="K5" s="155" t="s">
        <v>60</v>
      </c>
      <c r="L5" s="155" t="s">
        <v>61</v>
      </c>
      <c r="M5" s="89" t="s">
        <v>386</v>
      </c>
      <c r="N5" s="89" t="s">
        <v>360</v>
      </c>
    </row>
    <row r="6" spans="1:16" x14ac:dyDescent="0.3">
      <c r="B6" s="16" t="s">
        <v>152</v>
      </c>
      <c r="C6" s="15" t="s">
        <v>361</v>
      </c>
      <c r="D6" s="21" t="s">
        <v>28</v>
      </c>
      <c r="E6" s="21" t="s">
        <v>67</v>
      </c>
      <c r="F6" s="107">
        <v>0</v>
      </c>
      <c r="G6" s="278">
        <f>'Forage crops, footprints'!G8</f>
        <v>1.3261392141552593E-2</v>
      </c>
      <c r="H6" s="279">
        <f>'Forage crops, footprints'!H8</f>
        <v>2.9377625397606846E-4</v>
      </c>
      <c r="I6" s="278">
        <f>'Forage crops, footprints'!I8</f>
        <v>0</v>
      </c>
      <c r="J6" s="117">
        <f>'Forage crops, footprints'!J8</f>
        <v>0</v>
      </c>
      <c r="K6" s="117">
        <f>'Forage crops, footprints'!K8</f>
        <v>3.2252454611020728E-11</v>
      </c>
      <c r="L6" s="117">
        <f>'Forage crops, footprints'!L8</f>
        <v>2.9118945728129586E-4</v>
      </c>
      <c r="M6" s="138">
        <f>'Parameters, country spec'!B16</f>
        <v>0</v>
      </c>
      <c r="N6" s="138">
        <f>'Parameters, country spec'!B34</f>
        <v>0</v>
      </c>
      <c r="O6" s="18"/>
      <c r="P6" s="138"/>
    </row>
    <row r="7" spans="1:16" x14ac:dyDescent="0.3">
      <c r="B7" s="16" t="s">
        <v>154</v>
      </c>
      <c r="C7" s="15" t="s">
        <v>361</v>
      </c>
      <c r="D7" s="21" t="s">
        <v>28</v>
      </c>
      <c r="E7" s="21" t="s">
        <v>67</v>
      </c>
      <c r="F7" s="107">
        <f>'Forage crops, footprints'!F22</f>
        <v>0.78354822784250244</v>
      </c>
      <c r="G7" s="278">
        <f>'Forage crops, footprints'!G22</f>
        <v>4.8579990126235142E-3</v>
      </c>
      <c r="H7" s="279">
        <f>'Forage crops, footprints'!H22</f>
        <v>6.5685620452374282E-4</v>
      </c>
      <c r="I7" s="278">
        <f>'Forage crops, footprints'!I22</f>
        <v>9.0999999999999998E-2</v>
      </c>
      <c r="J7" s="117">
        <f>'Forage crops, footprints'!J22</f>
        <v>6.7567011968587768E-5</v>
      </c>
      <c r="K7" s="117">
        <f>'Forage crops, footprints'!K22</f>
        <v>9.4193784415180687E-12</v>
      </c>
      <c r="L7" s="117">
        <f>'Forage crops, footprints'!L22</f>
        <v>2.9534011988288379E-4</v>
      </c>
      <c r="M7" s="138">
        <f>'Parameters, country spec'!B17</f>
        <v>0</v>
      </c>
      <c r="N7" s="138">
        <f>'Parameters, country spec'!B35</f>
        <v>0</v>
      </c>
      <c r="O7" s="18"/>
      <c r="P7" s="138"/>
    </row>
    <row r="8" spans="1:16" x14ac:dyDescent="0.3">
      <c r="B8" s="16" t="s">
        <v>362</v>
      </c>
      <c r="C8" s="15" t="s">
        <v>361</v>
      </c>
      <c r="D8" s="21" t="s">
        <v>28</v>
      </c>
      <c r="E8" s="21" t="s">
        <v>67</v>
      </c>
      <c r="F8" s="107">
        <f>'Forage, input data per ha'!$E$67*'Forage crops, footprints'!F36+'Forage, input data per ha'!$G$67*'Forage crops, footprints'!F50</f>
        <v>1.1381496350272928</v>
      </c>
      <c r="G8" s="278">
        <f>'Forage, input data per ha'!$E$67*'Forage crops, footprints'!G36+'Forage, input data per ha'!$G$67*'Forage crops, footprints'!G50</f>
        <v>1.6303712476288538E-2</v>
      </c>
      <c r="H8" s="279">
        <f>'Forage, input data per ha'!$E$67*'Forage crops, footprints'!H36+'Forage, input data per ha'!$G$67*'Forage crops, footprints'!H50</f>
        <v>5.8176992086730157E-4</v>
      </c>
      <c r="I8" s="278">
        <f>'Forage, input data per ha'!$E$67*'Forage crops, footprints'!I36+'Forage, input data per ha'!$G$67*'Forage crops, footprints'!I50</f>
        <v>0</v>
      </c>
      <c r="J8" s="117">
        <f>'Forage, input data per ha'!$E$67*'Forage crops, footprints'!J36+'Forage, input data per ha'!$G$67*'Forage crops, footprints'!J50</f>
        <v>3.2940962521148694E-5</v>
      </c>
      <c r="K8" s="117">
        <f>'Forage, input data per ha'!$E$67*'Forage crops, footprints'!K36+'Forage, input data per ha'!$G$67*'Forage crops, footprints'!K50</f>
        <v>9.3211374261595228E-12</v>
      </c>
      <c r="L8" s="117">
        <f>'Forage, input data per ha'!$E$67*'Forage crops, footprints'!L36+'Forage, input data per ha'!$G$67*'Forage crops, footprints'!L50</f>
        <v>2.6385719717673104E-4</v>
      </c>
      <c r="M8" s="138">
        <f>'Parameters, country spec'!B18</f>
        <v>0.28000000000000003</v>
      </c>
      <c r="N8" s="138">
        <f>'Parameters, country spec'!B36</f>
        <v>0.3</v>
      </c>
      <c r="O8" s="18"/>
      <c r="P8" s="138"/>
    </row>
    <row r="9" spans="1:16" x14ac:dyDescent="0.3">
      <c r="A9" s="20" t="s">
        <v>363</v>
      </c>
      <c r="B9" s="15" t="s">
        <v>159</v>
      </c>
      <c r="C9" s="15" t="s">
        <v>364</v>
      </c>
      <c r="D9" s="21" t="s">
        <v>28</v>
      </c>
      <c r="E9" s="21" t="s">
        <v>67</v>
      </c>
      <c r="F9" s="280">
        <v>1.6</v>
      </c>
      <c r="G9" s="281">
        <v>2.1000000000000001E-2</v>
      </c>
      <c r="H9" s="284">
        <v>3.0999999999999999E-3</v>
      </c>
      <c r="I9" s="282">
        <v>4.0000000000000001E-3</v>
      </c>
      <c r="J9" s="261">
        <v>0.32</v>
      </c>
      <c r="K9" s="261">
        <v>1.91911325133042E-11</v>
      </c>
      <c r="L9" s="261">
        <v>1.25E-3</v>
      </c>
      <c r="M9" s="138">
        <f>'Parameters, country spec'!B19</f>
        <v>0.16</v>
      </c>
      <c r="N9" s="138">
        <f>'Parameters, country spec'!B37</f>
        <v>0.2</v>
      </c>
    </row>
    <row r="10" spans="1:16" x14ac:dyDescent="0.3">
      <c r="A10" s="20" t="s">
        <v>365</v>
      </c>
      <c r="B10" s="15" t="s">
        <v>161</v>
      </c>
      <c r="C10" s="15" t="s">
        <v>364</v>
      </c>
      <c r="D10" s="21" t="s">
        <v>28</v>
      </c>
      <c r="E10" s="21" t="s">
        <v>67</v>
      </c>
      <c r="F10" s="19">
        <v>1.1000000000000001</v>
      </c>
      <c r="G10" s="38">
        <v>0.02</v>
      </c>
      <c r="H10" s="283">
        <v>5.5999999999999999E-3</v>
      </c>
      <c r="I10" s="38">
        <v>9.0999999999999998E-2</v>
      </c>
      <c r="J10" s="26">
        <v>0.05</v>
      </c>
      <c r="K10" s="26">
        <v>1.3262871887546999E-11</v>
      </c>
      <c r="L10" s="26">
        <v>1.2099999999999999E-3</v>
      </c>
      <c r="M10" s="138">
        <f>'Parameters, country spec'!B20</f>
        <v>3.1075970320211814E-4</v>
      </c>
      <c r="N10" s="138">
        <f>'Parameters, country spec'!B38</f>
        <v>3.1075970320211814E-4</v>
      </c>
    </row>
    <row r="11" spans="1:16" x14ac:dyDescent="0.3">
      <c r="A11" s="20" t="s">
        <v>366</v>
      </c>
      <c r="B11" s="15" t="s">
        <v>163</v>
      </c>
      <c r="C11" s="15" t="s">
        <v>364</v>
      </c>
      <c r="D11" s="21" t="s">
        <v>28</v>
      </c>
      <c r="E11" s="21" t="s">
        <v>67</v>
      </c>
      <c r="F11" s="19">
        <v>2.2400000000000002</v>
      </c>
      <c r="G11" s="38">
        <v>1.7999999999999999E-2</v>
      </c>
      <c r="H11" s="283">
        <v>3.8E-3</v>
      </c>
      <c r="I11" s="38">
        <v>5.2999999999999999E-2</v>
      </c>
      <c r="J11" s="26">
        <v>0.09</v>
      </c>
      <c r="K11" s="26">
        <v>2.68819361465691E-11</v>
      </c>
      <c r="L11" s="26">
        <v>1.1000000000000001E-3</v>
      </c>
      <c r="M11" s="138">
        <f>'Parameters, country spec'!B21</f>
        <v>8.6733359151412953E-5</v>
      </c>
      <c r="N11" s="138">
        <f>'Parameters, country spec'!B39</f>
        <v>8.6733359151412953E-5</v>
      </c>
    </row>
    <row r="12" spans="1:16" x14ac:dyDescent="0.3">
      <c r="A12" s="20" t="s">
        <v>367</v>
      </c>
      <c r="B12" s="15" t="s">
        <v>165</v>
      </c>
      <c r="C12" s="15" t="s">
        <v>364</v>
      </c>
      <c r="D12" s="21" t="s">
        <v>28</v>
      </c>
      <c r="E12" s="21" t="s">
        <v>67</v>
      </c>
      <c r="F12" s="19">
        <v>2.2400000000000002</v>
      </c>
      <c r="G12" s="38">
        <v>1.6E-2</v>
      </c>
      <c r="H12" s="283">
        <v>1.1999999999999999E-3</v>
      </c>
      <c r="I12" s="38">
        <v>1E-3</v>
      </c>
      <c r="J12" s="26">
        <v>0</v>
      </c>
      <c r="K12" s="26">
        <v>2.69252869218114E-11</v>
      </c>
      <c r="L12" s="26">
        <v>9.68E-4</v>
      </c>
      <c r="M12" s="138">
        <f>'Parameters, country spec'!B22</f>
        <v>6.2924072151971947E-5</v>
      </c>
      <c r="N12" s="138">
        <f>'Parameters, country spec'!B40</f>
        <v>6.2924072151971947E-5</v>
      </c>
    </row>
    <row r="13" spans="1:16" x14ac:dyDescent="0.3">
      <c r="A13" s="20" t="s">
        <v>368</v>
      </c>
      <c r="B13" s="15" t="s">
        <v>167</v>
      </c>
      <c r="C13" s="15" t="s">
        <v>364</v>
      </c>
      <c r="D13" s="21" t="s">
        <v>28</v>
      </c>
      <c r="E13" s="21" t="s">
        <v>67</v>
      </c>
      <c r="F13" s="19">
        <v>1.41</v>
      </c>
      <c r="G13" s="38">
        <v>2.4E-2</v>
      </c>
      <c r="H13" s="283">
        <v>2.2000000000000001E-3</v>
      </c>
      <c r="I13" s="38">
        <v>3.0000000000000001E-3</v>
      </c>
      <c r="J13" s="26">
        <v>0.27</v>
      </c>
      <c r="K13" s="26">
        <v>1.69922519995714E-11</v>
      </c>
      <c r="L13" s="26">
        <v>1.4300000000000001E-3</v>
      </c>
      <c r="M13" s="138">
        <f>'Parameters, country spec'!B23</f>
        <v>0.20500000000000002</v>
      </c>
      <c r="N13" s="138">
        <f>'Parameters, country spec'!B41</f>
        <v>0.2</v>
      </c>
    </row>
    <row r="14" spans="1:16" x14ac:dyDescent="0.3">
      <c r="A14" s="20" t="s">
        <v>369</v>
      </c>
      <c r="B14" s="15" t="s">
        <v>168</v>
      </c>
      <c r="C14" s="15" t="s">
        <v>370</v>
      </c>
      <c r="D14" s="21" t="s">
        <v>28</v>
      </c>
      <c r="E14" s="21" t="s">
        <v>67</v>
      </c>
      <c r="F14" s="19">
        <v>3.01</v>
      </c>
      <c r="G14" s="38">
        <v>1.9E-2</v>
      </c>
      <c r="H14" s="283">
        <v>1.6999999999999999E-3</v>
      </c>
      <c r="I14" s="38">
        <v>2.5999999999999999E-2</v>
      </c>
      <c r="J14" s="26">
        <v>1.01</v>
      </c>
      <c r="K14" s="26">
        <v>3.6201743477627501E-11</v>
      </c>
      <c r="L14" s="26">
        <v>0</v>
      </c>
      <c r="M14" s="138">
        <f>'Parameters, country spec'!B24</f>
        <v>2.439015630520557E-4</v>
      </c>
      <c r="N14" s="138">
        <f>'Parameters, country spec'!B42</f>
        <v>2.439015630520557E-4</v>
      </c>
    </row>
    <row r="15" spans="1:16" x14ac:dyDescent="0.3">
      <c r="A15" s="20" t="s">
        <v>371</v>
      </c>
      <c r="B15" s="15" t="s">
        <v>170</v>
      </c>
      <c r="C15" s="15" t="s">
        <v>370</v>
      </c>
      <c r="D15" s="21" t="s">
        <v>28</v>
      </c>
      <c r="E15" s="21" t="s">
        <v>67</v>
      </c>
      <c r="F15" s="19">
        <v>4.1100000000000003</v>
      </c>
      <c r="G15" s="38">
        <v>1.0999999999999999E-2</v>
      </c>
      <c r="H15" s="283">
        <v>2E-3</v>
      </c>
      <c r="I15" s="38">
        <v>4.4999999999999998E-2</v>
      </c>
      <c r="J15" s="26">
        <v>1.05</v>
      </c>
      <c r="K15" s="26">
        <v>4.9378693934496101E-11</v>
      </c>
      <c r="L15" s="26">
        <v>6.1400000000000002E-5</v>
      </c>
      <c r="M15" s="138">
        <f>'Parameters, country spec'!B25</f>
        <v>2.3959170998341588E-4</v>
      </c>
      <c r="N15" s="138">
        <f>'Parameters, country spec'!B43</f>
        <v>2.3959170998341588E-4</v>
      </c>
    </row>
    <row r="16" spans="1:16" x14ac:dyDescent="0.3">
      <c r="B16" s="16" t="s">
        <v>171</v>
      </c>
      <c r="C16" s="15" t="s">
        <v>372</v>
      </c>
      <c r="D16" s="21" t="s">
        <v>28</v>
      </c>
      <c r="E16" s="21" t="s">
        <v>67</v>
      </c>
      <c r="F16" s="17">
        <f>'Off-farm feed'!$F$88</f>
        <v>1.5397450382845068</v>
      </c>
      <c r="G16" s="18">
        <f>'Off-farm feed'!$G$88</f>
        <v>2.276724967641296E-2</v>
      </c>
      <c r="H16" s="258">
        <f>'Off-farm feed'!$H$88</f>
        <v>2.4780679919905292E-3</v>
      </c>
      <c r="I16" s="18">
        <f>'Off-farm feed'!$I$88</f>
        <v>8.1100925319702543E-4</v>
      </c>
      <c r="J16" s="27">
        <f>'Off-farm feed'!$J$88</f>
        <v>0.29368572248181479</v>
      </c>
      <c r="K16" s="27">
        <f>'Off-farm feed'!$K$88</f>
        <v>1.2571008272056975E-11</v>
      </c>
      <c r="L16" s="27">
        <f>'Off-farm feed'!$L$88</f>
        <v>1.3841258986185109E-3</v>
      </c>
      <c r="M16" s="138">
        <f>'Parameters, country spec'!B26</f>
        <v>0.09</v>
      </c>
      <c r="N16" s="138">
        <f>'Parameters, country spec'!B44</f>
        <v>0.06</v>
      </c>
    </row>
    <row r="17" spans="1:16" x14ac:dyDescent="0.3">
      <c r="B17" s="16" t="s">
        <v>373</v>
      </c>
      <c r="C17" s="15" t="s">
        <v>372</v>
      </c>
      <c r="D17" s="21" t="s">
        <v>28</v>
      </c>
      <c r="E17" s="21" t="s">
        <v>67</v>
      </c>
      <c r="F17" s="17">
        <f>'Off-farm feed'!$F$36</f>
        <v>2.5509164954964105</v>
      </c>
      <c r="G17" s="18">
        <f>'Off-farm feed'!$G$36</f>
        <v>4.2620923125915401E-2</v>
      </c>
      <c r="H17" s="258">
        <f>'Off-farm feed'!$H$36</f>
        <v>3.2959349471355006E-3</v>
      </c>
      <c r="I17" s="18">
        <f>'Off-farm feed'!$I$36</f>
        <v>2.435286335413451E-3</v>
      </c>
      <c r="J17" s="27">
        <f>'Off-farm feed'!$J$36</f>
        <v>0.25920846302270906</v>
      </c>
      <c r="K17" s="27">
        <f>'Off-farm feed'!$K$36</f>
        <v>1.4553836091881654E-10</v>
      </c>
      <c r="L17" s="27">
        <f>'Off-farm feed'!$L$36</f>
        <v>1.0450321677831977E-4</v>
      </c>
      <c r="M17" s="138">
        <f>'Parameters, country spec'!B27</f>
        <v>9.5000000000000001E-2</v>
      </c>
      <c r="N17" s="138">
        <f>'Parameters, country spec'!B45</f>
        <v>7.0000000000000007E-2</v>
      </c>
    </row>
    <row r="18" spans="1:16" x14ac:dyDescent="0.3">
      <c r="B18" s="15" t="s">
        <v>173</v>
      </c>
      <c r="C18" s="15" t="s">
        <v>374</v>
      </c>
      <c r="D18" s="21" t="s">
        <v>28</v>
      </c>
      <c r="E18" s="21" t="s">
        <v>67</v>
      </c>
      <c r="F18" s="19">
        <v>0.71637781462279504</v>
      </c>
      <c r="G18" s="19">
        <v>1.1762359809494499E-2</v>
      </c>
      <c r="H18" s="19">
        <v>1.0762943616530901E-3</v>
      </c>
      <c r="I18" s="26">
        <v>8.3881316190036399E-4</v>
      </c>
      <c r="J18" s="26">
        <v>0.13219139310046199</v>
      </c>
      <c r="K18" s="26">
        <v>9.4000779019093497E-14</v>
      </c>
      <c r="L18" s="26">
        <v>7.1508799141679696E-4</v>
      </c>
      <c r="M18" s="138">
        <f>'Parameters, country spec'!B28</f>
        <v>9.5000000000000001E-2</v>
      </c>
      <c r="N18" s="138">
        <f>'Parameters, country spec'!B46</f>
        <v>0.14000000000000001</v>
      </c>
    </row>
    <row r="19" spans="1:16" x14ac:dyDescent="0.3">
      <c r="A19" s="74"/>
      <c r="B19" s="15" t="s">
        <v>375</v>
      </c>
      <c r="C19" s="75" t="s">
        <v>376</v>
      </c>
      <c r="D19" s="21" t="s">
        <v>28</v>
      </c>
      <c r="E19" s="21" t="s">
        <v>67</v>
      </c>
      <c r="F19" s="72">
        <f>AVERAGE(F9:F17)</f>
        <v>2.2000735037534351</v>
      </c>
      <c r="G19" s="97">
        <f t="shared" ref="G19:L19" si="0">AVERAGE(G9:G17)</f>
        <v>2.1598685866925375E-2</v>
      </c>
      <c r="H19" s="97">
        <f t="shared" si="0"/>
        <v>2.8193336599028917E-3</v>
      </c>
      <c r="I19" s="97">
        <f t="shared" si="0"/>
        <v>2.5138477287623383E-2</v>
      </c>
      <c r="J19" s="151">
        <f t="shared" si="0"/>
        <v>0.37143268727828044</v>
      </c>
      <c r="K19" s="73">
        <f t="shared" si="0"/>
        <v>3.8549254007977803E-11</v>
      </c>
      <c r="L19" s="151">
        <f t="shared" si="0"/>
        <v>8.3422545726631451E-4</v>
      </c>
      <c r="M19" s="138">
        <f>'Parameters, country spec'!B29</f>
        <v>7.0000000000000007E-2</v>
      </c>
      <c r="N19" s="138">
        <f>'Parameters, country spec'!B47</f>
        <v>0.03</v>
      </c>
    </row>
    <row r="20" spans="1:16" x14ac:dyDescent="0.3">
      <c r="A20" s="287"/>
      <c r="B20" s="288" t="s">
        <v>377</v>
      </c>
      <c r="C20" s="289"/>
      <c r="D20" s="290"/>
      <c r="E20" s="290"/>
      <c r="F20" s="291">
        <f>SUMPRODUCT(F6:F8,M6:M8)+SUMPRODUCT(F9:F19,M9:M19)/0.87</f>
        <v>1.641004992200896</v>
      </c>
      <c r="G20" s="292">
        <f>SUMPRODUCT(G6:G8,M6:M8)+SUMPRODUCT(G9:G19,M9:M19)/0.87</f>
        <v>2.4132194871081356E-2</v>
      </c>
      <c r="H20" s="292">
        <f>SUMPRODUCT(H6:H8,M6:M8)+SUMPRODUCT(H9:H19,M9:M19)/0.87</f>
        <v>2.2155167570080299E-3</v>
      </c>
      <c r="I20" s="292">
        <f>SUMPRODUCT(I6:I8,M6:M8)+SUMPRODUCT(I9:I19,M9:M19)/0.87</f>
        <v>3.9641214802912167E-3</v>
      </c>
      <c r="J20" s="293">
        <f>SUMPRODUCT(J6:J8,M6:M8)+SUMPRODUCT(J9:J19,M9:M19)/0.87</f>
        <v>0.22608536752260144</v>
      </c>
      <c r="K20" s="293">
        <f>SUMPRODUCT(K6:K8,M6:M8)+SUMPRODUCT(K9:K19,M9:M19)/0.87</f>
        <v>3.0480853549859765E-11</v>
      </c>
      <c r="L20" s="293">
        <f>SUMPRODUCT(L6:L8,M6:M8)+SUMPRODUCT(L9:L19,M9:M19)/0.87</f>
        <v>9.4115050375157829E-4</v>
      </c>
      <c r="M20" s="294"/>
      <c r="N20" s="295"/>
    </row>
    <row r="21" spans="1:16" x14ac:dyDescent="0.3">
      <c r="A21" s="137"/>
      <c r="B21" s="23" t="s">
        <v>378</v>
      </c>
      <c r="C21" s="24"/>
      <c r="D21" s="93"/>
      <c r="E21" s="93"/>
      <c r="F21" s="286">
        <f>SUMPRODUCT(F6:F9,N6:N9)+SUMPRODUCT(F10:F20,N10:N20)/0.87</f>
        <v>1.4909160285473533</v>
      </c>
      <c r="G21" s="25">
        <f>SUMPRODUCT(G6:G9,N6:N9)+SUMPRODUCT(G10:G20,N10:N20)/0.87</f>
        <v>2.2263807268089842E-2</v>
      </c>
      <c r="H21" s="25">
        <f>SUMPRODUCT(H6:H9,N6:N9)+SUMPRODUCT(H10:H20,N10:N20)/0.87</f>
        <v>2.0102780019083297E-3</v>
      </c>
      <c r="I21" s="25">
        <f>SUMPRODUCT(I6:I9,N6:N9)+SUMPRODUCT(I10:I20,N10:N20)/0.87</f>
        <v>2.800897416842175E-3</v>
      </c>
      <c r="J21" s="28">
        <f>SUMPRODUCT(J6:J9,N6:N9)+SUMPRODUCT(J10:J20,N10:N20)/0.87</f>
        <v>0.20186823547790636</v>
      </c>
      <c r="K21" s="28">
        <f>SUMPRODUCT(K6:K9,N6:N9)+SUMPRODUCT(K10:K20,N10:N20)/0.87</f>
        <v>2.449530526251287E-11</v>
      </c>
      <c r="L21" s="28">
        <f>SUMPRODUCT(L6:L9,N6:N9)+SUMPRODUCT(L10:L20,N10:N20)/0.87</f>
        <v>9.062248706205036E-4</v>
      </c>
      <c r="M21" s="139"/>
      <c r="N21" s="139"/>
    </row>
    <row r="22" spans="1:16" x14ac:dyDescent="0.3">
      <c r="B22" s="16" t="s">
        <v>152</v>
      </c>
      <c r="C22" s="15" t="s">
        <v>361</v>
      </c>
      <c r="D22" s="21" t="s">
        <v>25</v>
      </c>
      <c r="E22" s="21" t="s">
        <v>68</v>
      </c>
      <c r="F22" s="107">
        <v>0</v>
      </c>
      <c r="G22" s="278">
        <f>'Forage crops, footprints'!G9</f>
        <v>1.4084562538983799E-2</v>
      </c>
      <c r="H22" s="279">
        <f>'Forage crops, footprints'!H9</f>
        <v>1.5004291926573534E-4</v>
      </c>
      <c r="I22" s="278">
        <f>'Forage crops, footprints'!I9</f>
        <v>0</v>
      </c>
      <c r="J22" s="117">
        <f>'Forage crops, footprints'!J9</f>
        <v>0</v>
      </c>
      <c r="K22" s="117">
        <f>'Forage crops, footprints'!K9</f>
        <v>1.3537280465961739E-11</v>
      </c>
      <c r="L22" s="117">
        <f>'Forage crops, footprints'!L9</f>
        <v>3.4123377454641629E-4</v>
      </c>
      <c r="M22" s="138">
        <f>'Parameters, country spec'!C16</f>
        <v>0</v>
      </c>
      <c r="N22" s="138">
        <f>'Parameters, country spec'!C34</f>
        <v>0</v>
      </c>
      <c r="O22" s="18"/>
      <c r="P22" s="138"/>
    </row>
    <row r="23" spans="1:16" x14ac:dyDescent="0.3">
      <c r="B23" s="16" t="s">
        <v>154</v>
      </c>
      <c r="C23" s="15" t="s">
        <v>361</v>
      </c>
      <c r="D23" s="21" t="s">
        <v>25</v>
      </c>
      <c r="E23" s="21" t="s">
        <v>68</v>
      </c>
      <c r="F23" s="107">
        <f>'Forage crops, footprints'!F23</f>
        <v>0.63803221792873233</v>
      </c>
      <c r="G23" s="278">
        <f>'Forage crops, footprints'!G23</f>
        <v>3.2539643114365352E-3</v>
      </c>
      <c r="H23" s="279">
        <f>'Forage crops, footprints'!H23</f>
        <v>2.2286195781172623E-4</v>
      </c>
      <c r="I23" s="278">
        <f>'Forage crops, footprints'!I23</f>
        <v>2.0999999999999998E-2</v>
      </c>
      <c r="J23" s="117">
        <f>'Forage crops, footprints'!J23</f>
        <v>1.0479214179139297E-4</v>
      </c>
      <c r="K23" s="117">
        <f>'Forage crops, footprints'!K23</f>
        <v>5.8519653024927725E-12</v>
      </c>
      <c r="L23" s="117">
        <f>'Forage crops, footprints'!L23</f>
        <v>1.9782346750937254E-4</v>
      </c>
      <c r="M23" s="138">
        <f>'Parameters, country spec'!C17</f>
        <v>0</v>
      </c>
      <c r="N23" s="138">
        <f>'Parameters, country spec'!C35</f>
        <v>0</v>
      </c>
      <c r="O23" s="18"/>
      <c r="P23" s="138"/>
    </row>
    <row r="24" spans="1:16" x14ac:dyDescent="0.3">
      <c r="B24" s="16" t="s">
        <v>362</v>
      </c>
      <c r="C24" s="15" t="s">
        <v>361</v>
      </c>
      <c r="D24" s="21" t="s">
        <v>25</v>
      </c>
      <c r="E24" s="21" t="s">
        <v>68</v>
      </c>
      <c r="F24" s="107">
        <f>'Forage, input data per ha'!$E$68*'Forage crops, footprints'!F37+'Forage, input data per ha'!$G$68*'Forage crops, footprints'!F51</f>
        <v>1.1895684479198323</v>
      </c>
      <c r="G24" s="278">
        <f>'Forage, input data per ha'!$E$68*'Forage crops, footprints'!G37+'Forage, input data per ha'!$G$68*'Forage crops, footprints'!G51</f>
        <v>1.8368475452646742E-2</v>
      </c>
      <c r="H24" s="279">
        <f>'Forage, input data per ha'!$E$68*'Forage crops, footprints'!H37+'Forage, input data per ha'!$G$68*'Forage crops, footprints'!H51</f>
        <v>5.8562883782723601E-4</v>
      </c>
      <c r="I24" s="278">
        <f>'Forage, input data per ha'!$E$68*'Forage crops, footprints'!I37+'Forage, input data per ha'!$G$68*'Forage crops, footprints'!I51</f>
        <v>0</v>
      </c>
      <c r="J24" s="117">
        <f>'Forage, input data per ha'!$E$68*'Forage crops, footprints'!J37+'Forage, input data per ha'!$G$68*'Forage crops, footprints'!J51</f>
        <v>3.4304429037786644E-5</v>
      </c>
      <c r="K24" s="117">
        <f>'Forage, input data per ha'!$E$68*'Forage crops, footprints'!K37+'Forage, input data per ha'!$G$68*'Forage crops, footprints'!K51</f>
        <v>7.4329500232515984E-12</v>
      </c>
      <c r="L24" s="117">
        <f>'Forage, input data per ha'!$E$68*'Forage crops, footprints'!L37+'Forage, input data per ha'!$G$68*'Forage crops, footprints'!L51</f>
        <v>2.9495733717333476E-4</v>
      </c>
      <c r="M24" s="138">
        <f>'Parameters, country spec'!C18</f>
        <v>0.28000000000000003</v>
      </c>
      <c r="N24" s="138">
        <f>'Parameters, country spec'!C36</f>
        <v>0.3</v>
      </c>
      <c r="O24" s="18"/>
      <c r="P24" s="138"/>
    </row>
    <row r="25" spans="1:16" x14ac:dyDescent="0.3">
      <c r="A25" s="20" t="s">
        <v>363</v>
      </c>
      <c r="B25" s="15" t="s">
        <v>159</v>
      </c>
      <c r="C25" s="15" t="s">
        <v>364</v>
      </c>
      <c r="D25" s="21" t="s">
        <v>25</v>
      </c>
      <c r="E25" s="21" t="s">
        <v>68</v>
      </c>
      <c r="F25" s="22">
        <v>1.53</v>
      </c>
      <c r="G25" s="38">
        <v>2.1000000000000001E-2</v>
      </c>
      <c r="H25" s="283">
        <v>3.0999999999999999E-3</v>
      </c>
      <c r="I25" s="38">
        <v>0</v>
      </c>
      <c r="J25" s="26">
        <v>0.31</v>
      </c>
      <c r="K25" s="26">
        <v>1.40235771273912E-11</v>
      </c>
      <c r="L25" s="26">
        <v>1.25E-3</v>
      </c>
      <c r="M25" s="138">
        <f>'Parameters, country spec'!C19</f>
        <v>0.16</v>
      </c>
      <c r="N25" s="138">
        <f>'Parameters, country spec'!C37</f>
        <v>0.2</v>
      </c>
    </row>
    <row r="26" spans="1:16" x14ac:dyDescent="0.3">
      <c r="A26" s="20" t="s">
        <v>365</v>
      </c>
      <c r="B26" s="15" t="s">
        <v>161</v>
      </c>
      <c r="C26" s="15" t="s">
        <v>364</v>
      </c>
      <c r="D26" s="21" t="s">
        <v>25</v>
      </c>
      <c r="E26" s="21" t="s">
        <v>68</v>
      </c>
      <c r="F26" s="19">
        <v>1.05</v>
      </c>
      <c r="G26" s="38">
        <v>0.02</v>
      </c>
      <c r="H26" s="283">
        <v>5.5999999999999999E-3</v>
      </c>
      <c r="I26" s="38">
        <v>2.1000000000000001E-2</v>
      </c>
      <c r="J26" s="26">
        <v>0.94</v>
      </c>
      <c r="K26" s="26">
        <v>9.6701609563743102E-12</v>
      </c>
      <c r="L26" s="26">
        <v>1.2099999999999999E-3</v>
      </c>
      <c r="M26" s="138">
        <f>'Parameters, country spec'!C20</f>
        <v>3.1075970320211814E-4</v>
      </c>
      <c r="N26" s="138">
        <f>'Parameters, country spec'!C38</f>
        <v>3.1075970320211814E-4</v>
      </c>
    </row>
    <row r="27" spans="1:16" x14ac:dyDescent="0.3">
      <c r="A27" s="20" t="s">
        <v>366</v>
      </c>
      <c r="B27" s="15" t="s">
        <v>163</v>
      </c>
      <c r="C27" s="15" t="s">
        <v>364</v>
      </c>
      <c r="D27" s="21" t="s">
        <v>25</v>
      </c>
      <c r="E27" s="21" t="s">
        <v>68</v>
      </c>
      <c r="F27" s="19">
        <v>2.31</v>
      </c>
      <c r="G27" s="38">
        <v>1.7999999999999999E-2</v>
      </c>
      <c r="H27" s="283">
        <v>3.8E-3</v>
      </c>
      <c r="I27" s="38">
        <v>4.0000000000000001E-3</v>
      </c>
      <c r="J27" s="26">
        <v>0</v>
      </c>
      <c r="K27" s="26">
        <v>2.1187688831605799E-11</v>
      </c>
      <c r="L27" s="26">
        <v>1.1000000000000001E-3</v>
      </c>
      <c r="M27" s="138">
        <f>'Parameters, country spec'!C21</f>
        <v>8.6733359151412953E-5</v>
      </c>
      <c r="N27" s="138">
        <f>'Parameters, country spec'!C39</f>
        <v>8.6733359151412953E-5</v>
      </c>
    </row>
    <row r="28" spans="1:16" x14ac:dyDescent="0.3">
      <c r="A28" s="20" t="s">
        <v>367</v>
      </c>
      <c r="B28" s="15" t="s">
        <v>165</v>
      </c>
      <c r="C28" s="15" t="s">
        <v>364</v>
      </c>
      <c r="D28" s="21" t="s">
        <v>25</v>
      </c>
      <c r="E28" s="21" t="s">
        <v>68</v>
      </c>
      <c r="F28" s="19">
        <v>1.99</v>
      </c>
      <c r="G28" s="38">
        <v>1.6E-2</v>
      </c>
      <c r="H28" s="283">
        <v>1.1999999999999999E-3</v>
      </c>
      <c r="I28" s="38">
        <v>0</v>
      </c>
      <c r="J28" s="26">
        <v>0</v>
      </c>
      <c r="K28" s="26">
        <v>1.8207816512159501E-11</v>
      </c>
      <c r="L28" s="26">
        <v>9.68E-4</v>
      </c>
      <c r="M28" s="138">
        <f>'Parameters, country spec'!C22</f>
        <v>6.2924072151971947E-5</v>
      </c>
      <c r="N28" s="138">
        <f>'Parameters, country spec'!C40</f>
        <v>6.2924072151971947E-5</v>
      </c>
    </row>
    <row r="29" spans="1:16" x14ac:dyDescent="0.3">
      <c r="A29" s="20" t="s">
        <v>368</v>
      </c>
      <c r="B29" s="15" t="s">
        <v>167</v>
      </c>
      <c r="C29" s="15" t="s">
        <v>364</v>
      </c>
      <c r="D29" s="21" t="s">
        <v>25</v>
      </c>
      <c r="E29" s="21" t="s">
        <v>68</v>
      </c>
      <c r="F29" s="19">
        <v>1.36</v>
      </c>
      <c r="G29" s="38">
        <v>2.4E-2</v>
      </c>
      <c r="H29" s="283">
        <v>2.2000000000000001E-3</v>
      </c>
      <c r="I29" s="38">
        <v>1E-3</v>
      </c>
      <c r="J29" s="26">
        <v>0.26</v>
      </c>
      <c r="K29" s="26">
        <v>1.24498393433167E-11</v>
      </c>
      <c r="L29" s="26">
        <v>1.4300000000000001E-3</v>
      </c>
      <c r="M29" s="138">
        <f>'Parameters, country spec'!C23</f>
        <v>0.20500000000000002</v>
      </c>
      <c r="N29" s="138">
        <f>'Parameters, country spec'!C41</f>
        <v>0.2</v>
      </c>
    </row>
    <row r="30" spans="1:16" x14ac:dyDescent="0.3">
      <c r="A30" s="20" t="s">
        <v>369</v>
      </c>
      <c r="B30" s="15" t="s">
        <v>168</v>
      </c>
      <c r="C30" s="15" t="s">
        <v>370</v>
      </c>
      <c r="D30" s="21" t="s">
        <v>25</v>
      </c>
      <c r="E30" s="21" t="s">
        <v>68</v>
      </c>
      <c r="F30" s="19">
        <v>3.13</v>
      </c>
      <c r="G30" s="38">
        <v>0.02</v>
      </c>
      <c r="H30" s="283">
        <v>1.6999999999999999E-3</v>
      </c>
      <c r="I30" s="38">
        <v>2E-3</v>
      </c>
      <c r="J30" s="26">
        <v>1.01</v>
      </c>
      <c r="K30" s="26">
        <v>2.8668626200070499E-11</v>
      </c>
      <c r="L30" s="26">
        <v>0</v>
      </c>
      <c r="M30" s="138">
        <f>'Parameters, country spec'!C24</f>
        <v>2.439015630520557E-4</v>
      </c>
      <c r="N30" s="138">
        <f>'Parameters, country spec'!C42</f>
        <v>2.439015630520557E-4</v>
      </c>
    </row>
    <row r="31" spans="1:16" x14ac:dyDescent="0.3">
      <c r="A31" s="20" t="s">
        <v>371</v>
      </c>
      <c r="B31" s="15" t="s">
        <v>170</v>
      </c>
      <c r="C31" s="15" t="s">
        <v>370</v>
      </c>
      <c r="D31" s="21" t="s">
        <v>25</v>
      </c>
      <c r="E31" s="21" t="s">
        <v>68</v>
      </c>
      <c r="F31" s="19">
        <v>2.73</v>
      </c>
      <c r="G31" s="38">
        <v>8.0000000000000002E-3</v>
      </c>
      <c r="H31" s="283">
        <v>2E-3</v>
      </c>
      <c r="I31" s="38">
        <v>8.2000000000000003E-2</v>
      </c>
      <c r="J31" s="26">
        <v>1.05</v>
      </c>
      <c r="K31" s="26">
        <v>2.5017173570023199E-11</v>
      </c>
      <c r="L31" s="26">
        <v>6.1400000000000002E-5</v>
      </c>
      <c r="M31" s="138">
        <f>'Parameters, country spec'!C25</f>
        <v>2.3959170998341588E-4</v>
      </c>
      <c r="N31" s="138">
        <f>'Parameters, country spec'!C43</f>
        <v>2.3959170998341588E-4</v>
      </c>
    </row>
    <row r="32" spans="1:16" x14ac:dyDescent="0.3">
      <c r="B32" s="16" t="s">
        <v>171</v>
      </c>
      <c r="C32" s="15" t="s">
        <v>372</v>
      </c>
      <c r="D32" s="21" t="s">
        <v>25</v>
      </c>
      <c r="E32" s="21" t="s">
        <v>68</v>
      </c>
      <c r="F32" s="17">
        <f>'Off-farm feed'!$F$88</f>
        <v>1.5397450382845068</v>
      </c>
      <c r="G32" s="18">
        <f>'Off-farm feed'!$G$88</f>
        <v>2.276724967641296E-2</v>
      </c>
      <c r="H32" s="258">
        <f>'Off-farm feed'!$H$88</f>
        <v>2.4780679919905292E-3</v>
      </c>
      <c r="I32" s="18">
        <f>'Off-farm feed'!$I$88</f>
        <v>8.1100925319702543E-4</v>
      </c>
      <c r="J32" s="27">
        <f>'Off-farm feed'!$J$88</f>
        <v>0.29368572248181479</v>
      </c>
      <c r="K32" s="27">
        <f>'Off-farm feed'!$K$88</f>
        <v>1.2571008272056975E-11</v>
      </c>
      <c r="L32" s="27">
        <f>'Off-farm feed'!$L$88</f>
        <v>1.3841258986185109E-3</v>
      </c>
      <c r="M32" s="138">
        <f>'Parameters, country spec'!C26</f>
        <v>0.09</v>
      </c>
      <c r="N32" s="138">
        <f>'Parameters, country spec'!C44</f>
        <v>0.06</v>
      </c>
    </row>
    <row r="33" spans="1:16" x14ac:dyDescent="0.3">
      <c r="B33" s="16" t="s">
        <v>373</v>
      </c>
      <c r="C33" s="15" t="s">
        <v>372</v>
      </c>
      <c r="D33" s="21" t="s">
        <v>25</v>
      </c>
      <c r="E33" s="21" t="s">
        <v>68</v>
      </c>
      <c r="F33" s="17">
        <f>'Off-farm feed'!$F$36</f>
        <v>2.5509164954964105</v>
      </c>
      <c r="G33" s="18">
        <f>'Off-farm feed'!$G$36</f>
        <v>4.2620923125915401E-2</v>
      </c>
      <c r="H33" s="258">
        <f>'Off-farm feed'!$H$36</f>
        <v>3.2959349471355006E-3</v>
      </c>
      <c r="I33" s="18">
        <f>'Off-farm feed'!$I$36</f>
        <v>2.435286335413451E-3</v>
      </c>
      <c r="J33" s="27">
        <f>'Off-farm feed'!$J$36</f>
        <v>0.25920846302270906</v>
      </c>
      <c r="K33" s="27">
        <f>'Off-farm feed'!$K$36</f>
        <v>1.4553836091881654E-10</v>
      </c>
      <c r="L33" s="27">
        <f>'Off-farm feed'!$L$36</f>
        <v>1.0450321677831977E-4</v>
      </c>
      <c r="M33" s="138">
        <f>'Parameters, country spec'!C27</f>
        <v>9.5000000000000001E-2</v>
      </c>
      <c r="N33" s="138">
        <f>'Parameters, country spec'!C45</f>
        <v>7.0000000000000007E-2</v>
      </c>
    </row>
    <row r="34" spans="1:16" x14ac:dyDescent="0.3">
      <c r="B34" s="15" t="s">
        <v>173</v>
      </c>
      <c r="C34" s="15" t="s">
        <v>374</v>
      </c>
      <c r="D34" s="21" t="s">
        <v>25</v>
      </c>
      <c r="E34" s="21" t="s">
        <v>68</v>
      </c>
      <c r="F34" s="19">
        <v>0.71560643205922203</v>
      </c>
      <c r="G34" s="19">
        <v>1.1762359809494499E-2</v>
      </c>
      <c r="H34" s="19">
        <v>1.0762943616530901E-3</v>
      </c>
      <c r="I34" s="26">
        <v>5.84130938950317E-4</v>
      </c>
      <c r="J34" s="26">
        <v>0.12730102628270801</v>
      </c>
      <c r="K34" s="26">
        <v>8.9554252360338206E-14</v>
      </c>
      <c r="L34" s="26">
        <v>7.1508799141679696E-4</v>
      </c>
      <c r="M34" s="138">
        <f>'Parameters, country spec'!C28</f>
        <v>9.5000000000000001E-2</v>
      </c>
      <c r="N34" s="138">
        <f>'Parameters, country spec'!C46</f>
        <v>0.14000000000000001</v>
      </c>
    </row>
    <row r="35" spans="1:16" x14ac:dyDescent="0.3">
      <c r="A35" s="74"/>
      <c r="B35" s="15" t="s">
        <v>375</v>
      </c>
      <c r="C35" s="75" t="s">
        <v>376</v>
      </c>
      <c r="D35" s="21" t="s">
        <v>25</v>
      </c>
      <c r="E35" s="21" t="s">
        <v>68</v>
      </c>
      <c r="F35" s="72">
        <f t="shared" ref="F35:L35" si="1">AVERAGE(F25:F33)</f>
        <v>2.0211846148645467</v>
      </c>
      <c r="G35" s="97">
        <f t="shared" si="1"/>
        <v>2.137646364470315E-2</v>
      </c>
      <c r="H35" s="285">
        <f t="shared" si="1"/>
        <v>2.8193336599028917E-3</v>
      </c>
      <c r="I35" s="97">
        <f t="shared" si="1"/>
        <v>1.2582921732067832E-2</v>
      </c>
      <c r="J35" s="151">
        <f t="shared" si="1"/>
        <v>0.45809935394494716</v>
      </c>
      <c r="K35" s="73">
        <f t="shared" si="1"/>
        <v>3.1926027970201634E-11</v>
      </c>
      <c r="L35" s="151">
        <f t="shared" si="1"/>
        <v>8.3422545726631451E-4</v>
      </c>
      <c r="M35" s="138">
        <f>'Parameters, country spec'!C29</f>
        <v>7.0000000000000007E-2</v>
      </c>
      <c r="N35" s="138">
        <f>'Parameters, country spec'!C47</f>
        <v>0.03</v>
      </c>
    </row>
    <row r="36" spans="1:16" x14ac:dyDescent="0.3">
      <c r="A36" s="287"/>
      <c r="B36" s="288" t="s">
        <v>377</v>
      </c>
      <c r="C36" s="289"/>
      <c r="D36" s="290"/>
      <c r="E36" s="290"/>
      <c r="F36" s="291">
        <f>SUMPRODUCT(F22:F24,M22:M24)+SUMPRODUCT(F25:F35,M25:M35)/0.87</f>
        <v>1.6158941338268646</v>
      </c>
      <c r="G36" s="292">
        <f>SUMPRODUCT(G22:G24,M22:M24)+SUMPRODUCT(G25:G35,M25:M35)/0.87</f>
        <v>2.4691902723861129E-2</v>
      </c>
      <c r="H36" s="292">
        <f>SUMPRODUCT(H22:H24,M22:M24)+SUMPRODUCT(H25:H35,M25:M35)/0.87</f>
        <v>2.2165972537568114E-3</v>
      </c>
      <c r="I36" s="292">
        <f>SUMPRODUCT(I22:I24,M22:M24)+SUMPRODUCT(I25:I35,M25:M35)/0.87</f>
        <v>1.6926979375237162E-3</v>
      </c>
      <c r="J36" s="293">
        <f>SUMPRODUCT(J22:J24,M22:M24)+SUMPRODUCT(J25:J35,M25:M35)/0.87</f>
        <v>0.22863845268691149</v>
      </c>
      <c r="K36" s="293">
        <f>SUMPRODUCT(K22:K24,M22:M24)+SUMPRODUCT(K25:K35,M25:M35)/0.87</f>
        <v>2.7386776311444459E-11</v>
      </c>
      <c r="L36" s="293">
        <f>SUMPRODUCT(L22:L24,M22:M24)+SUMPRODUCT(L25:L35,M25:M35)/0.87</f>
        <v>9.4985854295062731E-4</v>
      </c>
      <c r="M36" s="294"/>
      <c r="N36" s="295"/>
    </row>
    <row r="37" spans="1:16" x14ac:dyDescent="0.3">
      <c r="A37" s="137"/>
      <c r="B37" s="23" t="s">
        <v>378</v>
      </c>
      <c r="C37" s="24"/>
      <c r="D37" s="93"/>
      <c r="E37" s="93"/>
      <c r="F37" s="286">
        <f>SUMPRODUCT(F22:F25,N22:N25)+SUMPRODUCT(F26:F36,N26:N36)/0.87</f>
        <v>1.4741793433739254</v>
      </c>
      <c r="G37" s="25">
        <f>SUMPRODUCT(G22:G25,N22:N25)+SUMPRODUCT(G26:G36,N26:N36)/0.87</f>
        <v>2.2875027494062172E-2</v>
      </c>
      <c r="H37" s="25">
        <f>SUMPRODUCT(H22:H25,N22:N25)+SUMPRODUCT(H26:H36,N26:N36)/0.87</f>
        <v>2.0114356769963104E-3</v>
      </c>
      <c r="I37" s="25">
        <f>SUMPRODUCT(I22:I25,N22:N25)+SUMPRODUCT(I26:I36,N26:N36)/0.87</f>
        <v>1.040694014522341E-3</v>
      </c>
      <c r="J37" s="28">
        <f>SUMPRODUCT(J22:J25,N22:N25)+SUMPRODUCT(J26:J36,N26:N36)/0.87</f>
        <v>0.20008027529836792</v>
      </c>
      <c r="K37" s="28">
        <f>SUMPRODUCT(K22:K25,N22:N25)+SUMPRODUCT(K26:K36,N26:N36)/0.87</f>
        <v>2.1610700179131235E-11</v>
      </c>
      <c r="L37" s="28">
        <f>SUMPRODUCT(L22:L25,N22:N25)+SUMPRODUCT(L26:L36,N26:N36)/0.87</f>
        <v>9.1555491261948482E-4</v>
      </c>
      <c r="M37" s="139"/>
      <c r="N37" s="139"/>
    </row>
    <row r="38" spans="1:16" x14ac:dyDescent="0.3">
      <c r="B38" s="16" t="s">
        <v>152</v>
      </c>
      <c r="C38" s="15" t="s">
        <v>361</v>
      </c>
      <c r="D38" s="21" t="s">
        <v>21</v>
      </c>
      <c r="E38" s="21" t="s">
        <v>69</v>
      </c>
      <c r="F38" s="107">
        <v>0</v>
      </c>
      <c r="G38" s="278">
        <f>'Forage crops, footprints'!G10</f>
        <v>1.4248888174213355E-2</v>
      </c>
      <c r="H38" s="279">
        <f>'Forage crops, footprints'!H10</f>
        <v>2.3847872238080535E-4</v>
      </c>
      <c r="I38" s="278">
        <f>'Forage crops, footprints'!I10</f>
        <v>0</v>
      </c>
      <c r="J38" s="117">
        <f>'Forage crops, footprints'!J10</f>
        <v>0</v>
      </c>
      <c r="K38" s="117">
        <f>'Forage crops, footprints'!K10</f>
        <v>1.7393226708176552E-10</v>
      </c>
      <c r="L38" s="117">
        <f>'Forage crops, footprints'!L10</f>
        <v>3.5122388625340054E-4</v>
      </c>
      <c r="M38" s="138">
        <f>'Parameters, country spec'!D16</f>
        <v>0</v>
      </c>
      <c r="N38" s="138">
        <f>'Parameters, country spec'!D34</f>
        <v>0</v>
      </c>
      <c r="O38" s="18"/>
      <c r="P38" s="138"/>
    </row>
    <row r="39" spans="1:16" x14ac:dyDescent="0.3">
      <c r="B39" s="16" t="s">
        <v>154</v>
      </c>
      <c r="C39" s="15" t="s">
        <v>361</v>
      </c>
      <c r="D39" s="21" t="s">
        <v>21</v>
      </c>
      <c r="E39" s="21" t="s">
        <v>69</v>
      </c>
      <c r="F39" s="107">
        <f>'Forage crops, footprints'!F24</f>
        <v>1.4743513961474723</v>
      </c>
      <c r="G39" s="278">
        <f>'Forage crops, footprints'!G24</f>
        <v>2.6538325130654503E-2</v>
      </c>
      <c r="H39" s="278">
        <f>'Forage crops, footprints'!H24</f>
        <v>1.4162079608064451E-3</v>
      </c>
      <c r="I39" s="278">
        <f>'Forage crops, footprints'!I24</f>
        <v>0.20600000000000002</v>
      </c>
      <c r="J39" s="117">
        <f>'Forage crops, footprints'!J24</f>
        <v>6.7567011968587768E-5</v>
      </c>
      <c r="K39" s="117">
        <f>'Forage crops, footprints'!K24</f>
        <v>6.9414276357249014E-11</v>
      </c>
      <c r="L39" s="117">
        <f>'Forage crops, footprints'!L24</f>
        <v>1.6133869326057572E-3</v>
      </c>
      <c r="M39" s="138">
        <f>'Parameters, country spec'!D17</f>
        <v>0</v>
      </c>
      <c r="N39" s="138">
        <f>'Parameters, country spec'!D35</f>
        <v>0</v>
      </c>
      <c r="O39" s="18"/>
      <c r="P39" s="138"/>
    </row>
    <row r="40" spans="1:16" x14ac:dyDescent="0.3">
      <c r="B40" s="16" t="s">
        <v>362</v>
      </c>
      <c r="C40" s="15" t="s">
        <v>361</v>
      </c>
      <c r="D40" s="21" t="s">
        <v>21</v>
      </c>
      <c r="E40" s="21" t="s">
        <v>69</v>
      </c>
      <c r="F40" s="107">
        <f>'Forage, input data per ha'!$E$69*'Forage crops, footprints'!F38+'Forage, input data per ha'!$G$69*'Forage crops, footprints'!F52</f>
        <v>2.5156577229246486</v>
      </c>
      <c r="G40" s="278">
        <f>'Forage, input data per ha'!$E$69*'Forage crops, footprints'!G38+'Forage, input data per ha'!$G$69*'Forage crops, footprints'!G52</f>
        <v>3.2463840306432144E-2</v>
      </c>
      <c r="H40" s="278">
        <f>'Forage, input data per ha'!$E$69*'Forage crops, footprints'!H38+'Forage, input data per ha'!$G$69*'Forage crops, footprints'!H52</f>
        <v>2.0489888895601788E-3</v>
      </c>
      <c r="I40" s="278">
        <f>'Forage, input data per ha'!$E$69*'Forage crops, footprints'!I38+'Forage, input data per ha'!$G$69*'Forage crops, footprints'!I52</f>
        <v>0</v>
      </c>
      <c r="J40" s="117">
        <f>'Forage, input data per ha'!$E$69*'Forage crops, footprints'!J38+'Forage, input data per ha'!$G$69*'Forage crops, footprints'!J52</f>
        <v>4.8805129192284764E-5</v>
      </c>
      <c r="K40" s="117">
        <f>'Forage, input data per ha'!$E$69*'Forage crops, footprints'!K38+'Forage, input data per ha'!$G$69*'Forage crops, footprints'!K52</f>
        <v>8.0597182826068236E-11</v>
      </c>
      <c r="L40" s="117">
        <f>'Forage, input data per ha'!$E$69*'Forage crops, footprints'!L38+'Forage, input data per ha'!$G$69*'Forage crops, footprints'!L52</f>
        <v>1.4763950335011593E-4</v>
      </c>
      <c r="M40" s="138">
        <f>'Parameters, country spec'!D18</f>
        <v>0.28000000000000003</v>
      </c>
      <c r="N40" s="138">
        <f>'Parameters, country spec'!D36</f>
        <v>0.3</v>
      </c>
      <c r="O40" s="18"/>
      <c r="P40" s="138"/>
    </row>
    <row r="41" spans="1:16" x14ac:dyDescent="0.3">
      <c r="A41" s="20" t="s">
        <v>363</v>
      </c>
      <c r="B41" s="15" t="s">
        <v>159</v>
      </c>
      <c r="C41" s="15" t="s">
        <v>364</v>
      </c>
      <c r="D41" s="21" t="s">
        <v>21</v>
      </c>
      <c r="E41" s="21" t="s">
        <v>69</v>
      </c>
      <c r="F41" s="22">
        <v>3.52</v>
      </c>
      <c r="G41" s="38">
        <v>2.1000000000000001E-2</v>
      </c>
      <c r="H41" s="38">
        <v>3.0999999999999999E-3</v>
      </c>
      <c r="I41" s="38">
        <v>8.9999999999999993E-3</v>
      </c>
      <c r="J41" s="26">
        <v>0.16</v>
      </c>
      <c r="K41" s="26">
        <v>1.6579181992982199E-10</v>
      </c>
      <c r="L41" s="26">
        <v>1.25E-3</v>
      </c>
      <c r="M41" s="138">
        <f>'Parameters, country spec'!D19</f>
        <v>0.16</v>
      </c>
      <c r="N41" s="138">
        <f>'Parameters, country spec'!D37</f>
        <v>0.2</v>
      </c>
    </row>
    <row r="42" spans="1:16" x14ac:dyDescent="0.3">
      <c r="A42" s="20" t="s">
        <v>365</v>
      </c>
      <c r="B42" s="15" t="s">
        <v>161</v>
      </c>
      <c r="C42" s="15" t="s">
        <v>364</v>
      </c>
      <c r="D42" s="21" t="s">
        <v>21</v>
      </c>
      <c r="E42" s="21" t="s">
        <v>69</v>
      </c>
      <c r="F42" s="19">
        <v>0.93</v>
      </c>
      <c r="G42" s="38">
        <v>0.02</v>
      </c>
      <c r="H42" s="38">
        <v>5.5999999999999999E-3</v>
      </c>
      <c r="I42" s="38">
        <v>0.20599999999999999</v>
      </c>
      <c r="J42" s="26">
        <v>0.05</v>
      </c>
      <c r="K42" s="26">
        <v>4.3581463588055697E-11</v>
      </c>
      <c r="L42" s="26">
        <v>1.2099999999999999E-3</v>
      </c>
      <c r="M42" s="138">
        <f>'Parameters, country spec'!D20</f>
        <v>3.1075970320211814E-4</v>
      </c>
      <c r="N42" s="138">
        <f>'Parameters, country spec'!D38</f>
        <v>3.1075970320211814E-4</v>
      </c>
    </row>
    <row r="43" spans="1:16" x14ac:dyDescent="0.3">
      <c r="A43" s="20" t="s">
        <v>366</v>
      </c>
      <c r="B43" s="15" t="s">
        <v>163</v>
      </c>
      <c r="C43" s="15" t="s">
        <v>364</v>
      </c>
      <c r="D43" s="21" t="s">
        <v>21</v>
      </c>
      <c r="E43" s="21" t="s">
        <v>69</v>
      </c>
      <c r="F43" s="19">
        <v>7.57</v>
      </c>
      <c r="G43" s="38">
        <v>1.7999999999999999E-2</v>
      </c>
      <c r="H43" s="38">
        <v>3.8E-3</v>
      </c>
      <c r="I43" s="38">
        <v>0.16900000000000001</v>
      </c>
      <c r="J43" s="26">
        <v>0</v>
      </c>
      <c r="K43" s="26">
        <v>3.56567929718501E-10</v>
      </c>
      <c r="L43" s="26">
        <v>1.1000000000000001E-3</v>
      </c>
      <c r="M43" s="138">
        <f>'Parameters, country spec'!D21</f>
        <v>8.6733359151412953E-5</v>
      </c>
      <c r="N43" s="138">
        <f>'Parameters, country spec'!D39</f>
        <v>8.6733359151412953E-5</v>
      </c>
    </row>
    <row r="44" spans="1:16" x14ac:dyDescent="0.3">
      <c r="A44" s="20" t="s">
        <v>367</v>
      </c>
      <c r="B44" s="15" t="s">
        <v>165</v>
      </c>
      <c r="C44" s="15" t="s">
        <v>364</v>
      </c>
      <c r="D44" s="21" t="s">
        <v>21</v>
      </c>
      <c r="E44" s="21" t="s">
        <v>69</v>
      </c>
      <c r="F44" s="19">
        <v>4.92</v>
      </c>
      <c r="G44" s="38">
        <v>1.6E-2</v>
      </c>
      <c r="H44" s="38">
        <v>1.1999999999999999E-3</v>
      </c>
      <c r="I44" s="38">
        <v>1E-3</v>
      </c>
      <c r="J44" s="26">
        <v>0</v>
      </c>
      <c r="K44" s="26">
        <v>2.31776526790613E-10</v>
      </c>
      <c r="L44" s="26">
        <v>9.68E-4</v>
      </c>
      <c r="M44" s="138">
        <f>'Parameters, country spec'!D22</f>
        <v>6.2924072151971947E-5</v>
      </c>
      <c r="N44" s="138">
        <f>'Parameters, country spec'!D40</f>
        <v>6.2924072151971947E-5</v>
      </c>
    </row>
    <row r="45" spans="1:16" x14ac:dyDescent="0.3">
      <c r="A45" s="20" t="s">
        <v>368</v>
      </c>
      <c r="B45" s="15" t="s">
        <v>167</v>
      </c>
      <c r="C45" s="15" t="s">
        <v>364</v>
      </c>
      <c r="D45" s="21" t="s">
        <v>21</v>
      </c>
      <c r="E45" s="21" t="s">
        <v>69</v>
      </c>
      <c r="F45" s="19">
        <v>3.48</v>
      </c>
      <c r="G45" s="38">
        <v>2.4E-2</v>
      </c>
      <c r="H45" s="38">
        <v>2.2000000000000001E-3</v>
      </c>
      <c r="I45" s="38">
        <v>2.5999999999999999E-2</v>
      </c>
      <c r="J45" s="26">
        <v>0.1</v>
      </c>
      <c r="K45" s="26">
        <v>1.6393528221352399E-10</v>
      </c>
      <c r="L45" s="26">
        <v>1.4300000000000001E-3</v>
      </c>
      <c r="M45" s="138">
        <f>'Parameters, country spec'!D23</f>
        <v>0.20500000000000002</v>
      </c>
      <c r="N45" s="138">
        <f>'Parameters, country spec'!D41</f>
        <v>0.2</v>
      </c>
    </row>
    <row r="46" spans="1:16" x14ac:dyDescent="0.3">
      <c r="A46" s="20" t="s">
        <v>369</v>
      </c>
      <c r="B46" s="15" t="s">
        <v>168</v>
      </c>
      <c r="C46" s="15" t="s">
        <v>370</v>
      </c>
      <c r="D46" s="21" t="s">
        <v>21</v>
      </c>
      <c r="E46" s="21" t="s">
        <v>69</v>
      </c>
      <c r="F46" s="19">
        <v>6.17</v>
      </c>
      <c r="G46" s="38">
        <v>3.9E-2</v>
      </c>
      <c r="H46" s="38">
        <v>1.6999999999999999E-3</v>
      </c>
      <c r="I46" s="38">
        <v>4.1000000000000002E-2</v>
      </c>
      <c r="J46" s="26">
        <v>0.49</v>
      </c>
      <c r="K46" s="26">
        <v>2.9068588123452401E-10</v>
      </c>
      <c r="L46" s="26">
        <v>0</v>
      </c>
      <c r="M46" s="138">
        <f>'Parameters, country spec'!D24</f>
        <v>2.439015630520557E-4</v>
      </c>
      <c r="N46" s="138">
        <f>'Parameters, country spec'!D42</f>
        <v>2.439015630520557E-4</v>
      </c>
    </row>
    <row r="47" spans="1:16" x14ac:dyDescent="0.3">
      <c r="A47" s="20" t="s">
        <v>371</v>
      </c>
      <c r="B47" s="15" t="s">
        <v>170</v>
      </c>
      <c r="C47" s="15" t="s">
        <v>370</v>
      </c>
      <c r="D47" s="21" t="s">
        <v>21</v>
      </c>
      <c r="E47" s="21" t="s">
        <v>69</v>
      </c>
      <c r="F47" s="19">
        <v>3.82</v>
      </c>
      <c r="G47" s="38">
        <v>0.01</v>
      </c>
      <c r="H47" s="38">
        <v>2E-3</v>
      </c>
      <c r="I47" s="38">
        <v>0.30099999999999999</v>
      </c>
      <c r="J47" s="26">
        <v>1.05</v>
      </c>
      <c r="K47" s="26">
        <v>1.80003018221698E-10</v>
      </c>
      <c r="L47" s="26">
        <v>6.1400000000000002E-5</v>
      </c>
      <c r="M47" s="138">
        <f>'Parameters, country spec'!D25</f>
        <v>2.3959170998341588E-4</v>
      </c>
      <c r="N47" s="138">
        <f>'Parameters, country spec'!D43</f>
        <v>2.3959170998341588E-4</v>
      </c>
    </row>
    <row r="48" spans="1:16" x14ac:dyDescent="0.3">
      <c r="B48" s="16" t="s">
        <v>171</v>
      </c>
      <c r="C48" s="15" t="s">
        <v>372</v>
      </c>
      <c r="D48" s="21" t="s">
        <v>21</v>
      </c>
      <c r="E48" s="21" t="s">
        <v>69</v>
      </c>
      <c r="F48" s="17">
        <f>'Off-farm feed'!$F$88</f>
        <v>1.5397450382845068</v>
      </c>
      <c r="G48" s="18">
        <f>'Off-farm feed'!$G$88</f>
        <v>2.276724967641296E-2</v>
      </c>
      <c r="H48" s="18">
        <f>'Off-farm feed'!$H$88</f>
        <v>2.4780679919905292E-3</v>
      </c>
      <c r="I48" s="18">
        <f>'Off-farm feed'!$I$88</f>
        <v>8.1100925319702543E-4</v>
      </c>
      <c r="J48" s="27">
        <f>'Off-farm feed'!$J$88</f>
        <v>0.29368572248181479</v>
      </c>
      <c r="K48" s="27">
        <f>'Off-farm feed'!$K$88</f>
        <v>1.2571008272056975E-11</v>
      </c>
      <c r="L48" s="27">
        <f>'Off-farm feed'!$L$88</f>
        <v>1.3841258986185109E-3</v>
      </c>
      <c r="M48" s="138">
        <f>'Parameters, country spec'!D26</f>
        <v>0.09</v>
      </c>
      <c r="N48" s="138">
        <f>'Parameters, country spec'!D44</f>
        <v>0.06</v>
      </c>
    </row>
    <row r="49" spans="1:16" x14ac:dyDescent="0.3">
      <c r="B49" s="16" t="s">
        <v>373</v>
      </c>
      <c r="C49" s="15" t="s">
        <v>372</v>
      </c>
      <c r="D49" s="21" t="s">
        <v>21</v>
      </c>
      <c r="E49" s="21" t="s">
        <v>69</v>
      </c>
      <c r="F49" s="17">
        <f>'Off-farm feed'!$F$36</f>
        <v>2.5509164954964105</v>
      </c>
      <c r="G49" s="18">
        <f>'Off-farm feed'!$G$36</f>
        <v>4.2620923125915401E-2</v>
      </c>
      <c r="H49" s="18">
        <f>'Off-farm feed'!$H$36</f>
        <v>3.2959349471355006E-3</v>
      </c>
      <c r="I49" s="18">
        <f>'Off-farm feed'!$I$36</f>
        <v>2.435286335413451E-3</v>
      </c>
      <c r="J49" s="27">
        <f>'Off-farm feed'!$J$36</f>
        <v>0.25920846302270906</v>
      </c>
      <c r="K49" s="27">
        <f>'Off-farm feed'!$K$36</f>
        <v>1.4553836091881654E-10</v>
      </c>
      <c r="L49" s="27">
        <f>'Off-farm feed'!$L$36</f>
        <v>1.0450321677831977E-4</v>
      </c>
      <c r="M49" s="138">
        <f>'Parameters, country spec'!D27</f>
        <v>9.5000000000000001E-2</v>
      </c>
      <c r="N49" s="138">
        <f>'Parameters, country spec'!D45</f>
        <v>7.0000000000000007E-2</v>
      </c>
    </row>
    <row r="50" spans="1:16" x14ac:dyDescent="0.3">
      <c r="B50" s="15" t="s">
        <v>173</v>
      </c>
      <c r="C50" s="15" t="s">
        <v>374</v>
      </c>
      <c r="D50" s="21" t="s">
        <v>21</v>
      </c>
      <c r="E50" s="21" t="s">
        <v>69</v>
      </c>
      <c r="F50" s="19">
        <v>1.43592271757031</v>
      </c>
      <c r="G50" s="19">
        <v>1.1762359809494499E-2</v>
      </c>
      <c r="H50" s="19">
        <v>1.0762943616530901E-3</v>
      </c>
      <c r="I50" s="26">
        <v>9.8109096190169207E-3</v>
      </c>
      <c r="J50" s="26">
        <v>7.0359101380209704E-2</v>
      </c>
      <c r="K50" s="26">
        <v>5.88869936798157E-13</v>
      </c>
      <c r="L50" s="26">
        <v>7.1508799141679696E-4</v>
      </c>
      <c r="M50" s="138">
        <f>'Parameters, country spec'!D28</f>
        <v>9.5000000000000001E-2</v>
      </c>
      <c r="N50" s="138">
        <f>'Parameters, country spec'!D46</f>
        <v>0.14000000000000001</v>
      </c>
    </row>
    <row r="51" spans="1:16" x14ac:dyDescent="0.3">
      <c r="A51" s="74"/>
      <c r="B51" s="15" t="s">
        <v>375</v>
      </c>
      <c r="C51" s="75" t="s">
        <v>376</v>
      </c>
      <c r="D51" s="21" t="s">
        <v>21</v>
      </c>
      <c r="E51" s="21" t="s">
        <v>69</v>
      </c>
      <c r="F51" s="72">
        <f t="shared" ref="F51:L51" si="2">AVERAGE(F41:F49)</f>
        <v>3.833406837086768</v>
      </c>
      <c r="G51" s="97">
        <f t="shared" si="2"/>
        <v>2.3709796978036487E-2</v>
      </c>
      <c r="H51" s="97">
        <f t="shared" si="2"/>
        <v>2.8193336599028917E-3</v>
      </c>
      <c r="I51" s="97">
        <f t="shared" si="2"/>
        <v>8.4027366176512269E-2</v>
      </c>
      <c r="J51" s="73">
        <f t="shared" si="2"/>
        <v>0.26698824283383599</v>
      </c>
      <c r="K51" s="73">
        <f t="shared" si="2"/>
        <v>1.7671681009862347E-10</v>
      </c>
      <c r="L51" s="73">
        <f t="shared" si="2"/>
        <v>8.3422545726631451E-4</v>
      </c>
      <c r="M51" s="138">
        <f>'Parameters, country spec'!D29</f>
        <v>7.0000000000000007E-2</v>
      </c>
      <c r="N51" s="138">
        <f>'Parameters, country spec'!D47</f>
        <v>0.03</v>
      </c>
    </row>
    <row r="52" spans="1:16" x14ac:dyDescent="0.3">
      <c r="A52" s="287"/>
      <c r="B52" s="288" t="s">
        <v>377</v>
      </c>
      <c r="C52" s="289"/>
      <c r="D52" s="290"/>
      <c r="E52" s="290"/>
      <c r="F52" s="291">
        <f>SUMPRODUCT(F38:F40,M38:M40)+SUMPRODUCT(F41:F51,M41:M51)/0.87</f>
        <v>3.079028455231462</v>
      </c>
      <c r="G52" s="292">
        <f>SUMPRODUCT(G38:G40,M38:M40)+SUMPRODUCT(G41:G51,M41:M51)/0.87</f>
        <v>2.8832221717922525E-2</v>
      </c>
      <c r="H52" s="292">
        <f>SUMPRODUCT(H38:H40,M38:M40)+SUMPRODUCT(H41:H51,M41:M51)/0.87</f>
        <v>2.6263380682420355E-3</v>
      </c>
      <c r="I52" s="292">
        <f>SUMPRODUCT(I38:I40,M38:M40)+SUMPRODUCT(I41:I51,M41:M51)/0.87</f>
        <v>1.614844771291149E-2</v>
      </c>
      <c r="J52" s="293">
        <f>SUMPRODUCT(J38:J40,M38:M40)+SUMPRODUCT(J41:J51,M41:M51)/0.87</f>
        <v>0.14129692024829721</v>
      </c>
      <c r="K52" s="293">
        <f>SUMPRODUCT(K38:K40,M38:M40)+SUMPRODUCT(K41:K51,M41:M51)/0.87</f>
        <v>1.2336049672789578E-10</v>
      </c>
      <c r="L52" s="293">
        <f>SUMPRODUCT(L38:L40,M38:M40)+SUMPRODUCT(L41:L51,M41:M51)/0.87</f>
        <v>9.0860954948012601E-4</v>
      </c>
      <c r="M52" s="294"/>
      <c r="N52" s="295"/>
    </row>
    <row r="53" spans="1:16" x14ac:dyDescent="0.3">
      <c r="A53" s="137"/>
      <c r="B53" s="23" t="s">
        <v>378</v>
      </c>
      <c r="C53" s="24"/>
      <c r="D53" s="93"/>
      <c r="E53" s="93"/>
      <c r="F53" s="286">
        <f>SUMPRODUCT(F38:F41,N38:N41)+SUMPRODUCT(F42:F52,N42:N52)/0.87</f>
        <v>2.9376117077028834</v>
      </c>
      <c r="G53" s="25">
        <f>SUMPRODUCT(G38:G41,N38:N41)+SUMPRODUCT(G42:G52,N42:N52)/0.87</f>
        <v>2.7189974091712685E-2</v>
      </c>
      <c r="H53" s="25">
        <f>SUMPRODUCT(H38:H41,N38:N41)+SUMPRODUCT(H42:H52,N42:N52)/0.87</f>
        <v>2.4504436925161929E-3</v>
      </c>
      <c r="I53" s="25">
        <f>SUMPRODUCT(I38:I41,N38:N41)+SUMPRODUCT(I42:I52,N42:N52)/0.87</f>
        <v>1.2690038344881629E-2</v>
      </c>
      <c r="J53" s="28">
        <f>SUMPRODUCT(J38:J41,N38:N41)+SUMPRODUCT(J42:J52,N42:N52)/0.87</f>
        <v>0.11708622577471305</v>
      </c>
      <c r="K53" s="28">
        <f>SUMPRODUCT(K38:K41,N38:N41)+SUMPRODUCT(K42:K52,N42:N52)/0.87</f>
        <v>1.1398812606261107E-10</v>
      </c>
      <c r="L53" s="28">
        <f>SUMPRODUCT(L38:L41,N38:N41)+SUMPRODUCT(L42:L52,N42:N52)/0.87</f>
        <v>8.7135956247251913E-4</v>
      </c>
      <c r="M53" s="139"/>
      <c r="N53" s="139"/>
    </row>
    <row r="54" spans="1:16" x14ac:dyDescent="0.3">
      <c r="B54" s="16" t="s">
        <v>152</v>
      </c>
      <c r="C54" s="15" t="s">
        <v>361</v>
      </c>
      <c r="D54" s="21" t="s">
        <v>114</v>
      </c>
      <c r="E54" s="21" t="s">
        <v>70</v>
      </c>
      <c r="F54" s="107">
        <v>0</v>
      </c>
      <c r="G54" s="278">
        <f>'Forage crops, footprints'!G11</f>
        <v>1.4248888174213355E-2</v>
      </c>
      <c r="H54" s="279">
        <f>'Forage crops, footprints'!H11</f>
        <v>2.3847872238080535E-4</v>
      </c>
      <c r="I54" s="278">
        <f>'Forage crops, footprints'!I11</f>
        <v>0</v>
      </c>
      <c r="J54" s="117">
        <f>'Forage crops, footprints'!J11</f>
        <v>0</v>
      </c>
      <c r="K54" s="117">
        <f>'Forage crops, footprints'!K11</f>
        <v>5.2095311566368996E-11</v>
      </c>
      <c r="L54" s="117">
        <f>'Forage crops, footprints'!L11</f>
        <v>3.5122388625340054E-4</v>
      </c>
      <c r="M54" s="138">
        <f>'Parameters, country spec'!E16</f>
        <v>0</v>
      </c>
      <c r="N54" s="138">
        <f>'Parameters, country spec'!E34</f>
        <v>0</v>
      </c>
      <c r="O54" s="18"/>
      <c r="P54" s="138"/>
    </row>
    <row r="55" spans="1:16" x14ac:dyDescent="0.3">
      <c r="B55" s="16" t="s">
        <v>154</v>
      </c>
      <c r="C55" s="15" t="s">
        <v>361</v>
      </c>
      <c r="D55" s="21" t="s">
        <v>114</v>
      </c>
      <c r="E55" s="21" t="s">
        <v>70</v>
      </c>
      <c r="F55" s="107">
        <f>'Forage crops, footprints'!F25</f>
        <v>1.0253586201655651</v>
      </c>
      <c r="G55" s="278">
        <f>'Forage crops, footprints'!G25</f>
        <v>1.2271227357465341E-2</v>
      </c>
      <c r="H55" s="278">
        <f>'Forage crops, footprints'!H25</f>
        <v>1.3430753757098248E-4</v>
      </c>
      <c r="I55" s="278">
        <f>'Forage crops, footprints'!I25</f>
        <v>1.9999999999999996E-3</v>
      </c>
      <c r="J55" s="117">
        <f>'Forage crops, footprints'!J25</f>
        <v>1.0479214179139297E-4</v>
      </c>
      <c r="K55" s="117">
        <f>'Forage crops, footprints'!K25</f>
        <v>1.2876214228064374E-11</v>
      </c>
      <c r="L55" s="117">
        <f>'Forage crops, footprints'!L25</f>
        <v>7.4602439182191841E-4</v>
      </c>
      <c r="M55" s="138">
        <f>'Parameters, country spec'!E17</f>
        <v>0</v>
      </c>
      <c r="N55" s="138">
        <f>'Parameters, country spec'!E35</f>
        <v>0</v>
      </c>
      <c r="O55" s="18"/>
      <c r="P55" s="138"/>
    </row>
    <row r="56" spans="1:16" x14ac:dyDescent="0.3">
      <c r="B56" s="16" t="s">
        <v>362</v>
      </c>
      <c r="C56" s="15" t="s">
        <v>361</v>
      </c>
      <c r="D56" s="21" t="s">
        <v>114</v>
      </c>
      <c r="E56" s="21" t="s">
        <v>70</v>
      </c>
      <c r="F56" s="107">
        <f>'Forage, input data per ha'!$E$70*'Forage crops, footprints'!F39+'Forage, input data per ha'!$G$70*'Forage crops, footprints'!F53</f>
        <v>2.7028985341242899</v>
      </c>
      <c r="G56" s="278">
        <f>'Forage, input data per ha'!$E$70*'Forage crops, footprints'!G39+'Forage, input data per ha'!$G$70*'Forage crops, footprints'!G53</f>
        <v>4.054199376679668E-2</v>
      </c>
      <c r="H56" s="278">
        <f>'Forage, input data per ha'!$E$70*'Forage crops, footprints'!H39+'Forage, input data per ha'!$G$70*'Forage crops, footprints'!H53</f>
        <v>2.8519324749103334E-3</v>
      </c>
      <c r="I56" s="278">
        <f>'Forage, input data per ha'!$E$70*'Forage crops, footprints'!I39+'Forage, input data per ha'!$G$70*'Forage crops, footprints'!I53</f>
        <v>0</v>
      </c>
      <c r="J56" s="117">
        <f>'Forage, input data per ha'!$E$70*'Forage crops, footprints'!J39+'Forage, input data per ha'!$G$70*'Forage crops, footprints'!J53</f>
        <v>5.7200181084044476E-5</v>
      </c>
      <c r="K56" s="117">
        <f>'Forage, input data per ha'!$E$70*'Forage crops, footprints'!K39+'Forage, input data per ha'!$G$70*'Forage crops, footprints'!K53</f>
        <v>2.3585642221275293E-11</v>
      </c>
      <c r="L56" s="117">
        <f>'Forage, input data per ha'!$E$70*'Forage crops, footprints'!L39+'Forage, input data per ha'!$G$70*'Forage crops, footprints'!L53</f>
        <v>5.7351816877562223E-5</v>
      </c>
      <c r="M56" s="138">
        <f>'Parameters, country spec'!E18</f>
        <v>0.28000000000000003</v>
      </c>
      <c r="N56" s="138">
        <f>'Parameters, country spec'!E36</f>
        <v>0.3</v>
      </c>
      <c r="O56" s="18"/>
      <c r="P56" s="138"/>
    </row>
    <row r="57" spans="1:16" x14ac:dyDescent="0.3">
      <c r="A57" s="20" t="s">
        <v>363</v>
      </c>
      <c r="B57" s="15" t="s">
        <v>159</v>
      </c>
      <c r="C57" s="15" t="s">
        <v>364</v>
      </c>
      <c r="D57" s="21" t="s">
        <v>114</v>
      </c>
      <c r="E57" s="21" t="s">
        <v>70</v>
      </c>
      <c r="F57" s="22">
        <v>1.81</v>
      </c>
      <c r="G57" s="38">
        <v>2.1000000000000001E-2</v>
      </c>
      <c r="H57" s="38">
        <v>3.0999999999999999E-3</v>
      </c>
      <c r="I57" s="38">
        <v>1E-3</v>
      </c>
      <c r="J57" s="26">
        <v>0.15</v>
      </c>
      <c r="K57" s="26">
        <v>2.2735984999651601E-11</v>
      </c>
      <c r="L57" s="26">
        <v>1.25E-3</v>
      </c>
      <c r="M57" s="138">
        <f>'Parameters, country spec'!E19</f>
        <v>0.16</v>
      </c>
      <c r="N57" s="138">
        <f>'Parameters, country spec'!E37</f>
        <v>0.2</v>
      </c>
    </row>
    <row r="58" spans="1:16" x14ac:dyDescent="0.3">
      <c r="A58" s="20" t="s">
        <v>365</v>
      </c>
      <c r="B58" s="15" t="s">
        <v>161</v>
      </c>
      <c r="C58" s="15" t="s">
        <v>364</v>
      </c>
      <c r="D58" s="21" t="s">
        <v>114</v>
      </c>
      <c r="E58" s="21" t="s">
        <v>70</v>
      </c>
      <c r="F58" s="19">
        <v>1.32</v>
      </c>
      <c r="G58" s="38">
        <v>0.02</v>
      </c>
      <c r="H58" s="38">
        <v>5.5999999999999999E-3</v>
      </c>
      <c r="I58" s="38">
        <v>2E-3</v>
      </c>
      <c r="J58" s="26">
        <v>0.13</v>
      </c>
      <c r="K58" s="26">
        <v>1.6571915366398901E-11</v>
      </c>
      <c r="L58" s="26">
        <v>1.2099999999999999E-3</v>
      </c>
      <c r="M58" s="138">
        <f>'Parameters, country spec'!E20</f>
        <v>3.1075970320211814E-4</v>
      </c>
      <c r="N58" s="138">
        <f>'Parameters, country spec'!E38</f>
        <v>3.1075970320211814E-4</v>
      </c>
    </row>
    <row r="59" spans="1:16" x14ac:dyDescent="0.3">
      <c r="A59" s="20" t="s">
        <v>366</v>
      </c>
      <c r="B59" s="15" t="s">
        <v>163</v>
      </c>
      <c r="C59" s="15" t="s">
        <v>364</v>
      </c>
      <c r="D59" s="21" t="s">
        <v>114</v>
      </c>
      <c r="E59" s="21" t="s">
        <v>70</v>
      </c>
      <c r="F59" s="19">
        <v>3.46</v>
      </c>
      <c r="G59" s="38">
        <v>1.7999999999999999E-2</v>
      </c>
      <c r="H59" s="38">
        <v>3.8E-3</v>
      </c>
      <c r="I59" s="38">
        <v>8.9999999999999993E-3</v>
      </c>
      <c r="J59" s="26">
        <v>0</v>
      </c>
      <c r="K59" s="26">
        <v>4.3463909522426497E-11</v>
      </c>
      <c r="L59" s="26">
        <v>1.1000000000000001E-3</v>
      </c>
      <c r="M59" s="138">
        <f>'Parameters, country spec'!E21</f>
        <v>8.6733359151412953E-5</v>
      </c>
      <c r="N59" s="138">
        <f>'Parameters, country spec'!E39</f>
        <v>8.6733359151412953E-5</v>
      </c>
    </row>
    <row r="60" spans="1:16" x14ac:dyDescent="0.3">
      <c r="A60" s="20" t="s">
        <v>367</v>
      </c>
      <c r="B60" s="15" t="s">
        <v>165</v>
      </c>
      <c r="C60" s="15" t="s">
        <v>364</v>
      </c>
      <c r="D60" s="21" t="s">
        <v>114</v>
      </c>
      <c r="E60" s="21" t="s">
        <v>70</v>
      </c>
      <c r="F60" s="19">
        <v>3</v>
      </c>
      <c r="G60" s="38">
        <v>1.6E-2</v>
      </c>
      <c r="H60" s="38">
        <v>1.1999999999999999E-3</v>
      </c>
      <c r="I60" s="38">
        <v>0</v>
      </c>
      <c r="J60" s="26">
        <v>7.0000000000000007E-2</v>
      </c>
      <c r="K60" s="26">
        <v>3.7695615589001398E-11</v>
      </c>
      <c r="L60" s="26">
        <v>9.68E-4</v>
      </c>
      <c r="M60" s="138">
        <f>'Parameters, country spec'!E22</f>
        <v>6.2924072151971947E-5</v>
      </c>
      <c r="N60" s="138">
        <f>'Parameters, country spec'!E40</f>
        <v>6.2924072151971947E-5</v>
      </c>
    </row>
    <row r="61" spans="1:16" x14ac:dyDescent="0.3">
      <c r="A61" s="20" t="s">
        <v>368</v>
      </c>
      <c r="B61" s="15" t="s">
        <v>167</v>
      </c>
      <c r="C61" s="15" t="s">
        <v>364</v>
      </c>
      <c r="D61" s="21" t="s">
        <v>114</v>
      </c>
      <c r="E61" s="21" t="s">
        <v>70</v>
      </c>
      <c r="F61" s="19">
        <v>1.84</v>
      </c>
      <c r="G61" s="38">
        <v>2.4E-2</v>
      </c>
      <c r="H61" s="38">
        <v>2.2000000000000001E-3</v>
      </c>
      <c r="I61" s="38">
        <v>2E-3</v>
      </c>
      <c r="J61" s="26">
        <v>0.18</v>
      </c>
      <c r="K61" s="26">
        <v>2.3049047763436501E-11</v>
      </c>
      <c r="L61" s="26">
        <v>1.4300000000000001E-3</v>
      </c>
      <c r="M61" s="138">
        <f>'Parameters, country spec'!E23</f>
        <v>0.20500000000000002</v>
      </c>
      <c r="N61" s="138">
        <f>'Parameters, country spec'!E41</f>
        <v>0.2</v>
      </c>
    </row>
    <row r="62" spans="1:16" x14ac:dyDescent="0.3">
      <c r="A62" s="20" t="s">
        <v>369</v>
      </c>
      <c r="B62" s="15" t="s">
        <v>168</v>
      </c>
      <c r="C62" s="15" t="s">
        <v>370</v>
      </c>
      <c r="D62" s="21" t="s">
        <v>114</v>
      </c>
      <c r="E62" s="21" t="s">
        <v>70</v>
      </c>
      <c r="F62" s="19">
        <v>4.21</v>
      </c>
      <c r="G62" s="38">
        <v>2.7E-2</v>
      </c>
      <c r="H62" s="38">
        <v>1.6999999999999999E-3</v>
      </c>
      <c r="I62" s="38">
        <v>7.3999999999999996E-2</v>
      </c>
      <c r="J62" s="26">
        <v>1.01</v>
      </c>
      <c r="K62" s="26">
        <v>5.2926507556255198E-11</v>
      </c>
      <c r="L62" s="26">
        <v>0</v>
      </c>
      <c r="M62" s="138">
        <f>'Parameters, country spec'!E24</f>
        <v>2.439015630520557E-4</v>
      </c>
      <c r="N62" s="138">
        <f>'Parameters, country spec'!E42</f>
        <v>2.439015630520557E-4</v>
      </c>
    </row>
    <row r="63" spans="1:16" x14ac:dyDescent="0.3">
      <c r="A63" s="20" t="s">
        <v>371</v>
      </c>
      <c r="B63" s="15" t="s">
        <v>170</v>
      </c>
      <c r="C63" s="15" t="s">
        <v>370</v>
      </c>
      <c r="D63" s="21" t="s">
        <v>114</v>
      </c>
      <c r="E63" s="21" t="s">
        <v>70</v>
      </c>
      <c r="F63" s="19">
        <v>5.26</v>
      </c>
      <c r="G63" s="38">
        <v>1.4E-2</v>
      </c>
      <c r="H63" s="38">
        <v>2E-3</v>
      </c>
      <c r="I63" s="38">
        <v>0.109</v>
      </c>
      <c r="J63" s="26">
        <v>1.01</v>
      </c>
      <c r="K63" s="26">
        <v>6.6044843772260198E-11</v>
      </c>
      <c r="L63" s="26">
        <v>6.1400000000000002E-5</v>
      </c>
      <c r="M63" s="138">
        <f>'Parameters, country spec'!E25</f>
        <v>2.3959170998341588E-4</v>
      </c>
      <c r="N63" s="138">
        <f>'Parameters, country spec'!E43</f>
        <v>2.3959170998341588E-4</v>
      </c>
    </row>
    <row r="64" spans="1:16" x14ac:dyDescent="0.3">
      <c r="B64" s="16" t="s">
        <v>171</v>
      </c>
      <c r="C64" s="15" t="s">
        <v>372</v>
      </c>
      <c r="D64" s="21" t="s">
        <v>114</v>
      </c>
      <c r="E64" s="21" t="s">
        <v>70</v>
      </c>
      <c r="F64" s="17">
        <f>'Off-farm feed'!$F$88</f>
        <v>1.5397450382845068</v>
      </c>
      <c r="G64" s="18">
        <f>'Off-farm feed'!$G$88</f>
        <v>2.276724967641296E-2</v>
      </c>
      <c r="H64" s="18">
        <f>'Off-farm feed'!$H$88</f>
        <v>2.4780679919905292E-3</v>
      </c>
      <c r="I64" s="18">
        <f>'Off-farm feed'!$I$88</f>
        <v>8.1100925319702543E-4</v>
      </c>
      <c r="J64" s="27">
        <f>'Off-farm feed'!$J$88</f>
        <v>0.29368572248181479</v>
      </c>
      <c r="K64" s="27">
        <f>'Off-farm feed'!$K$88</f>
        <v>1.2571008272056975E-11</v>
      </c>
      <c r="L64" s="27">
        <f>'Off-farm feed'!$L$88</f>
        <v>1.3841258986185109E-3</v>
      </c>
      <c r="M64" s="138">
        <f>'Parameters, country spec'!E26</f>
        <v>0.09</v>
      </c>
      <c r="N64" s="138">
        <f>'Parameters, country spec'!E44</f>
        <v>0.06</v>
      </c>
    </row>
    <row r="65" spans="1:16" x14ac:dyDescent="0.3">
      <c r="B65" s="16" t="s">
        <v>373</v>
      </c>
      <c r="C65" s="15" t="s">
        <v>372</v>
      </c>
      <c r="D65" s="21" t="s">
        <v>114</v>
      </c>
      <c r="E65" s="21" t="s">
        <v>70</v>
      </c>
      <c r="F65" s="17">
        <f>'Off-farm feed'!$F$36</f>
        <v>2.5509164954964105</v>
      </c>
      <c r="G65" s="18">
        <f>'Off-farm feed'!$G$36</f>
        <v>4.2620923125915401E-2</v>
      </c>
      <c r="H65" s="18">
        <f>'Off-farm feed'!$H$36</f>
        <v>3.2959349471355006E-3</v>
      </c>
      <c r="I65" s="18">
        <f>'Off-farm feed'!$I$36</f>
        <v>2.435286335413451E-3</v>
      </c>
      <c r="J65" s="27">
        <f>'Off-farm feed'!$J$36</f>
        <v>0.25920846302270906</v>
      </c>
      <c r="K65" s="27">
        <f>'Off-farm feed'!$K$36</f>
        <v>1.4553836091881654E-10</v>
      </c>
      <c r="L65" s="27">
        <f>'Off-farm feed'!$L$36</f>
        <v>1.0450321677831977E-4</v>
      </c>
      <c r="M65" s="138">
        <f>'Parameters, country spec'!E27</f>
        <v>9.5000000000000001E-2</v>
      </c>
      <c r="N65" s="138">
        <f>'Parameters, country spec'!E45</f>
        <v>7.0000000000000007E-2</v>
      </c>
    </row>
    <row r="66" spans="1:16" x14ac:dyDescent="0.3">
      <c r="B66" s="15" t="s">
        <v>173</v>
      </c>
      <c r="C66" s="15" t="s">
        <v>374</v>
      </c>
      <c r="D66" s="21" t="s">
        <v>114</v>
      </c>
      <c r="E66" s="21" t="s">
        <v>70</v>
      </c>
      <c r="F66" s="19">
        <v>0.91700426025091397</v>
      </c>
      <c r="G66" s="19">
        <v>1.1762359809494499E-2</v>
      </c>
      <c r="H66" s="19">
        <v>1.0762943616530901E-3</v>
      </c>
      <c r="I66" s="26">
        <v>1.01619563992494E-3</v>
      </c>
      <c r="J66" s="26">
        <v>9.0396112827555303E-2</v>
      </c>
      <c r="K66" s="26">
        <v>1.1960625691745099E-13</v>
      </c>
      <c r="L66" s="26">
        <v>7.1508799141679696E-4</v>
      </c>
      <c r="M66" s="138">
        <f>'Parameters, country spec'!E28</f>
        <v>9.5000000000000001E-2</v>
      </c>
      <c r="N66" s="138">
        <f>'Parameters, country spec'!E46</f>
        <v>0.14000000000000001</v>
      </c>
    </row>
    <row r="67" spans="1:16" x14ac:dyDescent="0.3">
      <c r="A67" s="74"/>
      <c r="B67" s="15" t="s">
        <v>375</v>
      </c>
      <c r="C67" s="75" t="s">
        <v>376</v>
      </c>
      <c r="D67" s="21" t="s">
        <v>114</v>
      </c>
      <c r="E67" s="21" t="s">
        <v>70</v>
      </c>
      <c r="F67" s="72">
        <f t="shared" ref="F67:L67" si="3">AVERAGE(F57:F65)</f>
        <v>2.7767401704201018</v>
      </c>
      <c r="G67" s="97">
        <f t="shared" si="3"/>
        <v>2.2820908089147596E-2</v>
      </c>
      <c r="H67" s="97">
        <f t="shared" si="3"/>
        <v>2.8193336599028917E-3</v>
      </c>
      <c r="I67" s="97">
        <f t="shared" si="3"/>
        <v>2.2249588398734498E-2</v>
      </c>
      <c r="J67" s="151">
        <f t="shared" si="3"/>
        <v>0.34476602061161377</v>
      </c>
      <c r="K67" s="73">
        <f t="shared" si="3"/>
        <v>4.6733021528922641E-11</v>
      </c>
      <c r="L67" s="151">
        <f t="shared" si="3"/>
        <v>8.3422545726631451E-4</v>
      </c>
      <c r="M67" s="138">
        <f>'Parameters, country spec'!E29</f>
        <v>7.0000000000000007E-2</v>
      </c>
      <c r="N67" s="138">
        <f>'Parameters, country spec'!E47</f>
        <v>0.03</v>
      </c>
    </row>
    <row r="68" spans="1:16" x14ac:dyDescent="0.3">
      <c r="A68" s="287"/>
      <c r="B68" s="288" t="s">
        <v>377</v>
      </c>
      <c r="C68" s="289"/>
      <c r="D68" s="290"/>
      <c r="E68" s="290"/>
      <c r="F68" s="291">
        <f>SUMPRODUCT(F54:F56,M54:M56)+SUMPRODUCT(F57:F67,M57:M67)/0.87</f>
        <v>2.2882914603517173</v>
      </c>
      <c r="G68" s="292">
        <f>SUMPRODUCT(G54:G56,M54:M56)+SUMPRODUCT(G57:G67,M57:M67)/0.87</f>
        <v>3.1020322302756882E-2</v>
      </c>
      <c r="H68" s="292">
        <f>SUMPRODUCT(H54:H56,M54:M56)+SUMPRODUCT(H57:H67,M57:M67)/0.87</f>
        <v>2.8511622721400787E-3</v>
      </c>
      <c r="I68" s="292">
        <f>SUMPRODUCT(I54:I56,M54:M56)+SUMPRODUCT(I57:I67,M57:M67)/0.87</f>
        <v>2.9585277471828805E-3</v>
      </c>
      <c r="J68" s="293">
        <f>SUMPRODUCT(J54:J56,M54:M56)+SUMPRODUCT(J57:J67,M57:M67)/0.87</f>
        <v>0.16692509975666234</v>
      </c>
      <c r="K68" s="293">
        <f>SUMPRODUCT(K54:K56,M54:M56)+SUMPRODUCT(K57:K67,M57:M67)/0.87</f>
        <v>3.7228170391656669E-11</v>
      </c>
      <c r="L68" s="293">
        <f>SUMPRODUCT(L54:L56,M54:M56)+SUMPRODUCT(L57:L67,M57:M67)/0.87</f>
        <v>8.8332899726781093E-4</v>
      </c>
      <c r="M68" s="294"/>
      <c r="N68" s="295"/>
    </row>
    <row r="69" spans="1:16" x14ac:dyDescent="0.3">
      <c r="A69" s="137"/>
      <c r="B69" s="23" t="s">
        <v>378</v>
      </c>
      <c r="C69" s="24"/>
      <c r="D69" s="93"/>
      <c r="E69" s="93"/>
      <c r="F69" s="286">
        <f>SUMPRODUCT(F54:F57,N54:N57)+SUMPRODUCT(F58:F68,N58:N68)/0.87</f>
        <v>2.1542693406417226</v>
      </c>
      <c r="G69" s="25">
        <f>SUMPRODUCT(G54:G57,N54:N57)+SUMPRODUCT(G58:G68,N58:N68)/0.87</f>
        <v>2.9580506200415885E-2</v>
      </c>
      <c r="H69" s="25">
        <f>SUMPRODUCT(H54:H57,N54:N57)+SUMPRODUCT(H58:H68,N58:N68)/0.87</f>
        <v>2.6913267681212393E-3</v>
      </c>
      <c r="I69" s="25">
        <f>SUMPRODUCT(I54:I57,N54:N57)+SUMPRODUCT(I58:I68,N58:N68)/0.87</f>
        <v>1.8947723815116108E-3</v>
      </c>
      <c r="J69" s="28">
        <f>SUMPRODUCT(J54:J57,N54:N57)+SUMPRODUCT(J58:J68,N58:N68)/0.87</f>
        <v>0.13955429088988547</v>
      </c>
      <c r="K69" s="28">
        <f>SUMPRODUCT(K54:K57,N54:N57)+SUMPRODUCT(K58:K68,N58:N68)/0.87</f>
        <v>3.1175205880277808E-11</v>
      </c>
      <c r="L69" s="28">
        <f>SUMPRODUCT(L54:L57,N54:N57)+SUMPRODUCT(L58:L68,N58:N68)/0.87</f>
        <v>8.4427325653075301E-4</v>
      </c>
      <c r="M69" s="139"/>
      <c r="N69" s="139"/>
    </row>
    <row r="70" spans="1:16" x14ac:dyDescent="0.3">
      <c r="B70" s="16" t="s">
        <v>152</v>
      </c>
      <c r="C70" s="15" t="s">
        <v>361</v>
      </c>
      <c r="D70" s="21" t="s">
        <v>23</v>
      </c>
      <c r="E70" s="21" t="s">
        <v>71</v>
      </c>
      <c r="F70" s="107">
        <v>0</v>
      </c>
      <c r="G70" s="278">
        <f>'Forage crops, footprints'!G12</f>
        <v>1.4248888174213353E-2</v>
      </c>
      <c r="H70" s="279">
        <f>'Forage crops, footprints'!H12</f>
        <v>2.3847872238080535E-4</v>
      </c>
      <c r="I70" s="278">
        <f>'Forage crops, footprints'!I12</f>
        <v>0</v>
      </c>
      <c r="J70" s="117">
        <f>'Forage crops, footprints'!J12</f>
        <v>0</v>
      </c>
      <c r="K70" s="117">
        <f>'Forage crops, footprints'!K12</f>
        <v>8.6954670873459043E-11</v>
      </c>
      <c r="L70" s="117">
        <f>'Forage crops, footprints'!L12</f>
        <v>3.5122388625340054E-4</v>
      </c>
      <c r="M70" s="138">
        <f>'Parameters, country spec'!F16</f>
        <v>0</v>
      </c>
      <c r="N70" s="138">
        <f>'Parameters, country spec'!F34</f>
        <v>0</v>
      </c>
      <c r="O70" s="18"/>
      <c r="P70" s="138"/>
    </row>
    <row r="71" spans="1:16" x14ac:dyDescent="0.3">
      <c r="B71" s="16" t="s">
        <v>154</v>
      </c>
      <c r="C71" s="15" t="s">
        <v>361</v>
      </c>
      <c r="D71" s="21" t="s">
        <v>23</v>
      </c>
      <c r="E71" s="21" t="s">
        <v>71</v>
      </c>
      <c r="F71" s="107">
        <f>'Forage crops, footprints'!F26</f>
        <v>0.51445196317795561</v>
      </c>
      <c r="G71" s="278">
        <f>'Forage crops, footprints'!G26</f>
        <v>7.6719017232218913E-3</v>
      </c>
      <c r="H71" s="278">
        <f>'Forage crops, footprints'!H26</f>
        <v>1.3477192274802781E-4</v>
      </c>
      <c r="I71" s="278">
        <f>'Forage crops, footprints'!I26</f>
        <v>0.1</v>
      </c>
      <c r="J71" s="117">
        <f>'Forage crops, footprints'!J26</f>
        <v>6.7567011968587768E-5</v>
      </c>
      <c r="K71" s="117">
        <f>'Forage crops, footprints'!K26</f>
        <v>2.7684265407222258E-11</v>
      </c>
      <c r="L71" s="117">
        <f>'Forage crops, footprints'!L26</f>
        <v>4.6641021720636829E-4</v>
      </c>
      <c r="M71" s="138">
        <f>'Parameters, country spec'!F17</f>
        <v>0</v>
      </c>
      <c r="N71" s="138">
        <f>'Parameters, country spec'!F35</f>
        <v>0</v>
      </c>
      <c r="O71" s="18"/>
      <c r="P71" s="138"/>
    </row>
    <row r="72" spans="1:16" x14ac:dyDescent="0.3">
      <c r="B72" s="16" t="s">
        <v>362</v>
      </c>
      <c r="C72" s="15" t="s">
        <v>361</v>
      </c>
      <c r="D72" s="21" t="s">
        <v>23</v>
      </c>
      <c r="E72" s="21" t="s">
        <v>71</v>
      </c>
      <c r="F72" s="107">
        <f>'Forage, input data per ha'!$E$72*'Forage crops, footprints'!F40+'Forage, input data per ha'!$G$72*'Forage crops, footprints'!F54</f>
        <v>1.2021385208157926</v>
      </c>
      <c r="G72" s="278">
        <f>'Forage, input data per ha'!$E$72*'Forage crops, footprints'!G40+'Forage, input data per ha'!$G$72*'Forage crops, footprints'!G54</f>
        <v>2.8632234529458817E-2</v>
      </c>
      <c r="H72" s="278">
        <f>'Forage, input data per ha'!$E$72*'Forage crops, footprints'!H40+'Forage, input data per ha'!$G$72*'Forage crops, footprints'!H54</f>
        <v>1.6681390709343633E-3</v>
      </c>
      <c r="I72" s="278">
        <f>'Forage, input data per ha'!$E$72*'Forage crops, footprints'!I40+'Forage, input data per ha'!$G$72*'Forage crops, footprints'!I54</f>
        <v>0</v>
      </c>
      <c r="J72" s="117">
        <f>'Forage, input data per ha'!$E$72*'Forage crops, footprints'!J40+'Forage, input data per ha'!$G$72*'Forage crops, footprints'!J54</f>
        <v>4.48232130917449E-5</v>
      </c>
      <c r="K72" s="117">
        <f>'Forage, input data per ha'!$E$72*'Forage crops, footprints'!K40+'Forage, input data per ha'!$G$72*'Forage crops, footprints'!K54</f>
        <v>4.3536205896865059E-11</v>
      </c>
      <c r="L72" s="117">
        <f>'Forage, input data per ha'!$E$72*'Forage crops, footprints'!L40+'Forage, input data per ha'!$G$72*'Forage crops, footprints'!L54</f>
        <v>1.9046449086430252E-4</v>
      </c>
      <c r="M72" s="138">
        <f>'Parameters, country spec'!F18</f>
        <v>0.28000000000000003</v>
      </c>
      <c r="N72" s="138">
        <f>'Parameters, country spec'!F36</f>
        <v>0.3</v>
      </c>
      <c r="O72" s="18"/>
      <c r="P72" s="138"/>
    </row>
    <row r="73" spans="1:16" x14ac:dyDescent="0.3">
      <c r="A73" s="20" t="s">
        <v>363</v>
      </c>
      <c r="B73" s="15" t="s">
        <v>159</v>
      </c>
      <c r="C73" s="15" t="s">
        <v>364</v>
      </c>
      <c r="D73" s="21" t="s">
        <v>23</v>
      </c>
      <c r="E73" s="21" t="s">
        <v>71</v>
      </c>
      <c r="F73" s="22">
        <v>2.41</v>
      </c>
      <c r="G73" s="38">
        <v>2.1000000000000001E-2</v>
      </c>
      <c r="H73" s="38">
        <v>3.0999999999999999E-3</v>
      </c>
      <c r="I73" s="38">
        <v>3.0000000000000001E-3</v>
      </c>
      <c r="J73" s="26">
        <v>0.16</v>
      </c>
      <c r="K73" s="26">
        <v>1.2982658708553501E-10</v>
      </c>
      <c r="L73" s="26">
        <v>1.25E-3</v>
      </c>
      <c r="M73" s="138">
        <f>'Parameters, country spec'!F19</f>
        <v>0.16</v>
      </c>
      <c r="N73" s="138">
        <f>'Parameters, country spec'!F37</f>
        <v>0.2</v>
      </c>
    </row>
    <row r="74" spans="1:16" x14ac:dyDescent="0.3">
      <c r="A74" s="20" t="s">
        <v>365</v>
      </c>
      <c r="B74" s="15" t="s">
        <v>161</v>
      </c>
      <c r="C74" s="15" t="s">
        <v>364</v>
      </c>
      <c r="D74" s="21" t="s">
        <v>23</v>
      </c>
      <c r="E74" s="21" t="s">
        <v>71</v>
      </c>
      <c r="F74" s="19">
        <v>0.97</v>
      </c>
      <c r="G74" s="38">
        <v>0.02</v>
      </c>
      <c r="H74" s="38">
        <v>5.5999999999999999E-3</v>
      </c>
      <c r="I74" s="38">
        <v>0.1</v>
      </c>
      <c r="J74" s="26">
        <v>0.19</v>
      </c>
      <c r="K74" s="26">
        <v>5.2310958852544699E-11</v>
      </c>
      <c r="L74" s="26">
        <v>1.2099999999999999E-3</v>
      </c>
      <c r="M74" s="138">
        <f>'Parameters, country spec'!F20</f>
        <v>3.1075970320211814E-4</v>
      </c>
      <c r="N74" s="138">
        <f>'Parameters, country spec'!F38</f>
        <v>3.1075970320211814E-4</v>
      </c>
    </row>
    <row r="75" spans="1:16" x14ac:dyDescent="0.3">
      <c r="A75" s="20" t="s">
        <v>366</v>
      </c>
      <c r="B75" s="15" t="s">
        <v>163</v>
      </c>
      <c r="C75" s="15" t="s">
        <v>364</v>
      </c>
      <c r="D75" s="21" t="s">
        <v>23</v>
      </c>
      <c r="E75" s="21" t="s">
        <v>71</v>
      </c>
      <c r="F75" s="19">
        <v>4.3099999999999996</v>
      </c>
      <c r="G75" s="38">
        <v>1.7999999999999999E-2</v>
      </c>
      <c r="H75" s="38">
        <v>3.8E-3</v>
      </c>
      <c r="I75" s="38">
        <v>0.111</v>
      </c>
      <c r="J75" s="26">
        <v>0</v>
      </c>
      <c r="K75" s="26">
        <v>2.3186915231965301E-10</v>
      </c>
      <c r="L75" s="26">
        <v>1.1000000000000001E-3</v>
      </c>
      <c r="M75" s="138">
        <f>'Parameters, country spec'!F21</f>
        <v>8.6733359151412953E-5</v>
      </c>
      <c r="N75" s="138">
        <f>'Parameters, country spec'!F39</f>
        <v>8.6733359151412953E-5</v>
      </c>
    </row>
    <row r="76" spans="1:16" x14ac:dyDescent="0.3">
      <c r="A76" s="20" t="s">
        <v>367</v>
      </c>
      <c r="B76" s="15" t="s">
        <v>165</v>
      </c>
      <c r="C76" s="15" t="s">
        <v>364</v>
      </c>
      <c r="D76" s="21" t="s">
        <v>23</v>
      </c>
      <c r="E76" s="21" t="s">
        <v>71</v>
      </c>
      <c r="F76" s="19">
        <v>3.11</v>
      </c>
      <c r="G76" s="38">
        <v>1.6E-2</v>
      </c>
      <c r="H76" s="38">
        <v>1.1999999999999999E-3</v>
      </c>
      <c r="I76" s="38">
        <v>4.0000000000000001E-3</v>
      </c>
      <c r="J76" s="26">
        <v>0</v>
      </c>
      <c r="K76" s="26">
        <v>1.67144331358802E-10</v>
      </c>
      <c r="L76" s="26">
        <v>9.68E-4</v>
      </c>
      <c r="M76" s="138">
        <f>'Parameters, country spec'!F22</f>
        <v>6.2924072151971947E-5</v>
      </c>
      <c r="N76" s="138">
        <f>'Parameters, country spec'!F40</f>
        <v>6.2924072151971947E-5</v>
      </c>
    </row>
    <row r="77" spans="1:16" x14ac:dyDescent="0.3">
      <c r="A77" s="20" t="s">
        <v>368</v>
      </c>
      <c r="B77" s="15" t="s">
        <v>167</v>
      </c>
      <c r="C77" s="15" t="s">
        <v>364</v>
      </c>
      <c r="D77" s="21" t="s">
        <v>23</v>
      </c>
      <c r="E77" s="21" t="s">
        <v>71</v>
      </c>
      <c r="F77" s="19">
        <v>2.5299999999999998</v>
      </c>
      <c r="G77" s="38">
        <v>2.4E-2</v>
      </c>
      <c r="H77" s="38">
        <v>2.2000000000000001E-3</v>
      </c>
      <c r="I77" s="38">
        <v>0.02</v>
      </c>
      <c r="J77" s="26">
        <v>0.1</v>
      </c>
      <c r="K77" s="26">
        <v>1.36259204994668E-10</v>
      </c>
      <c r="L77" s="26">
        <v>1.4300000000000001E-3</v>
      </c>
      <c r="M77" s="138">
        <f>'Parameters, country spec'!F23</f>
        <v>0.20500000000000002</v>
      </c>
      <c r="N77" s="138">
        <f>'Parameters, country spec'!F41</f>
        <v>0.2</v>
      </c>
    </row>
    <row r="78" spans="1:16" x14ac:dyDescent="0.3">
      <c r="A78" s="20" t="s">
        <v>369</v>
      </c>
      <c r="B78" s="15" t="s">
        <v>168</v>
      </c>
      <c r="C78" s="15" t="s">
        <v>370</v>
      </c>
      <c r="D78" s="21" t="s">
        <v>23</v>
      </c>
      <c r="E78" s="21" t="s">
        <v>71</v>
      </c>
      <c r="F78" s="19">
        <v>3.42</v>
      </c>
      <c r="G78" s="38">
        <v>2.1999999999999999E-2</v>
      </c>
      <c r="H78" s="38">
        <v>1.6999999999999999E-3</v>
      </c>
      <c r="I78" s="38">
        <v>1.2999999999999999E-2</v>
      </c>
      <c r="J78" s="26">
        <v>0.49</v>
      </c>
      <c r="K78" s="26">
        <v>1.8402051891719201E-10</v>
      </c>
      <c r="L78" s="26">
        <v>0</v>
      </c>
      <c r="M78" s="138">
        <f>'Parameters, country spec'!F24</f>
        <v>2.439015630520557E-4</v>
      </c>
      <c r="N78" s="138">
        <f>'Parameters, country spec'!F42</f>
        <v>2.439015630520557E-4</v>
      </c>
    </row>
    <row r="79" spans="1:16" x14ac:dyDescent="0.3">
      <c r="A79" s="20" t="s">
        <v>371</v>
      </c>
      <c r="B79" s="15" t="s">
        <v>170</v>
      </c>
      <c r="C79" s="15" t="s">
        <v>370</v>
      </c>
      <c r="D79" s="21" t="s">
        <v>23</v>
      </c>
      <c r="E79" s="21" t="s">
        <v>71</v>
      </c>
      <c r="F79" s="19">
        <v>5.13</v>
      </c>
      <c r="G79" s="38">
        <v>1.2999999999999999E-2</v>
      </c>
      <c r="H79" s="38">
        <v>2E-3</v>
      </c>
      <c r="I79" s="38">
        <v>4.0000000000000001E-3</v>
      </c>
      <c r="J79" s="26">
        <v>1.05</v>
      </c>
      <c r="K79" s="26">
        <v>2.7580913508766499E-10</v>
      </c>
      <c r="L79" s="26">
        <v>6.1400000000000002E-5</v>
      </c>
      <c r="M79" s="138">
        <f>'Parameters, country spec'!F25</f>
        <v>2.3959170998341588E-4</v>
      </c>
      <c r="N79" s="138">
        <f>'Parameters, country spec'!F43</f>
        <v>2.3959170998341588E-4</v>
      </c>
    </row>
    <row r="80" spans="1:16" x14ac:dyDescent="0.3">
      <c r="B80" s="16" t="s">
        <v>171</v>
      </c>
      <c r="C80" s="15" t="s">
        <v>372</v>
      </c>
      <c r="D80" s="21" t="s">
        <v>23</v>
      </c>
      <c r="E80" s="21" t="s">
        <v>71</v>
      </c>
      <c r="F80" s="17">
        <f>'Off-farm feed'!$F$88</f>
        <v>1.5397450382845068</v>
      </c>
      <c r="G80" s="18">
        <f>'Off-farm feed'!$G$88</f>
        <v>2.276724967641296E-2</v>
      </c>
      <c r="H80" s="18">
        <f>'Off-farm feed'!$H$88</f>
        <v>2.4780679919905292E-3</v>
      </c>
      <c r="I80" s="18">
        <f>'Off-farm feed'!$I$88</f>
        <v>8.1100925319702543E-4</v>
      </c>
      <c r="J80" s="27">
        <f>'Off-farm feed'!$J$88</f>
        <v>0.29368572248181479</v>
      </c>
      <c r="K80" s="27">
        <f>'Off-farm feed'!$K$88</f>
        <v>1.2571008272056975E-11</v>
      </c>
      <c r="L80" s="27">
        <f>'Off-farm feed'!$L$88</f>
        <v>1.3841258986185109E-3</v>
      </c>
      <c r="M80" s="138">
        <f>'Parameters, country spec'!F26</f>
        <v>0.09</v>
      </c>
      <c r="N80" s="138">
        <f>'Parameters, country spec'!F44</f>
        <v>0.06</v>
      </c>
    </row>
    <row r="81" spans="1:16" x14ac:dyDescent="0.3">
      <c r="B81" s="16" t="s">
        <v>373</v>
      </c>
      <c r="C81" s="15" t="s">
        <v>372</v>
      </c>
      <c r="D81" s="21" t="s">
        <v>23</v>
      </c>
      <c r="E81" s="21" t="s">
        <v>71</v>
      </c>
      <c r="F81" s="17">
        <f>'Off-farm feed'!$F$36</f>
        <v>2.5509164954964105</v>
      </c>
      <c r="G81" s="18">
        <f>'Off-farm feed'!$G$36</f>
        <v>4.2620923125915401E-2</v>
      </c>
      <c r="H81" s="18">
        <f>'Off-farm feed'!$H$36</f>
        <v>3.2959349471355006E-3</v>
      </c>
      <c r="I81" s="18">
        <f>'Off-farm feed'!$I$36</f>
        <v>2.435286335413451E-3</v>
      </c>
      <c r="J81" s="27">
        <f>'Off-farm feed'!$J$36</f>
        <v>0.25920846302270906</v>
      </c>
      <c r="K81" s="27">
        <f>'Off-farm feed'!$K$36</f>
        <v>1.4553836091881654E-10</v>
      </c>
      <c r="L81" s="27">
        <f>'Off-farm feed'!$L$36</f>
        <v>1.0450321677831977E-4</v>
      </c>
      <c r="M81" s="138">
        <f>'Parameters, country spec'!F27</f>
        <v>9.5000000000000001E-2</v>
      </c>
      <c r="N81" s="138">
        <f>'Parameters, country spec'!F45</f>
        <v>7.0000000000000007E-2</v>
      </c>
    </row>
    <row r="82" spans="1:16" x14ac:dyDescent="0.3">
      <c r="B82" s="15" t="s">
        <v>173</v>
      </c>
      <c r="C82" s="15" t="s">
        <v>374</v>
      </c>
      <c r="D82" s="21" t="s">
        <v>23</v>
      </c>
      <c r="E82" s="21" t="s">
        <v>71</v>
      </c>
      <c r="F82" s="19">
        <v>1.12846228925113</v>
      </c>
      <c r="G82" s="19">
        <v>1.23166071303607E-2</v>
      </c>
      <c r="H82" s="19">
        <v>1.12700980277811E-3</v>
      </c>
      <c r="I82" s="26">
        <v>5.7910569665233901E-3</v>
      </c>
      <c r="J82" s="26">
        <v>8.70973444052279E-2</v>
      </c>
      <c r="K82" s="26">
        <v>4.7007852315066902E-13</v>
      </c>
      <c r="L82" s="26">
        <v>7.4878323708565096E-4</v>
      </c>
      <c r="M82" s="138">
        <f>'Parameters, country spec'!F28</f>
        <v>9.5000000000000001E-2</v>
      </c>
      <c r="N82" s="138">
        <f>'Parameters, country spec'!F46</f>
        <v>0.14000000000000001</v>
      </c>
    </row>
    <row r="83" spans="1:16" x14ac:dyDescent="0.3">
      <c r="A83" s="74"/>
      <c r="B83" s="15" t="s">
        <v>375</v>
      </c>
      <c r="C83" s="75" t="s">
        <v>376</v>
      </c>
      <c r="D83" s="21" t="s">
        <v>23</v>
      </c>
      <c r="E83" s="21" t="s">
        <v>71</v>
      </c>
      <c r="F83" s="72">
        <f t="shared" ref="F83:L83" si="4">AVERAGE(F73:F81)</f>
        <v>2.8856290593089908</v>
      </c>
      <c r="G83" s="97">
        <f t="shared" si="4"/>
        <v>2.215424142248093E-2</v>
      </c>
      <c r="H83" s="97">
        <f t="shared" si="4"/>
        <v>2.8193336599028917E-3</v>
      </c>
      <c r="I83" s="97">
        <f t="shared" si="4"/>
        <v>2.8694032843178945E-2</v>
      </c>
      <c r="J83" s="151">
        <f t="shared" si="4"/>
        <v>0.28254379838939159</v>
      </c>
      <c r="K83" s="73">
        <f t="shared" si="4"/>
        <v>1.4837213975632592E-10</v>
      </c>
      <c r="L83" s="151">
        <f t="shared" si="4"/>
        <v>8.3422545726631451E-4</v>
      </c>
      <c r="M83" s="138">
        <f>'Parameters, country spec'!F29</f>
        <v>7.0000000000000007E-2</v>
      </c>
      <c r="N83" s="138">
        <f>'Parameters, country spec'!F47</f>
        <v>0.03</v>
      </c>
    </row>
    <row r="84" spans="1:16" x14ac:dyDescent="0.3">
      <c r="A84" s="287"/>
      <c r="B84" s="288" t="s">
        <v>377</v>
      </c>
      <c r="C84" s="289"/>
      <c r="D84" s="290"/>
      <c r="E84" s="290"/>
      <c r="F84" s="291">
        <f>SUMPRODUCT(F70:F72,M70:M72)+SUMPRODUCT(F73:F83,M73:M83)/0.87</f>
        <v>2.1725715128635317</v>
      </c>
      <c r="G84" s="292">
        <f>SUMPRODUCT(G70:G72,M70:M72)+SUMPRODUCT(G73:G83,M73:M83)/0.87</f>
        <v>2.7690794002842939E-2</v>
      </c>
      <c r="H84" s="292">
        <f>SUMPRODUCT(H70:H72,M70:M72)+SUMPRODUCT(H73:H83,M73:M83)/0.87</f>
        <v>2.5252380120232175E-3</v>
      </c>
      <c r="I84" s="292">
        <f>SUMPRODUCT(I70:I72,M70:M72)+SUMPRODUCT(I73:I83,M73:M83)/0.87</f>
        <v>8.6070803472741327E-3</v>
      </c>
      <c r="J84" s="293">
        <f>SUMPRODUCT(J70:J72,M70:M72)+SUMPRODUCT(J73:J83,M73:M83)/0.87</f>
        <v>0.14442514822525335</v>
      </c>
      <c r="K84" s="293">
        <f>SUMPRODUCT(K70:K72,M70:M72)+SUMPRODUCT(K73:K83,M73:M83)/0.87</f>
        <v>9.7536668728119164E-11</v>
      </c>
      <c r="L84" s="293">
        <f>SUMPRODUCT(L70:L72,M70:M72)+SUMPRODUCT(L73:L83,M73:M83)/0.87</f>
        <v>9.2427991189046729E-4</v>
      </c>
      <c r="M84" s="294"/>
      <c r="N84" s="295"/>
    </row>
    <row r="85" spans="1:16" x14ac:dyDescent="0.3">
      <c r="A85" s="137"/>
      <c r="B85" s="23" t="s">
        <v>378</v>
      </c>
      <c r="C85" s="24"/>
      <c r="D85" s="93"/>
      <c r="E85" s="93"/>
      <c r="F85" s="286">
        <f>SUMPRODUCT(F70:F73,N70:N73)+SUMPRODUCT(F74:F84,N74:N84)/0.87</f>
        <v>2.0201549466223714</v>
      </c>
      <c r="G85" s="25">
        <f>SUMPRODUCT(G70:G73,N70:N73)+SUMPRODUCT(G74:G84,N74:N84)/0.87</f>
        <v>2.6072102021623751E-2</v>
      </c>
      <c r="H85" s="25">
        <f>SUMPRODUCT(H70:H73,N70:N73)+SUMPRODUCT(H74:H84,N74:N84)/0.87</f>
        <v>2.3443498523968423E-3</v>
      </c>
      <c r="I85" s="25">
        <f>SUMPRODUCT(I70:I73,N70:N73)+SUMPRODUCT(I74:I84,N74:N84)/0.87</f>
        <v>7.4227399033490148E-3</v>
      </c>
      <c r="J85" s="28">
        <f>SUMPRODUCT(J70:J73,N70:N73)+SUMPRODUCT(J74:J84,N74:N84)/0.87</f>
        <v>0.12036494734771912</v>
      </c>
      <c r="K85" s="28">
        <f>SUMPRODUCT(K70:K73,N70:N73)+SUMPRODUCT(K74:K84,N74:N84)/0.87</f>
        <v>8.8300444416609082E-11</v>
      </c>
      <c r="L85" s="28">
        <f>SUMPRODUCT(L70:L73,N70:N73)+SUMPRODUCT(L74:L84,N74:N84)/0.87</f>
        <v>8.8962928216773998E-4</v>
      </c>
      <c r="M85" s="139"/>
      <c r="N85" s="139"/>
    </row>
    <row r="86" spans="1:16" x14ac:dyDescent="0.3">
      <c r="B86" s="16" t="s">
        <v>152</v>
      </c>
      <c r="C86" s="15" t="s">
        <v>361</v>
      </c>
      <c r="D86" s="21" t="s">
        <v>20</v>
      </c>
      <c r="E86" s="21" t="s">
        <v>72</v>
      </c>
      <c r="F86" s="107">
        <v>0</v>
      </c>
      <c r="G86" s="278">
        <f>'Forage crops, footprints'!G13</f>
        <v>3.4288619089893765E-2</v>
      </c>
      <c r="H86" s="279">
        <f>'Forage crops, footprints'!H13</f>
        <v>0</v>
      </c>
      <c r="I86" s="278">
        <f>'Forage crops, footprints'!I13</f>
        <v>0</v>
      </c>
      <c r="J86" s="117">
        <f>'Forage crops, footprints'!J13</f>
        <v>0</v>
      </c>
      <c r="K86" s="117">
        <f>'Forage crops, footprints'!K13</f>
        <v>1.4439923961886749E-11</v>
      </c>
      <c r="L86" s="117">
        <f>'Forage crops, footprints'!L13</f>
        <v>1.5695313654600586E-3</v>
      </c>
      <c r="M86" s="138">
        <f>'Parameters, country spec'!G16</f>
        <v>0</v>
      </c>
      <c r="N86" s="138">
        <f>'Parameters, country spec'!G34</f>
        <v>0</v>
      </c>
      <c r="O86" s="18"/>
      <c r="P86" s="138"/>
    </row>
    <row r="87" spans="1:16" x14ac:dyDescent="0.3">
      <c r="B87" s="16" t="s">
        <v>154</v>
      </c>
      <c r="C87" s="15" t="s">
        <v>361</v>
      </c>
      <c r="D87" s="21" t="s">
        <v>20</v>
      </c>
      <c r="E87" s="21" t="s">
        <v>72</v>
      </c>
      <c r="F87" s="107">
        <f>'Forage crops, footprints'!F27</f>
        <v>0.61500988697347925</v>
      </c>
      <c r="G87" s="278">
        <f>'Forage crops, footprints'!G27</f>
        <v>3.1365504235647443E-4</v>
      </c>
      <c r="H87" s="278">
        <f>'Forage crops, footprints'!H27</f>
        <v>8.458551473656372E-5</v>
      </c>
      <c r="I87" s="278">
        <f>'Forage crops, footprints'!I27</f>
        <v>6.1690666490291896E-2</v>
      </c>
      <c r="J87" s="117">
        <f>'Forage crops, footprints'!J27</f>
        <v>7.1677920029331065E-5</v>
      </c>
      <c r="K87" s="117">
        <f>'Forage crops, footprints'!K27</f>
        <v>4.9799456928696098E-12</v>
      </c>
      <c r="L87" s="117">
        <f>'Forage crops, footprints'!L27</f>
        <v>1.9068533684490312E-5</v>
      </c>
      <c r="M87" s="138">
        <f>'Parameters, country spec'!G17</f>
        <v>0</v>
      </c>
      <c r="N87" s="138">
        <f>'Parameters, country spec'!G35</f>
        <v>0</v>
      </c>
      <c r="O87" s="18"/>
      <c r="P87" s="138"/>
    </row>
    <row r="88" spans="1:16" x14ac:dyDescent="0.3">
      <c r="B88" s="16" t="s">
        <v>362</v>
      </c>
      <c r="C88" s="15" t="s">
        <v>361</v>
      </c>
      <c r="D88" s="21" t="s">
        <v>20</v>
      </c>
      <c r="E88" s="21" t="s">
        <v>72</v>
      </c>
      <c r="F88" s="107">
        <f>'Forage, input data per ha'!$E$73*'Forage crops, footprints'!F41+'Forage, input data per ha'!$G$73*'Forage crops, footprints'!F58</f>
        <v>1.9030569421592489</v>
      </c>
      <c r="G88" s="278">
        <f>'Forage, input data per ha'!$E$73*'Forage crops, footprints'!G41+'Forage, input data per ha'!$G$73*'Forage crops, footprints'!G58</f>
        <v>3.5832557747188944E-2</v>
      </c>
      <c r="H88" s="278">
        <f>'Forage, input data per ha'!$E$73*'Forage crops, footprints'!H41+'Forage, input data per ha'!$G$73*'Forage crops, footprints'!H58</f>
        <v>4.5593399742885403E-4</v>
      </c>
      <c r="I88" s="278">
        <f>'Forage, input data per ha'!$E$73*'Forage crops, footprints'!I41+'Forage, input data per ha'!$G$73*'Forage crops, footprints'!I58</f>
        <v>0</v>
      </c>
      <c r="J88" s="117">
        <f>'Forage, input data per ha'!$E$73*'Forage crops, footprints'!J41+'Forage, input data per ha'!$G$73*'Forage crops, footprints'!J58</f>
        <v>3.430442903778665E-5</v>
      </c>
      <c r="K88" s="117">
        <f>'Forage, input data per ha'!$E$73*'Forage crops, footprints'!K41+'Forage, input data per ha'!$G$73*'Forage crops, footprints'!K58</f>
        <v>9.1612393206344326E-12</v>
      </c>
      <c r="L88" s="117">
        <f>'Forage, input data per ha'!$E$73*'Forage crops, footprints'!L41+'Forage, input data per ha'!$G$73*'Forage crops, footprints'!L58</f>
        <v>1.3566792817665679E-3</v>
      </c>
      <c r="M88" s="138">
        <f>'Parameters, country spec'!G18</f>
        <v>0.28000000000000003</v>
      </c>
      <c r="N88" s="138">
        <f>'Parameters, country spec'!G36</f>
        <v>0.3</v>
      </c>
      <c r="O88" s="18"/>
      <c r="P88" s="138"/>
    </row>
    <row r="89" spans="1:16" x14ac:dyDescent="0.3">
      <c r="A89" s="20" t="s">
        <v>363</v>
      </c>
      <c r="B89" s="15" t="s">
        <v>159</v>
      </c>
      <c r="C89" s="15" t="s">
        <v>364</v>
      </c>
      <c r="D89" s="21" t="s">
        <v>20</v>
      </c>
      <c r="E89" s="21" t="s">
        <v>72</v>
      </c>
      <c r="F89" s="22">
        <v>1.47</v>
      </c>
      <c r="G89" s="38">
        <v>2.1000000000000001E-2</v>
      </c>
      <c r="H89" s="38">
        <v>3.0999999999999999E-3</v>
      </c>
      <c r="I89" s="38">
        <v>7.0000000000000001E-3</v>
      </c>
      <c r="J89" s="26">
        <v>0.31</v>
      </c>
      <c r="K89" s="26">
        <v>1.1888764653498601E-11</v>
      </c>
      <c r="L89" s="26">
        <v>1.25E-3</v>
      </c>
      <c r="M89" s="138">
        <f>'Parameters, country spec'!G19</f>
        <v>0.16</v>
      </c>
      <c r="N89" s="138">
        <f>'Parameters, country spec'!G37</f>
        <v>0.2</v>
      </c>
    </row>
    <row r="90" spans="1:16" x14ac:dyDescent="0.3">
      <c r="A90" s="20" t="s">
        <v>365</v>
      </c>
      <c r="B90" s="15" t="s">
        <v>161</v>
      </c>
      <c r="C90" s="15" t="s">
        <v>364</v>
      </c>
      <c r="D90" s="21" t="s">
        <v>20</v>
      </c>
      <c r="E90" s="21" t="s">
        <v>72</v>
      </c>
      <c r="F90" s="19">
        <v>1.08</v>
      </c>
      <c r="G90" s="38">
        <v>0.02</v>
      </c>
      <c r="H90" s="38">
        <v>5.5999999999999999E-3</v>
      </c>
      <c r="I90" s="38">
        <v>6.4000000000000001E-2</v>
      </c>
      <c r="J90" s="26">
        <v>0.94</v>
      </c>
      <c r="K90" s="26">
        <v>8.7533349210326906E-12</v>
      </c>
      <c r="L90" s="26">
        <v>1.2099999999999999E-3</v>
      </c>
      <c r="M90" s="138">
        <f>'Parameters, country spec'!G20</f>
        <v>3.1075970320211814E-4</v>
      </c>
      <c r="N90" s="138">
        <f>'Parameters, country spec'!G38</f>
        <v>3.1075970320211814E-4</v>
      </c>
    </row>
    <row r="91" spans="1:16" x14ac:dyDescent="0.3">
      <c r="A91" s="20" t="s">
        <v>366</v>
      </c>
      <c r="B91" s="15" t="s">
        <v>163</v>
      </c>
      <c r="C91" s="15" t="s">
        <v>364</v>
      </c>
      <c r="D91" s="21" t="s">
        <v>20</v>
      </c>
      <c r="E91" s="21" t="s">
        <v>72</v>
      </c>
      <c r="F91" s="19">
        <v>1.96</v>
      </c>
      <c r="G91" s="38">
        <v>1.7999999999999999E-2</v>
      </c>
      <c r="H91" s="38">
        <v>3.8E-3</v>
      </c>
      <c r="I91" s="38">
        <v>3.5999999999999997E-2</v>
      </c>
      <c r="J91" s="26">
        <v>0.09</v>
      </c>
      <c r="K91" s="26">
        <v>1.5906522430411999E-11</v>
      </c>
      <c r="L91" s="26">
        <v>1.1000000000000001E-3</v>
      </c>
      <c r="M91" s="138">
        <f>'Parameters, country spec'!G21</f>
        <v>8.6733359151412953E-5</v>
      </c>
      <c r="N91" s="138">
        <f>'Parameters, country spec'!G39</f>
        <v>8.6733359151412953E-5</v>
      </c>
    </row>
    <row r="92" spans="1:16" x14ac:dyDescent="0.3">
      <c r="A92" s="20" t="s">
        <v>367</v>
      </c>
      <c r="B92" s="15" t="s">
        <v>165</v>
      </c>
      <c r="C92" s="15" t="s">
        <v>364</v>
      </c>
      <c r="D92" s="21" t="s">
        <v>20</v>
      </c>
      <c r="E92" s="21" t="s">
        <v>72</v>
      </c>
      <c r="F92" s="19">
        <v>2.85</v>
      </c>
      <c r="G92" s="38">
        <v>1.6E-2</v>
      </c>
      <c r="H92" s="38">
        <v>1.1999999999999999E-3</v>
      </c>
      <c r="I92" s="38">
        <v>0</v>
      </c>
      <c r="J92" s="26">
        <v>0</v>
      </c>
      <c r="K92" s="26">
        <v>2.3090534608331999E-11</v>
      </c>
      <c r="L92" s="26">
        <v>9.68E-4</v>
      </c>
      <c r="M92" s="138">
        <f>'Parameters, country spec'!G22</f>
        <v>6.2924072151971947E-5</v>
      </c>
      <c r="N92" s="138">
        <f>'Parameters, country spec'!G40</f>
        <v>6.2924072151971947E-5</v>
      </c>
    </row>
    <row r="93" spans="1:16" x14ac:dyDescent="0.3">
      <c r="A93" s="20" t="s">
        <v>368</v>
      </c>
      <c r="B93" s="15" t="s">
        <v>167</v>
      </c>
      <c r="C93" s="15" t="s">
        <v>364</v>
      </c>
      <c r="D93" s="21" t="s">
        <v>20</v>
      </c>
      <c r="E93" s="21" t="s">
        <v>72</v>
      </c>
      <c r="F93" s="19">
        <v>1.1499999999999999</v>
      </c>
      <c r="G93" s="38">
        <v>2.4E-2</v>
      </c>
      <c r="H93" s="38">
        <v>2.2000000000000001E-3</v>
      </c>
      <c r="I93" s="38">
        <v>1.4999999999999999E-2</v>
      </c>
      <c r="J93" s="26">
        <v>0.26</v>
      </c>
      <c r="K93" s="26">
        <v>9.2731182508831407E-12</v>
      </c>
      <c r="L93" s="26">
        <v>1.4300000000000001E-3</v>
      </c>
      <c r="M93" s="138">
        <f>'Parameters, country spec'!G23</f>
        <v>0.20500000000000002</v>
      </c>
      <c r="N93" s="138">
        <f>'Parameters, country spec'!G41</f>
        <v>0.2</v>
      </c>
    </row>
    <row r="94" spans="1:16" x14ac:dyDescent="0.3">
      <c r="A94" s="20" t="s">
        <v>369</v>
      </c>
      <c r="B94" s="15" t="s">
        <v>168</v>
      </c>
      <c r="C94" s="15" t="s">
        <v>370</v>
      </c>
      <c r="D94" s="21" t="s">
        <v>20</v>
      </c>
      <c r="E94" s="21" t="s">
        <v>72</v>
      </c>
      <c r="F94" s="19">
        <v>2</v>
      </c>
      <c r="G94" s="38">
        <v>1.2999999999999999E-2</v>
      </c>
      <c r="H94" s="38">
        <v>1.6999999999999999E-3</v>
      </c>
      <c r="I94" s="38">
        <v>1.9E-2</v>
      </c>
      <c r="J94" s="26">
        <v>1.01</v>
      </c>
      <c r="K94" s="26">
        <v>1.6180769528966399E-11</v>
      </c>
      <c r="L94" s="26">
        <v>0</v>
      </c>
      <c r="M94" s="138">
        <f>'Parameters, country spec'!G24</f>
        <v>2.439015630520557E-4</v>
      </c>
      <c r="N94" s="138">
        <f>'Parameters, country spec'!G42</f>
        <v>2.439015630520557E-4</v>
      </c>
    </row>
    <row r="95" spans="1:16" x14ac:dyDescent="0.3">
      <c r="A95" s="20" t="s">
        <v>371</v>
      </c>
      <c r="B95" s="15" t="s">
        <v>170</v>
      </c>
      <c r="C95" s="15" t="s">
        <v>370</v>
      </c>
      <c r="D95" s="21" t="s">
        <v>20</v>
      </c>
      <c r="E95" s="21" t="s">
        <v>72</v>
      </c>
      <c r="F95" s="19">
        <v>2</v>
      </c>
      <c r="G95" s="38">
        <v>6.0000000000000001E-3</v>
      </c>
      <c r="H95" s="38">
        <v>2E-3</v>
      </c>
      <c r="I95" s="38">
        <v>8.9999999999999993E-3</v>
      </c>
      <c r="J95" s="26">
        <v>1.05</v>
      </c>
      <c r="K95" s="26">
        <v>1.62346221612781E-11</v>
      </c>
      <c r="L95" s="26">
        <v>6.1400000000000002E-5</v>
      </c>
      <c r="M95" s="138">
        <f>'Parameters, country spec'!G25</f>
        <v>2.3959170998341588E-4</v>
      </c>
      <c r="N95" s="138">
        <f>'Parameters, country spec'!G43</f>
        <v>2.3959170998341588E-4</v>
      </c>
    </row>
    <row r="96" spans="1:16" x14ac:dyDescent="0.3">
      <c r="B96" s="16" t="s">
        <v>171</v>
      </c>
      <c r="C96" s="15" t="s">
        <v>372</v>
      </c>
      <c r="D96" s="21" t="s">
        <v>20</v>
      </c>
      <c r="E96" s="21" t="s">
        <v>72</v>
      </c>
      <c r="F96" s="17">
        <f>'Off-farm feed'!$F$88</f>
        <v>1.5397450382845068</v>
      </c>
      <c r="G96" s="18">
        <f>'Off-farm feed'!$G$88</f>
        <v>2.276724967641296E-2</v>
      </c>
      <c r="H96" s="18">
        <f>'Off-farm feed'!$H$88</f>
        <v>2.4780679919905292E-3</v>
      </c>
      <c r="I96" s="18">
        <f>'Off-farm feed'!$I$88</f>
        <v>8.1100925319702543E-4</v>
      </c>
      <c r="J96" s="27">
        <f>'Off-farm feed'!$J$88</f>
        <v>0.29368572248181479</v>
      </c>
      <c r="K96" s="27">
        <f>'Off-farm feed'!$K$88</f>
        <v>1.2571008272056975E-11</v>
      </c>
      <c r="L96" s="27">
        <f>'Off-farm feed'!$L$88</f>
        <v>1.3841258986185109E-3</v>
      </c>
      <c r="M96" s="138">
        <f>'Parameters, country spec'!G26</f>
        <v>0.09</v>
      </c>
      <c r="N96" s="138">
        <f>'Parameters, country spec'!G44</f>
        <v>0.06</v>
      </c>
    </row>
    <row r="97" spans="1:16" x14ac:dyDescent="0.3">
      <c r="B97" s="16" t="s">
        <v>373</v>
      </c>
      <c r="C97" s="15" t="s">
        <v>372</v>
      </c>
      <c r="D97" s="21" t="s">
        <v>20</v>
      </c>
      <c r="E97" s="21" t="s">
        <v>72</v>
      </c>
      <c r="F97" s="17">
        <f>'Off-farm feed'!$F$36</f>
        <v>2.5509164954964105</v>
      </c>
      <c r="G97" s="18">
        <f>'Off-farm feed'!$G$36</f>
        <v>4.2620923125915401E-2</v>
      </c>
      <c r="H97" s="18">
        <f>'Off-farm feed'!$H$36</f>
        <v>3.2959349471355006E-3</v>
      </c>
      <c r="I97" s="18">
        <f>'Off-farm feed'!$I$36</f>
        <v>2.435286335413451E-3</v>
      </c>
      <c r="J97" s="27">
        <f>'Off-farm feed'!$J$36</f>
        <v>0.25920846302270906</v>
      </c>
      <c r="K97" s="27">
        <f>'Off-farm feed'!$K$36</f>
        <v>1.4553836091881654E-10</v>
      </c>
      <c r="L97" s="27">
        <f>'Off-farm feed'!$L$36</f>
        <v>1.0450321677831977E-4</v>
      </c>
      <c r="M97" s="138">
        <f>'Parameters, country spec'!G27</f>
        <v>9.5000000000000001E-2</v>
      </c>
      <c r="N97" s="138">
        <f>'Parameters, country spec'!G45</f>
        <v>7.0000000000000007E-2</v>
      </c>
    </row>
    <row r="98" spans="1:16" x14ac:dyDescent="0.3">
      <c r="B98" s="15" t="s">
        <v>173</v>
      </c>
      <c r="C98" s="15" t="s">
        <v>374</v>
      </c>
      <c r="D98" s="21" t="s">
        <v>20</v>
      </c>
      <c r="E98" s="21" t="s">
        <v>72</v>
      </c>
      <c r="F98" s="19">
        <v>0.71560643205922203</v>
      </c>
      <c r="G98" s="19">
        <v>1.1762359809494499E-2</v>
      </c>
      <c r="H98" s="19">
        <v>1.0762943616530901E-3</v>
      </c>
      <c r="I98" s="26">
        <v>5.84130938950317E-4</v>
      </c>
      <c r="J98" s="26">
        <v>0.12730102628270801</v>
      </c>
      <c r="K98" s="26">
        <v>8.9554252360338206E-14</v>
      </c>
      <c r="L98" s="26">
        <v>7.1508799141679696E-4</v>
      </c>
      <c r="M98" s="138">
        <f>'Parameters, country spec'!G28</f>
        <v>9.5000000000000001E-2</v>
      </c>
      <c r="N98" s="138">
        <f>'Parameters, country spec'!G46</f>
        <v>0.14000000000000001</v>
      </c>
      <c r="O98" t="s">
        <v>379</v>
      </c>
    </row>
    <row r="99" spans="1:16" x14ac:dyDescent="0.3">
      <c r="A99" s="74"/>
      <c r="B99" s="15" t="s">
        <v>375</v>
      </c>
      <c r="C99" s="75" t="s">
        <v>376</v>
      </c>
      <c r="D99" s="21" t="s">
        <v>20</v>
      </c>
      <c r="E99" s="21" t="s">
        <v>72</v>
      </c>
      <c r="F99" s="72">
        <f>AVERAGE(F89:F97)</f>
        <v>1.8445179481978795</v>
      </c>
      <c r="G99" s="97">
        <f t="shared" ref="G99:L99" si="5">AVERAGE(G89:G97)</f>
        <v>2.0376463644703149E-2</v>
      </c>
      <c r="H99" s="97">
        <f t="shared" si="5"/>
        <v>2.8193336599028917E-3</v>
      </c>
      <c r="I99" s="97">
        <f t="shared" si="5"/>
        <v>1.7027366176512279E-2</v>
      </c>
      <c r="J99" s="151">
        <f t="shared" si="5"/>
        <v>0.46809935394494712</v>
      </c>
      <c r="K99" s="73">
        <f t="shared" si="5"/>
        <v>2.8826337305030716E-11</v>
      </c>
      <c r="L99" s="151">
        <f t="shared" si="5"/>
        <v>8.3422545726631451E-4</v>
      </c>
      <c r="M99" s="138">
        <f>'Parameters, country spec'!G29</f>
        <v>7.0000000000000007E-2</v>
      </c>
      <c r="N99" s="138">
        <f>'Parameters, country spec'!G47</f>
        <v>0.03</v>
      </c>
    </row>
    <row r="100" spans="1:16" x14ac:dyDescent="0.3">
      <c r="A100" s="287"/>
      <c r="B100" s="288" t="s">
        <v>377</v>
      </c>
      <c r="C100" s="289"/>
      <c r="D100" s="290"/>
      <c r="E100" s="290"/>
      <c r="F100" s="291">
        <f>SUMPRODUCT(F86:F88,M86:M88)+SUMPRODUCT(F89:F99,M89:M99)/0.87</f>
        <v>1.7404593069682006</v>
      </c>
      <c r="G100" s="292">
        <f>SUMPRODUCT(G86:G88,M86:M88)+SUMPRODUCT(G89:G99,M89:M99)/0.87</f>
        <v>2.949887278430843E-2</v>
      </c>
      <c r="H100" s="292">
        <f>SUMPRODUCT(H86:H88,M86:M88)+SUMPRODUCT(H89:H99,M89:M99)/0.87</f>
        <v>2.1802826984452647E-3</v>
      </c>
      <c r="I100" s="292">
        <f>SUMPRODUCT(I86:I88,M86:M88)+SUMPRODUCT(I89:I99,M89:M99)/0.87</f>
        <v>6.6397156129084783E-3</v>
      </c>
      <c r="J100" s="293">
        <f>SUMPRODUCT(J86:J88,M86:M88)+SUMPRODUCT(J89:J99,M89:M99)/0.87</f>
        <v>0.22945202280452487</v>
      </c>
      <c r="K100" s="293">
        <f>SUMPRODUCT(K86:K88,M86:M88)+SUMPRODUCT(K89:K99,M89:M99)/0.87</f>
        <v>2.6473729583690946E-11</v>
      </c>
      <c r="L100" s="293">
        <f>SUMPRODUCT(L86:L88,M86:M88)+SUMPRODUCT(L89:L99,M89:M99)/0.87</f>
        <v>1.2471406874367326E-3</v>
      </c>
      <c r="M100" s="294"/>
      <c r="N100" s="295"/>
    </row>
    <row r="101" spans="1:16" x14ac:dyDescent="0.3">
      <c r="A101" s="137"/>
      <c r="B101" s="23" t="s">
        <v>378</v>
      </c>
      <c r="C101" s="24"/>
      <c r="D101" s="93"/>
      <c r="E101" s="93"/>
      <c r="F101" s="286">
        <f>SUMPRODUCT(F86:F89,N86:N89)+SUMPRODUCT(F90:F100,N90:N100)/0.87</f>
        <v>1.6213782710743789</v>
      </c>
      <c r="G101" s="25">
        <f>SUMPRODUCT(G86:G89,N86:N89)+SUMPRODUCT(G90:G100,N90:N100)/0.87</f>
        <v>2.8077256211894563E-2</v>
      </c>
      <c r="H101" s="25">
        <f>SUMPRODUCT(H86:H89,N86:N89)+SUMPRODUCT(H90:H100,N90:N100)/0.87</f>
        <v>1.9725272248767955E-3</v>
      </c>
      <c r="I101" s="25">
        <f>SUMPRODUCT(I86:I89,N86:N89)+SUMPRODUCT(I90:I100,N90:N100)/0.87</f>
        <v>5.81555332464529E-3</v>
      </c>
      <c r="J101" s="28">
        <f>SUMPRODUCT(J86:J89,N86:N89)+SUMPRODUCT(J90:J100,N90:N100)/0.87</f>
        <v>0.20043407530103874</v>
      </c>
      <c r="K101" s="28">
        <f>SUMPRODUCT(K86:K89,N86:N89)+SUMPRODUCT(K90:K100,N90:N100)/0.87</f>
        <v>2.0858637464261598E-11</v>
      </c>
      <c r="L101" s="28">
        <f>SUMPRODUCT(L86:L89,N86:N89)+SUMPRODUCT(L90:L100,N90:N100)/0.87</f>
        <v>1.2340714959974547E-3</v>
      </c>
      <c r="M101" s="139"/>
      <c r="N101" s="139"/>
    </row>
    <row r="102" spans="1:16" x14ac:dyDescent="0.3">
      <c r="B102" s="16" t="s">
        <v>152</v>
      </c>
      <c r="C102" s="15" t="s">
        <v>361</v>
      </c>
      <c r="D102" s="21" t="s">
        <v>22</v>
      </c>
      <c r="E102" s="21" t="s">
        <v>73</v>
      </c>
      <c r="F102" s="107">
        <v>0</v>
      </c>
      <c r="G102" s="278">
        <f>'Forage crops, footprints'!G14</f>
        <v>1.4248888174213353E-2</v>
      </c>
      <c r="H102" s="279">
        <f>'Forage crops, footprints'!H14</f>
        <v>2.3847872238080535E-4</v>
      </c>
      <c r="I102" s="278">
        <f>'Forage crops, footprints'!I14</f>
        <v>0</v>
      </c>
      <c r="J102" s="117">
        <f>'Forage crops, footprints'!J14</f>
        <v>0</v>
      </c>
      <c r="K102" s="117">
        <f>'Forage crops, footprints'!K14</f>
        <v>5.6886322522779026E-12</v>
      </c>
      <c r="L102" s="117">
        <f>'Forage crops, footprints'!L14</f>
        <v>3.5122388625340054E-4</v>
      </c>
      <c r="M102" s="138">
        <f>'Parameters, country spec'!H16</f>
        <v>0</v>
      </c>
      <c r="N102" s="138">
        <f>'Parameters, country spec'!H34</f>
        <v>0</v>
      </c>
      <c r="O102" s="18"/>
      <c r="P102" s="138"/>
    </row>
    <row r="103" spans="1:16" x14ac:dyDescent="0.3">
      <c r="B103" s="16" t="s">
        <v>154</v>
      </c>
      <c r="C103" s="15" t="s">
        <v>361</v>
      </c>
      <c r="D103" s="21" t="s">
        <v>22</v>
      </c>
      <c r="E103" s="21" t="s">
        <v>73</v>
      </c>
      <c r="F103" s="107">
        <f>'Forage crops, footprints'!F28</f>
        <v>0.6336182502296176</v>
      </c>
      <c r="G103" s="278">
        <f>'Forage crops, footprints'!G28</f>
        <v>7.983589952893182E-3</v>
      </c>
      <c r="H103" s="278">
        <f>'Forage crops, footprints'!H28</f>
        <v>1.3832511096562076E-3</v>
      </c>
      <c r="I103" s="278">
        <f>'Forage crops, footprints'!I28</f>
        <v>1.2E-2</v>
      </c>
      <c r="J103" s="117">
        <f>'Forage crops, footprints'!J28</f>
        <v>1.0479214179139297E-4</v>
      </c>
      <c r="K103" s="117">
        <f>'Forage crops, footprints'!K28</f>
        <v>2.5239361658889796E-12</v>
      </c>
      <c r="L103" s="117">
        <f>'Forage crops, footprints'!L28</f>
        <v>4.8535917929508023E-4</v>
      </c>
      <c r="M103" s="138">
        <f>'Parameters, country spec'!H17</f>
        <v>0</v>
      </c>
      <c r="N103" s="138">
        <f>'Parameters, country spec'!H35</f>
        <v>0</v>
      </c>
      <c r="O103" s="18"/>
      <c r="P103" s="138"/>
    </row>
    <row r="104" spans="1:16" x14ac:dyDescent="0.3">
      <c r="B104" s="16" t="s">
        <v>362</v>
      </c>
      <c r="C104" s="15" t="s">
        <v>361</v>
      </c>
      <c r="D104" s="21" t="s">
        <v>22</v>
      </c>
      <c r="E104" s="21" t="s">
        <v>73</v>
      </c>
      <c r="F104" s="107">
        <f>'Forage, input data per ha'!$E$74*'Forage crops, footprints'!F42+'Forage, input data per ha'!$G$74*'Forage crops, footprints'!F56</f>
        <v>1.31552570056847</v>
      </c>
      <c r="G104" s="278">
        <f>'Forage, input data per ha'!$E$74*'Forage crops, footprints'!G42+'Forage, input data per ha'!$G$74*'Forage crops, footprints'!G56</f>
        <v>2.091716494408814E-2</v>
      </c>
      <c r="H104" s="278">
        <f>'Forage, input data per ha'!$E$74*'Forage crops, footprints'!H42+'Forage, input data per ha'!$G$74*'Forage crops, footprints'!H56</f>
        <v>9.0128490500422892E-4</v>
      </c>
      <c r="I104" s="278">
        <f>'Forage, input data per ha'!$E$74*'Forage crops, footprints'!I42+'Forage, input data per ha'!$G$74*'Forage crops, footprints'!I56</f>
        <v>0</v>
      </c>
      <c r="J104" s="117">
        <f>'Forage, input data per ha'!$E$74*'Forage crops, footprints'!J42+'Forage, input data per ha'!$G$74*'Forage crops, footprints'!J56</f>
        <v>3.6805488517000165E-5</v>
      </c>
      <c r="K104" s="117">
        <f>'Forage, input data per ha'!$E$74*'Forage crops, footprints'!K42+'Forage, input data per ha'!$G$74*'Forage crops, footprints'!K56</f>
        <v>3.6981408145114899E-12</v>
      </c>
      <c r="L104" s="117">
        <f>'Forage, input data per ha'!$E$74*'Forage crops, footprints'!L42+'Forage, input data per ha'!$G$74*'Forage crops, footprints'!L56</f>
        <v>2.7669407133162509E-4</v>
      </c>
      <c r="M104" s="138">
        <f>'Parameters, country spec'!H18</f>
        <v>0.28000000000000003</v>
      </c>
      <c r="N104" s="138">
        <f>'Parameters, country spec'!H36</f>
        <v>0.3</v>
      </c>
      <c r="O104" s="18"/>
      <c r="P104" s="138"/>
    </row>
    <row r="105" spans="1:16" x14ac:dyDescent="0.3">
      <c r="A105" s="20" t="s">
        <v>363</v>
      </c>
      <c r="B105" s="15" t="s">
        <v>159</v>
      </c>
      <c r="C105" s="15" t="s">
        <v>364</v>
      </c>
      <c r="D105" s="21" t="s">
        <v>22</v>
      </c>
      <c r="E105" s="21" t="s">
        <v>73</v>
      </c>
      <c r="F105" s="22">
        <v>2.64</v>
      </c>
      <c r="G105" s="38">
        <v>2.1000000000000001E-2</v>
      </c>
      <c r="H105" s="38">
        <v>3.0999999999999999E-3</v>
      </c>
      <c r="I105" s="38">
        <v>1E-3</v>
      </c>
      <c r="J105" s="26">
        <v>0.23</v>
      </c>
      <c r="K105" s="26">
        <v>1.0535508405957999E-11</v>
      </c>
      <c r="L105" s="26">
        <v>1.25E-3</v>
      </c>
      <c r="M105" s="138">
        <f>'Parameters, country spec'!H19</f>
        <v>0.16</v>
      </c>
      <c r="N105" s="138">
        <f>'Parameters, country spec'!H37</f>
        <v>0.2</v>
      </c>
    </row>
    <row r="106" spans="1:16" x14ac:dyDescent="0.3">
      <c r="A106" s="20" t="s">
        <v>365</v>
      </c>
      <c r="B106" s="15" t="s">
        <v>161</v>
      </c>
      <c r="C106" s="15" t="s">
        <v>364</v>
      </c>
      <c r="D106" s="21" t="s">
        <v>22</v>
      </c>
      <c r="E106" s="21" t="s">
        <v>73</v>
      </c>
      <c r="F106" s="19">
        <v>1.52</v>
      </c>
      <c r="G106" s="38">
        <v>0.02</v>
      </c>
      <c r="H106" s="38">
        <v>5.5999999999999999E-3</v>
      </c>
      <c r="I106" s="38">
        <v>1.2E-2</v>
      </c>
      <c r="J106" s="26">
        <v>0.13</v>
      </c>
      <c r="K106" s="26">
        <v>6.0444763709331803E-12</v>
      </c>
      <c r="L106" s="26">
        <v>1.2099999999999999E-3</v>
      </c>
      <c r="M106" s="138">
        <f>'Parameters, country spec'!H20</f>
        <v>3.1075970320211814E-4</v>
      </c>
      <c r="N106" s="138">
        <f>'Parameters, country spec'!H38</f>
        <v>3.1075970320211814E-4</v>
      </c>
    </row>
    <row r="107" spans="1:16" x14ac:dyDescent="0.3">
      <c r="A107" s="20" t="s">
        <v>366</v>
      </c>
      <c r="B107" s="15" t="s">
        <v>163</v>
      </c>
      <c r="C107" s="15" t="s">
        <v>364</v>
      </c>
      <c r="D107" s="21" t="s">
        <v>22</v>
      </c>
      <c r="E107" s="21" t="s">
        <v>73</v>
      </c>
      <c r="F107" s="19">
        <v>3.56</v>
      </c>
      <c r="G107" s="38">
        <v>1.7999999999999999E-2</v>
      </c>
      <c r="H107" s="38">
        <v>3.8E-3</v>
      </c>
      <c r="I107" s="38">
        <v>1E-3</v>
      </c>
      <c r="J107" s="26">
        <v>0.14000000000000001</v>
      </c>
      <c r="K107" s="26">
        <v>1.41678298638787E-11</v>
      </c>
      <c r="L107" s="26">
        <v>1.1000000000000001E-3</v>
      </c>
      <c r="M107" s="138">
        <f>'Parameters, country spec'!H21</f>
        <v>8.6733359151412953E-5</v>
      </c>
      <c r="N107" s="138">
        <f>'Parameters, country spec'!H39</f>
        <v>8.6733359151412953E-5</v>
      </c>
    </row>
    <row r="108" spans="1:16" x14ac:dyDescent="0.3">
      <c r="A108" s="20" t="s">
        <v>367</v>
      </c>
      <c r="B108" s="15" t="s">
        <v>165</v>
      </c>
      <c r="C108" s="15" t="s">
        <v>364</v>
      </c>
      <c r="D108" s="21" t="s">
        <v>22</v>
      </c>
      <c r="E108" s="21" t="s">
        <v>73</v>
      </c>
      <c r="F108" s="19">
        <v>3.38</v>
      </c>
      <c r="G108" s="38">
        <v>1.6E-2</v>
      </c>
      <c r="H108" s="38">
        <v>1.1999999999999999E-3</v>
      </c>
      <c r="I108" s="38">
        <v>0</v>
      </c>
      <c r="J108" s="26">
        <v>7.0000000000000007E-2</v>
      </c>
      <c r="K108" s="26">
        <v>1.3453241829202901E-11</v>
      </c>
      <c r="L108" s="26">
        <v>9.68E-4</v>
      </c>
      <c r="M108" s="138">
        <f>'Parameters, country spec'!H22</f>
        <v>6.2924072151971947E-5</v>
      </c>
      <c r="N108" s="138">
        <f>'Parameters, country spec'!H40</f>
        <v>6.2924072151971947E-5</v>
      </c>
    </row>
    <row r="109" spans="1:16" x14ac:dyDescent="0.3">
      <c r="A109" s="20" t="s">
        <v>368</v>
      </c>
      <c r="B109" s="15" t="s">
        <v>167</v>
      </c>
      <c r="C109" s="15" t="s">
        <v>364</v>
      </c>
      <c r="D109" s="21" t="s">
        <v>22</v>
      </c>
      <c r="E109" s="21" t="s">
        <v>73</v>
      </c>
      <c r="F109" s="19">
        <v>2.14</v>
      </c>
      <c r="G109" s="38">
        <v>2.4E-2</v>
      </c>
      <c r="H109" s="38">
        <v>2.2000000000000001E-3</v>
      </c>
      <c r="I109" s="38">
        <v>1E-3</v>
      </c>
      <c r="J109" s="26">
        <v>0.25</v>
      </c>
      <c r="K109" s="26">
        <v>8.5197035880993495E-12</v>
      </c>
      <c r="L109" s="26">
        <v>1.4300000000000001E-3</v>
      </c>
      <c r="M109" s="138">
        <f>'Parameters, country spec'!H23</f>
        <v>0.20500000000000002</v>
      </c>
      <c r="N109" s="138">
        <f>'Parameters, country spec'!H41</f>
        <v>0.2</v>
      </c>
    </row>
    <row r="110" spans="1:16" x14ac:dyDescent="0.3">
      <c r="A110" s="20" t="s">
        <v>369</v>
      </c>
      <c r="B110" s="15" t="s">
        <v>168</v>
      </c>
      <c r="C110" s="15" t="s">
        <v>370</v>
      </c>
      <c r="D110" s="21" t="s">
        <v>22</v>
      </c>
      <c r="E110" s="21" t="s">
        <v>73</v>
      </c>
      <c r="F110" s="19">
        <v>4.8600000000000003</v>
      </c>
      <c r="G110" s="38">
        <v>3.1E-2</v>
      </c>
      <c r="H110" s="38">
        <v>1.6999999999999999E-3</v>
      </c>
      <c r="I110" s="38">
        <v>0</v>
      </c>
      <c r="J110" s="26">
        <v>1.01</v>
      </c>
      <c r="K110" s="26">
        <v>1.9375877369876399E-11</v>
      </c>
      <c r="L110" s="26">
        <v>0</v>
      </c>
      <c r="M110" s="138">
        <f>'Parameters, country spec'!H24</f>
        <v>2.439015630520557E-4</v>
      </c>
      <c r="N110" s="138">
        <f>'Parameters, country spec'!H42</f>
        <v>2.439015630520557E-4</v>
      </c>
    </row>
    <row r="111" spans="1:16" x14ac:dyDescent="0.3">
      <c r="A111" s="20" t="s">
        <v>371</v>
      </c>
      <c r="B111" s="15" t="s">
        <v>170</v>
      </c>
      <c r="C111" s="15" t="s">
        <v>370</v>
      </c>
      <c r="D111" s="21" t="s">
        <v>22</v>
      </c>
      <c r="E111" s="21" t="s">
        <v>73</v>
      </c>
      <c r="F111" s="19">
        <v>3.93</v>
      </c>
      <c r="G111" s="38">
        <v>0.01</v>
      </c>
      <c r="H111" s="38">
        <v>2E-3</v>
      </c>
      <c r="I111" s="38">
        <v>0</v>
      </c>
      <c r="J111" s="26">
        <v>1.05</v>
      </c>
      <c r="K111" s="26">
        <v>1.5643267592459399E-11</v>
      </c>
      <c r="L111" s="26">
        <v>6.1400000000000002E-5</v>
      </c>
      <c r="M111" s="138">
        <f>'Parameters, country spec'!H25</f>
        <v>2.3959170998341588E-4</v>
      </c>
      <c r="N111" s="138">
        <f>'Parameters, country spec'!H43</f>
        <v>2.3959170998341588E-4</v>
      </c>
    </row>
    <row r="112" spans="1:16" x14ac:dyDescent="0.3">
      <c r="B112" s="16" t="s">
        <v>171</v>
      </c>
      <c r="C112" s="15" t="s">
        <v>372</v>
      </c>
      <c r="D112" s="21" t="s">
        <v>22</v>
      </c>
      <c r="E112" s="21" t="s">
        <v>73</v>
      </c>
      <c r="F112" s="17">
        <f>'Off-farm feed'!$F$88</f>
        <v>1.5397450382845068</v>
      </c>
      <c r="G112" s="18">
        <f>'Off-farm feed'!$G$88</f>
        <v>2.276724967641296E-2</v>
      </c>
      <c r="H112" s="18">
        <f>'Off-farm feed'!$H$88</f>
        <v>2.4780679919905292E-3</v>
      </c>
      <c r="I112" s="18">
        <f>'Off-farm feed'!$I$88</f>
        <v>8.1100925319702543E-4</v>
      </c>
      <c r="J112" s="27">
        <f>'Off-farm feed'!$J$88</f>
        <v>0.29368572248181479</v>
      </c>
      <c r="K112" s="27">
        <f>'Off-farm feed'!$K$88</f>
        <v>1.2571008272056975E-11</v>
      </c>
      <c r="L112" s="27">
        <f>'Off-farm feed'!$L$88</f>
        <v>1.3841258986185109E-3</v>
      </c>
      <c r="M112" s="138">
        <f>'Parameters, country spec'!H26</f>
        <v>0.09</v>
      </c>
      <c r="N112" s="138">
        <f>'Parameters, country spec'!H44</f>
        <v>0.06</v>
      </c>
    </row>
    <row r="113" spans="1:16" x14ac:dyDescent="0.3">
      <c r="B113" s="16" t="s">
        <v>373</v>
      </c>
      <c r="C113" s="15" t="s">
        <v>372</v>
      </c>
      <c r="D113" s="21" t="s">
        <v>22</v>
      </c>
      <c r="E113" s="21" t="s">
        <v>73</v>
      </c>
      <c r="F113" s="17">
        <f>'Off-farm feed'!$F$36</f>
        <v>2.5509164954964105</v>
      </c>
      <c r="G113" s="18">
        <f>'Off-farm feed'!$G$36</f>
        <v>4.2620923125915401E-2</v>
      </c>
      <c r="H113" s="18">
        <f>'Off-farm feed'!$H$36</f>
        <v>3.2959349471355006E-3</v>
      </c>
      <c r="I113" s="18">
        <f>'Off-farm feed'!$I$36</f>
        <v>2.435286335413451E-3</v>
      </c>
      <c r="J113" s="27">
        <f>'Off-farm feed'!$J$36</f>
        <v>0.25920846302270906</v>
      </c>
      <c r="K113" s="27">
        <f>'Off-farm feed'!$K$36</f>
        <v>1.4553836091881654E-10</v>
      </c>
      <c r="L113" s="27">
        <f>'Off-farm feed'!$L$36</f>
        <v>1.0450321677831977E-4</v>
      </c>
      <c r="M113" s="138">
        <f>'Parameters, country spec'!H27</f>
        <v>9.5000000000000001E-2</v>
      </c>
      <c r="N113" s="138">
        <f>'Parameters, country spec'!H45</f>
        <v>7.0000000000000007E-2</v>
      </c>
    </row>
    <row r="114" spans="1:16" x14ac:dyDescent="0.3">
      <c r="B114" s="15" t="s">
        <v>173</v>
      </c>
      <c r="C114" s="15" t="s">
        <v>374</v>
      </c>
      <c r="D114" s="21" t="s">
        <v>22</v>
      </c>
      <c r="E114" s="21" t="s">
        <v>73</v>
      </c>
      <c r="F114" s="19">
        <v>0.912202360501987</v>
      </c>
      <c r="G114" s="19">
        <v>1.1762359809494499E-2</v>
      </c>
      <c r="H114" s="19">
        <v>1.0762943616530901E-3</v>
      </c>
      <c r="I114" s="26">
        <v>3.7952377423452902E-3</v>
      </c>
      <c r="J114" s="26">
        <v>0.11938754727544799</v>
      </c>
      <c r="K114" s="26">
        <v>2.3078637765366401E-13</v>
      </c>
      <c r="L114" s="26">
        <v>7.1508799141679696E-4</v>
      </c>
      <c r="M114" s="138">
        <f>'Parameters, country spec'!H28</f>
        <v>9.5000000000000001E-2</v>
      </c>
      <c r="N114" s="138">
        <f>'Parameters, country spec'!H46</f>
        <v>0.14000000000000001</v>
      </c>
    </row>
    <row r="115" spans="1:16" x14ac:dyDescent="0.3">
      <c r="A115" s="74"/>
      <c r="B115" s="15" t="s">
        <v>375</v>
      </c>
      <c r="C115" s="75" t="s">
        <v>376</v>
      </c>
      <c r="D115" s="21" t="s">
        <v>22</v>
      </c>
      <c r="E115" s="21" t="s">
        <v>73</v>
      </c>
      <c r="F115" s="72">
        <f t="shared" ref="F115:L115" si="6">AVERAGE(F105:F113)</f>
        <v>2.9022957259756574</v>
      </c>
      <c r="G115" s="97">
        <f t="shared" si="6"/>
        <v>2.2820908089147596E-2</v>
      </c>
      <c r="H115" s="97">
        <f t="shared" si="6"/>
        <v>2.8193336599028917E-3</v>
      </c>
      <c r="I115" s="97">
        <f t="shared" si="6"/>
        <v>2.0273661765122753E-3</v>
      </c>
      <c r="J115" s="151">
        <f t="shared" si="6"/>
        <v>0.38143268727828045</v>
      </c>
      <c r="K115" s="73">
        <f t="shared" si="6"/>
        <v>2.7316586023475715E-11</v>
      </c>
      <c r="L115" s="151">
        <f t="shared" si="6"/>
        <v>8.3422545726631451E-4</v>
      </c>
      <c r="M115" s="138">
        <f>'Parameters, country spec'!H29</f>
        <v>7.0000000000000007E-2</v>
      </c>
      <c r="N115" s="138">
        <f>'Parameters, country spec'!H47</f>
        <v>0.03</v>
      </c>
    </row>
    <row r="116" spans="1:16" x14ac:dyDescent="0.3">
      <c r="A116" s="287"/>
      <c r="B116" s="288" t="s">
        <v>377</v>
      </c>
      <c r="C116" s="289"/>
      <c r="D116" s="290"/>
      <c r="E116" s="290"/>
      <c r="F116" s="291">
        <f>SUMPRODUCT(F102:F104,M102:M104)+SUMPRODUCT(F105:F115,M105:M115)/0.87</f>
        <v>2.1326630714140418</v>
      </c>
      <c r="G116" s="292">
        <f>SUMPRODUCT(G102:G104,M102:M104)+SUMPRODUCT(G105:G115,M105:M115)/0.87</f>
        <v>2.5525390047814893E-2</v>
      </c>
      <c r="H116" s="292">
        <f>SUMPRODUCT(H102:H104,M102:M104)+SUMPRODUCT(H105:H115,M105:M115)/0.87</f>
        <v>2.3049809525663694E-3</v>
      </c>
      <c r="I116" s="292">
        <f>SUMPRODUCT(I102:I104,M102:M104)+SUMPRODUCT(I105:I115,M105:M115)/0.87</f>
        <v>1.3512897727910908E-3</v>
      </c>
      <c r="J116" s="293">
        <f>SUMPRODUCT(J102:J104,M102:M104)+SUMPRODUCT(J105:J115,M105:M115)/0.87</f>
        <v>0.20426718151618842</v>
      </c>
      <c r="K116" s="293">
        <f>SUMPRODUCT(K102:K104,M102:M104)+SUMPRODUCT(K105:K115,M105:M115)/0.87</f>
        <v>2.4410501128906358E-11</v>
      </c>
      <c r="L116" s="293">
        <f>SUMPRODUCT(L102:L104,M102:M104)+SUMPRODUCT(L105:L115,M105:M115)/0.87</f>
        <v>9.4474482851494856E-4</v>
      </c>
      <c r="M116" s="294"/>
      <c r="N116" s="295"/>
    </row>
    <row r="117" spans="1:16" x14ac:dyDescent="0.3">
      <c r="A117" s="137"/>
      <c r="B117" s="23" t="s">
        <v>378</v>
      </c>
      <c r="C117" s="24"/>
      <c r="D117" s="93"/>
      <c r="E117" s="93"/>
      <c r="F117" s="286">
        <f>SUMPRODUCT(F102:F105,N102:N105)+SUMPRODUCT(F106:F116,N106:N116)/0.87</f>
        <v>1.9765046355950866</v>
      </c>
      <c r="G117" s="25">
        <f>SUMPRODUCT(G102:G105,N102:N105)+SUMPRODUCT(G106:G116,N106:N116)/0.87</f>
        <v>2.3693077369019731E-2</v>
      </c>
      <c r="H117" s="25">
        <f>SUMPRODUCT(H102:H105,N102:N105)+SUMPRODUCT(H106:H116,N106:N116)/0.87</f>
        <v>2.1061324971494077E-3</v>
      </c>
      <c r="I117" s="25">
        <f>SUMPRODUCT(I102:I105,N102:N105)+SUMPRODUCT(I106:I116,N106:N116)/0.87</f>
        <v>1.3667824341287919E-3</v>
      </c>
      <c r="J117" s="28">
        <f>SUMPRODUCT(J102:J105,N102:N105)+SUMPRODUCT(J106:J116,N106:N116)/0.87</f>
        <v>0.17759475542623665</v>
      </c>
      <c r="K117" s="28">
        <f>SUMPRODUCT(K102:K105,N102:N105)+SUMPRODUCT(K106:K116,N106:N116)/0.87</f>
        <v>1.8745419433318633E-11</v>
      </c>
      <c r="L117" s="28">
        <f>SUMPRODUCT(L102:L105,N102:N105)+SUMPRODUCT(L106:L116,N106:N116)/0.87</f>
        <v>9.1007593286697181E-4</v>
      </c>
      <c r="M117" s="139"/>
      <c r="N117" s="139"/>
    </row>
    <row r="118" spans="1:16" x14ac:dyDescent="0.3">
      <c r="B118" s="16" t="s">
        <v>152</v>
      </c>
      <c r="C118" s="15" t="s">
        <v>361</v>
      </c>
      <c r="D118" s="21" t="s">
        <v>26</v>
      </c>
      <c r="E118" s="21" t="s">
        <v>74</v>
      </c>
      <c r="F118" s="107">
        <v>0</v>
      </c>
      <c r="G118" s="278">
        <f>'Forage crops, footprints'!G15</f>
        <v>1.4248888174213355E-2</v>
      </c>
      <c r="H118" s="279">
        <f>'Forage crops, footprints'!H15</f>
        <v>2.3847872238080535E-4</v>
      </c>
      <c r="I118" s="278">
        <f>'Forage crops, footprints'!I15</f>
        <v>0</v>
      </c>
      <c r="J118" s="117">
        <f>'Forage crops, footprints'!J15</f>
        <v>0</v>
      </c>
      <c r="K118" s="117">
        <f>'Forage crops, footprints'!K15</f>
        <v>1.1723811931033969E-10</v>
      </c>
      <c r="L118" s="117">
        <f>'Forage crops, footprints'!L15</f>
        <v>3.5122388625340054E-4</v>
      </c>
      <c r="M118" s="138">
        <f>'Parameters, country spec'!I16</f>
        <v>0</v>
      </c>
      <c r="N118" s="138">
        <f>'Parameters, country spec'!I34</f>
        <v>0</v>
      </c>
      <c r="O118" s="18"/>
      <c r="P118" s="138"/>
    </row>
    <row r="119" spans="1:16" x14ac:dyDescent="0.3">
      <c r="B119" s="16" t="s">
        <v>154</v>
      </c>
      <c r="C119" s="15" t="s">
        <v>361</v>
      </c>
      <c r="D119" s="21" t="s">
        <v>26</v>
      </c>
      <c r="E119" s="21" t="s">
        <v>74</v>
      </c>
      <c r="F119" s="107">
        <f>'Forage crops, footprints'!F29</f>
        <v>1.0250102501025009</v>
      </c>
      <c r="G119" s="278">
        <f>'Forage crops, footprints'!G29</f>
        <v>5.6375563755637556E-3</v>
      </c>
      <c r="H119" s="278">
        <f>'Forage crops, footprints'!H29</f>
        <v>1.3426190599934167E-3</v>
      </c>
      <c r="I119" s="278">
        <f>'Forage crops, footprints'!I29</f>
        <v>0.36057452281463748</v>
      </c>
      <c r="J119" s="117">
        <f>'Forage crops, footprints'!J29</f>
        <v>6.7567011968587768E-5</v>
      </c>
      <c r="K119" s="117">
        <f>'Forage crops, footprints'!K29</f>
        <v>7.0036243032082879E-11</v>
      </c>
      <c r="L119" s="117">
        <f>'Forage crops, footprints'!L29</f>
        <v>3.427330000436436E-4</v>
      </c>
      <c r="M119" s="138">
        <f>'Parameters, country spec'!I17</f>
        <v>0</v>
      </c>
      <c r="N119" s="138">
        <f>'Parameters, country spec'!I35</f>
        <v>0</v>
      </c>
      <c r="O119" s="18"/>
      <c r="P119" s="138"/>
    </row>
    <row r="120" spans="1:16" x14ac:dyDescent="0.3">
      <c r="B120" s="16" t="s">
        <v>362</v>
      </c>
      <c r="C120" s="15" t="s">
        <v>361</v>
      </c>
      <c r="D120" s="21" t="s">
        <v>26</v>
      </c>
      <c r="E120" s="21" t="s">
        <v>74</v>
      </c>
      <c r="F120" s="107">
        <f>'Forage, input data per ha'!$E$75*'Forage crops, footprints'!F43+'Forage, input data per ha'!$G$75*'Forage crops, footprints'!F57</f>
        <v>1.5547169575916358</v>
      </c>
      <c r="G120" s="278">
        <f>'Forage, input data per ha'!$E$75*'Forage crops, footprints'!G43+'Forage, input data per ha'!$G$75*'Forage crops, footprints'!G57</f>
        <v>2.9285237454224174E-2</v>
      </c>
      <c r="H120" s="278">
        <f>'Forage, input data per ha'!$E$75*'Forage crops, footprints'!H43+'Forage, input data per ha'!$G$75*'Forage crops, footprints'!H57</f>
        <v>1.7330455513853513E-3</v>
      </c>
      <c r="I120" s="278">
        <f>'Forage, input data per ha'!$E$75*'Forage crops, footprints'!I43+'Forage, input data per ha'!$G$75*'Forage crops, footprints'!I57</f>
        <v>0</v>
      </c>
      <c r="J120" s="117">
        <f>'Forage, input data per ha'!$E$75*'Forage crops, footprints'!J43+'Forage, input data per ha'!$G$75*'Forage crops, footprints'!J57</f>
        <v>4.5501832712648791E-5</v>
      </c>
      <c r="K120" s="117">
        <f>'Forage, input data per ha'!$E$75*'Forage crops, footprints'!K43+'Forage, input data per ha'!$G$75*'Forage crops, footprints'!K57</f>
        <v>7.1368896638075884E-11</v>
      </c>
      <c r="L120" s="117">
        <f>'Forage, input data per ha'!$E$75*'Forage crops, footprints'!L43+'Forage, input data per ha'!$G$75*'Forage crops, footprints'!L57</f>
        <v>1.8316602548775911E-4</v>
      </c>
      <c r="M120" s="138">
        <f>'Parameters, country spec'!I18</f>
        <v>0.28000000000000003</v>
      </c>
      <c r="N120" s="138">
        <f>'Parameters, country spec'!I36</f>
        <v>0.3</v>
      </c>
      <c r="O120" s="18"/>
      <c r="P120" s="138"/>
    </row>
    <row r="121" spans="1:16" x14ac:dyDescent="0.3">
      <c r="A121" s="20" t="s">
        <v>363</v>
      </c>
      <c r="B121" s="15" t="s">
        <v>159</v>
      </c>
      <c r="C121" s="15" t="s">
        <v>364</v>
      </c>
      <c r="D121" s="21" t="s">
        <v>26</v>
      </c>
      <c r="E121" s="21" t="s">
        <v>74</v>
      </c>
      <c r="F121" s="22">
        <v>3</v>
      </c>
      <c r="G121" s="38">
        <v>2.1000000000000001E-2</v>
      </c>
      <c r="H121" s="38">
        <v>3.0999999999999999E-3</v>
      </c>
      <c r="I121" s="38">
        <v>7.6999999999999999E-2</v>
      </c>
      <c r="J121" s="26">
        <v>0.16</v>
      </c>
      <c r="K121" s="26">
        <v>2.0481085423216199E-10</v>
      </c>
      <c r="L121" s="26">
        <v>1.25E-3</v>
      </c>
      <c r="M121" s="138">
        <f>'Parameters, country spec'!I19</f>
        <v>0.16</v>
      </c>
      <c r="N121" s="138">
        <f>'Parameters, country spec'!I37</f>
        <v>0.2</v>
      </c>
    </row>
    <row r="122" spans="1:16" x14ac:dyDescent="0.3">
      <c r="A122" s="20" t="s">
        <v>365</v>
      </c>
      <c r="B122" s="15" t="s">
        <v>161</v>
      </c>
      <c r="C122" s="15" t="s">
        <v>364</v>
      </c>
      <c r="D122" s="21" t="s">
        <v>26</v>
      </c>
      <c r="E122" s="21" t="s">
        <v>74</v>
      </c>
      <c r="F122" s="19">
        <v>0.83</v>
      </c>
      <c r="G122" s="38">
        <v>0.02</v>
      </c>
      <c r="H122" s="38">
        <v>5.5999999999999999E-3</v>
      </c>
      <c r="I122" s="38">
        <v>0.23499999999999999</v>
      </c>
      <c r="J122" s="26">
        <v>0.05</v>
      </c>
      <c r="K122" s="26">
        <v>5.6887981961408297E-11</v>
      </c>
      <c r="L122" s="26">
        <v>1.2099999999999999E-3</v>
      </c>
      <c r="M122" s="138">
        <f>'Parameters, country spec'!I20</f>
        <v>3.1075970320211814E-4</v>
      </c>
      <c r="N122" s="138">
        <f>'Parameters, country spec'!I38</f>
        <v>3.1075970320211814E-4</v>
      </c>
    </row>
    <row r="123" spans="1:16" x14ac:dyDescent="0.3">
      <c r="A123" s="20" t="s">
        <v>366</v>
      </c>
      <c r="B123" s="15" t="s">
        <v>163</v>
      </c>
      <c r="C123" s="15" t="s">
        <v>364</v>
      </c>
      <c r="D123" s="21" t="s">
        <v>26</v>
      </c>
      <c r="E123" s="21" t="s">
        <v>74</v>
      </c>
      <c r="F123" s="19">
        <v>4.45</v>
      </c>
      <c r="G123" s="38">
        <v>1.7999999999999999E-2</v>
      </c>
      <c r="H123" s="38">
        <v>3.8E-3</v>
      </c>
      <c r="I123" s="38">
        <v>1.1419999999999999</v>
      </c>
      <c r="J123" s="26">
        <v>0</v>
      </c>
      <c r="K123" s="26">
        <v>3.0403388287635302E-10</v>
      </c>
      <c r="L123" s="26">
        <v>1.1000000000000001E-3</v>
      </c>
      <c r="M123" s="138">
        <f>'Parameters, country spec'!I21</f>
        <v>8.6733359151412953E-5</v>
      </c>
      <c r="N123" s="138">
        <f>'Parameters, country spec'!I39</f>
        <v>8.6733359151412953E-5</v>
      </c>
    </row>
    <row r="124" spans="1:16" x14ac:dyDescent="0.3">
      <c r="A124" s="20" t="s">
        <v>367</v>
      </c>
      <c r="B124" s="15" t="s">
        <v>165</v>
      </c>
      <c r="C124" s="15" t="s">
        <v>364</v>
      </c>
      <c r="D124" s="21" t="s">
        <v>26</v>
      </c>
      <c r="E124" s="21" t="s">
        <v>74</v>
      </c>
      <c r="F124" s="19">
        <v>4.24</v>
      </c>
      <c r="G124" s="38">
        <v>1.6E-2</v>
      </c>
      <c r="H124" s="38">
        <v>1.1999999999999999E-3</v>
      </c>
      <c r="I124" s="38">
        <v>3.0000000000000001E-3</v>
      </c>
      <c r="J124" s="26">
        <v>0</v>
      </c>
      <c r="K124" s="26">
        <v>2.8994287782337099E-10</v>
      </c>
      <c r="L124" s="26">
        <v>9.68E-4</v>
      </c>
      <c r="M124" s="138">
        <f>'Parameters, country spec'!I22</f>
        <v>6.2924072151971947E-5</v>
      </c>
      <c r="N124" s="138">
        <f>'Parameters, country spec'!I40</f>
        <v>6.2924072151971947E-5</v>
      </c>
    </row>
    <row r="125" spans="1:16" x14ac:dyDescent="0.3">
      <c r="A125" s="20" t="s">
        <v>368</v>
      </c>
      <c r="B125" s="15" t="s">
        <v>167</v>
      </c>
      <c r="C125" s="15" t="s">
        <v>364</v>
      </c>
      <c r="D125" s="21" t="s">
        <v>26</v>
      </c>
      <c r="E125" s="21" t="s">
        <v>74</v>
      </c>
      <c r="F125" s="19">
        <v>2.81</v>
      </c>
      <c r="G125" s="38">
        <v>2.4E-2</v>
      </c>
      <c r="H125" s="38">
        <v>2.2000000000000001E-3</v>
      </c>
      <c r="I125" s="38">
        <v>3.5999999999999997E-2</v>
      </c>
      <c r="J125" s="26">
        <v>0.22</v>
      </c>
      <c r="K125" s="26">
        <v>1.92120744955968E-10</v>
      </c>
      <c r="L125" s="26">
        <v>1.4300000000000001E-3</v>
      </c>
      <c r="M125" s="138">
        <f>'Parameters, country spec'!I23</f>
        <v>0.20500000000000002</v>
      </c>
      <c r="N125" s="138">
        <f>'Parameters, country spec'!I41</f>
        <v>0.2</v>
      </c>
    </row>
    <row r="126" spans="1:16" x14ac:dyDescent="0.3">
      <c r="A126" s="20" t="s">
        <v>369</v>
      </c>
      <c r="B126" s="15" t="s">
        <v>168</v>
      </c>
      <c r="C126" s="15" t="s">
        <v>370</v>
      </c>
      <c r="D126" s="21" t="s">
        <v>26</v>
      </c>
      <c r="E126" s="21" t="s">
        <v>74</v>
      </c>
      <c r="F126" s="19">
        <v>6.68</v>
      </c>
      <c r="G126" s="38">
        <v>4.2000000000000003E-2</v>
      </c>
      <c r="H126" s="38">
        <v>1.6999999999999999E-3</v>
      </c>
      <c r="I126" s="38">
        <v>1.7999999999999999E-2</v>
      </c>
      <c r="J126" s="26">
        <v>0.49</v>
      </c>
      <c r="K126" s="26">
        <v>4.5617261324373799E-10</v>
      </c>
      <c r="L126" s="26">
        <v>0</v>
      </c>
      <c r="M126" s="138">
        <f>'Parameters, country spec'!I24</f>
        <v>2.439015630520557E-4</v>
      </c>
      <c r="N126" s="138">
        <f>'Parameters, country spec'!I42</f>
        <v>2.439015630520557E-4</v>
      </c>
    </row>
    <row r="127" spans="1:16" x14ac:dyDescent="0.3">
      <c r="A127" s="20" t="s">
        <v>371</v>
      </c>
      <c r="B127" s="15" t="s">
        <v>170</v>
      </c>
      <c r="C127" s="15" t="s">
        <v>370</v>
      </c>
      <c r="D127" s="21" t="s">
        <v>26</v>
      </c>
      <c r="E127" s="21" t="s">
        <v>74</v>
      </c>
      <c r="F127" s="19">
        <v>7.73</v>
      </c>
      <c r="G127" s="38">
        <v>0.02</v>
      </c>
      <c r="H127" s="38">
        <v>2E-3</v>
      </c>
      <c r="I127" s="38">
        <v>0.21099999999999999</v>
      </c>
      <c r="J127" s="26">
        <v>1.05</v>
      </c>
      <c r="K127" s="26">
        <v>5.2812192723724296E-10</v>
      </c>
      <c r="L127" s="26">
        <v>6.1400000000000002E-5</v>
      </c>
      <c r="M127" s="138">
        <f>'Parameters, country spec'!I25</f>
        <v>2.3959170998341588E-4</v>
      </c>
      <c r="N127" s="138">
        <f>'Parameters, country spec'!I43</f>
        <v>2.3959170998341588E-4</v>
      </c>
    </row>
    <row r="128" spans="1:16" x14ac:dyDescent="0.3">
      <c r="B128" s="16" t="s">
        <v>171</v>
      </c>
      <c r="C128" s="15" t="s">
        <v>372</v>
      </c>
      <c r="D128" s="21" t="s">
        <v>26</v>
      </c>
      <c r="E128" s="21" t="s">
        <v>74</v>
      </c>
      <c r="F128" s="17">
        <f>'Off-farm feed'!$F$88</f>
        <v>1.5397450382845068</v>
      </c>
      <c r="G128" s="18">
        <f>'Off-farm feed'!$G$88</f>
        <v>2.276724967641296E-2</v>
      </c>
      <c r="H128" s="18">
        <f>'Off-farm feed'!$H$88</f>
        <v>2.4780679919905292E-3</v>
      </c>
      <c r="I128" s="18">
        <f>'Off-farm feed'!$I$88</f>
        <v>8.1100925319702543E-4</v>
      </c>
      <c r="J128" s="27">
        <f>'Off-farm feed'!$J$88</f>
        <v>0.29368572248181479</v>
      </c>
      <c r="K128" s="27">
        <f>'Off-farm feed'!$K$88</f>
        <v>1.2571008272056975E-11</v>
      </c>
      <c r="L128" s="27">
        <f>'Off-farm feed'!$L$88</f>
        <v>1.3841258986185109E-3</v>
      </c>
      <c r="M128" s="138">
        <f>'Parameters, country spec'!I26</f>
        <v>0.09</v>
      </c>
      <c r="N128" s="138">
        <f>'Parameters, country spec'!I44</f>
        <v>0.06</v>
      </c>
    </row>
    <row r="129" spans="1:14" x14ac:dyDescent="0.3">
      <c r="B129" s="16" t="s">
        <v>373</v>
      </c>
      <c r="C129" s="15" t="s">
        <v>372</v>
      </c>
      <c r="D129" s="21" t="s">
        <v>26</v>
      </c>
      <c r="E129" s="21" t="s">
        <v>74</v>
      </c>
      <c r="F129" s="17">
        <f>'Off-farm feed'!$F$36</f>
        <v>2.5509164954964105</v>
      </c>
      <c r="G129" s="18">
        <f>'Off-farm feed'!$G$36</f>
        <v>4.2620923125915401E-2</v>
      </c>
      <c r="H129" s="18">
        <f>'Off-farm feed'!$H$36</f>
        <v>3.2959349471355006E-3</v>
      </c>
      <c r="I129" s="18">
        <f>'Off-farm feed'!$I$36</f>
        <v>2.435286335413451E-3</v>
      </c>
      <c r="J129" s="27">
        <f>'Off-farm feed'!$J$36</f>
        <v>0.25920846302270906</v>
      </c>
      <c r="K129" s="27">
        <f>'Off-farm feed'!$K$36</f>
        <v>1.4553836091881654E-10</v>
      </c>
      <c r="L129" s="27">
        <f>'Off-farm feed'!$L$36</f>
        <v>1.0450321677831977E-4</v>
      </c>
      <c r="M129" s="138">
        <f>'Parameters, country spec'!I27</f>
        <v>9.5000000000000001E-2</v>
      </c>
      <c r="N129" s="138">
        <f>'Parameters, country spec'!I45</f>
        <v>7.0000000000000007E-2</v>
      </c>
    </row>
    <row r="130" spans="1:14" x14ac:dyDescent="0.3">
      <c r="B130" s="15" t="s">
        <v>173</v>
      </c>
      <c r="C130" s="15" t="s">
        <v>374</v>
      </c>
      <c r="D130" s="21" t="s">
        <v>26</v>
      </c>
      <c r="E130" s="21" t="s">
        <v>74</v>
      </c>
      <c r="F130" s="19">
        <v>1.2079244257430499</v>
      </c>
      <c r="G130" s="19">
        <v>1.1762359809494499E-2</v>
      </c>
      <c r="H130" s="19">
        <v>1.0762943616530901E-3</v>
      </c>
      <c r="I130" s="26">
        <v>1.6145258933116701E-2</v>
      </c>
      <c r="J130" s="26">
        <v>0.113481703430045</v>
      </c>
      <c r="K130" s="26">
        <v>6.8265642178891697E-13</v>
      </c>
      <c r="L130" s="26">
        <v>7.1508799141679696E-4</v>
      </c>
      <c r="M130" s="138">
        <f>'Parameters, country spec'!I28</f>
        <v>9.5000000000000001E-2</v>
      </c>
      <c r="N130" s="138">
        <f>'Parameters, country spec'!I46</f>
        <v>0.14000000000000001</v>
      </c>
    </row>
    <row r="131" spans="1:14" x14ac:dyDescent="0.3">
      <c r="A131" s="74"/>
      <c r="B131" s="15" t="s">
        <v>375</v>
      </c>
      <c r="C131" s="75" t="s">
        <v>376</v>
      </c>
      <c r="D131" s="21" t="s">
        <v>26</v>
      </c>
      <c r="E131" s="21" t="s">
        <v>74</v>
      </c>
      <c r="F131" s="72">
        <f t="shared" ref="F131:L131" si="7">AVERAGE(F121:F129)</f>
        <v>3.7589623926423243</v>
      </c>
      <c r="G131" s="97">
        <f t="shared" si="7"/>
        <v>2.515424142248093E-2</v>
      </c>
      <c r="H131" s="97">
        <f t="shared" si="7"/>
        <v>2.8193336599028917E-3</v>
      </c>
      <c r="I131" s="97">
        <f t="shared" si="7"/>
        <v>0.19169403284317893</v>
      </c>
      <c r="J131" s="73">
        <f t="shared" si="7"/>
        <v>0.28032157616716935</v>
      </c>
      <c r="K131" s="73">
        <f t="shared" si="7"/>
        <v>2.4335558350234629E-10</v>
      </c>
      <c r="L131" s="73">
        <f t="shared" si="7"/>
        <v>8.3422545726631451E-4</v>
      </c>
      <c r="M131" s="138">
        <f>'Parameters, country spec'!I29</f>
        <v>7.0000000000000007E-2</v>
      </c>
      <c r="N131" s="138">
        <f>'Parameters, country spec'!I47</f>
        <v>0.03</v>
      </c>
    </row>
    <row r="132" spans="1:14" x14ac:dyDescent="0.3">
      <c r="A132" s="287"/>
      <c r="B132" s="288" t="s">
        <v>377</v>
      </c>
      <c r="C132" s="289"/>
      <c r="D132" s="290"/>
      <c r="E132" s="290"/>
      <c r="F132" s="291">
        <f>SUMPRODUCT(F118:F120,M118:M120)+SUMPRODUCT(F121:F131,M121:M131)/0.87</f>
        <v>2.5263969629250633</v>
      </c>
      <c r="G132" s="292">
        <f>SUMPRODUCT(G118:G120,M118:M120)+SUMPRODUCT(G121:G131,M121:M131)/0.87</f>
        <v>2.806202755482165E-2</v>
      </c>
      <c r="H132" s="292">
        <f>SUMPRODUCT(H118:H120,M118:M120)+SUMPRODUCT(H121:H131,M121:M131)/0.87</f>
        <v>2.5378739335530837E-3</v>
      </c>
      <c r="I132" s="292">
        <f>SUMPRODUCT(I118:I120,M118:M120)+SUMPRODUCT(I121:I131,M121:M131)/0.87</f>
        <v>4.0441305528599925E-2</v>
      </c>
      <c r="J132" s="293">
        <f>SUMPRODUCT(J118:J120,M118:M120)+SUMPRODUCT(J121:J131,M121:M131)/0.87</f>
        <v>0.17535344420811935</v>
      </c>
      <c r="K132" s="293">
        <f>SUMPRODUCT(K118:K120,M118:M120)+SUMPRODUCT(K121:K131,M121:M131)/0.87</f>
        <v>1.4011186029780648E-10</v>
      </c>
      <c r="L132" s="293">
        <f>SUMPRODUCT(L118:L120,M118:M120)+SUMPRODUCT(L121:L131,M121:M131)/0.87</f>
        <v>9.1855697567866607E-4</v>
      </c>
      <c r="M132" s="294"/>
      <c r="N132" s="295"/>
    </row>
    <row r="133" spans="1:14" x14ac:dyDescent="0.3">
      <c r="A133" s="137"/>
      <c r="B133" s="23" t="s">
        <v>378</v>
      </c>
      <c r="C133" s="24"/>
      <c r="D133" s="93"/>
      <c r="E133" s="93"/>
      <c r="F133" s="286">
        <f>SUMPRODUCT(F118:F121,N118:N121)+SUMPRODUCT(F122:F132,N122:N132)/0.87</f>
        <v>2.3528738766939061</v>
      </c>
      <c r="G133" s="25">
        <f>SUMPRODUCT(G118:G121,N118:N121)+SUMPRODUCT(G122:G132,N122:N132)/0.87</f>
        <v>2.6289796632742616E-2</v>
      </c>
      <c r="H133" s="25">
        <f>SUMPRODUCT(H118:H121,N118:N121)+SUMPRODUCT(H122:H132,N122:N132)/0.87</f>
        <v>2.3556606910637447E-3</v>
      </c>
      <c r="I133" s="25">
        <f>SUMPRODUCT(I118:I121,N118:N121)+SUMPRODUCT(I122:I132,N122:N132)/0.87</f>
        <v>3.3397124956510087E-2</v>
      </c>
      <c r="J133" s="28">
        <f>SUMPRODUCT(J118:J121,N118:N121)+SUMPRODUCT(J122:J132,N122:N132)/0.87</f>
        <v>0.15207048109263924</v>
      </c>
      <c r="K133" s="28">
        <f>SUMPRODUCT(K118:K121,N118:N121)+SUMPRODUCT(K122:K132,N122:N132)/0.87</f>
        <v>1.2796183037105645E-10</v>
      </c>
      <c r="L133" s="28">
        <f>SUMPRODUCT(L118:L121,N118:N121)+SUMPRODUCT(L122:L132,N122:N132)/0.87</f>
        <v>8.8201751911381207E-4</v>
      </c>
      <c r="M133" s="139"/>
      <c r="N133" s="139"/>
    </row>
    <row r="134" spans="1:14" x14ac:dyDescent="0.3">
      <c r="B134" s="16" t="s">
        <v>152</v>
      </c>
      <c r="C134" s="15" t="s">
        <v>361</v>
      </c>
      <c r="D134" s="21" t="s">
        <v>27</v>
      </c>
      <c r="E134" s="21" t="s">
        <v>75</v>
      </c>
      <c r="F134" s="107">
        <v>0</v>
      </c>
      <c r="G134" s="278">
        <f>'Forage crops, footprints'!G16</f>
        <v>1.9567420375240063E-2</v>
      </c>
      <c r="H134" s="279">
        <f>'Forage crops, footprints'!H16</f>
        <v>0</v>
      </c>
      <c r="I134" s="278">
        <f>'Forage crops, footprints'!I16</f>
        <v>0</v>
      </c>
      <c r="J134" s="117">
        <f>'Forage crops, footprints'!J16</f>
        <v>0</v>
      </c>
      <c r="K134" s="117">
        <f>'Forage crops, footprints'!K16</f>
        <v>-1.608036288990619E-11</v>
      </c>
      <c r="L134" s="117">
        <f>'Forage crops, footprints'!L16</f>
        <v>0</v>
      </c>
      <c r="M134" s="138">
        <f>'Parameters, country spec'!I16</f>
        <v>0</v>
      </c>
      <c r="N134" s="138">
        <f>'Parameters, country spec'!J34</f>
        <v>0</v>
      </c>
    </row>
    <row r="135" spans="1:14" x14ac:dyDescent="0.3">
      <c r="B135" s="16" t="s">
        <v>154</v>
      </c>
      <c r="C135" s="15" t="s">
        <v>361</v>
      </c>
      <c r="D135" s="21" t="s">
        <v>27</v>
      </c>
      <c r="E135" s="21" t="s">
        <v>75</v>
      </c>
      <c r="F135" s="107">
        <f>'Forage crops, footprints'!F30</f>
        <v>0.91421835939926821</v>
      </c>
      <c r="G135" s="278">
        <f>'Forage crops, footprints'!G30</f>
        <v>6.399528515794878E-3</v>
      </c>
      <c r="H135" s="278">
        <f>'Forage crops, footprints'!H30</f>
        <v>5.4853101563956093E-4</v>
      </c>
      <c r="I135" s="278">
        <f>'Forage crops, footprints'!I30</f>
        <v>5.000000000000001E-2</v>
      </c>
      <c r="J135" s="117">
        <f>'Forage crops, footprints'!J30</f>
        <v>9.1421835939926832E-6</v>
      </c>
      <c r="K135" s="117">
        <f>'Forage crops, footprints'!K30</f>
        <v>1.8706078991556431E-12</v>
      </c>
      <c r="L135" s="117">
        <f>'Forage crops, footprints'!L30</f>
        <v>3.8905679357643523E-4</v>
      </c>
      <c r="M135" s="138">
        <f>'Parameters, country spec'!I17</f>
        <v>0</v>
      </c>
      <c r="N135" s="138">
        <f>'Parameters, country spec'!J35</f>
        <v>0</v>
      </c>
    </row>
    <row r="136" spans="1:14" x14ac:dyDescent="0.3">
      <c r="B136" s="16" t="s">
        <v>362</v>
      </c>
      <c r="C136" s="15" t="s">
        <v>361</v>
      </c>
      <c r="D136" s="21" t="s">
        <v>27</v>
      </c>
      <c r="E136" s="21" t="s">
        <v>75</v>
      </c>
      <c r="F136" s="107">
        <f>'Forage, input data per ha'!$E$76*'Forage crops, footprints'!F44+'Forage, input data per ha'!$G$76*'Forage crops, footprints'!F58</f>
        <v>1.2454390100224777</v>
      </c>
      <c r="G136" s="278">
        <f>'Forage, input data per ha'!$E$76*'Forage crops, footprints'!G44+'Forage, input data per ha'!$G$76*'Forage crops, footprints'!G58</f>
        <v>1.3092378397316688E-2</v>
      </c>
      <c r="H136" s="278">
        <f>'Forage, input data per ha'!$E$76*'Forage crops, footprints'!H44+'Forage, input data per ha'!$G$76*'Forage crops, footprints'!H58</f>
        <v>1.8253073298379568E-4</v>
      </c>
      <c r="I136" s="278">
        <f>'Forage, input data per ha'!$E$76*'Forage crops, footprints'!I44+'Forage, input data per ha'!$G$76*'Forage crops, footprints'!I58</f>
        <v>0</v>
      </c>
      <c r="J136" s="117">
        <f>'Forage, input data per ha'!$E$76*'Forage crops, footprints'!J44+'Forage, input data per ha'!$G$76*'Forage crops, footprints'!J58</f>
        <v>2.9890536240539457E-5</v>
      </c>
      <c r="K136" s="117">
        <f>'Forage, input data per ha'!$E$76*'Forage crops, footprints'!K44+'Forage, input data per ha'!$G$76*'Forage crops, footprints'!K58</f>
        <v>1.8590154048779128E-12</v>
      </c>
      <c r="L136" s="117">
        <f>'Forage, input data per ha'!$E$76*'Forage crops, footprints'!L44+'Forage, input data per ha'!$G$76*'Forage crops, footprints'!L58</f>
        <v>2.7988141724266045E-4</v>
      </c>
      <c r="M136" s="138">
        <f>'Parameters, country spec'!I18</f>
        <v>0.28000000000000003</v>
      </c>
      <c r="N136" s="138">
        <f>'Parameters, country spec'!J36</f>
        <v>0.3</v>
      </c>
    </row>
    <row r="137" spans="1:14" x14ac:dyDescent="0.3">
      <c r="A137" s="20" t="s">
        <v>363</v>
      </c>
      <c r="B137" s="15" t="s">
        <v>159</v>
      </c>
      <c r="C137" s="15" t="s">
        <v>364</v>
      </c>
      <c r="D137" s="21" t="s">
        <v>27</v>
      </c>
      <c r="E137" s="21" t="s">
        <v>75</v>
      </c>
      <c r="F137" s="22">
        <v>2.1800000000000002</v>
      </c>
      <c r="G137" s="38">
        <v>2.1000000000000001E-2</v>
      </c>
      <c r="H137" s="38">
        <v>1.5E-3</v>
      </c>
      <c r="I137" s="38">
        <v>0</v>
      </c>
      <c r="J137" s="26">
        <v>0.11</v>
      </c>
      <c r="K137" s="26">
        <v>4.4636302939514197E-12</v>
      </c>
      <c r="L137" s="26">
        <v>1.25E-3</v>
      </c>
      <c r="M137" s="138">
        <f>'Parameters, country spec'!I19</f>
        <v>0.16</v>
      </c>
      <c r="N137" s="138">
        <f>'Parameters, country spec'!J37</f>
        <v>0.2</v>
      </c>
    </row>
    <row r="138" spans="1:14" x14ac:dyDescent="0.3">
      <c r="A138" s="20" t="s">
        <v>365</v>
      </c>
      <c r="B138" s="15" t="s">
        <v>161</v>
      </c>
      <c r="C138" s="15" t="s">
        <v>364</v>
      </c>
      <c r="D138" s="21" t="s">
        <v>27</v>
      </c>
      <c r="E138" s="21" t="s">
        <v>75</v>
      </c>
      <c r="F138" s="19">
        <v>1.51</v>
      </c>
      <c r="G138" s="38">
        <v>0.02</v>
      </c>
      <c r="H138" s="38">
        <v>5.5999999999999999E-3</v>
      </c>
      <c r="I138" s="38">
        <v>0.05</v>
      </c>
      <c r="J138" s="26">
        <v>0.02</v>
      </c>
      <c r="K138" s="26">
        <v>3.0955742214230799E-12</v>
      </c>
      <c r="L138" s="26">
        <v>1.2099999999999999E-3</v>
      </c>
      <c r="M138" s="138">
        <f>'Parameters, country spec'!I20</f>
        <v>3.1075970320211814E-4</v>
      </c>
      <c r="N138" s="138">
        <f>'Parameters, country spec'!J38</f>
        <v>3.1075970320211814E-4</v>
      </c>
    </row>
    <row r="139" spans="1:14" x14ac:dyDescent="0.3">
      <c r="A139" s="20" t="s">
        <v>366</v>
      </c>
      <c r="B139" s="15" t="s">
        <v>163</v>
      </c>
      <c r="C139" s="15" t="s">
        <v>364</v>
      </c>
      <c r="D139" s="21" t="s">
        <v>27</v>
      </c>
      <c r="E139" s="21" t="s">
        <v>75</v>
      </c>
      <c r="F139" s="19">
        <v>2.5499999999999998</v>
      </c>
      <c r="G139" s="38">
        <v>1.7999999999999999E-2</v>
      </c>
      <c r="H139" s="38">
        <v>3.8E-3</v>
      </c>
      <c r="I139" s="38">
        <v>0</v>
      </c>
      <c r="J139" s="26">
        <v>0.11</v>
      </c>
      <c r="K139" s="26">
        <v>5.2096673933621196E-12</v>
      </c>
      <c r="L139" s="26">
        <v>1.1000000000000001E-3</v>
      </c>
      <c r="M139" s="138">
        <f>'Parameters, country spec'!I21</f>
        <v>8.6733359151412953E-5</v>
      </c>
      <c r="N139" s="138">
        <f>'Parameters, country spec'!J39</f>
        <v>8.6733359151412953E-5</v>
      </c>
    </row>
    <row r="140" spans="1:14" x14ac:dyDescent="0.3">
      <c r="A140" s="20" t="s">
        <v>367</v>
      </c>
      <c r="B140" s="15" t="s">
        <v>165</v>
      </c>
      <c r="C140" s="15" t="s">
        <v>364</v>
      </c>
      <c r="D140" s="21" t="s">
        <v>27</v>
      </c>
      <c r="E140" s="21" t="s">
        <v>75</v>
      </c>
      <c r="F140" s="19">
        <v>1.68</v>
      </c>
      <c r="G140" s="38">
        <v>1.6E-2</v>
      </c>
      <c r="H140" s="38">
        <v>1.1999999999999999E-3</v>
      </c>
      <c r="I140" s="38">
        <v>0</v>
      </c>
      <c r="J140" s="26">
        <v>0.16</v>
      </c>
      <c r="K140" s="26">
        <v>3.4295102556171599E-12</v>
      </c>
      <c r="L140" s="26">
        <v>9.68E-4</v>
      </c>
      <c r="M140" s="138">
        <f>'Parameters, country spec'!I22</f>
        <v>6.2924072151971947E-5</v>
      </c>
      <c r="N140" s="138">
        <f>'Parameters, country spec'!J40</f>
        <v>6.2924072151971947E-5</v>
      </c>
    </row>
    <row r="141" spans="1:14" x14ac:dyDescent="0.3">
      <c r="A141" s="20" t="s">
        <v>368</v>
      </c>
      <c r="B141" s="15" t="s">
        <v>167</v>
      </c>
      <c r="C141" s="15" t="s">
        <v>364</v>
      </c>
      <c r="D141" s="21" t="s">
        <v>27</v>
      </c>
      <c r="E141" s="21" t="s">
        <v>75</v>
      </c>
      <c r="F141" s="19">
        <v>1.54</v>
      </c>
      <c r="G141" s="38">
        <v>2.4E-2</v>
      </c>
      <c r="H141" s="38">
        <v>2.2000000000000001E-3</v>
      </c>
      <c r="I141" s="38">
        <v>2E-3</v>
      </c>
      <c r="J141" s="26">
        <v>0.11</v>
      </c>
      <c r="K141" s="26">
        <v>3.1435368362994802E-12</v>
      </c>
      <c r="L141" s="26">
        <v>1.4300000000000001E-3</v>
      </c>
      <c r="M141" s="138">
        <f>'Parameters, country spec'!I23</f>
        <v>0.20500000000000002</v>
      </c>
      <c r="N141" s="138">
        <f>'Parameters, country spec'!J41</f>
        <v>0.2</v>
      </c>
    </row>
    <row r="142" spans="1:14" x14ac:dyDescent="0.3">
      <c r="A142" s="20" t="s">
        <v>369</v>
      </c>
      <c r="B142" s="15" t="s">
        <v>168</v>
      </c>
      <c r="C142" s="15" t="s">
        <v>370</v>
      </c>
      <c r="D142" s="21" t="s">
        <v>27</v>
      </c>
      <c r="E142" s="21" t="s">
        <v>75</v>
      </c>
      <c r="F142" s="19">
        <v>3.38</v>
      </c>
      <c r="G142" s="38">
        <v>2.1000000000000001E-2</v>
      </c>
      <c r="H142" s="38">
        <v>1.6999999999999999E-3</v>
      </c>
      <c r="I142" s="38">
        <v>1E-3</v>
      </c>
      <c r="J142" s="26">
        <v>0.2</v>
      </c>
      <c r="K142" s="26">
        <v>6.9071346528329996E-12</v>
      </c>
      <c r="L142" s="26">
        <v>0</v>
      </c>
      <c r="M142" s="138">
        <f>'Parameters, country spec'!I24</f>
        <v>2.439015630520557E-4</v>
      </c>
      <c r="N142" s="138">
        <f>'Parameters, country spec'!J42</f>
        <v>2.439015630520557E-4</v>
      </c>
    </row>
    <row r="143" spans="1:14" x14ac:dyDescent="0.3">
      <c r="A143" s="20" t="s">
        <v>371</v>
      </c>
      <c r="B143" s="15" t="s">
        <v>170</v>
      </c>
      <c r="C143" s="15" t="s">
        <v>370</v>
      </c>
      <c r="D143" s="21" t="s">
        <v>27</v>
      </c>
      <c r="E143" s="21" t="s">
        <v>75</v>
      </c>
      <c r="F143" s="19">
        <v>5.05</v>
      </c>
      <c r="G143" s="38">
        <v>1.2999999999999999E-2</v>
      </c>
      <c r="H143" s="38">
        <v>2E-3</v>
      </c>
      <c r="I143" s="38">
        <v>1E-3</v>
      </c>
      <c r="J143" s="26">
        <v>0.31</v>
      </c>
      <c r="K143" s="26">
        <v>1.03339804381178E-11</v>
      </c>
      <c r="L143" s="26">
        <v>6.1400000000000002E-5</v>
      </c>
      <c r="M143" s="138">
        <f>'Parameters, country spec'!I25</f>
        <v>2.3959170998341588E-4</v>
      </c>
      <c r="N143" s="138">
        <f>'Parameters, country spec'!J43</f>
        <v>2.3959170998341588E-4</v>
      </c>
    </row>
    <row r="144" spans="1:14" x14ac:dyDescent="0.3">
      <c r="B144" s="16" t="s">
        <v>171</v>
      </c>
      <c r="C144" s="15" t="s">
        <v>372</v>
      </c>
      <c r="D144" s="21" t="s">
        <v>27</v>
      </c>
      <c r="E144" s="21" t="s">
        <v>75</v>
      </c>
      <c r="F144" s="17">
        <f>'Off-farm feed'!$F$88</f>
        <v>1.5397450382845068</v>
      </c>
      <c r="G144" s="18">
        <f>'Off-farm feed'!$G$88</f>
        <v>2.276724967641296E-2</v>
      </c>
      <c r="H144" s="18">
        <f>'Off-farm feed'!$H$88</f>
        <v>2.4780679919905292E-3</v>
      </c>
      <c r="I144" s="18">
        <f>'Off-farm feed'!$I$88</f>
        <v>8.1100925319702543E-4</v>
      </c>
      <c r="J144" s="27">
        <f>'Off-farm feed'!$J$88</f>
        <v>0.29368572248181479</v>
      </c>
      <c r="K144" s="27">
        <f>'Off-farm feed'!$K$88</f>
        <v>1.2571008272056975E-11</v>
      </c>
      <c r="L144" s="27">
        <f>'Off-farm feed'!$L$88</f>
        <v>1.3841258986185109E-3</v>
      </c>
      <c r="M144" s="138">
        <f>'Parameters, country spec'!I26</f>
        <v>0.09</v>
      </c>
      <c r="N144" s="138">
        <f>'Parameters, country spec'!J44</f>
        <v>0.06</v>
      </c>
    </row>
    <row r="145" spans="1:14" x14ac:dyDescent="0.3">
      <c r="B145" s="16" t="s">
        <v>373</v>
      </c>
      <c r="C145" s="15" t="s">
        <v>372</v>
      </c>
      <c r="D145" s="21" t="s">
        <v>27</v>
      </c>
      <c r="E145" s="21" t="s">
        <v>75</v>
      </c>
      <c r="F145" s="17">
        <f>'Off-farm feed'!$F$36</f>
        <v>2.5509164954964105</v>
      </c>
      <c r="G145" s="18">
        <f>'Off-farm feed'!$G$36</f>
        <v>4.2620923125915401E-2</v>
      </c>
      <c r="H145" s="18">
        <f>'Off-farm feed'!$H$36</f>
        <v>3.2959349471355006E-3</v>
      </c>
      <c r="I145" s="18">
        <f>'Off-farm feed'!$I$36</f>
        <v>2.435286335413451E-3</v>
      </c>
      <c r="J145" s="27">
        <f>'Off-farm feed'!$J$36</f>
        <v>0.25920846302270906</v>
      </c>
      <c r="K145" s="27">
        <f>'Off-farm feed'!$K$36</f>
        <v>1.4553836091881654E-10</v>
      </c>
      <c r="L145" s="27">
        <f>'Off-farm feed'!$L$36</f>
        <v>1.0450321677831977E-4</v>
      </c>
      <c r="M145" s="138">
        <f>'Parameters, country spec'!I27</f>
        <v>9.5000000000000001E-2</v>
      </c>
      <c r="N145" s="138">
        <f>'Parameters, country spec'!J45</f>
        <v>7.0000000000000007E-2</v>
      </c>
    </row>
    <row r="146" spans="1:14" x14ac:dyDescent="0.3">
      <c r="B146" s="15" t="s">
        <v>173</v>
      </c>
      <c r="C146" s="15" t="s">
        <v>374</v>
      </c>
      <c r="D146" s="21" t="s">
        <v>27</v>
      </c>
      <c r="E146" s="21" t="s">
        <v>75</v>
      </c>
      <c r="F146" s="19">
        <v>0.783534349363607</v>
      </c>
      <c r="G146" s="19">
        <v>1.1762359809494499E-2</v>
      </c>
      <c r="H146" s="19">
        <v>1.0762943616530901E-3</v>
      </c>
      <c r="I146" s="26">
        <v>7.0911883843394598E-4</v>
      </c>
      <c r="J146" s="26">
        <v>6.9696841279778404E-2</v>
      </c>
      <c r="K146" s="26">
        <v>5.4885286031712899E-14</v>
      </c>
      <c r="L146" s="26">
        <v>7.1508799141679696E-4</v>
      </c>
      <c r="M146" s="138">
        <f>'Parameters, country spec'!I28</f>
        <v>9.5000000000000001E-2</v>
      </c>
      <c r="N146" s="138">
        <f>'Parameters, country spec'!J46</f>
        <v>0.14000000000000001</v>
      </c>
    </row>
    <row r="147" spans="1:14" x14ac:dyDescent="0.3">
      <c r="A147" s="74"/>
      <c r="B147" s="15" t="s">
        <v>375</v>
      </c>
      <c r="C147" s="75" t="s">
        <v>376</v>
      </c>
      <c r="D147" s="21" t="s">
        <v>27</v>
      </c>
      <c r="E147" s="21" t="s">
        <v>75</v>
      </c>
      <c r="F147" s="72">
        <f t="shared" ref="F147:L147" si="8">AVERAGE(F137:F145)</f>
        <v>2.4422957259756575</v>
      </c>
      <c r="G147" s="97">
        <f t="shared" si="8"/>
        <v>2.204313031136982E-2</v>
      </c>
      <c r="H147" s="97">
        <f t="shared" si="8"/>
        <v>2.6415558821251146E-3</v>
      </c>
      <c r="I147" s="97">
        <f t="shared" si="8"/>
        <v>6.3606995098456093E-3</v>
      </c>
      <c r="J147" s="73">
        <f t="shared" si="8"/>
        <v>0.17476602061161378</v>
      </c>
      <c r="K147" s="73">
        <f t="shared" si="8"/>
        <v>2.1632489253608619E-11</v>
      </c>
      <c r="L147" s="73">
        <f t="shared" si="8"/>
        <v>8.3422545726631451E-4</v>
      </c>
      <c r="M147" s="138">
        <f>'Parameters, country spec'!I29</f>
        <v>7.0000000000000007E-2</v>
      </c>
      <c r="N147" s="138">
        <f>'Parameters, country spec'!J47</f>
        <v>0.03</v>
      </c>
    </row>
    <row r="148" spans="1:14" x14ac:dyDescent="0.3">
      <c r="A148" s="287"/>
      <c r="B148" s="288" t="s">
        <v>377</v>
      </c>
      <c r="C148" s="289"/>
      <c r="D148" s="290"/>
      <c r="E148" s="290"/>
      <c r="F148" s="291">
        <f>SUMPRODUCT(F134:F136,M134:M136)+SUMPRODUCT(F137:F147,M137:M147)/0.87</f>
        <v>1.8356666464879285</v>
      </c>
      <c r="G148" s="292">
        <f>SUMPRODUCT(G134:G136,M134:M136)+SUMPRODUCT(G137:G147,M137:M147)/0.87</f>
        <v>2.326989270558669E-2</v>
      </c>
      <c r="H148" s="292">
        <f>SUMPRODUCT(H134:H136,M134:M136)+SUMPRODUCT(H137:H147,M137:M147)/0.87</f>
        <v>1.7951729517058847E-3</v>
      </c>
      <c r="I148" s="292">
        <f>SUMPRODUCT(I134:I136,M134:M136)+SUMPRODUCT(I137:I147,M137:M147)/0.87</f>
        <v>1.4287123775006544E-3</v>
      </c>
      <c r="J148" s="293">
        <f>SUMPRODUCT(J134:J136,M134:M136)+SUMPRODUCT(J137:J147,M137:M147)/0.87</f>
        <v>0.12668678065213917</v>
      </c>
      <c r="K148" s="293">
        <f>SUMPRODUCT(K134:K136,M134:M136)+SUMPRODUCT(K137:K147,M137:M147)/0.87</f>
        <v>2.1027903057715492E-11</v>
      </c>
      <c r="L148" s="293">
        <f>SUMPRODUCT(L134:L136,M134:M136)+SUMPRODUCT(L137:L147,M137:M147)/0.87</f>
        <v>9.4563728537003851E-4</v>
      </c>
      <c r="M148" s="294"/>
      <c r="N148" s="294"/>
    </row>
    <row r="149" spans="1:14" x14ac:dyDescent="0.3">
      <c r="A149" s="137"/>
      <c r="B149" s="23" t="s">
        <v>378</v>
      </c>
      <c r="C149" s="24"/>
      <c r="D149" s="93"/>
      <c r="E149" s="286"/>
      <c r="F149" s="286">
        <f>SUMPRODUCT(F134:F137,N134:N137)+SUMPRODUCT(F138:F147,N138:N147)/0.87</f>
        <v>1.6886466372014706</v>
      </c>
      <c r="G149" s="25">
        <f>SUMPRODUCT(G134:G137,N134:N137)+SUMPRODUCT(G138:G148,N138:N148)/0.87</f>
        <v>2.1316844193684958E-2</v>
      </c>
      <c r="H149" s="25">
        <f>SUMPRODUCT(H134:H137,N134:N137)+SUMPRODUCT(H138:H148,N138:N148)/0.87</f>
        <v>1.5643759773440445E-3</v>
      </c>
      <c r="I149" s="25">
        <f>SUMPRODUCT(I134:I137,N134:N137)+SUMPRODUCT(I138:I148,N138:N148)/0.87</f>
        <v>1.063505402046006E-3</v>
      </c>
      <c r="J149" s="28">
        <f>SUMPRODUCT(J134:J137,N134:N137)+SUMPRODUCT(J138:J148,N138:N148)/0.87</f>
        <v>0.10581948625953447</v>
      </c>
      <c r="K149" s="28">
        <f>SUMPRODUCT(K134:K137,N134:N137)+SUMPRODUCT(K138:K148,N138:N148)/0.87</f>
        <v>1.5511467430788671E-11</v>
      </c>
      <c r="L149" s="28">
        <f>SUMPRODUCT(L134:L137,N134:N137)+SUMPRODUCT(L138:L148,N138:N148)/0.87</f>
        <v>9.1103213664028241E-4</v>
      </c>
      <c r="M149" s="139"/>
      <c r="N149" s="139"/>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F46"/>
  <sheetViews>
    <sheetView zoomScale="80" zoomScaleNormal="80" workbookViewId="0">
      <selection activeCell="C55" sqref="C55"/>
    </sheetView>
  </sheetViews>
  <sheetFormatPr defaultColWidth="8.6640625" defaultRowHeight="14.4" x14ac:dyDescent="0.3"/>
  <cols>
    <col min="1" max="1" width="46.33203125" customWidth="1"/>
    <col min="2" max="2" width="22.33203125" customWidth="1"/>
    <col min="3" max="3" width="21.6640625" customWidth="1"/>
    <col min="4" max="4" width="14.6640625" customWidth="1"/>
    <col min="5" max="5" width="20.33203125" customWidth="1"/>
  </cols>
  <sheetData>
    <row r="2" spans="1:6" ht="21" x14ac:dyDescent="0.4">
      <c r="A2" s="2" t="s">
        <v>387</v>
      </c>
    </row>
    <row r="4" spans="1:6" x14ac:dyDescent="0.3">
      <c r="A4" s="106" t="s">
        <v>388</v>
      </c>
      <c r="B4" s="149" t="s">
        <v>389</v>
      </c>
      <c r="C4" s="149" t="s">
        <v>390</v>
      </c>
      <c r="D4" s="149" t="s">
        <v>391</v>
      </c>
      <c r="E4" s="149" t="s">
        <v>392</v>
      </c>
      <c r="F4" s="106" t="s">
        <v>179</v>
      </c>
    </row>
    <row r="5" spans="1:6" x14ac:dyDescent="0.3">
      <c r="A5" s="3" t="s">
        <v>393</v>
      </c>
      <c r="B5" s="4">
        <v>0.29001600000000005</v>
      </c>
      <c r="C5" s="42">
        <v>1.1016000000000002E-4</v>
      </c>
      <c r="D5" s="42">
        <v>1.0269360000000001E-5</v>
      </c>
      <c r="E5" s="87"/>
      <c r="F5" s="87" t="s">
        <v>394</v>
      </c>
    </row>
    <row r="6" spans="1:6" x14ac:dyDescent="0.3">
      <c r="A6" s="3" t="s">
        <v>395</v>
      </c>
      <c r="B6" s="4">
        <v>9.6299999999999997E-3</v>
      </c>
      <c r="C6" s="42">
        <v>3.6659999999999876E-5</v>
      </c>
      <c r="D6" s="42">
        <v>1.5257999999999987E-5</v>
      </c>
      <c r="E6" s="87"/>
      <c r="F6" s="87" t="s">
        <v>396</v>
      </c>
    </row>
    <row r="7" spans="1:6" x14ac:dyDescent="0.3">
      <c r="A7" s="3" t="s">
        <v>397</v>
      </c>
      <c r="B7" s="4">
        <f>0.07592*3.6</f>
        <v>0.273312</v>
      </c>
      <c r="C7" s="42">
        <f>0.00003363*3.6</f>
        <v>1.2106800000000001E-4</v>
      </c>
      <c r="D7" s="42">
        <f>0.00000204*3.6</f>
        <v>7.3440000000000003E-6</v>
      </c>
      <c r="E7" s="10">
        <f>35.2/3.6</f>
        <v>9.7777777777777786</v>
      </c>
      <c r="F7" s="87" t="s">
        <v>394</v>
      </c>
    </row>
    <row r="9" spans="1:6" x14ac:dyDescent="0.3">
      <c r="A9" s="106" t="s">
        <v>398</v>
      </c>
      <c r="B9" s="149" t="s">
        <v>399</v>
      </c>
      <c r="C9" s="149" t="s">
        <v>400</v>
      </c>
      <c r="D9" s="149" t="s">
        <v>401</v>
      </c>
      <c r="E9" s="106"/>
      <c r="F9" s="106" t="s">
        <v>179</v>
      </c>
    </row>
    <row r="10" spans="1:6" x14ac:dyDescent="0.3">
      <c r="A10" t="s">
        <v>355</v>
      </c>
      <c r="B10">
        <v>2.7E-2</v>
      </c>
      <c r="C10">
        <v>9.5000000000000005E-5</v>
      </c>
      <c r="D10">
        <v>1.1000000000000001E-6</v>
      </c>
      <c r="F10" s="87" t="s">
        <v>402</v>
      </c>
    </row>
    <row r="12" spans="1:6" x14ac:dyDescent="0.3">
      <c r="A12" s="106" t="s">
        <v>388</v>
      </c>
      <c r="B12" s="149" t="s">
        <v>403</v>
      </c>
      <c r="C12" s="149" t="s">
        <v>404</v>
      </c>
      <c r="D12" s="149" t="s">
        <v>405</v>
      </c>
      <c r="E12" s="106"/>
      <c r="F12" s="106" t="s">
        <v>179</v>
      </c>
    </row>
    <row r="13" spans="1:6" x14ac:dyDescent="0.3">
      <c r="A13" s="3" t="s">
        <v>406</v>
      </c>
      <c r="B13" s="107">
        <v>2.2999999999999998</v>
      </c>
      <c r="C13" s="108">
        <v>0</v>
      </c>
      <c r="D13" s="108">
        <v>4.3624161073825508E-3</v>
      </c>
      <c r="F13" s="113" t="s">
        <v>407</v>
      </c>
    </row>
    <row r="14" spans="1:6" x14ac:dyDescent="0.3">
      <c r="A14" s="3" t="s">
        <v>408</v>
      </c>
      <c r="B14" s="109">
        <v>4.3928213588059704</v>
      </c>
      <c r="C14" s="108">
        <v>9.8666566537313431E-3</v>
      </c>
      <c r="D14" s="108">
        <v>9.948031617910448E-3</v>
      </c>
      <c r="F14" s="114" t="s">
        <v>409</v>
      </c>
    </row>
    <row r="16" spans="1:6" x14ac:dyDescent="0.3">
      <c r="A16" s="106" t="s">
        <v>410</v>
      </c>
      <c r="B16" s="149" t="s">
        <v>411</v>
      </c>
      <c r="C16" s="149" t="s">
        <v>412</v>
      </c>
      <c r="D16" s="149" t="s">
        <v>413</v>
      </c>
      <c r="E16" s="106"/>
      <c r="F16" s="106" t="s">
        <v>179</v>
      </c>
    </row>
    <row r="17" spans="1:6" x14ac:dyDescent="0.3">
      <c r="A17" s="3" t="s">
        <v>414</v>
      </c>
      <c r="B17" s="42">
        <v>7.5028151531290013E-2</v>
      </c>
      <c r="C17" s="42">
        <v>2.5092882000000001E-4</v>
      </c>
      <c r="D17" s="42">
        <v>3.0881530559999995E-6</v>
      </c>
      <c r="F17" s="87" t="s">
        <v>415</v>
      </c>
    </row>
    <row r="18" spans="1:6" x14ac:dyDescent="0.3">
      <c r="B18" s="42"/>
      <c r="C18" s="42"/>
      <c r="D18" s="42"/>
    </row>
    <row r="19" spans="1:6" x14ac:dyDescent="0.3">
      <c r="A19" s="106" t="s">
        <v>416</v>
      </c>
      <c r="B19" s="307" t="s">
        <v>417</v>
      </c>
      <c r="C19" s="307" t="s">
        <v>418</v>
      </c>
      <c r="D19" s="307" t="s">
        <v>419</v>
      </c>
      <c r="E19" s="106"/>
      <c r="F19" s="106" t="s">
        <v>179</v>
      </c>
    </row>
    <row r="20" spans="1:6" x14ac:dyDescent="0.3">
      <c r="A20" s="3" t="s">
        <v>420</v>
      </c>
      <c r="B20" s="42">
        <f>46.7/1000</f>
        <v>4.6700000000000005E-2</v>
      </c>
      <c r="C20" s="42">
        <f>0.708/1000</f>
        <v>7.0799999999999997E-4</v>
      </c>
      <c r="D20" s="42">
        <f>0.0681/1000</f>
        <v>6.8099999999999988E-5</v>
      </c>
      <c r="F20" s="87" t="s">
        <v>421</v>
      </c>
    </row>
    <row r="21" spans="1:6" x14ac:dyDescent="0.3">
      <c r="A21" s="87"/>
    </row>
    <row r="22" spans="1:6" x14ac:dyDescent="0.3">
      <c r="A22" s="106" t="s">
        <v>422</v>
      </c>
      <c r="B22" s="106"/>
    </row>
    <row r="23" spans="1:6" x14ac:dyDescent="0.3">
      <c r="A23" s="82" t="s">
        <v>109</v>
      </c>
      <c r="B23" s="110">
        <v>1</v>
      </c>
      <c r="C23" s="110"/>
    </row>
    <row r="24" spans="1:6" x14ac:dyDescent="0.3">
      <c r="A24" s="3" t="s">
        <v>110</v>
      </c>
      <c r="B24" s="111">
        <v>29.8</v>
      </c>
      <c r="C24" s="111"/>
    </row>
    <row r="25" spans="1:6" x14ac:dyDescent="0.3">
      <c r="A25" s="3" t="s">
        <v>111</v>
      </c>
      <c r="B25" s="111">
        <v>27</v>
      </c>
      <c r="C25" s="110"/>
    </row>
    <row r="26" spans="1:6" x14ac:dyDescent="0.3">
      <c r="A26" s="3" t="s">
        <v>112</v>
      </c>
      <c r="B26" s="112">
        <v>273</v>
      </c>
      <c r="C26" s="112"/>
    </row>
    <row r="28" spans="1:6" ht="15.6" x14ac:dyDescent="0.3">
      <c r="A28" s="275" t="s">
        <v>423</v>
      </c>
      <c r="B28" s="276"/>
    </row>
    <row r="29" spans="1:6" x14ac:dyDescent="0.3">
      <c r="A29" s="85" t="s">
        <v>424</v>
      </c>
      <c r="B29" s="296">
        <v>352323</v>
      </c>
    </row>
    <row r="31" spans="1:6" x14ac:dyDescent="0.3">
      <c r="A31" s="277" t="s">
        <v>425</v>
      </c>
      <c r="B31" s="277"/>
    </row>
    <row r="32" spans="1:6" x14ac:dyDescent="0.3">
      <c r="A32" s="85" t="s">
        <v>426</v>
      </c>
      <c r="B32" s="297">
        <v>0.05</v>
      </c>
    </row>
    <row r="33" spans="1:2" x14ac:dyDescent="0.3">
      <c r="A33" s="85" t="s">
        <v>427</v>
      </c>
      <c r="B33" s="297">
        <f>(3*1.008+14.007)/14.007</f>
        <v>1.2158920539730134</v>
      </c>
    </row>
    <row r="34" spans="1:2" x14ac:dyDescent="0.3">
      <c r="A34" s="298" t="s">
        <v>428</v>
      </c>
      <c r="B34" s="85"/>
    </row>
    <row r="35" spans="1:2" x14ac:dyDescent="0.3">
      <c r="B35" s="299"/>
    </row>
    <row r="36" spans="1:2" ht="15.6" x14ac:dyDescent="0.3">
      <c r="A36" s="275" t="s">
        <v>429</v>
      </c>
      <c r="B36" s="276"/>
    </row>
    <row r="37" spans="1:2" x14ac:dyDescent="0.3">
      <c r="A37" s="3" t="s">
        <v>152</v>
      </c>
      <c r="B37" s="361">
        <f>15*0.16</f>
        <v>2.4</v>
      </c>
    </row>
    <row r="38" spans="1:2" x14ac:dyDescent="0.3">
      <c r="A38" s="85" t="s">
        <v>430</v>
      </c>
      <c r="B38" s="361">
        <f>6*0.16</f>
        <v>0.96</v>
      </c>
    </row>
    <row r="39" spans="1:2" x14ac:dyDescent="0.3">
      <c r="A39" s="3" t="s">
        <v>431</v>
      </c>
      <c r="B39" s="361">
        <f t="shared" ref="B39:B40" si="0">15*0.16</f>
        <v>2.4</v>
      </c>
    </row>
    <row r="40" spans="1:2" x14ac:dyDescent="0.3">
      <c r="A40" s="3" t="s">
        <v>432</v>
      </c>
      <c r="B40" s="361">
        <f t="shared" si="0"/>
        <v>2.4</v>
      </c>
    </row>
    <row r="42" spans="1:2" ht="15.6" x14ac:dyDescent="0.3">
      <c r="A42" s="275" t="s">
        <v>433</v>
      </c>
      <c r="B42" s="276"/>
    </row>
    <row r="43" spans="1:2" x14ac:dyDescent="0.3">
      <c r="A43" s="3" t="s">
        <v>434</v>
      </c>
      <c r="B43" s="362">
        <v>1.2</v>
      </c>
    </row>
    <row r="45" spans="1:2" x14ac:dyDescent="0.3">
      <c r="A45" t="s">
        <v>435</v>
      </c>
    </row>
    <row r="46" spans="1:2" x14ac:dyDescent="0.3">
      <c r="A46" t="s">
        <v>436</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EFB3-E760-4B2A-A058-582DA4CFA4FF}">
  <dimension ref="A2:S202"/>
  <sheetViews>
    <sheetView topLeftCell="A27" zoomScale="80" zoomScaleNormal="80" workbookViewId="0">
      <selection activeCell="F149" sqref="F149"/>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9" ht="21" x14ac:dyDescent="0.4">
      <c r="A2" s="2" t="s">
        <v>437</v>
      </c>
    </row>
    <row r="4" spans="1:19" ht="18" x14ac:dyDescent="0.35">
      <c r="A4" s="239" t="s">
        <v>152</v>
      </c>
      <c r="B4" s="106"/>
      <c r="C4" s="106"/>
      <c r="D4" s="106"/>
      <c r="E4" s="106"/>
      <c r="F4" s="106"/>
      <c r="G4" s="106"/>
      <c r="H4" s="106"/>
      <c r="I4" s="106"/>
      <c r="J4" s="106"/>
      <c r="K4" s="106"/>
      <c r="L4" s="106"/>
      <c r="M4" s="106"/>
      <c r="N4" s="106"/>
      <c r="O4" s="106"/>
      <c r="P4" s="106"/>
    </row>
    <row r="6" spans="1:19" x14ac:dyDescent="0.3">
      <c r="A6" s="240" t="s">
        <v>355</v>
      </c>
      <c r="B6" s="241"/>
      <c r="C6" s="241"/>
      <c r="D6" s="241"/>
      <c r="E6" s="242" t="s">
        <v>82</v>
      </c>
      <c r="F6" s="242" t="s">
        <v>83</v>
      </c>
      <c r="G6" s="243"/>
      <c r="H6" s="242" t="s">
        <v>84</v>
      </c>
      <c r="I6" s="244"/>
      <c r="J6" s="245" t="s">
        <v>85</v>
      </c>
      <c r="K6" s="244"/>
      <c r="L6" s="244"/>
      <c r="M6" s="244"/>
      <c r="N6" s="245" t="s">
        <v>86</v>
      </c>
      <c r="O6" s="245" t="s">
        <v>87</v>
      </c>
      <c r="P6" s="245" t="s">
        <v>88</v>
      </c>
    </row>
    <row r="7" spans="1:19" ht="81" customHeight="1" x14ac:dyDescent="0.3">
      <c r="A7" s="246" t="s">
        <v>44</v>
      </c>
      <c r="B7" s="246" t="s">
        <v>355</v>
      </c>
      <c r="C7" s="246" t="s">
        <v>93</v>
      </c>
      <c r="D7" s="247" t="s">
        <v>438</v>
      </c>
      <c r="E7" s="248"/>
      <c r="F7" s="46" t="s">
        <v>8</v>
      </c>
      <c r="G7" s="46" t="s">
        <v>9</v>
      </c>
      <c r="H7" s="46" t="s">
        <v>95</v>
      </c>
      <c r="I7" s="46" t="s">
        <v>439</v>
      </c>
      <c r="J7" s="46" t="s">
        <v>97</v>
      </c>
      <c r="K7" s="46" t="s">
        <v>98</v>
      </c>
      <c r="L7" s="46" t="s">
        <v>99</v>
      </c>
      <c r="M7" s="46" t="s">
        <v>100</v>
      </c>
      <c r="N7" s="46" t="s">
        <v>101</v>
      </c>
      <c r="O7" s="46"/>
      <c r="P7" s="46"/>
      <c r="R7" s="249"/>
    </row>
    <row r="8" spans="1:19" x14ac:dyDescent="0.3">
      <c r="B8" t="s">
        <v>152</v>
      </c>
      <c r="C8" t="s">
        <v>109</v>
      </c>
      <c r="D8" t="s">
        <v>28</v>
      </c>
      <c r="E8" s="4">
        <f t="shared" ref="E8:E11" si="0">SUM(F8:P8)</f>
        <v>5.8137943724220723E-2</v>
      </c>
      <c r="F8" s="4">
        <f>'Forage, input data per ha'!E8*(Frac_BAT_FR*EF_min_fert_BAT_CO2+Frac_AN_FR*EF_min_fert_AN_CO2)/'Forage, input data per ha'!C8</f>
        <v>1.8033196435898471E-2</v>
      </c>
      <c r="G8" s="4">
        <f>EF_capital_goods_CO2</f>
        <v>2.7E-2</v>
      </c>
      <c r="H8" s="4"/>
      <c r="I8" s="4"/>
      <c r="J8" s="4">
        <f>'Forage, input data per ha'!J8*EF_diesel_CO2*Heating_value_diesel/'Forage, input data per ha'!C8</f>
        <v>1.3104747288322258E-2</v>
      </c>
      <c r="K8" s="4"/>
      <c r="L8" s="4">
        <f>'Forage, input data per ha'!K8*'Parameters, general'!$B$17/'Forage, input data per ha'!C8</f>
        <v>0</v>
      </c>
      <c r="M8" s="4"/>
      <c r="N8" s="250"/>
      <c r="O8" s="4"/>
      <c r="P8" s="4"/>
    </row>
    <row r="9" spans="1:19" x14ac:dyDescent="0.3">
      <c r="B9" t="s">
        <v>152</v>
      </c>
      <c r="C9" t="s">
        <v>110</v>
      </c>
      <c r="D9" t="s">
        <v>28</v>
      </c>
      <c r="E9" s="4">
        <f t="shared" si="0"/>
        <v>1.3388596486894555E-4</v>
      </c>
      <c r="F9" s="4">
        <f>'Forage, input data per ha'!E8*(Frac_BAT_FR*EF_min_fert_BAT_CH4+Frac_AN_FR*EF_min_fert_AN_CH4)/'Forage, input data per ha'!C8</f>
        <v>3.3081003708430824E-5</v>
      </c>
      <c r="G9" s="4">
        <f>EF_capital_goods_CH4</f>
        <v>9.5000000000000005E-5</v>
      </c>
      <c r="H9" s="4"/>
      <c r="I9" s="4"/>
      <c r="J9" s="4">
        <f>'Forage, input data per ha'!J8*EF_diesel_CH4*Heating_value_diesel/'Forage, input data per ha'!C8</f>
        <v>5.8049611605147208E-6</v>
      </c>
      <c r="K9" s="4"/>
      <c r="L9" s="4">
        <f>'Forage, input data per ha'!K8*'Parameters, general'!$C$17/'Forage, input data per ha'!C8</f>
        <v>0</v>
      </c>
      <c r="M9" s="4"/>
      <c r="N9" s="4"/>
      <c r="O9" s="4"/>
      <c r="P9" s="4"/>
    </row>
    <row r="10" spans="1:19" x14ac:dyDescent="0.3">
      <c r="B10" t="s">
        <v>152</v>
      </c>
      <c r="C10" t="s">
        <v>440</v>
      </c>
      <c r="D10" t="s">
        <v>28</v>
      </c>
      <c r="E10" s="4">
        <f t="shared" si="0"/>
        <v>0</v>
      </c>
      <c r="F10" s="4"/>
      <c r="G10" s="4"/>
      <c r="H10" s="4"/>
      <c r="I10" s="4"/>
      <c r="J10" s="4"/>
      <c r="K10" s="4"/>
      <c r="L10" s="4"/>
      <c r="M10" s="4"/>
      <c r="N10" s="4"/>
      <c r="O10" s="4"/>
      <c r="P10" s="4"/>
    </row>
    <row r="11" spans="1:19" x14ac:dyDescent="0.3">
      <c r="B11" t="s">
        <v>152</v>
      </c>
      <c r="C11" t="s">
        <v>112</v>
      </c>
      <c r="D11" t="s">
        <v>28</v>
      </c>
      <c r="E11" s="4">
        <f t="shared" si="0"/>
        <v>2.0524375665426878E-4</v>
      </c>
      <c r="F11" s="4">
        <f>'Forage, input data per ha'!E8*(Frac_BAT_FR*EF_min_fert_BAT_N2O+Frac_AN_FR*EF_min_fert_AN_N2O)/'Forage, input data per ha'!C8</f>
        <v>3.9622270994168309E-5</v>
      </c>
      <c r="G11" s="4">
        <f>EF_capital_goods_N2O</f>
        <v>1.1000000000000001E-6</v>
      </c>
      <c r="H11" s="4">
        <f>('Forage, input data per ha'!E8*'Parameters, country spec'!B81+'Forage, input data per ha'!H8*'Parameters, country spec'!B82)*44/28/'Forage, input data per ha'!C8</f>
        <v>1.492448690828462E-4</v>
      </c>
      <c r="I11" s="4">
        <f>H11*0.1</f>
        <v>1.4924486908284621E-5</v>
      </c>
      <c r="J11" s="4">
        <f>'Forage, input data per ha'!J8*EF_diesel_N2O*Heating_value_diesel/'Forage, input data per ha'!C8</f>
        <v>3.521296689696708E-7</v>
      </c>
      <c r="K11" s="4"/>
      <c r="L11" s="4">
        <f>'Forage, input data per ha'!K8*'Parameters, general'!$D$17/'Forage, input data per ha'!C8</f>
        <v>0</v>
      </c>
      <c r="M11" s="4"/>
      <c r="N11" s="4"/>
      <c r="O11" s="4"/>
      <c r="P11" s="4"/>
    </row>
    <row r="12" spans="1:19" ht="15" customHeight="1" x14ac:dyDescent="0.3">
      <c r="A12" s="142"/>
      <c r="B12" s="142" t="s">
        <v>152</v>
      </c>
      <c r="C12" s="142" t="s">
        <v>113</v>
      </c>
      <c r="D12" s="142" t="s">
        <v>28</v>
      </c>
      <c r="E12" s="301">
        <f>SUM(F12:P12)</f>
        <v>0.11815929104393069</v>
      </c>
      <c r="F12" s="301">
        <f>SUMPRODUCT(F8:F11,'Parameters, general'!$B$23:$B$26)</f>
        <v>2.9835890327817659E-2</v>
      </c>
      <c r="G12" s="301">
        <f>SUMPRODUCT(G8:G11,'Parameters, general'!$B$23:$B$26)</f>
        <v>3.01313E-2</v>
      </c>
      <c r="H12" s="301">
        <f>SUMPRODUCT(H8:H11,'Parameters, general'!$B$23:$B$26)</f>
        <v>4.0743849259617014E-2</v>
      </c>
      <c r="I12" s="301">
        <f>SUMPRODUCT(I8:I11,'Parameters, general'!$B$23:$B$26)</f>
        <v>4.0743849259617018E-3</v>
      </c>
      <c r="J12" s="301">
        <f>SUMPRODUCT(J8:J11,'Parameters, general'!$B$23:$B$26)</f>
        <v>1.3373866530534318E-2</v>
      </c>
      <c r="K12" s="301">
        <f>SUMPRODUCT(K8:K11,'Parameters, general'!$B$23:$B$26)</f>
        <v>0</v>
      </c>
      <c r="L12" s="301">
        <f>SUMPRODUCT(L8:L11,'Parameters, general'!$B$23:$B$26)</f>
        <v>0</v>
      </c>
      <c r="M12" s="301">
        <f>SUMPRODUCT(M8:M11,'Parameters, general'!$B$23:$B$26)</f>
        <v>0</v>
      </c>
      <c r="N12" s="301">
        <f>SUMPRODUCT(N8:N11,'Parameters, general'!$B$23:$B$26)</f>
        <v>0</v>
      </c>
      <c r="O12" s="301">
        <f>SUMPRODUCT(O8:O11,'Parameters, general'!$B$23:$B$26)</f>
        <v>0</v>
      </c>
      <c r="P12" s="301"/>
      <c r="R12" s="119"/>
      <c r="S12" s="6"/>
    </row>
    <row r="13" spans="1:19" x14ac:dyDescent="0.3">
      <c r="B13" t="s">
        <v>152</v>
      </c>
      <c r="C13" t="s">
        <v>109</v>
      </c>
      <c r="D13" t="s">
        <v>25</v>
      </c>
      <c r="E13" s="4">
        <f t="shared" ref="E13:E16" si="1">SUM(F13:P13)</f>
        <v>6.1295513674652385E-2</v>
      </c>
      <c r="F13" s="4">
        <f>'Forage, input data per ha'!E9*(Frac_BAT_DE*EF_min_fert_BAT_CO2+Frac_AN_DE*EF_min_fert_AN_CO2)/'Forage, input data per ha'!C9</f>
        <v>2.1132412362766816E-2</v>
      </c>
      <c r="G13" s="4">
        <f>EF_capital_goods_CO2</f>
        <v>2.7E-2</v>
      </c>
      <c r="H13" s="4"/>
      <c r="I13" s="4"/>
      <c r="J13" s="4">
        <f>'Forage, input data per ha'!J9*EF_diesel_CO2*Heating_value_diesel/'Forage, input data per ha'!C9</f>
        <v>1.3163101311885569E-2</v>
      </c>
      <c r="K13" s="4"/>
      <c r="L13" s="4">
        <f>'Forage, input data per ha'!K9*'Parameters, general'!$B$17/'Forage, input data per ha'!C9</f>
        <v>0</v>
      </c>
      <c r="M13" s="4"/>
      <c r="N13" s="4"/>
      <c r="O13" s="4"/>
      <c r="P13" s="4"/>
    </row>
    <row r="14" spans="1:19" x14ac:dyDescent="0.3">
      <c r="B14" t="s">
        <v>152</v>
      </c>
      <c r="C14" t="s">
        <v>110</v>
      </c>
      <c r="D14" t="s">
        <v>25</v>
      </c>
      <c r="E14" s="4">
        <f t="shared" si="1"/>
        <v>1.3959717150898213E-4</v>
      </c>
      <c r="F14" s="4">
        <f>'Forage, input data per ha'!E9*(Frac_BAT_DE*EF_min_fert_BAT_CH4+Frac_AN_DE*EF_min_fert_AN_CH4)/'Forage, input data per ha'!C9</f>
        <v>3.8766361483709314E-5</v>
      </c>
      <c r="G14" s="4">
        <f>EF_capital_goods_CH4</f>
        <v>9.5000000000000005E-5</v>
      </c>
      <c r="H14" s="4"/>
      <c r="I14" s="4"/>
      <c r="J14" s="4">
        <f>'Forage, input data per ha'!J9*EF_diesel_CH4*Heating_value_diesel/'Forage, input data per ha'!C9</f>
        <v>5.8308100252728102E-6</v>
      </c>
      <c r="K14" s="4"/>
      <c r="L14" s="4">
        <f>'Forage, input data per ha'!K9*'Parameters, general'!$C$17/'Forage, input data per ha'!C9</f>
        <v>0</v>
      </c>
      <c r="M14" s="4"/>
      <c r="N14" s="4"/>
      <c r="O14" s="4"/>
      <c r="P14" s="4"/>
    </row>
    <row r="15" spans="1:19" x14ac:dyDescent="0.3">
      <c r="B15" t="s">
        <v>152</v>
      </c>
      <c r="C15" t="s">
        <v>440</v>
      </c>
      <c r="D15" t="s">
        <v>25</v>
      </c>
      <c r="E15" s="4">
        <f t="shared" si="1"/>
        <v>0</v>
      </c>
      <c r="F15" s="4"/>
      <c r="G15" s="4"/>
      <c r="H15" s="4"/>
      <c r="I15" s="4"/>
      <c r="J15" s="4"/>
      <c r="K15" s="4"/>
      <c r="L15" s="4"/>
      <c r="M15" s="4"/>
      <c r="N15" s="4"/>
      <c r="O15" s="4"/>
      <c r="P15" s="4"/>
    </row>
    <row r="16" spans="1:19" x14ac:dyDescent="0.3">
      <c r="B16" t="s">
        <v>152</v>
      </c>
      <c r="C16" t="s">
        <v>112</v>
      </c>
      <c r="D16" t="s">
        <v>25</v>
      </c>
      <c r="E16" s="4">
        <f t="shared" si="1"/>
        <v>2.348214170658229E-4</v>
      </c>
      <c r="F16" s="4">
        <f>'Forage, input data per ha'!E9*(Frac_BAT_DE*EF_min_fert_BAT_N2O+Frac_AN_DE*EF_min_fert_AN_N2O)/'Forage, input data per ha'!C9</f>
        <v>4.6431822132832091E-5</v>
      </c>
      <c r="G16" s="4">
        <f>EF_capital_goods_N2O</f>
        <v>1.1000000000000001E-6</v>
      </c>
      <c r="H16" s="4">
        <f>('Forage, input data per ha'!E9*'Parameters, country spec'!C81+'Forage, input data per ha'!H9*'Parameters, country spec'!C82)*44/28/'Forage, input data per ha'!C9</f>
        <v>1.6994172478968788E-4</v>
      </c>
      <c r="I16" s="4">
        <f>H16*0.1</f>
        <v>1.6994172478968787E-5</v>
      </c>
      <c r="J16" s="4">
        <f>'Forage, input data per ha'!J9*EF_diesel_N2O*Heating_value_diesel/'Forage, input data per ha'!C9</f>
        <v>3.5369766433412225E-7</v>
      </c>
      <c r="K16" s="4"/>
      <c r="L16" s="4">
        <f>'Forage, input data per ha'!K9*'Parameters, general'!$D$17/'Forage, input data per ha'!C9</f>
        <v>0</v>
      </c>
      <c r="M16" s="4"/>
      <c r="N16" s="4"/>
      <c r="O16" s="4"/>
      <c r="P16" s="4"/>
    </row>
    <row r="17" spans="1:19" ht="15" customHeight="1" x14ac:dyDescent="0.3">
      <c r="A17" s="142"/>
      <c r="B17" s="142" t="s">
        <v>152</v>
      </c>
      <c r="C17" s="142" t="s">
        <v>113</v>
      </c>
      <c r="D17" s="142" t="s">
        <v>25</v>
      </c>
      <c r="E17" s="301">
        <f>SUM(F17:P17)</f>
        <v>0.12956175624458971</v>
      </c>
      <c r="F17" s="301">
        <f>SUMPRODUCT(F13:F16,'Parameters, general'!$B$23:$B$26)</f>
        <v>3.4963537377244516E-2</v>
      </c>
      <c r="G17" s="301">
        <f>SUMPRODUCT(G13:G16,'Parameters, general'!$B$23:$B$26)</f>
        <v>3.01313E-2</v>
      </c>
      <c r="H17" s="301">
        <f>SUMPRODUCT(H13:H16,'Parameters, general'!$B$23:$B$26)</f>
        <v>4.6394090867584795E-2</v>
      </c>
      <c r="I17" s="301">
        <f>SUMPRODUCT(I13:I16,'Parameters, general'!$B$23:$B$26)</f>
        <v>4.6394090867584786E-3</v>
      </c>
      <c r="J17" s="301">
        <f>SUMPRODUCT(J13:J16,'Parameters, general'!$B$23:$B$26)</f>
        <v>1.3433418913001914E-2</v>
      </c>
      <c r="K17" s="301">
        <f>SUMPRODUCT(K13:K16,'Parameters, general'!$B$23:$B$26)</f>
        <v>0</v>
      </c>
      <c r="L17" s="301">
        <f>SUMPRODUCT(L13:L16,'Parameters, general'!$B$23:$B$26)</f>
        <v>0</v>
      </c>
      <c r="M17" s="301">
        <f>SUMPRODUCT(M13:M16,'Parameters, general'!$B$23:$B$26)</f>
        <v>0</v>
      </c>
      <c r="N17" s="301">
        <f>SUMPRODUCT(N13:N16,'Parameters, general'!$B$23:$B$26)</f>
        <v>0</v>
      </c>
      <c r="O17" s="301">
        <f>SUMPRODUCT(O13:O16,'Parameters, general'!$B$23:$B$26)</f>
        <v>0</v>
      </c>
      <c r="P17" s="301"/>
      <c r="R17" s="119"/>
      <c r="S17" s="6"/>
    </row>
    <row r="18" spans="1:19" x14ac:dyDescent="0.3">
      <c r="B18" t="s">
        <v>152</v>
      </c>
      <c r="C18" t="s">
        <v>109</v>
      </c>
      <c r="D18" t="s">
        <v>21</v>
      </c>
      <c r="E18" s="4">
        <f t="shared" ref="E18:E21" si="2">SUM(F18:P18)</f>
        <v>8.1168082825064047E-2</v>
      </c>
      <c r="F18" s="4">
        <f>'Forage, input data per ha'!E10*(Frac_BAT_GR*EF_min_fert_BAT_CO2+Frac_AN_GR*EF_min_fert_AN_CO2)/'Forage, input data per ha'!C10</f>
        <v>2.175109426324023E-2</v>
      </c>
      <c r="G18" s="4">
        <f>EF_capital_goods_CO2</f>
        <v>2.7E-2</v>
      </c>
      <c r="H18" s="4"/>
      <c r="I18" s="4"/>
      <c r="J18" s="4">
        <f>'Forage, input data per ha'!J10*EF_diesel_CO2*Heating_value_diesel/'Forage, input data per ha'!C10</f>
        <v>3.241698856182381E-2</v>
      </c>
      <c r="K18" s="4"/>
      <c r="L18" s="4">
        <f>'Forage, input data per ha'!K10*'Parameters, general'!$B$17/'Forage, input data per ha'!C10</f>
        <v>0</v>
      </c>
      <c r="M18" s="4"/>
      <c r="N18" s="250"/>
      <c r="O18" s="4"/>
      <c r="P18" s="4"/>
    </row>
    <row r="19" spans="1:19" x14ac:dyDescent="0.3">
      <c r="B19" t="s">
        <v>152</v>
      </c>
      <c r="C19" t="s">
        <v>110</v>
      </c>
      <c r="D19" t="s">
        <v>21</v>
      </c>
      <c r="E19" s="4">
        <f t="shared" si="2"/>
        <v>1.4926093556085892E-4</v>
      </c>
      <c r="F19" s="4">
        <f>'Forage, input data per ha'!E10*(Frac_BAT_GR*EF_min_fert_BAT_CH4+Frac_AN_GR*EF_min_fert_AN_CH4)/'Forage, input data per ha'!C10</f>
        <v>3.9901302719260733E-5</v>
      </c>
      <c r="G19" s="4">
        <f>EF_capital_goods_CH4</f>
        <v>9.5000000000000005E-5</v>
      </c>
      <c r="H19" s="4"/>
      <c r="I19" s="4"/>
      <c r="J19" s="4">
        <f>'Forage, input data per ha'!J10*EF_diesel_CH4*Heating_value_diesel/'Forage, input data per ha'!C10</f>
        <v>1.4359632841598194E-5</v>
      </c>
      <c r="K19" s="4"/>
      <c r="L19" s="4">
        <f>'Forage, input data per ha'!K10*'Parameters, general'!$C$17/'Forage, input data per ha'!C10</f>
        <v>0</v>
      </c>
      <c r="M19" s="4"/>
      <c r="N19" s="4"/>
      <c r="O19" s="4"/>
      <c r="P19" s="4"/>
    </row>
    <row r="20" spans="1:19" x14ac:dyDescent="0.3">
      <c r="B20" t="s">
        <v>152</v>
      </c>
      <c r="C20" t="s">
        <v>440</v>
      </c>
      <c r="D20" t="s">
        <v>21</v>
      </c>
      <c r="E20" s="4">
        <f t="shared" si="2"/>
        <v>0</v>
      </c>
      <c r="F20" s="4"/>
      <c r="G20" s="4"/>
      <c r="H20" s="4"/>
      <c r="I20" s="4"/>
      <c r="J20" s="4"/>
      <c r="K20" s="4"/>
      <c r="L20" s="4"/>
      <c r="M20" s="4"/>
      <c r="N20" s="4"/>
      <c r="O20" s="4"/>
      <c r="P20" s="4"/>
    </row>
    <row r="21" spans="1:19" x14ac:dyDescent="0.3">
      <c r="B21" t="s">
        <v>152</v>
      </c>
      <c r="C21" t="s">
        <v>112</v>
      </c>
      <c r="D21" t="s">
        <v>21</v>
      </c>
      <c r="E21" s="4">
        <f t="shared" si="2"/>
        <v>2.412429127614697E-4</v>
      </c>
      <c r="F21" s="4">
        <f>'Forage, input data per ha'!E10*(Frac_BAT_GR*EF_min_fert_BAT_N2O+Frac_AN_GR*EF_min_fert_AN_N2O)/'Forage, input data per ha'!C10</f>
        <v>4.7791180802654265E-5</v>
      </c>
      <c r="G21" s="4">
        <f>EF_capital_goods_N2O</f>
        <v>1.1000000000000001E-6</v>
      </c>
      <c r="H21" s="4">
        <f>('Forage, input data per ha'!E10*'Parameters, country spec'!D81+'Forage, input data per ha'!H10*'Parameters, country spec'!D82)*44/28/'Forage, input data per ha'!C10</f>
        <v>1.7407334076117382E-4</v>
      </c>
      <c r="I21" s="4">
        <f>H21*0.1</f>
        <v>1.7407334076117384E-5</v>
      </c>
      <c r="J21" s="4">
        <f>'Forage, input data per ha'!J10*EF_diesel_N2O*Heating_value_diesel/'Forage, input data per ha'!C10</f>
        <v>8.7105712152424362E-7</v>
      </c>
      <c r="K21" s="4"/>
      <c r="L21" s="4">
        <f>'Forage, input data per ha'!K10*'Parameters, general'!$D$17/'Forage, input data per ha'!C10</f>
        <v>0</v>
      </c>
      <c r="M21" s="4"/>
      <c r="N21" s="4"/>
      <c r="O21" s="4"/>
      <c r="P21" s="4"/>
    </row>
    <row r="22" spans="1:19" ht="15" customHeight="1" x14ac:dyDescent="0.3">
      <c r="A22" s="142"/>
      <c r="B22" s="142" t="s">
        <v>152</v>
      </c>
      <c r="C22" s="142" t="s">
        <v>113</v>
      </c>
      <c r="D22" s="142" t="s">
        <v>21</v>
      </c>
      <c r="E22" s="301">
        <f>SUM(F22:P22)</f>
        <v>0.15147537388865887</v>
      </c>
      <c r="F22" s="301">
        <f>SUMPRODUCT(F18:F21,'Parameters, general'!$B$23:$B$26)</f>
        <v>3.5987145443398816E-2</v>
      </c>
      <c r="G22" s="301">
        <f>SUMPRODUCT(G18:G21,'Parameters, general'!$B$23:$B$26)</f>
        <v>3.01313E-2</v>
      </c>
      <c r="H22" s="301">
        <f>SUMPRODUCT(H18:H21,'Parameters, general'!$B$23:$B$26)</f>
        <v>4.7522022027800453E-2</v>
      </c>
      <c r="I22" s="301">
        <f>SUMPRODUCT(I18:I21,'Parameters, general'!$B$23:$B$26)</f>
        <v>4.7522022027800459E-3</v>
      </c>
      <c r="J22" s="301">
        <f>SUMPRODUCT(J18:J21,'Parameters, general'!$B$23:$B$26)</f>
        <v>3.3082704214679549E-2</v>
      </c>
      <c r="K22" s="301">
        <f>SUMPRODUCT(K18:K21,'Parameters, general'!$B$23:$B$26)</f>
        <v>0</v>
      </c>
      <c r="L22" s="301">
        <f>SUMPRODUCT(L18:L21,'Parameters, general'!$B$23:$B$26)</f>
        <v>0</v>
      </c>
      <c r="M22" s="301">
        <f>SUMPRODUCT(M18:M21,'Parameters, general'!$B$23:$B$26)</f>
        <v>0</v>
      </c>
      <c r="N22" s="301">
        <f>SUMPRODUCT(N18:N21,'Parameters, general'!$B$23:$B$26)</f>
        <v>0</v>
      </c>
      <c r="O22" s="301">
        <f>SUMPRODUCT(O18:O21,'Parameters, general'!$B$23:$B$26)</f>
        <v>0</v>
      </c>
      <c r="P22" s="301"/>
      <c r="R22" s="119"/>
      <c r="S22" s="6"/>
    </row>
    <row r="23" spans="1:19" x14ac:dyDescent="0.3">
      <c r="B23" t="s">
        <v>152</v>
      </c>
      <c r="C23" t="s">
        <v>109</v>
      </c>
      <c r="D23" t="s">
        <v>114</v>
      </c>
      <c r="E23" s="4">
        <f t="shared" ref="E23:E26" si="3">SUM(F23:P23)</f>
        <v>9.744927680671181E-2</v>
      </c>
      <c r="F23" s="4">
        <f>'Forage, input data per ha'!E11*(Frac_BAT_HU*EF_min_fert_BAT_CO2+Frac_AN_HU*EF_min_fert_AN_CO2)/'Forage, input data per ha'!C11</f>
        <v>2.1751094263240234E-2</v>
      </c>
      <c r="G23" s="4">
        <f>EF_capital_goods_CO2</f>
        <v>2.7E-2</v>
      </c>
      <c r="H23" s="4"/>
      <c r="I23" s="4"/>
      <c r="J23" s="4">
        <f>'Forage, input data per ha'!J11*EF_diesel_CO2*Heating_value_diesel/'Forage, input data per ha'!C11</f>
        <v>4.869818254347158E-2</v>
      </c>
      <c r="K23" s="4"/>
      <c r="L23" s="4">
        <f>'Forage, input data per ha'!K11*'Parameters, general'!$B$17/'Forage, input data per ha'!C11</f>
        <v>0</v>
      </c>
      <c r="M23" s="4"/>
      <c r="N23" s="4"/>
      <c r="O23" s="4"/>
      <c r="P23" s="4"/>
    </row>
    <row r="24" spans="1:19" x14ac:dyDescent="0.3">
      <c r="B24" t="s">
        <v>152</v>
      </c>
      <c r="C24" t="s">
        <v>110</v>
      </c>
      <c r="D24" t="s">
        <v>114</v>
      </c>
      <c r="E24" s="4">
        <f t="shared" si="3"/>
        <v>1.5647295549767155E-4</v>
      </c>
      <c r="F24" s="4">
        <f>'Forage, input data per ha'!E11*(Frac_BAT_HU*EF_min_fert_BAT_CH4+Frac_AN_HU*EF_min_fert_AN_CH4)/'Forage, input data per ha'!C11</f>
        <v>3.9901302719260733E-5</v>
      </c>
      <c r="G24" s="4">
        <f>EF_capital_goods_CH4</f>
        <v>9.5000000000000005E-5</v>
      </c>
      <c r="H24" s="4"/>
      <c r="I24" s="4"/>
      <c r="J24" s="4">
        <f>'Forage, input data per ha'!J11*EF_diesel_CH4*Heating_value_diesel/'Forage, input data per ha'!C11</f>
        <v>2.1571652778410818E-5</v>
      </c>
      <c r="K24" s="4"/>
      <c r="L24" s="4">
        <f>'Forage, input data per ha'!K11*'Parameters, general'!$C$17/'Forage, input data per ha'!C11</f>
        <v>0</v>
      </c>
      <c r="M24" s="4"/>
      <c r="N24" s="4"/>
      <c r="O24" s="4"/>
      <c r="P24" s="4"/>
    </row>
    <row r="25" spans="1:19" x14ac:dyDescent="0.3">
      <c r="B25" t="s">
        <v>152</v>
      </c>
      <c r="C25" t="s">
        <v>440</v>
      </c>
      <c r="D25" t="s">
        <v>114</v>
      </c>
      <c r="E25" s="4">
        <f t="shared" si="3"/>
        <v>0</v>
      </c>
      <c r="F25" s="4"/>
      <c r="G25" s="4"/>
      <c r="H25" s="4"/>
      <c r="I25" s="4"/>
      <c r="J25" s="4"/>
      <c r="K25" s="4"/>
      <c r="L25" s="4"/>
      <c r="M25" s="4"/>
      <c r="N25" s="4"/>
      <c r="O25" s="4"/>
      <c r="P25" s="4"/>
    </row>
    <row r="26" spans="1:19" x14ac:dyDescent="0.3">
      <c r="B26" t="s">
        <v>152</v>
      </c>
      <c r="C26" t="s">
        <v>112</v>
      </c>
      <c r="D26" t="s">
        <v>114</v>
      </c>
      <c r="E26" s="4">
        <f t="shared" si="3"/>
        <v>2.4168039479153511E-4</v>
      </c>
      <c r="F26" s="4">
        <f>'Forage, input data per ha'!E11*(Frac_BAT_HU*EF_min_fert_BAT_N2O+Frac_AN_HU*EF_min_fert_AN_N2O)/'Forage, input data per ha'!C11</f>
        <v>4.7791180802654265E-5</v>
      </c>
      <c r="G26" s="4">
        <f>EF_capital_goods_N2O</f>
        <v>1.1000000000000001E-6</v>
      </c>
      <c r="H26" s="4">
        <f>('Forage, input data per ha'!E11*'Parameters, country spec'!E81+'Forage, input data per ha'!H11*'Parameters, country spec'!E82)*44/28/'Forage, input data per ha'!C11</f>
        <v>1.7407334076117385E-4</v>
      </c>
      <c r="I26" s="4">
        <f>H26*0.1</f>
        <v>1.7407334076117384E-5</v>
      </c>
      <c r="J26" s="4">
        <f>'Forage, input data per ha'!J11*EF_diesel_N2O*Heating_value_diesel/'Forage, input data per ha'!C11</f>
        <v>1.3085391515895945E-6</v>
      </c>
      <c r="K26" s="4"/>
      <c r="L26" s="4">
        <f>'Forage, input data per ha'!K11*'Parameters, general'!$D$17/'Forage, input data per ha'!C11</f>
        <v>0</v>
      </c>
      <c r="M26" s="4"/>
      <c r="N26" s="4"/>
      <c r="O26" s="4"/>
      <c r="P26" s="4"/>
    </row>
    <row r="27" spans="1:19" ht="15" customHeight="1" x14ac:dyDescent="0.3">
      <c r="A27" s="142"/>
      <c r="B27" s="142" t="s">
        <v>152</v>
      </c>
      <c r="C27" s="142" t="s">
        <v>113</v>
      </c>
      <c r="D27" s="142" t="s">
        <v>114</v>
      </c>
      <c r="E27" s="301">
        <f>SUM(F27:P27)</f>
        <v>0.16809091865863149</v>
      </c>
      <c r="F27" s="301">
        <f>SUMPRODUCT(F23:F26,'Parameters, general'!$B$23:$B$26)</f>
        <v>3.5987145443398816E-2</v>
      </c>
      <c r="G27" s="301">
        <f>SUMPRODUCT(G23:G26,'Parameters, general'!$B$23:$B$26)</f>
        <v>3.01313E-2</v>
      </c>
      <c r="H27" s="301">
        <f>SUMPRODUCT(H23:H26,'Parameters, general'!$B$23:$B$26)</f>
        <v>4.752202202780046E-2</v>
      </c>
      <c r="I27" s="301">
        <f>SUMPRODUCT(I23:I26,'Parameters, general'!$B$23:$B$26)</f>
        <v>4.7522022027800459E-3</v>
      </c>
      <c r="J27" s="301">
        <f>SUMPRODUCT(J23:J26,'Parameters, general'!$B$23:$B$26)</f>
        <v>4.969824898465218E-2</v>
      </c>
      <c r="K27" s="301">
        <f>SUMPRODUCT(K23:K26,'Parameters, general'!$B$23:$B$26)</f>
        <v>0</v>
      </c>
      <c r="L27" s="301">
        <f>SUMPRODUCT(L23:L26,'Parameters, general'!$B$23:$B$26)</f>
        <v>0</v>
      </c>
      <c r="M27" s="301">
        <f>SUMPRODUCT(M23:M26,'Parameters, general'!$B$23:$B$26)</f>
        <v>0</v>
      </c>
      <c r="N27" s="301">
        <f>SUMPRODUCT(N23:N26,'Parameters, general'!$B$23:$B$26)</f>
        <v>0</v>
      </c>
      <c r="O27" s="301">
        <f>SUMPRODUCT(O23:O26,'Parameters, general'!$B$23:$B$26)</f>
        <v>0</v>
      </c>
      <c r="P27" s="301"/>
      <c r="R27" s="119"/>
      <c r="S27" s="6"/>
    </row>
    <row r="28" spans="1:19" x14ac:dyDescent="0.3">
      <c r="B28" t="s">
        <v>152</v>
      </c>
      <c r="C28" t="s">
        <v>109</v>
      </c>
      <c r="D28" t="s">
        <v>23</v>
      </c>
      <c r="E28" s="4">
        <f t="shared" ref="E28:E31" si="4">SUM(F28:P28)</f>
        <v>6.0876696894766318E-2</v>
      </c>
      <c r="F28" s="4">
        <f>'Forage, input data per ha'!E12*(Frac_BAT_IT*EF_min_fert_BAT_CO2+Frac_AN_IT*EF_min_fert_AN_CO2)/'Forage, input data per ha'!C12</f>
        <v>2.175109426324023E-2</v>
      </c>
      <c r="G28" s="4">
        <f>EF_capital_goods_CO2</f>
        <v>2.7E-2</v>
      </c>
      <c r="H28" s="4"/>
      <c r="I28" s="4"/>
      <c r="J28" s="4">
        <f>'Forage, input data per ha'!J12*EF_diesel_CO2*Heating_value_diesel/'Forage, input data per ha'!C12</f>
        <v>1.2125602631526086E-2</v>
      </c>
      <c r="K28" s="4"/>
      <c r="L28" s="4">
        <f>'Forage, input data per ha'!K12*'Parameters, general'!$B$17/'Forage, input data per ha'!C12</f>
        <v>0</v>
      </c>
      <c r="M28" s="4"/>
      <c r="N28" s="4"/>
      <c r="O28" s="4"/>
      <c r="P28" s="4"/>
    </row>
    <row r="29" spans="1:19" x14ac:dyDescent="0.3">
      <c r="B29" t="s">
        <v>152</v>
      </c>
      <c r="C29" t="s">
        <v>110</v>
      </c>
      <c r="D29" t="s">
        <v>23</v>
      </c>
      <c r="E29" s="4">
        <f t="shared" si="4"/>
        <v>1.4027253581328368E-4</v>
      </c>
      <c r="F29" s="4">
        <f>'Forage, input data per ha'!E12*(Frac_BAT_IT*EF_min_fert_BAT_CH4+Frac_AN_IT*EF_min_fert_AN_CH4)/'Forage, input data per ha'!C12</f>
        <v>3.9901302719260733E-5</v>
      </c>
      <c r="G29" s="4">
        <f>EF_capital_goods_CH4</f>
        <v>9.5000000000000005E-5</v>
      </c>
      <c r="H29" s="4"/>
      <c r="I29" s="4"/>
      <c r="J29" s="4">
        <f>'Forage, input data per ha'!J12*EF_diesel_CH4*Heating_value_diesel/'Forage, input data per ha'!C12</f>
        <v>5.371233094022949E-6</v>
      </c>
      <c r="K29" s="4"/>
      <c r="L29" s="4">
        <f>'Forage, input data per ha'!K12*'Parameters, general'!$C$17/'Forage, input data per ha'!C12</f>
        <v>0</v>
      </c>
      <c r="M29" s="4"/>
      <c r="N29" s="4"/>
      <c r="O29" s="4"/>
      <c r="P29" s="4"/>
    </row>
    <row r="30" spans="1:19" x14ac:dyDescent="0.3">
      <c r="B30" t="s">
        <v>152</v>
      </c>
      <c r="C30" t="s">
        <v>440</v>
      </c>
      <c r="D30" t="s">
        <v>23</v>
      </c>
      <c r="E30" s="4">
        <f t="shared" si="4"/>
        <v>0</v>
      </c>
      <c r="F30" s="4"/>
      <c r="G30" s="4"/>
      <c r="H30" s="4"/>
      <c r="I30" s="4"/>
      <c r="J30" s="4"/>
      <c r="K30" s="4"/>
      <c r="L30" s="4"/>
      <c r="M30" s="4"/>
      <c r="N30" s="4"/>
      <c r="O30" s="4"/>
      <c r="P30" s="4"/>
    </row>
    <row r="31" spans="1:19" x14ac:dyDescent="0.3">
      <c r="B31" t="s">
        <v>152</v>
      </c>
      <c r="C31" t="s">
        <v>112</v>
      </c>
      <c r="D31" t="s">
        <v>23</v>
      </c>
      <c r="E31" s="4">
        <f t="shared" si="4"/>
        <v>2.4069767531023409E-4</v>
      </c>
      <c r="F31" s="4">
        <f>'Forage, input data per ha'!E12*(Frac_BAT_IT*EF_min_fert_BAT_N2O+Frac_AN_IT*EF_min_fert_AN_N2O)/'Forage, input data per ha'!C12</f>
        <v>4.7791180802654258E-5</v>
      </c>
      <c r="G31" s="4">
        <f>EF_capital_goods_N2O</f>
        <v>1.1000000000000001E-6</v>
      </c>
      <c r="H31" s="4">
        <f>('Forage, input data per ha'!E12*'Parameters, country spec'!F81+'Forage, input data per ha'!H12*'Parameters, country spec'!F82)*44/28/'Forage, input data per ha'!C12</f>
        <v>1.7407334076117382E-4</v>
      </c>
      <c r="I31" s="4">
        <f>H31*0.1</f>
        <v>1.7407334076117384E-5</v>
      </c>
      <c r="J31" s="4">
        <f>'Forage, input data per ha'!J12*EF_diesel_N2O*Heating_value_diesel/'Forage, input data per ha'!C12</f>
        <v>3.2581967028863559E-7</v>
      </c>
      <c r="K31" s="4"/>
      <c r="L31" s="4">
        <f>'Forage, input data per ha'!K12*'Parameters, general'!$D$17/'Forage, input data per ha'!C12</f>
        <v>0</v>
      </c>
      <c r="M31" s="4"/>
      <c r="N31" s="4"/>
      <c r="O31" s="4"/>
      <c r="P31" s="4"/>
    </row>
    <row r="32" spans="1:19" ht="15" customHeight="1" x14ac:dyDescent="0.3">
      <c r="A32" s="142"/>
      <c r="B32" s="142" t="s">
        <v>152</v>
      </c>
      <c r="C32" s="142" t="s">
        <v>113</v>
      </c>
      <c r="D32" s="142" t="s">
        <v>23</v>
      </c>
      <c r="E32" s="301">
        <f>SUM(F32:P32)</f>
        <v>0.13076728382169608</v>
      </c>
      <c r="F32" s="301">
        <f>SUMPRODUCT(F28:F31,'Parameters, general'!$B$23:$B$26)</f>
        <v>3.5987145443398816E-2</v>
      </c>
      <c r="G32" s="301">
        <f>SUMPRODUCT(G28:G31,'Parameters, general'!$B$23:$B$26)</f>
        <v>3.01313E-2</v>
      </c>
      <c r="H32" s="301">
        <f>SUMPRODUCT(H28:H31,'Parameters, general'!$B$23:$B$26)</f>
        <v>4.7522022027800453E-2</v>
      </c>
      <c r="I32" s="301">
        <f>SUMPRODUCT(I28:I31,'Parameters, general'!$B$23:$B$26)</f>
        <v>4.7522022027800459E-3</v>
      </c>
      <c r="J32" s="301">
        <f>SUMPRODUCT(J28:J31,'Parameters, general'!$B$23:$B$26)</f>
        <v>1.2374614147716767E-2</v>
      </c>
      <c r="K32" s="301">
        <f>SUMPRODUCT(K28:K31,'Parameters, general'!$B$23:$B$26)</f>
        <v>0</v>
      </c>
      <c r="L32" s="301">
        <f>SUMPRODUCT(L28:L31,'Parameters, general'!$B$23:$B$26)</f>
        <v>0</v>
      </c>
      <c r="M32" s="301">
        <f>SUMPRODUCT(M28:M31,'Parameters, general'!$B$23:$B$26)</f>
        <v>0</v>
      </c>
      <c r="N32" s="301">
        <f>SUMPRODUCT(N28:N31,'Parameters, general'!$B$23:$B$26)</f>
        <v>0</v>
      </c>
      <c r="O32" s="301">
        <f>SUMPRODUCT(O28:O31,'Parameters, general'!$B$23:$B$26)</f>
        <v>0</v>
      </c>
      <c r="P32" s="301"/>
      <c r="R32" s="119"/>
      <c r="S32" s="6"/>
    </row>
    <row r="33" spans="1:19" x14ac:dyDescent="0.3">
      <c r="B33" t="s">
        <v>152</v>
      </c>
      <c r="C33" t="s">
        <v>109</v>
      </c>
      <c r="D33" t="s">
        <v>20</v>
      </c>
      <c r="E33" s="4">
        <f t="shared" ref="E33:E36" si="5">SUM(F33:P33)</f>
        <v>0.14480219901619124</v>
      </c>
      <c r="F33" s="4">
        <f>'Forage, input data per ha'!E13*(Frac_BAT_NL*EF_min_fert_BAT_CO2+Frac_AN_NL*EF_min_fert_AN_CO2)/'Forage, input data per ha'!C13</f>
        <v>9.7200179188847394E-2</v>
      </c>
      <c r="G33" s="4">
        <f>EF_capital_goods_CO2</f>
        <v>2.7E-2</v>
      </c>
      <c r="H33" s="4"/>
      <c r="I33" s="4"/>
      <c r="J33" s="4">
        <f>'Forage, input data per ha'!J13*EF_diesel_CO2*Heating_value_diesel/'Forage, input data per ha'!C13</f>
        <v>2.0602019827343845E-2</v>
      </c>
      <c r="K33" s="4"/>
      <c r="L33" s="4">
        <f>'Forage, input data per ha'!K13*'Parameters, general'!$B$17/'Forage, input data per ha'!C13</f>
        <v>0</v>
      </c>
      <c r="M33" s="4"/>
      <c r="N33" s="250"/>
      <c r="O33" s="4"/>
      <c r="P33" s="4"/>
    </row>
    <row r="34" spans="1:19" x14ac:dyDescent="0.3">
      <c r="B34" t="s">
        <v>152</v>
      </c>
      <c r="C34" t="s">
        <v>110</v>
      </c>
      <c r="D34" t="s">
        <v>20</v>
      </c>
      <c r="E34" s="4">
        <f t="shared" si="5"/>
        <v>2.8243490387347279E-4</v>
      </c>
      <c r="F34" s="4">
        <f>'Forage, input data per ha'!E13*(Frac_BAT_NL*EF_min_fert_BAT_CH4+Frac_AN_NL*EF_min_fert_AN_CH4)/'Forage, input data per ha'!C13</f>
        <v>1.7830890378398945E-4</v>
      </c>
      <c r="G34" s="4">
        <f>EF_capital_goods_CH4</f>
        <v>9.5000000000000005E-5</v>
      </c>
      <c r="H34" s="4"/>
      <c r="I34" s="4"/>
      <c r="J34" s="4">
        <f>'Forage, input data per ha'!J13*EF_diesel_CH4*Heating_value_diesel/'Forage, input data per ha'!C13</f>
        <v>9.1260000894833206E-6</v>
      </c>
      <c r="K34" s="4"/>
      <c r="L34" s="4">
        <f>'Forage, input data per ha'!K13*'Parameters, general'!$C$17/'Forage, input data per ha'!C13</f>
        <v>0</v>
      </c>
      <c r="M34" s="4"/>
      <c r="N34" s="4"/>
      <c r="O34" s="4"/>
      <c r="P34" s="4"/>
    </row>
    <row r="35" spans="1:19" x14ac:dyDescent="0.3">
      <c r="B35" t="s">
        <v>152</v>
      </c>
      <c r="C35" t="s">
        <v>440</v>
      </c>
      <c r="D35" t="s">
        <v>20</v>
      </c>
      <c r="E35" s="4">
        <f t="shared" si="5"/>
        <v>0</v>
      </c>
      <c r="F35" s="4"/>
      <c r="G35" s="4"/>
      <c r="H35" s="4"/>
      <c r="I35" s="4"/>
      <c r="J35" s="4"/>
      <c r="K35" s="4"/>
      <c r="L35" s="4"/>
      <c r="M35" s="4"/>
      <c r="N35" s="4"/>
      <c r="O35" s="4"/>
      <c r="P35" s="4"/>
    </row>
    <row r="36" spans="1:19" x14ac:dyDescent="0.3">
      <c r="B36" t="s">
        <v>152</v>
      </c>
      <c r="C36" t="s">
        <v>112</v>
      </c>
      <c r="D36" t="s">
        <v>20</v>
      </c>
      <c r="E36" s="4">
        <f t="shared" si="5"/>
        <v>9.6094274791355889E-4</v>
      </c>
      <c r="F36" s="4">
        <f>'Forage, input data per ha'!E13*(Frac_BAT_NL*EF_min_fert_BAT_N2O+Frac_AN_NL*EF_min_fert_AN_N2O)/'Forage, input data per ha'!C13</f>
        <v>2.1356678801743158E-4</v>
      </c>
      <c r="G36" s="4">
        <f>EF_capital_goods_N2O</f>
        <v>1.1000000000000001E-6</v>
      </c>
      <c r="H36" s="4">
        <f>('Forage, input data per ha'!E13*'Parameters, country spec'!G81+'Forage, input data per ha'!H13*'Parameters, country spec'!G82)*44/28/'Forage, input data per ha'!C13</f>
        <v>6.7792943235542443E-4</v>
      </c>
      <c r="I36" s="4">
        <f>H36*0.1</f>
        <v>6.7792943235542451E-5</v>
      </c>
      <c r="J36" s="4">
        <f>'Forage, input data per ha'!J13*EF_diesel_N2O*Heating_value_diesel/'Forage, input data per ha'!C13</f>
        <v>5.5358430516045113E-7</v>
      </c>
      <c r="K36" s="4"/>
      <c r="L36" s="4">
        <f>'Forage, input data per ha'!K13*'Parameters, general'!$D$17/'Forage, input data per ha'!C13</f>
        <v>0</v>
      </c>
      <c r="M36" s="4"/>
      <c r="N36" s="4"/>
      <c r="O36" s="4"/>
      <c r="P36" s="4"/>
    </row>
    <row r="37" spans="1:19" ht="15" customHeight="1" x14ac:dyDescent="0.3">
      <c r="A37" s="142"/>
      <c r="B37" s="142" t="s">
        <v>152</v>
      </c>
      <c r="C37" s="142" t="s">
        <v>113</v>
      </c>
      <c r="D37" s="142" t="s">
        <v>20</v>
      </c>
      <c r="E37" s="301">
        <f>SUM(F37:P37)</f>
        <v>0.41555612933202235</v>
      </c>
      <c r="F37" s="301">
        <f>SUMPRODUCT(F33:F36,'Parameters, general'!$B$23:$B$26)</f>
        <v>0.16081751765036911</v>
      </c>
      <c r="G37" s="301">
        <f>SUMPRODUCT(G33:G36,'Parameters, general'!$B$23:$B$26)</f>
        <v>3.01313E-2</v>
      </c>
      <c r="H37" s="301">
        <f>SUMPRODUCT(H33:H36,'Parameters, general'!$B$23:$B$26)</f>
        <v>0.18507473503303087</v>
      </c>
      <c r="I37" s="301">
        <f>SUMPRODUCT(I33:I36,'Parameters, general'!$B$23:$B$26)</f>
        <v>1.850747350330309E-2</v>
      </c>
      <c r="J37" s="301">
        <f>SUMPRODUCT(J33:J36,'Parameters, general'!$B$23:$B$26)</f>
        <v>2.1025103145319253E-2</v>
      </c>
      <c r="K37" s="301">
        <f>SUMPRODUCT(K33:K36,'Parameters, general'!$B$23:$B$26)</f>
        <v>0</v>
      </c>
      <c r="L37" s="301">
        <f>SUMPRODUCT(L33:L36,'Parameters, general'!$B$23:$B$26)</f>
        <v>0</v>
      </c>
      <c r="M37" s="301">
        <f>SUMPRODUCT(M33:M36,'Parameters, general'!$B$23:$B$26)</f>
        <v>0</v>
      </c>
      <c r="N37" s="301">
        <f>SUMPRODUCT(N33:N36,'Parameters, general'!$B$23:$B$26)</f>
        <v>0</v>
      </c>
      <c r="O37" s="301">
        <f>SUMPRODUCT(O33:O36,'Parameters, general'!$B$23:$B$26)</f>
        <v>0</v>
      </c>
      <c r="P37" s="301"/>
      <c r="R37" s="119"/>
      <c r="S37" s="6"/>
    </row>
    <row r="38" spans="1:19" x14ac:dyDescent="0.3">
      <c r="B38" t="s">
        <v>152</v>
      </c>
      <c r="C38" t="s">
        <v>109</v>
      </c>
      <c r="D38" t="s">
        <v>22</v>
      </c>
      <c r="E38" s="4">
        <f t="shared" ref="E38:E41" si="6">SUM(F38:P38)</f>
        <v>6.3973911802340508E-2</v>
      </c>
      <c r="F38" s="4">
        <f>'Forage, input data per ha'!E14*(Frac_BAT_PL*EF_min_fert_BAT_CO2+Frac_AN_PL*EF_min_fert_AN_CO2)/'Forage, input data per ha'!C14</f>
        <v>2.1751094263240234E-2</v>
      </c>
      <c r="G38" s="4">
        <f>EF_capital_goods_CO2</f>
        <v>2.7E-2</v>
      </c>
      <c r="H38" s="4"/>
      <c r="I38" s="4"/>
      <c r="J38" s="4">
        <f>'Forage, input data per ha'!J14*EF_diesel_CO2*Heating_value_diesel/'Forage, input data per ha'!C14</f>
        <v>1.5222817539100278E-2</v>
      </c>
      <c r="K38" s="4"/>
      <c r="L38" s="4">
        <f>'Forage, input data per ha'!K14*'Parameters, general'!$B$17/'Forage, input data per ha'!C14</f>
        <v>0</v>
      </c>
      <c r="M38" s="4"/>
      <c r="N38" s="250"/>
      <c r="O38" s="4"/>
      <c r="P38" s="4"/>
    </row>
    <row r="39" spans="1:19" x14ac:dyDescent="0.3">
      <c r="B39" t="s">
        <v>152</v>
      </c>
      <c r="C39" t="s">
        <v>110</v>
      </c>
      <c r="D39" t="s">
        <v>22</v>
      </c>
      <c r="E39" s="4">
        <f t="shared" si="6"/>
        <v>1.4164449758016619E-4</v>
      </c>
      <c r="F39" s="4">
        <f>'Forage, input data per ha'!E14*(Frac_BAT_PL*EF_min_fert_BAT_CH4+Frac_AN_PL*EF_min_fert_AN_CH4)/'Forage, input data per ha'!C14</f>
        <v>3.9901302719260733E-5</v>
      </c>
      <c r="G39" s="4">
        <f>EF_capital_goods_CH4</f>
        <v>9.5000000000000005E-5</v>
      </c>
      <c r="H39" s="4"/>
      <c r="I39" s="4"/>
      <c r="J39" s="4">
        <f>'Forage, input data per ha'!J14*EF_diesel_CH4*Heating_value_diesel/'Forage, input data per ha'!C14</f>
        <v>6.7431948609054584E-6</v>
      </c>
      <c r="K39" s="4"/>
      <c r="L39" s="4">
        <f>'Forage, input data per ha'!K14*'Parameters, general'!$C$17/'Forage, input data per ha'!C14</f>
        <v>0</v>
      </c>
      <c r="M39" s="4"/>
      <c r="N39" s="4"/>
      <c r="O39" s="4"/>
      <c r="P39" s="4"/>
    </row>
    <row r="40" spans="1:19" x14ac:dyDescent="0.3">
      <c r="B40" t="s">
        <v>152</v>
      </c>
      <c r="C40" t="s">
        <v>440</v>
      </c>
      <c r="D40" t="s">
        <v>22</v>
      </c>
      <c r="E40" s="4">
        <f t="shared" si="6"/>
        <v>0</v>
      </c>
      <c r="F40" s="4"/>
      <c r="G40" s="4"/>
      <c r="H40" s="4"/>
      <c r="I40" s="4"/>
      <c r="J40" s="4"/>
      <c r="K40" s="4"/>
      <c r="L40" s="4"/>
      <c r="M40" s="4"/>
      <c r="N40" s="4"/>
      <c r="O40" s="4"/>
      <c r="P40" s="4"/>
    </row>
    <row r="41" spans="1:19" x14ac:dyDescent="0.3">
      <c r="B41" t="s">
        <v>152</v>
      </c>
      <c r="C41" t="s">
        <v>112</v>
      </c>
      <c r="D41" t="s">
        <v>22</v>
      </c>
      <c r="E41" s="4">
        <f t="shared" si="6"/>
        <v>2.4078089868235546E-4</v>
      </c>
      <c r="F41" s="4">
        <f>'Forage, input data per ha'!E14*(Frac_BAT_PL*EF_min_fert_BAT_N2O+Frac_AN_PL*EF_min_fert_AN_N2O)/'Forage, input data per ha'!C14</f>
        <v>4.7791180802654265E-5</v>
      </c>
      <c r="G41" s="4">
        <f>EF_capital_goods_N2O</f>
        <v>1.1000000000000001E-6</v>
      </c>
      <c r="H41" s="4">
        <f>('Forage, input data per ha'!E14*'Parameters, country spec'!H81+'Forage, input data per ha'!H14*'Parameters, country spec'!H82)*44/28/'Forage, input data per ha'!C14</f>
        <v>1.7407334076117385E-4</v>
      </c>
      <c r="I41" s="4">
        <f>H41*0.1</f>
        <v>1.7407334076117384E-5</v>
      </c>
      <c r="J41" s="4">
        <f>'Forage, input data per ha'!J14*EF_diesel_N2O*Heating_value_diesel/'Forage, input data per ha'!C14</f>
        <v>4.0904304240996531E-7</v>
      </c>
      <c r="K41" s="4"/>
      <c r="L41" s="4">
        <f>'Forage, input data per ha'!K14*'Parameters, general'!$D$17/'Forage, input data per ha'!C14</f>
        <v>0</v>
      </c>
      <c r="M41" s="4"/>
      <c r="N41" s="4"/>
      <c r="O41" s="4"/>
      <c r="P41" s="4"/>
    </row>
    <row r="42" spans="1:19" ht="15" customHeight="1" x14ac:dyDescent="0.3">
      <c r="A42" s="142"/>
      <c r="B42" s="142" t="s">
        <v>152</v>
      </c>
      <c r="C42" s="142" t="s">
        <v>113</v>
      </c>
      <c r="D42" s="142" t="s">
        <v>22</v>
      </c>
      <c r="E42" s="301">
        <f>SUM(F42:P42)</f>
        <v>0.13392810317051249</v>
      </c>
      <c r="F42" s="301">
        <f>SUMPRODUCT(F38:F41,'Parameters, general'!$B$23:$B$26)</f>
        <v>3.5987145443398816E-2</v>
      </c>
      <c r="G42" s="301">
        <f>SUMPRODUCT(G38:G41,'Parameters, general'!$B$23:$B$26)</f>
        <v>3.01313E-2</v>
      </c>
      <c r="H42" s="301">
        <f>SUMPRODUCT(H38:H41,'Parameters, general'!$B$23:$B$26)</f>
        <v>4.752202202780046E-2</v>
      </c>
      <c r="I42" s="301">
        <f>SUMPRODUCT(I38:I41,'Parameters, general'!$B$23:$B$26)</f>
        <v>4.7522022027800459E-3</v>
      </c>
      <c r="J42" s="301">
        <f>SUMPRODUCT(J38:J41,'Parameters, general'!$B$23:$B$26)</f>
        <v>1.553543349653318E-2</v>
      </c>
      <c r="K42" s="301">
        <f>SUMPRODUCT(K38:K41,'Parameters, general'!$B$23:$B$26)</f>
        <v>0</v>
      </c>
      <c r="L42" s="301">
        <f>SUMPRODUCT(L38:L41,'Parameters, general'!$B$23:$B$26)</f>
        <v>0</v>
      </c>
      <c r="M42" s="301">
        <f>SUMPRODUCT(M38:M41,'Parameters, general'!$B$23:$B$26)</f>
        <v>0</v>
      </c>
      <c r="N42" s="301">
        <f>SUMPRODUCT(N38:N41,'Parameters, general'!$B$23:$B$26)</f>
        <v>0</v>
      </c>
      <c r="O42" s="301">
        <f>SUMPRODUCT(O38:O41,'Parameters, general'!$B$23:$B$26)</f>
        <v>0</v>
      </c>
      <c r="P42" s="301"/>
      <c r="R42" s="119"/>
      <c r="S42" s="6"/>
    </row>
    <row r="43" spans="1:19" x14ac:dyDescent="0.3">
      <c r="B43" t="s">
        <v>152</v>
      </c>
      <c r="C43" t="s">
        <v>109</v>
      </c>
      <c r="D43" t="s">
        <v>26</v>
      </c>
      <c r="E43" s="4">
        <f t="shared" ref="E43:E46" si="7">SUM(F43:P43)</f>
        <v>7.0670207474978319E-2</v>
      </c>
      <c r="F43" s="4">
        <f>'Forage, input data per ha'!E15*(Frac_BAT_ES*EF_min_fert_BAT_CO2+Frac_AN_ES*EF_min_fert_AN_CO2)/'Forage, input data per ha'!C15</f>
        <v>2.1751094263240234E-2</v>
      </c>
      <c r="G43" s="4">
        <f>EF_capital_goods_CO2</f>
        <v>2.7E-2</v>
      </c>
      <c r="H43" s="4"/>
      <c r="I43" s="4"/>
      <c r="J43" s="4">
        <f>'Forage, input data per ha'!J15*EF_diesel_CO2*Heating_value_diesel/'Forage, input data per ha'!C15</f>
        <v>2.1919113211738082E-2</v>
      </c>
      <c r="K43" s="4"/>
      <c r="L43" s="4">
        <f>'Forage, input data per ha'!K15*'Parameters, general'!$B$17/'Forage, input data per ha'!C15</f>
        <v>0</v>
      </c>
      <c r="M43" s="4"/>
      <c r="N43" s="4"/>
      <c r="O43" s="4"/>
      <c r="P43" s="4"/>
    </row>
    <row r="44" spans="1:19" x14ac:dyDescent="0.3">
      <c r="B44" t="s">
        <v>152</v>
      </c>
      <c r="C44" t="s">
        <v>110</v>
      </c>
      <c r="D44" t="s">
        <v>26</v>
      </c>
      <c r="E44" s="4">
        <f t="shared" si="7"/>
        <v>1.4461073076603038E-4</v>
      </c>
      <c r="F44" s="4">
        <f>'Forage, input data per ha'!E15*(Frac_BAT_ES*EF_min_fert_BAT_CH4+Frac_AN_ES*EF_min_fert_AN_CH4)/'Forage, input data per ha'!C15</f>
        <v>3.9901302719260733E-5</v>
      </c>
      <c r="G44" s="4">
        <f>EF_capital_goods_CH4</f>
        <v>9.5000000000000005E-5</v>
      </c>
      <c r="H44" s="4"/>
      <c r="I44" s="4"/>
      <c r="J44" s="4">
        <f>'Forage, input data per ha'!J15*EF_diesel_CH4*Heating_value_diesel/'Forage, input data per ha'!C15</f>
        <v>9.7094280467696498E-6</v>
      </c>
      <c r="K44" s="4"/>
      <c r="L44" s="4">
        <f>'Forage, input data per ha'!K15*'Parameters, general'!$C$17/'Forage, input data per ha'!C15</f>
        <v>0</v>
      </c>
      <c r="M44" s="4"/>
      <c r="N44" s="4"/>
      <c r="O44" s="4"/>
      <c r="P44" s="4"/>
    </row>
    <row r="45" spans="1:19" x14ac:dyDescent="0.3">
      <c r="B45" t="s">
        <v>152</v>
      </c>
      <c r="C45" t="s">
        <v>440</v>
      </c>
      <c r="D45" t="s">
        <v>26</v>
      </c>
      <c r="E45" s="4">
        <f t="shared" si="7"/>
        <v>0</v>
      </c>
      <c r="F45" s="4"/>
      <c r="G45" s="4"/>
      <c r="H45" s="4"/>
      <c r="I45" s="4"/>
      <c r="J45" s="4"/>
      <c r="K45" s="4"/>
      <c r="L45" s="4"/>
      <c r="M45" s="4"/>
      <c r="N45" s="4"/>
      <c r="O45" s="4"/>
      <c r="P45" s="4"/>
    </row>
    <row r="46" spans="1:19" x14ac:dyDescent="0.3">
      <c r="B46" t="s">
        <v>152</v>
      </c>
      <c r="C46" t="s">
        <v>112</v>
      </c>
      <c r="D46" t="s">
        <v>26</v>
      </c>
      <c r="E46" s="4">
        <f t="shared" si="7"/>
        <v>2.4096083075785839E-4</v>
      </c>
      <c r="F46" s="4">
        <f>'Forage, input data per ha'!E15*(Frac_BAT_ES*EF_min_fert_BAT_N2O+Frac_AN_ES*EF_min_fert_AN_N2O)/'Forage, input data per ha'!C15</f>
        <v>4.7791180802654265E-5</v>
      </c>
      <c r="G46" s="4">
        <f>EF_capital_goods_N2O</f>
        <v>1.1000000000000001E-6</v>
      </c>
      <c r="H46" s="4">
        <f>('Forage, input data per ha'!E15*'Parameters, country spec'!I81+'Forage, input data per ha'!H15*'Parameters, country spec'!I82)*44/28/'Forage, input data per ha'!C15</f>
        <v>1.7407334076117385E-4</v>
      </c>
      <c r="I46" s="4">
        <f>H46*0.1</f>
        <v>1.7407334076117384E-5</v>
      </c>
      <c r="J46" s="4">
        <f>'Forage, input data per ha'!J15*EF_diesel_N2O*Heating_value_diesel/'Forage, input data per ha'!C15</f>
        <v>5.8897511791287795E-7</v>
      </c>
      <c r="K46" s="4"/>
      <c r="L46" s="4">
        <f>'Forage, input data per ha'!K15*'Parameters, general'!$D$17/'Forage, input data per ha'!C15</f>
        <v>0</v>
      </c>
      <c r="M46" s="4"/>
      <c r="N46" s="4"/>
      <c r="O46" s="4"/>
      <c r="P46" s="4"/>
    </row>
    <row r="47" spans="1:19" ht="15" customHeight="1" x14ac:dyDescent="0.3">
      <c r="A47" s="142"/>
      <c r="B47" s="142" t="s">
        <v>152</v>
      </c>
      <c r="C47" s="142" t="s">
        <v>113</v>
      </c>
      <c r="D47" s="142" t="s">
        <v>26</v>
      </c>
      <c r="E47" s="301">
        <f>SUM(F47:P47)</f>
        <v>0.14076191404870134</v>
      </c>
      <c r="F47" s="301">
        <f>SUMPRODUCT(F43:F46,'Parameters, general'!$B$23:$B$26)</f>
        <v>3.5987145443398816E-2</v>
      </c>
      <c r="G47" s="301">
        <f>SUMPRODUCT(G43:G46,'Parameters, general'!$B$23:$B$26)</f>
        <v>3.01313E-2</v>
      </c>
      <c r="H47" s="301">
        <f>SUMPRODUCT(H43:H46,'Parameters, general'!$B$23:$B$26)</f>
        <v>4.752202202780046E-2</v>
      </c>
      <c r="I47" s="301">
        <f>SUMPRODUCT(I43:I46,'Parameters, general'!$B$23:$B$26)</f>
        <v>4.7522022027800459E-3</v>
      </c>
      <c r="J47" s="301">
        <f>SUMPRODUCT(J43:J46,'Parameters, general'!$B$23:$B$26)</f>
        <v>2.2369244374722035E-2</v>
      </c>
      <c r="K47" s="301">
        <f>SUMPRODUCT(K43:K46,'Parameters, general'!$B$23:$B$26)</f>
        <v>0</v>
      </c>
      <c r="L47" s="301">
        <f>SUMPRODUCT(L43:L46,'Parameters, general'!$B$23:$B$26)</f>
        <v>0</v>
      </c>
      <c r="M47" s="301">
        <f>SUMPRODUCT(M43:M46,'Parameters, general'!$B$23:$B$26)</f>
        <v>0</v>
      </c>
      <c r="N47" s="301">
        <f>SUMPRODUCT(N43:N46,'Parameters, general'!$B$23:$B$26)</f>
        <v>0</v>
      </c>
      <c r="O47" s="301">
        <f>SUMPRODUCT(O43:O46,'Parameters, general'!$B$23:$B$26)</f>
        <v>0</v>
      </c>
      <c r="P47" s="301"/>
      <c r="R47" s="119"/>
      <c r="S47" s="6"/>
    </row>
    <row r="48" spans="1:19" x14ac:dyDescent="0.3">
      <c r="B48" t="s">
        <v>152</v>
      </c>
      <c r="C48" t="s">
        <v>109</v>
      </c>
      <c r="D48" t="s">
        <v>27</v>
      </c>
      <c r="E48" s="4">
        <f t="shared" ref="E48:E51" si="8">SUM(F48:P48)</f>
        <v>6.0039825186889023E-2</v>
      </c>
      <c r="F48" s="4">
        <f>'Forage, input data per ha'!E16*(Frac_BAT_SE*EF_min_fert_BAT_CO2+Frac_AN_SE*EF_min_fert_AN_CO2)/'Forage, input data per ha'!C16</f>
        <v>0</v>
      </c>
      <c r="G48" s="4">
        <f>EF_capital_goods_CO2</f>
        <v>2.7E-2</v>
      </c>
      <c r="H48" s="4"/>
      <c r="I48" s="4"/>
      <c r="J48" s="4">
        <f>'Forage, input data per ha'!J16*EF_diesel_CO2*Heating_value_diesel/'Forage, input data per ha'!C16</f>
        <v>3.303982518688902E-2</v>
      </c>
      <c r="K48" s="4"/>
      <c r="L48" s="4">
        <f>'Forage, input data per ha'!K16*'Parameters, general'!$B$17/'Forage, input data per ha'!C16</f>
        <v>0</v>
      </c>
      <c r="M48" s="4"/>
      <c r="N48" s="250"/>
      <c r="O48" s="4"/>
      <c r="P48" s="4"/>
    </row>
    <row r="49" spans="1:19" x14ac:dyDescent="0.3">
      <c r="B49" t="s">
        <v>152</v>
      </c>
      <c r="C49" t="s">
        <v>110</v>
      </c>
      <c r="D49" t="s">
        <v>27</v>
      </c>
      <c r="E49" s="4">
        <f t="shared" si="8"/>
        <v>1.0963552846463486E-4</v>
      </c>
      <c r="F49" s="4">
        <f>'Forage, input data per ha'!E16*(Frac_BAT_SE*EF_min_fert_BAT_CH4+Frac_AN_SE*EF_min_fert_AN_CH4)/'Forage, input data per ha'!C16</f>
        <v>0</v>
      </c>
      <c r="G49" s="4">
        <f>EF_capital_goods_CH4</f>
        <v>9.5000000000000005E-5</v>
      </c>
      <c r="H49" s="4"/>
      <c r="I49" s="4"/>
      <c r="J49" s="4">
        <f>'Forage, input data per ha'!J16*EF_diesel_CH4*Heating_value_diesel/'Forage, input data per ha'!C16</f>
        <v>1.463552846463485E-5</v>
      </c>
      <c r="K49" s="4"/>
      <c r="L49" s="4">
        <f>'Forage, input data per ha'!K16*'Parameters, general'!$C$17/'Forage, input data per ha'!C16</f>
        <v>0</v>
      </c>
      <c r="M49" s="4"/>
      <c r="N49" s="4"/>
      <c r="O49" s="4"/>
      <c r="P49" s="4"/>
    </row>
    <row r="50" spans="1:19" x14ac:dyDescent="0.3">
      <c r="B50" t="s">
        <v>152</v>
      </c>
      <c r="C50" t="s">
        <v>440</v>
      </c>
      <c r="D50" t="s">
        <v>27</v>
      </c>
      <c r="E50" s="4">
        <f t="shared" si="8"/>
        <v>0</v>
      </c>
      <c r="F50" s="4"/>
      <c r="G50" s="4"/>
      <c r="H50" s="4"/>
      <c r="I50" s="4"/>
      <c r="J50" s="4"/>
      <c r="K50" s="4"/>
      <c r="L50" s="4"/>
      <c r="M50" s="4"/>
      <c r="N50" s="4"/>
      <c r="O50" s="4"/>
      <c r="P50" s="4"/>
    </row>
    <row r="51" spans="1:19" x14ac:dyDescent="0.3">
      <c r="B51" t="s">
        <v>152</v>
      </c>
      <c r="C51" t="s">
        <v>112</v>
      </c>
      <c r="D51" t="s">
        <v>27</v>
      </c>
      <c r="E51" s="4">
        <f t="shared" si="8"/>
        <v>7.520505556662538E-5</v>
      </c>
      <c r="F51" s="4">
        <f>'Forage, input data per ha'!E16*(Frac_BAT_SE*EF_min_fert_BAT_N2O+Frac_AN_SE*EF_min_fert_AN_N2O)/'Forage, input data per ha'!C16</f>
        <v>0</v>
      </c>
      <c r="G51" s="4">
        <f>EF_capital_goods_N2O</f>
        <v>1.1000000000000001E-6</v>
      </c>
      <c r="H51" s="4">
        <f>('Forage, input data per ha'!E16*'Parameters, country spec'!J81+'Forage, input data per ha'!H16*'Parameters, country spec'!J82)*44/28/'Forage, input data per ha'!C16</f>
        <v>6.6561147801955938E-5</v>
      </c>
      <c r="I51" s="4">
        <f>H51*0.1</f>
        <v>6.6561147801955938E-6</v>
      </c>
      <c r="J51" s="4">
        <f>'Forage, input data per ha'!J16*EF_diesel_N2O*Heating_value_diesel/'Forage, input data per ha'!C16</f>
        <v>8.8779298447383559E-7</v>
      </c>
      <c r="K51" s="4"/>
      <c r="L51" s="4">
        <f>'Forage, input data per ha'!K16*'Parameters, general'!$D$17/'Forage, input data per ha'!C16</f>
        <v>0</v>
      </c>
      <c r="M51" s="4"/>
      <c r="N51" s="4"/>
      <c r="O51" s="4"/>
      <c r="P51" s="4"/>
    </row>
    <row r="52" spans="1:19" ht="15" customHeight="1" x14ac:dyDescent="0.3">
      <c r="A52" s="142"/>
      <c r="B52" s="142" t="s">
        <v>152</v>
      </c>
      <c r="C52" s="142" t="s">
        <v>113</v>
      </c>
      <c r="D52" s="142" t="s">
        <v>27</v>
      </c>
      <c r="E52" s="301">
        <f>SUM(F52:P52)</f>
        <v>8.3837944104823869E-2</v>
      </c>
      <c r="F52" s="301">
        <f>SUMPRODUCT(F48:F51,'Parameters, general'!$B$23:$B$26)</f>
        <v>0</v>
      </c>
      <c r="G52" s="301">
        <f>SUMPRODUCT(G48:G51,'Parameters, general'!$B$23:$B$26)</f>
        <v>3.01313E-2</v>
      </c>
      <c r="H52" s="301">
        <f>SUMPRODUCT(H48:H51,'Parameters, general'!$B$23:$B$26)</f>
        <v>1.8171193349933973E-2</v>
      </c>
      <c r="I52" s="301">
        <f>SUMPRODUCT(I48:I51,'Parameters, general'!$B$23:$B$26)</f>
        <v>1.817119334993397E-3</v>
      </c>
      <c r="J52" s="301">
        <f>SUMPRODUCT(J48:J51,'Parameters, general'!$B$23:$B$26)</f>
        <v>3.3718331419896497E-2</v>
      </c>
      <c r="K52" s="301">
        <f>SUMPRODUCT(K48:K51,'Parameters, general'!$B$23:$B$26)</f>
        <v>0</v>
      </c>
      <c r="L52" s="301">
        <f>SUMPRODUCT(L48:L51,'Parameters, general'!$B$23:$B$26)</f>
        <v>0</v>
      </c>
      <c r="M52" s="301">
        <f>SUMPRODUCT(M48:M51,'Parameters, general'!$B$23:$B$26)</f>
        <v>0</v>
      </c>
      <c r="N52" s="301">
        <f>SUMPRODUCT(N48:N51,'Parameters, general'!$B$23:$B$26)</f>
        <v>0</v>
      </c>
      <c r="O52" s="301">
        <f>SUMPRODUCT(O48:O51,'Parameters, general'!$B$23:$B$26)</f>
        <v>0</v>
      </c>
      <c r="P52" s="301"/>
      <c r="R52" s="119"/>
      <c r="S52" s="6"/>
    </row>
    <row r="54" spans="1:19" ht="18" x14ac:dyDescent="0.35">
      <c r="A54" s="239" t="s">
        <v>441</v>
      </c>
      <c r="B54" s="106"/>
      <c r="C54" s="106"/>
      <c r="D54" s="106"/>
      <c r="E54" s="106"/>
      <c r="F54" s="106"/>
      <c r="G54" s="106"/>
      <c r="H54" s="106"/>
      <c r="I54" s="106"/>
      <c r="J54" s="106"/>
      <c r="K54" s="106"/>
      <c r="L54" s="106"/>
      <c r="M54" s="106"/>
      <c r="N54" s="106"/>
      <c r="O54" s="106"/>
      <c r="P54" s="106"/>
    </row>
    <row r="56" spans="1:19" x14ac:dyDescent="0.3">
      <c r="A56" s="240" t="s">
        <v>355</v>
      </c>
      <c r="B56" s="241"/>
      <c r="C56" s="241"/>
      <c r="D56" s="241"/>
      <c r="E56" s="242" t="s">
        <v>82</v>
      </c>
      <c r="F56" s="242" t="s">
        <v>83</v>
      </c>
      <c r="G56" s="243"/>
      <c r="H56" s="242" t="s">
        <v>84</v>
      </c>
      <c r="I56" s="244"/>
      <c r="J56" s="245" t="s">
        <v>85</v>
      </c>
      <c r="K56" s="244"/>
      <c r="L56" s="244"/>
      <c r="M56" s="244"/>
      <c r="N56" s="245" t="s">
        <v>86</v>
      </c>
      <c r="O56" s="245" t="s">
        <v>87</v>
      </c>
      <c r="P56" s="245" t="s">
        <v>88</v>
      </c>
    </row>
    <row r="57" spans="1:19" ht="37.200000000000003" customHeight="1" x14ac:dyDescent="0.3">
      <c r="A57" s="246" t="s">
        <v>44</v>
      </c>
      <c r="B57" s="246" t="s">
        <v>355</v>
      </c>
      <c r="C57" s="246" t="s">
        <v>93</v>
      </c>
      <c r="D57" s="247" t="s">
        <v>438</v>
      </c>
      <c r="E57" s="248"/>
      <c r="F57" s="46" t="s">
        <v>8</v>
      </c>
      <c r="G57" s="46" t="s">
        <v>9</v>
      </c>
      <c r="H57" s="46" t="s">
        <v>95</v>
      </c>
      <c r="I57" s="46" t="s">
        <v>439</v>
      </c>
      <c r="J57" s="46" t="s">
        <v>97</v>
      </c>
      <c r="K57" s="46" t="s">
        <v>98</v>
      </c>
      <c r="L57" s="46" t="s">
        <v>99</v>
      </c>
      <c r="M57" s="46" t="s">
        <v>100</v>
      </c>
      <c r="N57" s="46" t="s">
        <v>101</v>
      </c>
      <c r="O57" s="46"/>
      <c r="P57" s="46"/>
      <c r="R57" s="119"/>
      <c r="S57" s="6"/>
    </row>
    <row r="58" spans="1:19" x14ac:dyDescent="0.3">
      <c r="B58" t="s">
        <v>430</v>
      </c>
      <c r="C58" t="s">
        <v>109</v>
      </c>
      <c r="D58" t="s">
        <v>28</v>
      </c>
      <c r="E58" s="4">
        <f t="shared" ref="E58:E66" si="9">SUM(F58:P58)</f>
        <v>0.1152552491010753</v>
      </c>
      <c r="F58" s="4">
        <f>'Forage, input data per ha'!E23*(Frac_BAT_FR*EF_min_fert_BAT_CO2+Frac_AN_FR*EF_min_fert_AN_CO2)/'Forage, input data per ha'!C23</f>
        <v>1.8290244595307845E-2</v>
      </c>
      <c r="G58" s="4">
        <f>EF_capital_goods_CO2</f>
        <v>2.7E-2</v>
      </c>
      <c r="H58" s="4"/>
      <c r="I58" s="4"/>
      <c r="J58" s="4">
        <f>'Forage, input data per ha'!J23*EF_diesel_CO2*Heating_value_diesel/'Forage, input data per ha'!C23</f>
        <v>1.6437442716420066E-2</v>
      </c>
      <c r="K58" s="4"/>
      <c r="L58" s="4">
        <f>'Forage, input data per ha'!K23*'Parameters, general'!$B$17/'Forage, input data per ha'!C23</f>
        <v>6.8275617893473915E-3</v>
      </c>
      <c r="M58" s="4"/>
      <c r="N58" s="250"/>
      <c r="O58" s="4">
        <f>'Parameters, general'!$B$20</f>
        <v>4.6700000000000005E-2</v>
      </c>
      <c r="P58" s="4"/>
    </row>
    <row r="59" spans="1:19" x14ac:dyDescent="0.3">
      <c r="B59" t="s">
        <v>430</v>
      </c>
      <c r="C59" t="s">
        <v>110</v>
      </c>
      <c r="D59" t="s">
        <v>28</v>
      </c>
      <c r="E59" s="4">
        <f t="shared" si="9"/>
        <v>8.6666830127486087E-4</v>
      </c>
      <c r="F59" s="4">
        <f>'Forage, input data per ha'!E23*(Frac_BAT_FR*EF_min_fert_BAT_CH4+Frac_AN_FR*EF_min_fert_AN_CH4)/'Forage, input data per ha'!C23</f>
        <v>3.3552545797205459E-5</v>
      </c>
      <c r="G59" s="4">
        <f>EF_capital_goods_CH4</f>
        <v>9.5000000000000005E-5</v>
      </c>
      <c r="H59" s="4"/>
      <c r="I59" s="4"/>
      <c r="J59" s="4">
        <f>'Forage, input data per ha'!J23*EF_diesel_CH4*Heating_value_diesel/'Forage, input data per ha'!C23</f>
        <v>7.2812328576555162E-6</v>
      </c>
      <c r="K59" s="4"/>
      <c r="L59" s="4">
        <f>'Forage, input data per ha'!K23*'Parameters, general'!$C$17/'Forage, input data per ha'!C23</f>
        <v>2.2834522620000003E-5</v>
      </c>
      <c r="M59" s="4"/>
      <c r="N59" s="4"/>
      <c r="O59" s="4">
        <f>'Parameters, general'!$C$20</f>
        <v>7.0799999999999997E-4</v>
      </c>
      <c r="P59" s="4"/>
    </row>
    <row r="60" spans="1:19" x14ac:dyDescent="0.3">
      <c r="B60" t="s">
        <v>430</v>
      </c>
      <c r="C60" t="s">
        <v>440</v>
      </c>
      <c r="D60" t="s">
        <v>28</v>
      </c>
      <c r="E60" s="4">
        <f t="shared" si="9"/>
        <v>0</v>
      </c>
      <c r="F60" s="4"/>
      <c r="G60" s="4"/>
      <c r="H60" s="4"/>
      <c r="I60" s="4"/>
      <c r="J60" s="4"/>
      <c r="K60" s="4"/>
      <c r="L60" s="4"/>
      <c r="M60" s="4"/>
      <c r="N60" s="4"/>
      <c r="O60" s="4"/>
      <c r="P60" s="4"/>
    </row>
    <row r="61" spans="1:19" x14ac:dyDescent="0.3">
      <c r="B61" t="s">
        <v>430</v>
      </c>
      <c r="C61" t="s">
        <v>112</v>
      </c>
      <c r="D61" t="s">
        <v>28</v>
      </c>
      <c r="E61" s="4">
        <f t="shared" si="9"/>
        <v>2.6318615090141582E-4</v>
      </c>
      <c r="F61" s="4">
        <f>'Forage, input data per ha'!E23*(Frac_BAT_FR*EF_min_fert_BAT_N2O+Frac_AN_FR*EF_min_fert_AN_N2O)/'Forage, input data per ha'!C23</f>
        <v>4.0187053386844723E-5</v>
      </c>
      <c r="G61" s="4">
        <f>EF_capital_goods_N2O</f>
        <v>1.1000000000000001E-6</v>
      </c>
      <c r="H61" s="4">
        <f>('Forage, input data per ha'!E23*'Parameters, country spec'!B81+'Forage, input data per ha'!H23*'Parameters, country spec'!B82)*44/28/'Forage, input data per ha'!C23</f>
        <v>1.3916035917453407E-4</v>
      </c>
      <c r="I61" s="4">
        <f>H61*0.1</f>
        <v>1.3916035917453407E-5</v>
      </c>
      <c r="J61" s="4">
        <f>'Forage, input data per ha'!J23*EF_diesel_N2O*Heating_value_diesel/'Forage, input data per ha'!C23</f>
        <v>4.4168049448757817E-7</v>
      </c>
      <c r="K61" s="4"/>
      <c r="L61" s="4">
        <f>'Forage, input data per ha'!K23*'Parameters, general'!$D$17/'Forage, input data per ha'!C23</f>
        <v>2.8102192809599998E-7</v>
      </c>
      <c r="M61" s="4"/>
      <c r="N61" s="4"/>
      <c r="O61" s="4">
        <f>'Parameters, general'!$D$20</f>
        <v>6.8099999999999988E-5</v>
      </c>
      <c r="P61" s="4"/>
    </row>
    <row r="62" spans="1:19" ht="15" customHeight="1" x14ac:dyDescent="0.3">
      <c r="A62" s="142"/>
      <c r="B62" s="142" t="s">
        <v>430</v>
      </c>
      <c r="C62" s="142" t="s">
        <v>113</v>
      </c>
      <c r="D62" s="142" t="s">
        <v>28</v>
      </c>
      <c r="E62" s="301">
        <f>SUM(F62:P62)</f>
        <v>0.21293178367515267</v>
      </c>
      <c r="F62" s="301">
        <f>SUMPRODUCT(F58:F61,'Parameters, general'!$B$23:$B$26)</f>
        <v>3.0261176034673178E-2</v>
      </c>
      <c r="G62" s="301">
        <f>SUMPRODUCT(G58:G61,'Parameters, general'!$B$23:$B$26)</f>
        <v>3.01313E-2</v>
      </c>
      <c r="H62" s="301">
        <f>SUMPRODUCT(H58:H61,'Parameters, general'!$B$23:$B$26)</f>
        <v>3.7990778054647803E-2</v>
      </c>
      <c r="I62" s="301">
        <f>SUMPRODUCT(I58:I61,'Parameters, general'!$B$23:$B$26)</f>
        <v>3.79907780546478E-3</v>
      </c>
      <c r="J62" s="301">
        <f>SUMPRODUCT(J58:J61,'Parameters, general'!$B$23:$B$26)</f>
        <v>1.6775002230573311E-2</v>
      </c>
      <c r="K62" s="301">
        <f>SUMPRODUCT(K58:K61,'Parameters, general'!$B$23:$B$26)</f>
        <v>0</v>
      </c>
      <c r="L62" s="301">
        <f>SUMPRODUCT(L58:L61,'Parameters, general'!$B$23:$B$26)</f>
        <v>7.5847495497935995E-3</v>
      </c>
      <c r="M62" s="301">
        <f>SUMPRODUCT(M58:M61,'Parameters, general'!$B$23:$B$26)</f>
        <v>0</v>
      </c>
      <c r="N62" s="301">
        <f>SUMPRODUCT(N58:N61,'Parameters, general'!$B$23:$B$26)</f>
        <v>0</v>
      </c>
      <c r="O62" s="301">
        <f>SUMPRODUCT(O58:O61,'Parameters, general'!$B$23:$B$26)</f>
        <v>8.6389700000000014E-2</v>
      </c>
      <c r="P62" s="301"/>
      <c r="R62" s="119"/>
      <c r="S62" s="6"/>
    </row>
    <row r="63" spans="1:19" x14ac:dyDescent="0.3">
      <c r="B63" t="s">
        <v>430</v>
      </c>
      <c r="C63" t="s">
        <v>109</v>
      </c>
      <c r="D63" t="s">
        <v>25</v>
      </c>
      <c r="E63" s="4">
        <f t="shared" si="9"/>
        <v>0.10091146196851433</v>
      </c>
      <c r="F63" s="4">
        <f>'Forage, input data per ha'!E24*(Frac_BAT_DE*EF_min_fert_BAT_CO2+Frac_AN_DE*EF_min_fert_AN_CO2)/'Forage, input data per ha'!C24</f>
        <v>1.2251094124540752E-2</v>
      </c>
      <c r="G63" s="4">
        <f>EF_capital_goods_CO2</f>
        <v>2.7E-2</v>
      </c>
      <c r="H63" s="4"/>
      <c r="I63" s="4"/>
      <c r="J63" s="4">
        <f>'Forage, input data per ha'!J24*EF_diesel_CO2*Heating_value_diesel/'Forage, input data per ha'!C24</f>
        <v>1.3384776661816474E-2</v>
      </c>
      <c r="K63" s="4"/>
      <c r="L63" s="4">
        <f>'Forage, input data per ha'!K24*'Parameters, general'!$B$17/'Forage, input data per ha'!C24</f>
        <v>1.5755911821570903E-3</v>
      </c>
      <c r="M63" s="4"/>
      <c r="N63" s="4"/>
      <c r="O63" s="4">
        <f>'Parameters, general'!$B$20</f>
        <v>4.6700000000000005E-2</v>
      </c>
      <c r="P63" s="4"/>
    </row>
    <row r="64" spans="1:19" x14ac:dyDescent="0.3">
      <c r="B64" t="s">
        <v>430</v>
      </c>
      <c r="C64" t="s">
        <v>110</v>
      </c>
      <c r="D64" t="s">
        <v>25</v>
      </c>
      <c r="E64" s="4">
        <f t="shared" si="9"/>
        <v>8.3667253398757248E-4</v>
      </c>
      <c r="F64" s="4">
        <f>'Forage, input data per ha'!E24*(Frac_BAT_DE*EF_min_fert_BAT_CH4+Frac_AN_DE*EF_min_fert_AN_CH4)/'Forage, input data per ha'!C24</f>
        <v>2.2474024037107735E-5</v>
      </c>
      <c r="G64" s="4">
        <f>EF_capital_goods_CH4</f>
        <v>9.5000000000000005E-5</v>
      </c>
      <c r="H64" s="4"/>
      <c r="I64" s="4"/>
      <c r="J64" s="4">
        <f>'Forage, input data per ha'!J24*EF_diesel_CH4*Heating_value_diesel/'Forage, input data per ha'!C24</f>
        <v>5.9290047304648054E-6</v>
      </c>
      <c r="K64" s="4"/>
      <c r="L64" s="4">
        <f>'Forage, input data per ha'!K24*'Parameters, general'!$C$17/'Forage, input data per ha'!C24</f>
        <v>5.26950522E-6</v>
      </c>
      <c r="M64" s="4"/>
      <c r="N64" s="4"/>
      <c r="O64" s="4">
        <f>'Parameters, general'!$C$20</f>
        <v>7.0799999999999997E-4</v>
      </c>
      <c r="P64" s="4"/>
    </row>
    <row r="65" spans="1:19" x14ac:dyDescent="0.3">
      <c r="B65" t="s">
        <v>430</v>
      </c>
      <c r="C65" t="s">
        <v>440</v>
      </c>
      <c r="D65" t="s">
        <v>25</v>
      </c>
      <c r="E65" s="4">
        <f t="shared" si="9"/>
        <v>0</v>
      </c>
      <c r="F65" s="4"/>
      <c r="G65" s="4"/>
      <c r="H65" s="4"/>
      <c r="I65" s="4"/>
      <c r="J65" s="4"/>
      <c r="K65" s="4"/>
      <c r="L65" s="4"/>
      <c r="M65" s="4"/>
      <c r="N65" s="4"/>
      <c r="O65" s="4"/>
      <c r="P65" s="4"/>
    </row>
    <row r="66" spans="1:19" x14ac:dyDescent="0.3">
      <c r="B66" t="s">
        <v>430</v>
      </c>
      <c r="C66" t="s">
        <v>112</v>
      </c>
      <c r="D66" t="s">
        <v>25</v>
      </c>
      <c r="E66" s="4">
        <f t="shared" si="9"/>
        <v>2.0525580539015881E-4</v>
      </c>
      <c r="F66" s="4">
        <f>'Forage, input data per ha'!E24*(Frac_BAT_DE*EF_min_fert_BAT_N2O+Frac_AN_DE*EF_min_fert_AN_N2O)/'Forage, input data per ha'!C24</f>
        <v>2.691792179512361E-5</v>
      </c>
      <c r="G66" s="4">
        <f>EF_capital_goods_N2O</f>
        <v>1.1000000000000001E-6</v>
      </c>
      <c r="H66" s="4">
        <f>('Forage, input data per ha'!E24*'Parameters, country spec'!C81+'Forage, input data per ha'!H24*'Parameters, country spec'!C82)*44/28/'Forage, input data per ha'!C24</f>
        <v>9.8830343830404321E-5</v>
      </c>
      <c r="I66" s="4">
        <f>H66*0.1</f>
        <v>9.8830343830404331E-6</v>
      </c>
      <c r="J66" s="4">
        <f>'Forage, input data per ha'!J24*EF_diesel_N2O*Heating_value_diesel/'Forage, input data per ha'!C24</f>
        <v>3.5965416741445745E-7</v>
      </c>
      <c r="K66" s="4"/>
      <c r="L66" s="4">
        <f>'Forage, input data per ha'!K24*'Parameters, general'!$D$17/'Forage, input data per ha'!C24</f>
        <v>6.4851214175999985E-8</v>
      </c>
      <c r="M66" s="4"/>
      <c r="N66" s="4"/>
      <c r="O66" s="4">
        <f>'Parameters, general'!$D$20</f>
        <v>6.8099999999999988E-5</v>
      </c>
      <c r="P66" s="4"/>
    </row>
    <row r="67" spans="1:19" ht="15" customHeight="1" x14ac:dyDescent="0.3">
      <c r="A67" s="142"/>
      <c r="B67" s="142" t="s">
        <v>430</v>
      </c>
      <c r="C67" s="142" t="s">
        <v>113</v>
      </c>
      <c r="D67" s="142" t="s">
        <v>25</v>
      </c>
      <c r="E67" s="301">
        <f>SUM(F67:P67)</f>
        <v>0.18187913835285735</v>
      </c>
      <c r="F67" s="301">
        <f>SUMPRODUCT(F63:F66,'Parameters, general'!$B$23:$B$26)</f>
        <v>2.0269412690915308E-2</v>
      </c>
      <c r="G67" s="301">
        <f>SUMPRODUCT(G63:G66,'Parameters, general'!$B$23:$B$26)</f>
        <v>3.01313E-2</v>
      </c>
      <c r="H67" s="301">
        <f>SUMPRODUCT(H63:H66,'Parameters, general'!$B$23:$B$26)</f>
        <v>2.6980683865700381E-2</v>
      </c>
      <c r="I67" s="301">
        <f>SUMPRODUCT(I63:I66,'Parameters, general'!$B$23:$B$26)</f>
        <v>2.6980683865700382E-3</v>
      </c>
      <c r="J67" s="301">
        <f>SUMPRODUCT(J63:J66,'Parameters, general'!$B$23:$B$26)</f>
        <v>1.3659646590488472E-2</v>
      </c>
      <c r="K67" s="301">
        <f>SUMPRODUCT(K63:K66,'Parameters, general'!$B$23:$B$26)</f>
        <v>0</v>
      </c>
      <c r="L67" s="301">
        <f>SUMPRODUCT(L63:L66,'Parameters, general'!$B$23:$B$26)</f>
        <v>1.7503268191831382E-3</v>
      </c>
      <c r="M67" s="301">
        <f>SUMPRODUCT(M63:M66,'Parameters, general'!$B$23:$B$26)</f>
        <v>0</v>
      </c>
      <c r="N67" s="301">
        <f>SUMPRODUCT(N63:N66,'Parameters, general'!$B$23:$B$26)</f>
        <v>0</v>
      </c>
      <c r="O67" s="301">
        <f>SUMPRODUCT(O63:O66,'Parameters, general'!$B$23:$B$26)</f>
        <v>8.6389700000000014E-2</v>
      </c>
      <c r="P67" s="301"/>
      <c r="R67" s="119"/>
      <c r="S67" s="6"/>
    </row>
    <row r="68" spans="1:19" x14ac:dyDescent="0.3">
      <c r="B68" t="s">
        <v>430</v>
      </c>
      <c r="C68" t="s">
        <v>109</v>
      </c>
      <c r="D68" t="s">
        <v>21</v>
      </c>
      <c r="E68" s="4">
        <f t="shared" ref="E68:E76" si="10">SUM(F68:P68)</f>
        <v>0.22000118826753179</v>
      </c>
      <c r="F68" s="4">
        <f>'Forage, input data per ha'!E25*(Frac_BAT_GR*EF_min_fert_BAT_CO2+Frac_AN_GR*EF_min_fert_AN_CO2)/'Forage, input data per ha'!C25</f>
        <v>9.9916129362765033E-2</v>
      </c>
      <c r="G68" s="4">
        <f>EF_capital_goods_CO2</f>
        <v>2.7E-2</v>
      </c>
      <c r="H68" s="4"/>
      <c r="I68" s="4"/>
      <c r="J68" s="4">
        <f>'Forage, input data per ha'!J25*EF_diesel_CO2*Heating_value_diesel/'Forage, input data per ha'!C25</f>
        <v>3.0929259689321011E-2</v>
      </c>
      <c r="K68" s="4"/>
      <c r="L68" s="4">
        <f>'Forage, input data per ha'!K25*'Parameters, general'!$B$17/'Forage, input data per ha'!C25</f>
        <v>1.5455799215445744E-2</v>
      </c>
      <c r="M68" s="4"/>
      <c r="N68" s="250"/>
      <c r="O68" s="4">
        <f>'Parameters, general'!$B$20</f>
        <v>4.6700000000000005E-2</v>
      </c>
      <c r="P68" s="4"/>
    </row>
    <row r="69" spans="1:19" x14ac:dyDescent="0.3">
      <c r="B69" t="s">
        <v>430</v>
      </c>
      <c r="C69" t="s">
        <v>110</v>
      </c>
      <c r="D69" t="s">
        <v>21</v>
      </c>
      <c r="E69" s="4">
        <f t="shared" si="10"/>
        <v>1.0516831355973388E-3</v>
      </c>
      <c r="F69" s="4">
        <f>'Forage, input data per ha'!E25*(Frac_BAT_GR*EF_min_fert_BAT_CH4+Frac_AN_GR*EF_min_fert_AN_CH4)/'Forage, input data per ha'!C25</f>
        <v>1.8329117956048056E-4</v>
      </c>
      <c r="G69" s="4">
        <f>EF_capital_goods_CH4</f>
        <v>9.5000000000000005E-5</v>
      </c>
      <c r="H69" s="4"/>
      <c r="I69" s="4"/>
      <c r="J69" s="4">
        <f>'Forage, input data per ha'!J25*EF_diesel_CH4*Heating_value_diesel/'Forage, input data per ha'!C25</f>
        <v>1.3700619116858083E-5</v>
      </c>
      <c r="K69" s="4"/>
      <c r="L69" s="4">
        <f>'Forage, input data per ha'!K25*'Parameters, general'!$C$17/'Forage, input data per ha'!C25</f>
        <v>5.169133692E-5</v>
      </c>
      <c r="M69" s="4"/>
      <c r="N69" s="4"/>
      <c r="O69" s="4">
        <f>'Parameters, general'!$C$20</f>
        <v>7.0799999999999997E-4</v>
      </c>
      <c r="P69" s="4"/>
    </row>
    <row r="70" spans="1:19" x14ac:dyDescent="0.3">
      <c r="B70" t="s">
        <v>430</v>
      </c>
      <c r="C70" t="s">
        <v>440</v>
      </c>
      <c r="D70" t="s">
        <v>21</v>
      </c>
      <c r="E70" s="4">
        <f t="shared" si="10"/>
        <v>0</v>
      </c>
      <c r="F70" s="4"/>
      <c r="G70" s="4"/>
      <c r="H70" s="4"/>
      <c r="I70" s="4"/>
      <c r="J70" s="4"/>
      <c r="K70" s="4"/>
      <c r="L70" s="4"/>
      <c r="M70" s="4"/>
      <c r="N70" s="4"/>
      <c r="O70" s="4"/>
      <c r="P70" s="4"/>
    </row>
    <row r="71" spans="1:19" x14ac:dyDescent="0.3">
      <c r="B71" t="s">
        <v>430</v>
      </c>
      <c r="C71" t="s">
        <v>112</v>
      </c>
      <c r="D71" t="s">
        <v>21</v>
      </c>
      <c r="E71" s="4">
        <f t="shared" si="10"/>
        <v>1.0428937458682038E-3</v>
      </c>
      <c r="F71" s="4">
        <f>'Forage, input data per ha'!E25*(Frac_BAT_GR*EF_min_fert_BAT_N2O+Frac_AN_GR*EF_min_fert_AN_N2O)/'Forage, input data per ha'!C25</f>
        <v>2.1953423334417359E-4</v>
      </c>
      <c r="G71" s="4">
        <f>EF_capital_goods_N2O</f>
        <v>1.1000000000000001E-6</v>
      </c>
      <c r="H71" s="4">
        <f>('Forage, input data per ha'!E25*'Parameters, country spec'!D81+'Forage, input data per ha'!H25*'Parameters, country spec'!D82)*44/28/'Forage, input data per ha'!C25</f>
        <v>6.842657015707418E-4</v>
      </c>
      <c r="I71" s="4">
        <f>H71*0.1</f>
        <v>6.842657015707418E-5</v>
      </c>
      <c r="J71" s="4">
        <f>'Forage, input data per ha'!J25*EF_diesel_N2O*Heating_value_diesel/'Forage, input data per ha'!C25</f>
        <v>8.3108126667827814E-7</v>
      </c>
      <c r="K71" s="4"/>
      <c r="L71" s="4">
        <f>'Forage, input data per ha'!K25*'Parameters, general'!$D$17/'Forage, input data per ha'!C25</f>
        <v>6.3615952953599989E-7</v>
      </c>
      <c r="M71" s="4"/>
      <c r="N71" s="4"/>
      <c r="O71" s="4">
        <f>'Parameters, general'!$D$20</f>
        <v>6.8099999999999988E-5</v>
      </c>
      <c r="P71" s="4"/>
    </row>
    <row r="72" spans="1:19" ht="15" customHeight="1" x14ac:dyDescent="0.3">
      <c r="A72" s="142"/>
      <c r="B72" s="142" t="s">
        <v>430</v>
      </c>
      <c r="C72" s="142" t="s">
        <v>113</v>
      </c>
      <c r="D72" s="142" t="s">
        <v>21</v>
      </c>
      <c r="E72" s="301">
        <f>SUM(F72:P72)</f>
        <v>0.53605133833035223</v>
      </c>
      <c r="F72" s="301">
        <f>SUMPRODUCT(F68:F71,'Parameters, general'!$B$23:$B$26)</f>
        <v>0.16531105221662676</v>
      </c>
      <c r="G72" s="301">
        <f>SUMPRODUCT(G68:G71,'Parameters, general'!$B$23:$B$26)</f>
        <v>3.01313E-2</v>
      </c>
      <c r="H72" s="301">
        <f>SUMPRODUCT(H68:H71,'Parameters, general'!$B$23:$B$26)</f>
        <v>0.18680453652881251</v>
      </c>
      <c r="I72" s="301">
        <f>SUMPRODUCT(I68:I71,'Parameters, general'!$B$23:$B$26)</f>
        <v>1.8680453652881252E-2</v>
      </c>
      <c r="J72" s="301">
        <f>SUMPRODUCT(J68:J71,'Parameters, general'!$B$23:$B$26)</f>
        <v>3.1564423324806551E-2</v>
      </c>
      <c r="K72" s="301">
        <f>SUMPRODUCT(K68:K71,'Parameters, general'!$B$23:$B$26)</f>
        <v>0</v>
      </c>
      <c r="L72" s="301">
        <f>SUMPRODUCT(L68:L71,'Parameters, general'!$B$23:$B$26)</f>
        <v>1.7169872607225072E-2</v>
      </c>
      <c r="M72" s="301">
        <f>SUMPRODUCT(M68:M71,'Parameters, general'!$B$23:$B$26)</f>
        <v>0</v>
      </c>
      <c r="N72" s="301">
        <f>SUMPRODUCT(N68:N71,'Parameters, general'!$B$23:$B$26)</f>
        <v>0</v>
      </c>
      <c r="O72" s="301">
        <f>SUMPRODUCT(O68:O71,'Parameters, general'!$B$23:$B$26)</f>
        <v>8.6389700000000014E-2</v>
      </c>
      <c r="P72" s="301"/>
      <c r="R72" s="119"/>
      <c r="S72" s="6"/>
    </row>
    <row r="73" spans="1:19" x14ac:dyDescent="0.3">
      <c r="B73" t="s">
        <v>430</v>
      </c>
      <c r="C73" t="s">
        <v>109</v>
      </c>
      <c r="D73" t="s">
        <v>114</v>
      </c>
      <c r="E73" s="4">
        <f t="shared" si="10"/>
        <v>0.1415611128946816</v>
      </c>
      <c r="F73" s="4">
        <f>'Forage, input data per ha'!E26*(Frac_BAT_HU*EF_min_fert_BAT_CO2+Frac_AN_HU*EF_min_fert_AN_CO2)/'Forage, input data per ha'!C26</f>
        <v>4.6200863620897606E-2</v>
      </c>
      <c r="G73" s="4">
        <f>EF_capital_goods_CO2</f>
        <v>2.7E-2</v>
      </c>
      <c r="H73" s="4"/>
      <c r="I73" s="4"/>
      <c r="J73" s="4">
        <f>'Forage, input data per ha'!J26*EF_diesel_CO2*Heating_value_diesel/'Forage, input data per ha'!C26</f>
        <v>2.151019297072139E-2</v>
      </c>
      <c r="K73" s="4"/>
      <c r="L73" s="4">
        <f>'Forage, input data per ha'!K26*'Parameters, general'!$B$17/'Forage, input data per ha'!C26</f>
        <v>1.5005630306258E-4</v>
      </c>
      <c r="M73" s="4"/>
      <c r="N73" s="4"/>
      <c r="O73" s="4">
        <f>'Parameters, general'!$B$20</f>
        <v>4.6700000000000005E-2</v>
      </c>
      <c r="P73" s="4"/>
    </row>
    <row r="74" spans="1:19" x14ac:dyDescent="0.3">
      <c r="B74" t="s">
        <v>430</v>
      </c>
      <c r="C74" t="s">
        <v>110</v>
      </c>
      <c r="D74" t="s">
        <v>114</v>
      </c>
      <c r="E74" s="4">
        <f t="shared" si="10"/>
        <v>8.9778333874785895E-4</v>
      </c>
      <c r="F74" s="4">
        <f>'Forage, input data per ha'!E26*(Frac_BAT_HU*EF_min_fert_BAT_CH4+Frac_AN_HU*EF_min_fert_AN_CH4)/'Forage, input data per ha'!C26</f>
        <v>8.475319093918984E-5</v>
      </c>
      <c r="G74" s="4">
        <f>EF_capital_goods_CH4</f>
        <v>9.5000000000000005E-5</v>
      </c>
      <c r="H74" s="4"/>
      <c r="I74" s="4"/>
      <c r="J74" s="4">
        <f>'Forage, input data per ha'!J26*EF_diesel_CH4*Heating_value_diesel/'Forage, input data per ha'!C26</f>
        <v>9.5282901686691296E-6</v>
      </c>
      <c r="K74" s="4"/>
      <c r="L74" s="4">
        <f>'Forage, input data per ha'!K26*'Parameters, general'!$C$17/'Forage, input data per ha'!C26</f>
        <v>5.0185763999999998E-7</v>
      </c>
      <c r="M74" s="4"/>
      <c r="N74" s="4"/>
      <c r="O74" s="4">
        <f>'Parameters, general'!$C$20</f>
        <v>7.0799999999999997E-4</v>
      </c>
      <c r="P74" s="4"/>
    </row>
    <row r="75" spans="1:19" x14ac:dyDescent="0.3">
      <c r="B75" t="s">
        <v>430</v>
      </c>
      <c r="C75" t="s">
        <v>440</v>
      </c>
      <c r="D75" t="s">
        <v>114</v>
      </c>
      <c r="E75" s="4">
        <f t="shared" si="10"/>
        <v>0</v>
      </c>
      <c r="F75" s="4"/>
      <c r="G75" s="4"/>
      <c r="H75" s="4"/>
      <c r="I75" s="4"/>
      <c r="J75" s="4"/>
      <c r="K75" s="4"/>
      <c r="L75" s="4"/>
      <c r="M75" s="4"/>
      <c r="N75" s="4"/>
      <c r="O75" s="4"/>
      <c r="P75" s="4"/>
    </row>
    <row r="76" spans="1:19" x14ac:dyDescent="0.3">
      <c r="B76" t="s">
        <v>430</v>
      </c>
      <c r="C76" t="s">
        <v>112</v>
      </c>
      <c r="D76" t="s">
        <v>114</v>
      </c>
      <c r="E76" s="4">
        <f t="shared" si="10"/>
        <v>5.2940112441992693E-4</v>
      </c>
      <c r="F76" s="4">
        <f>'Forage, input data per ha'!E26*(Frac_BAT_HU*EF_min_fert_BAT_N2O+Frac_AN_HU*EF_min_fert_AN_N2O)/'Forage, input data per ha'!C26</f>
        <v>1.0151185038431108E-4</v>
      </c>
      <c r="G76" s="4">
        <f>EF_capital_goods_N2O</f>
        <v>1.1000000000000001E-6</v>
      </c>
      <c r="H76" s="4">
        <f>('Forage, input data per ha'!E26*'Parameters, country spec'!E81+'Forage, input data per ha'!H26*'Parameters, country spec'!E82)*44/28/'Forage, input data per ha'!C26</f>
        <v>3.2555010041627146E-4</v>
      </c>
      <c r="I76" s="4">
        <f>H76*0.1</f>
        <v>3.2555010041627146E-5</v>
      </c>
      <c r="J76" s="4">
        <f>'Forage, input data per ha'!J26*EF_diesel_N2O*Heating_value_diesel/'Forage, input data per ha'!C26</f>
        <v>5.7798727160526391E-7</v>
      </c>
      <c r="K76" s="4"/>
      <c r="L76" s="4">
        <f>'Forage, input data per ha'!K26*'Parameters, general'!$D$17/'Forage, input data per ha'!C26</f>
        <v>6.1763061119999986E-9</v>
      </c>
      <c r="M76" s="4"/>
      <c r="N76" s="4"/>
      <c r="O76" s="4">
        <f>'Parameters, general'!$D$20</f>
        <v>6.8099999999999988E-5</v>
      </c>
      <c r="P76" s="4"/>
    </row>
    <row r="77" spans="1:19" ht="15" customHeight="1" x14ac:dyDescent="0.3">
      <c r="A77" s="142"/>
      <c r="B77" s="142" t="s">
        <v>430</v>
      </c>
      <c r="C77" s="142" t="s">
        <v>113</v>
      </c>
      <c r="D77" s="142" t="s">
        <v>114</v>
      </c>
      <c r="E77" s="301">
        <f>SUM(F77:P77)</f>
        <v>0.31284156335600782</v>
      </c>
      <c r="F77" s="301">
        <f>SUMPRODUCT(F73:F76,'Parameters, general'!$B$23:$B$26)</f>
        <v>7.6439243865802392E-2</v>
      </c>
      <c r="G77" s="301">
        <f>SUMPRODUCT(G73:G76,'Parameters, general'!$B$23:$B$26)</f>
        <v>3.01313E-2</v>
      </c>
      <c r="H77" s="301">
        <f>SUMPRODUCT(H73:H76,'Parameters, general'!$B$23:$B$26)</f>
        <v>8.8875177413642106E-2</v>
      </c>
      <c r="I77" s="301">
        <f>SUMPRODUCT(I73:I76,'Parameters, general'!$B$23:$B$26)</f>
        <v>8.8875177413642106E-3</v>
      </c>
      <c r="J77" s="301">
        <f>SUMPRODUCT(J73:J76,'Parameters, general'!$B$23:$B$26)</f>
        <v>2.1951926542895964E-2</v>
      </c>
      <c r="K77" s="301">
        <f>SUMPRODUCT(K73:K76,'Parameters, general'!$B$23:$B$26)</f>
        <v>0</v>
      </c>
      <c r="L77" s="301">
        <f>SUMPRODUCT(L73:L76,'Parameters, general'!$B$23:$B$26)</f>
        <v>1.6669779230315599E-4</v>
      </c>
      <c r="M77" s="301">
        <f>SUMPRODUCT(M73:M76,'Parameters, general'!$B$23:$B$26)</f>
        <v>0</v>
      </c>
      <c r="N77" s="301">
        <f>SUMPRODUCT(N73:N76,'Parameters, general'!$B$23:$B$26)</f>
        <v>0</v>
      </c>
      <c r="O77" s="301">
        <f>SUMPRODUCT(O73:O76,'Parameters, general'!$B$23:$B$26)</f>
        <v>8.6389700000000014E-2</v>
      </c>
      <c r="P77" s="301"/>
      <c r="R77" s="119"/>
      <c r="S77" s="6"/>
    </row>
    <row r="78" spans="1:19" x14ac:dyDescent="0.3">
      <c r="B78" t="s">
        <v>430</v>
      </c>
      <c r="C78" t="s">
        <v>109</v>
      </c>
      <c r="D78" t="s">
        <v>23</v>
      </c>
      <c r="E78" s="4">
        <f t="shared" ref="E78:E81" si="11">SUM(F78:P78)</f>
        <v>0.12087961655090079</v>
      </c>
      <c r="F78" s="4">
        <f>'Forage, input data per ha'!E27*(Frac_BAT_IT*EF_min_fert_BAT_CO2+Frac_AN_IT*EF_min_fert_AN_CO2)/'Forage, input data per ha'!C27</f>
        <v>2.8884517815723723E-2</v>
      </c>
      <c r="G78" s="4">
        <f>EF_capital_goods_CO2</f>
        <v>2.7E-2</v>
      </c>
      <c r="H78" s="4"/>
      <c r="I78" s="4"/>
      <c r="J78" s="4">
        <f>'Forage, input data per ha'!J27*EF_diesel_CO2*Heating_value_diesel/'Forage, input data per ha'!C27</f>
        <v>1.0792283582048061E-2</v>
      </c>
      <c r="K78" s="4"/>
      <c r="L78" s="4">
        <f>'Forage, input data per ha'!K27*'Parameters, general'!$B$17/'Forage, input data per ha'!C27</f>
        <v>7.5028151531290012E-3</v>
      </c>
      <c r="M78" s="4"/>
      <c r="N78" s="4"/>
      <c r="O78" s="4">
        <f>'Parameters, general'!$B$20</f>
        <v>4.6700000000000005E-2</v>
      </c>
      <c r="P78" s="4"/>
    </row>
    <row r="79" spans="1:19" x14ac:dyDescent="0.3">
      <c r="B79" t="s">
        <v>430</v>
      </c>
      <c r="C79" t="s">
        <v>110</v>
      </c>
      <c r="D79" t="s">
        <v>23</v>
      </c>
      <c r="E79" s="4">
        <f t="shared" si="11"/>
        <v>8.8586071384316929E-4</v>
      </c>
      <c r="F79" s="4">
        <f>'Forage, input data per ha'!E27*(Frac_BAT_IT*EF_min_fert_BAT_CH4+Frac_AN_IT*EF_min_fert_AN_CH4)/'Forage, input data per ha'!C27</f>
        <v>5.2987214128940158E-5</v>
      </c>
      <c r="G79" s="4">
        <f>EF_capital_goods_CH4</f>
        <v>9.5000000000000005E-5</v>
      </c>
      <c r="H79" s="4"/>
      <c r="I79" s="4"/>
      <c r="J79" s="4">
        <f>'Forage, input data per ha'!J27*EF_diesel_CH4*Heating_value_diesel/'Forage, input data per ha'!C27</f>
        <v>4.7806177142291395E-6</v>
      </c>
      <c r="K79" s="4"/>
      <c r="L79" s="4">
        <f>'Forage, input data per ha'!K27*'Parameters, general'!$C$17/'Forage, input data per ha'!C27</f>
        <v>2.5092882000000002E-5</v>
      </c>
      <c r="M79" s="4"/>
      <c r="N79" s="4"/>
      <c r="O79" s="4">
        <f>'Parameters, general'!$C$20</f>
        <v>7.0799999999999997E-4</v>
      </c>
      <c r="P79" s="4"/>
    </row>
    <row r="80" spans="1:19" x14ac:dyDescent="0.3">
      <c r="B80" t="s">
        <v>430</v>
      </c>
      <c r="C80" t="s">
        <v>440</v>
      </c>
      <c r="D80" t="s">
        <v>23</v>
      </c>
      <c r="E80" s="4">
        <f t="shared" si="11"/>
        <v>0</v>
      </c>
      <c r="F80" s="4"/>
      <c r="G80" s="4"/>
      <c r="H80" s="4"/>
      <c r="I80" s="4"/>
      <c r="J80" s="4"/>
      <c r="K80" s="4"/>
      <c r="L80" s="4"/>
      <c r="M80" s="4"/>
      <c r="N80" s="4"/>
      <c r="O80" s="4"/>
      <c r="P80" s="4"/>
    </row>
    <row r="81" spans="1:19" x14ac:dyDescent="0.3">
      <c r="B81" t="s">
        <v>430</v>
      </c>
      <c r="C81" t="s">
        <v>112</v>
      </c>
      <c r="D81" t="s">
        <v>23</v>
      </c>
      <c r="E81" s="4">
        <f t="shared" si="11"/>
        <v>3.6416434545226845E-4</v>
      </c>
      <c r="F81" s="4">
        <f>'Forage, input data per ha'!E27*(Frac_BAT_IT*EF_min_fert_BAT_N2O+Frac_AN_IT*EF_min_fert_AN_N2O)/'Forage, input data per ha'!C27</f>
        <v>6.346463293397086E-5</v>
      </c>
      <c r="G81" s="4">
        <f>EF_capital_goods_N2O</f>
        <v>1.1000000000000001E-6</v>
      </c>
      <c r="H81" s="4">
        <f>('Forage, input data per ha'!E27*'Parameters, country spec'!F81+'Forage, input data per ha'!H27*'Parameters, country spec'!F82)*44/28/'Forage, input data per ha'!C27</f>
        <v>2.0990991304100756E-4</v>
      </c>
      <c r="I81" s="4">
        <f>H81*0.1</f>
        <v>2.0990991304100757E-5</v>
      </c>
      <c r="J81" s="4">
        <f>'Forage, input data per ha'!J27*EF_diesel_N2O*Heating_value_diesel/'Forage, input data per ha'!C27</f>
        <v>2.8999286758927875E-7</v>
      </c>
      <c r="K81" s="4"/>
      <c r="L81" s="4">
        <f>'Forage, input data per ha'!K27*'Parameters, general'!$D$17/'Forage, input data per ha'!C27</f>
        <v>3.0881530559999997E-7</v>
      </c>
      <c r="M81" s="4"/>
      <c r="N81" s="4"/>
      <c r="O81" s="4">
        <f>'Parameters, general'!$D$20</f>
        <v>6.8099999999999988E-5</v>
      </c>
      <c r="P81" s="4"/>
    </row>
    <row r="82" spans="1:19" ht="15" customHeight="1" x14ac:dyDescent="0.3">
      <c r="A82" s="142"/>
      <c r="B82" s="142" t="s">
        <v>430</v>
      </c>
      <c r="C82" s="142" t="s">
        <v>113</v>
      </c>
      <c r="D82" s="142" t="s">
        <v>23</v>
      </c>
      <c r="E82" s="301">
        <f>SUM(F82:P82)</f>
        <v>0.24669513213189651</v>
      </c>
      <c r="F82" s="301">
        <f>SUMPRODUCT(F78:F81,'Parameters, general'!$B$23:$B$26)</f>
        <v>4.7789381587740182E-2</v>
      </c>
      <c r="G82" s="301">
        <f>SUMPRODUCT(G78:G81,'Parameters, general'!$B$23:$B$26)</f>
        <v>3.01313E-2</v>
      </c>
      <c r="H82" s="301">
        <f>SUMPRODUCT(H78:H81,'Parameters, general'!$B$23:$B$26)</f>
        <v>5.7305406260195063E-2</v>
      </c>
      <c r="I82" s="301">
        <f>SUMPRODUCT(I78:I81,'Parameters, general'!$B$23:$B$26)</f>
        <v>5.7305406260195063E-3</v>
      </c>
      <c r="J82" s="301">
        <f>SUMPRODUCT(J78:J81,'Parameters, general'!$B$23:$B$26)</f>
        <v>1.1013914042783962E-2</v>
      </c>
      <c r="K82" s="301">
        <f>SUMPRODUCT(K78:K81,'Parameters, general'!$B$23:$B$26)</f>
        <v>0</v>
      </c>
      <c r="L82" s="301">
        <f>SUMPRODUCT(L78:L81,'Parameters, general'!$B$23:$B$26)</f>
        <v>8.3348896151578013E-3</v>
      </c>
      <c r="M82" s="301">
        <f>SUMPRODUCT(M78:M81,'Parameters, general'!$B$23:$B$26)</f>
        <v>0</v>
      </c>
      <c r="N82" s="301">
        <f>SUMPRODUCT(N78:N81,'Parameters, general'!$B$23:$B$26)</f>
        <v>0</v>
      </c>
      <c r="O82" s="301">
        <f>SUMPRODUCT(O78:O81,'Parameters, general'!$B$23:$B$26)</f>
        <v>8.6389700000000014E-2</v>
      </c>
      <c r="P82" s="301"/>
      <c r="R82" s="119"/>
      <c r="S82" s="6"/>
    </row>
    <row r="83" spans="1:19" x14ac:dyDescent="0.3">
      <c r="B83" t="s">
        <v>430</v>
      </c>
      <c r="C83" t="s">
        <v>109</v>
      </c>
      <c r="D83" t="s">
        <v>20</v>
      </c>
      <c r="E83" s="4">
        <f t="shared" ref="E83:E86" si="12">SUM(F83:P83)</f>
        <v>9.2411249318327782E-2</v>
      </c>
      <c r="F83" s="4">
        <f>'Forage, input data per ha'!E28*(Frac_BAT_NL*EF_min_fert_BAT_CO2+Frac_AN_NL*EF_min_fert_AN_CO2)/'Forage, input data per ha'!C28</f>
        <v>1.1809033777784657E-3</v>
      </c>
      <c r="G83" s="4">
        <f>EF_capital_goods_CO2</f>
        <v>2.7E-2</v>
      </c>
      <c r="H83" s="4"/>
      <c r="I83" s="4"/>
      <c r="J83" s="4">
        <f>'Forage, input data per ha'!J28*EF_diesel_CO2*Heating_value_diesel/'Forage, input data per ha'!C28</f>
        <v>1.2901809267049416E-2</v>
      </c>
      <c r="K83" s="4"/>
      <c r="L83" s="4">
        <f>'Forage, input data per ha'!K28*'Parameters, general'!$B$17/'Forage, input data per ha'!C28</f>
        <v>4.6285366734998955E-3</v>
      </c>
      <c r="M83" s="4"/>
      <c r="N83" s="250"/>
      <c r="O83" s="4">
        <f>'Parameters, general'!$B$20</f>
        <v>4.6700000000000005E-2</v>
      </c>
      <c r="P83" s="4"/>
    </row>
    <row r="84" spans="1:19" x14ac:dyDescent="0.3">
      <c r="B84" t="s">
        <v>430</v>
      </c>
      <c r="C84" t="s">
        <v>110</v>
      </c>
      <c r="D84" t="s">
        <v>20</v>
      </c>
      <c r="E84" s="4">
        <f t="shared" si="12"/>
        <v>8.263613412349735E-4</v>
      </c>
      <c r="F84" s="4">
        <f>'Forage, input data per ha'!E28*(Frac_BAT_NL*EF_min_fert_BAT_CH4+Frac_AN_NL*EF_min_fert_AN_CH4)/'Forage, input data per ha'!C28</f>
        <v>2.166308627450026E-6</v>
      </c>
      <c r="G84" s="4">
        <f>EF_capital_goods_CH4</f>
        <v>9.5000000000000005E-5</v>
      </c>
      <c r="H84" s="4"/>
      <c r="I84" s="4"/>
      <c r="J84" s="4">
        <f>'Forage, input data per ha'!J28*EF_diesel_CH4*Heating_value_diesel/'Forage, input data per ha'!C28</f>
        <v>5.7150664601010523E-6</v>
      </c>
      <c r="K84" s="4"/>
      <c r="L84" s="4">
        <f>'Forage, input data per ha'!K28*'Parameters, general'!$C$17/'Forage, input data per ha'!C28</f>
        <v>1.5479966147422487E-5</v>
      </c>
      <c r="M84" s="4"/>
      <c r="N84" s="4"/>
      <c r="O84" s="4">
        <f>'Parameters, general'!$C$20</f>
        <v>7.0799999999999997E-4</v>
      </c>
      <c r="P84" s="4"/>
    </row>
    <row r="85" spans="1:19" x14ac:dyDescent="0.3">
      <c r="B85" t="s">
        <v>430</v>
      </c>
      <c r="C85" t="s">
        <v>440</v>
      </c>
      <c r="D85" t="s">
        <v>20</v>
      </c>
      <c r="E85" s="4">
        <f t="shared" si="12"/>
        <v>0</v>
      </c>
      <c r="F85" s="4"/>
      <c r="G85" s="4"/>
      <c r="H85" s="4"/>
      <c r="I85" s="4"/>
      <c r="J85" s="4"/>
      <c r="K85" s="4"/>
      <c r="L85" s="4"/>
      <c r="M85" s="4"/>
      <c r="N85" s="4"/>
      <c r="O85" s="4"/>
      <c r="P85" s="4"/>
    </row>
    <row r="86" spans="1:19" x14ac:dyDescent="0.3">
      <c r="B86" t="s">
        <v>430</v>
      </c>
      <c r="C86" t="s">
        <v>112</v>
      </c>
      <c r="D86" t="s">
        <v>20</v>
      </c>
      <c r="E86" s="4">
        <f t="shared" si="12"/>
        <v>9.9724674917397383E-5</v>
      </c>
      <c r="F86" s="4">
        <f>'Forage, input data per ha'!E28*(Frac_BAT_NL*EF_min_fert_BAT_N2O+Frac_AN_NL*EF_min_fert_AN_N2O)/'Forage, input data per ha'!C28</f>
        <v>2.5946633376167656E-6</v>
      </c>
      <c r="G86" s="4">
        <f>EF_capital_goods_N2O</f>
        <v>1.1000000000000001E-6</v>
      </c>
      <c r="H86" s="4">
        <f>('Forage, input data per ha'!E28*'Parameters, country spec'!G81+'Forage, input data per ha'!H28*'Parameters, country spec'!G82)*44/28/'Forage, input data per ha'!C28</f>
        <v>2.4902567922105637E-5</v>
      </c>
      <c r="I86" s="4">
        <f>H86*0.1</f>
        <v>2.490256792210564E-6</v>
      </c>
      <c r="J86" s="4">
        <f>'Forage, input data per ha'!J28*EF_diesel_N2O*Heating_value_diesel/'Forage, input data per ha'!C28</f>
        <v>3.466766452157641E-7</v>
      </c>
      <c r="K86" s="4"/>
      <c r="L86" s="4">
        <f>'Forage, input data per ha'!K28*'Parameters, general'!$D$17/'Forage, input data per ha'!C28</f>
        <v>1.905102202486717E-7</v>
      </c>
      <c r="M86" s="4"/>
      <c r="N86" s="4"/>
      <c r="O86" s="4">
        <f>'Parameters, general'!$D$20</f>
        <v>6.8099999999999988E-5</v>
      </c>
      <c r="P86" s="4"/>
    </row>
    <row r="87" spans="1:19" ht="15" customHeight="1" x14ac:dyDescent="0.3">
      <c r="A87" s="142"/>
      <c r="B87" s="142" t="s">
        <v>430</v>
      </c>
      <c r="C87" s="142" t="s">
        <v>113</v>
      </c>
      <c r="D87" s="142" t="s">
        <v>20</v>
      </c>
      <c r="E87" s="301">
        <f>SUM(F87:P87)</f>
        <v>0.14426165353957948</v>
      </c>
      <c r="F87" s="301">
        <f>SUMPRODUCT(F83:F86,'Parameters, general'!$B$23:$B$26)</f>
        <v>1.9538024660458535E-3</v>
      </c>
      <c r="G87" s="301">
        <f>SUMPRODUCT(G83:G86,'Parameters, general'!$B$23:$B$26)</f>
        <v>3.01313E-2</v>
      </c>
      <c r="H87" s="301">
        <f>SUMPRODUCT(H83:H86,'Parameters, general'!$B$23:$B$26)</f>
        <v>6.798401042734839E-3</v>
      </c>
      <c r="I87" s="301">
        <f>SUMPRODUCT(I83:I86,'Parameters, general'!$B$23:$B$26)</f>
        <v>6.7984010427348397E-4</v>
      </c>
      <c r="J87" s="301">
        <f>SUMPRODUCT(J83:J86,'Parameters, general'!$B$23:$B$26)</f>
        <v>1.3166760971704331E-2</v>
      </c>
      <c r="K87" s="301">
        <f>SUMPRODUCT(K83:K86,'Parameters, general'!$B$23:$B$26)</f>
        <v>0</v>
      </c>
      <c r="L87" s="301">
        <f>SUMPRODUCT(L83:L86,'Parameters, general'!$B$23:$B$26)</f>
        <v>5.1418489548209732E-3</v>
      </c>
      <c r="M87" s="301">
        <f>SUMPRODUCT(M83:M86,'Parameters, general'!$B$23:$B$26)</f>
        <v>0</v>
      </c>
      <c r="N87" s="301">
        <f>SUMPRODUCT(N83:N86,'Parameters, general'!$B$23:$B$26)</f>
        <v>0</v>
      </c>
      <c r="O87" s="301">
        <f>SUMPRODUCT(O83:O86,'Parameters, general'!$B$23:$B$26)</f>
        <v>8.6389700000000014E-2</v>
      </c>
      <c r="P87" s="301"/>
      <c r="R87" s="119"/>
      <c r="S87" s="6"/>
    </row>
    <row r="88" spans="1:19" x14ac:dyDescent="0.3">
      <c r="B88" t="s">
        <v>430</v>
      </c>
      <c r="C88" t="s">
        <v>109</v>
      </c>
      <c r="D88" t="s">
        <v>22</v>
      </c>
      <c r="E88" s="4">
        <f t="shared" ref="E88:E96" si="13">SUM(F88:P88)</f>
        <v>0.11795053351245409</v>
      </c>
      <c r="F88" s="4">
        <f>'Forage, input data per ha'!E29*(Frac_BAT_PL*EF_min_fert_BAT_CO2+Frac_AN_PL*EF_min_fert_AN_CO2)/'Forage, input data per ha'!C29</f>
        <v>3.0058016193008835E-2</v>
      </c>
      <c r="G88" s="4">
        <f>EF_capital_goods_CO2</f>
        <v>2.7E-2</v>
      </c>
      <c r="H88" s="4"/>
      <c r="I88" s="4"/>
      <c r="J88" s="4">
        <f>'Forage, input data per ha'!J29*EF_diesel_CO2*Heating_value_diesel/'Forage, input data per ha'!C29</f>
        <v>1.329217950106977E-2</v>
      </c>
      <c r="K88" s="4"/>
      <c r="L88" s="4">
        <f>'Forage, input data per ha'!K29*'Parameters, general'!$B$17/'Forage, input data per ha'!C29</f>
        <v>9.003378183754802E-4</v>
      </c>
      <c r="M88" s="4"/>
      <c r="N88" s="250"/>
      <c r="O88" s="4">
        <f>'Parameters, general'!$B$20</f>
        <v>4.6700000000000005E-2</v>
      </c>
      <c r="P88" s="4"/>
    </row>
    <row r="89" spans="1:19" x14ac:dyDescent="0.3">
      <c r="B89" t="s">
        <v>430</v>
      </c>
      <c r="C89" t="s">
        <v>110</v>
      </c>
      <c r="D89" t="s">
        <v>22</v>
      </c>
      <c r="E89" s="4">
        <f t="shared" si="13"/>
        <v>8.6703907180116625E-4</v>
      </c>
      <c r="F89" s="4">
        <f>'Forage, input data per ha'!E29*(Frac_BAT_PL*EF_min_fert_BAT_CH4+Frac_AN_PL*EF_min_fert_AN_CH4)/'Forage, input data per ha'!C29</f>
        <v>5.5139938650563344E-5</v>
      </c>
      <c r="G89" s="4">
        <f>EF_capital_goods_CH4</f>
        <v>9.5000000000000005E-5</v>
      </c>
      <c r="H89" s="4"/>
      <c r="I89" s="4"/>
      <c r="J89" s="4">
        <f>'Forage, input data per ha'!J29*EF_diesel_CH4*Heating_value_diesel/'Forage, input data per ha'!C29</f>
        <v>5.8879873106029554E-6</v>
      </c>
      <c r="K89" s="4"/>
      <c r="L89" s="4">
        <f>'Forage, input data per ha'!K29*'Parameters, general'!$C$17/'Forage, input data per ha'!C29</f>
        <v>3.0111458400000005E-6</v>
      </c>
      <c r="M89" s="4"/>
      <c r="N89" s="4"/>
      <c r="O89" s="4">
        <f>'Parameters, general'!$C$20</f>
        <v>7.0799999999999997E-4</v>
      </c>
      <c r="P89" s="4"/>
    </row>
    <row r="90" spans="1:19" x14ac:dyDescent="0.3">
      <c r="B90" t="s">
        <v>430</v>
      </c>
      <c r="C90" t="s">
        <v>440</v>
      </c>
      <c r="D90" t="s">
        <v>22</v>
      </c>
      <c r="E90" s="4">
        <f t="shared" si="13"/>
        <v>0</v>
      </c>
      <c r="F90" s="4"/>
      <c r="G90" s="4"/>
      <c r="H90" s="4"/>
      <c r="I90" s="4"/>
      <c r="J90" s="4"/>
      <c r="K90" s="4"/>
      <c r="L90" s="4"/>
      <c r="M90" s="4"/>
      <c r="N90" s="4"/>
      <c r="O90" s="4"/>
      <c r="P90" s="4"/>
    </row>
    <row r="91" spans="1:19" x14ac:dyDescent="0.3">
      <c r="B91" t="s">
        <v>430</v>
      </c>
      <c r="C91" t="s">
        <v>112</v>
      </c>
      <c r="D91" t="s">
        <v>22</v>
      </c>
      <c r="E91" s="4">
        <f t="shared" si="13"/>
        <v>3.7515856023693324E-4</v>
      </c>
      <c r="F91" s="4">
        <f>'Forage, input data per ha'!E29*(Frac_BAT_PL*EF_min_fert_BAT_N2O+Frac_AN_PL*EF_min_fert_AN_N2O)/'Forage, input data per ha'!C29</f>
        <v>6.6043026114641107E-5</v>
      </c>
      <c r="G91" s="4">
        <f>EF_capital_goods_N2O</f>
        <v>1.1000000000000001E-6</v>
      </c>
      <c r="H91" s="4">
        <f>('Forage, input data per ha'!E29*'Parameters, country spec'!H81+'Forage, input data per ha'!H29*'Parameters, country spec'!H82)*44/28/'Forage, input data per ha'!C29</f>
        <v>2.1774664567274286E-4</v>
      </c>
      <c r="I91" s="4">
        <f>H91*0.1</f>
        <v>2.1774664567274287E-5</v>
      </c>
      <c r="J91" s="4">
        <f>'Forage, input data per ha'!J29*EF_diesel_N2O*Heating_value_diesel/'Forage, input data per ha'!C29</f>
        <v>3.571660456030339E-7</v>
      </c>
      <c r="K91" s="4"/>
      <c r="L91" s="4">
        <f>'Forage, input data per ha'!K29*'Parameters, general'!$D$17/'Forage, input data per ha'!C29</f>
        <v>3.7057836671999995E-8</v>
      </c>
      <c r="M91" s="4"/>
      <c r="N91" s="4"/>
      <c r="O91" s="4">
        <f>'Parameters, general'!$D$20</f>
        <v>6.8099999999999988E-5</v>
      </c>
      <c r="P91" s="4"/>
    </row>
    <row r="92" spans="1:19" ht="15" customHeight="1" x14ac:dyDescent="0.3">
      <c r="A92" s="142"/>
      <c r="B92" s="142" t="s">
        <v>430</v>
      </c>
      <c r="C92" s="142" t="s">
        <v>113</v>
      </c>
      <c r="D92" s="142" t="s">
        <v>22</v>
      </c>
      <c r="E92" s="301">
        <f>SUM(F92:P92)</f>
        <v>0.24620658479681165</v>
      </c>
      <c r="F92" s="301">
        <f>SUMPRODUCT(F88:F91,'Parameters, general'!$B$23:$B$26)</f>
        <v>4.9730932494092647E-2</v>
      </c>
      <c r="G92" s="301">
        <f>SUMPRODUCT(G88:G91,'Parameters, general'!$B$23:$B$26)</f>
        <v>3.01313E-2</v>
      </c>
      <c r="H92" s="301">
        <f>SUMPRODUCT(H88:H91,'Parameters, general'!$B$23:$B$26)</f>
        <v>5.9444834268658799E-2</v>
      </c>
      <c r="I92" s="301">
        <f>SUMPRODUCT(I88:I91,'Parameters, general'!$B$23:$B$26)</f>
        <v>5.9444834268658807E-3</v>
      </c>
      <c r="J92" s="301">
        <f>SUMPRODUCT(J88:J91,'Parameters, general'!$B$23:$B$26)</f>
        <v>1.3565147853375367E-2</v>
      </c>
      <c r="K92" s="301">
        <f>SUMPRODUCT(K88:K91,'Parameters, general'!$B$23:$B$26)</f>
        <v>0</v>
      </c>
      <c r="L92" s="301">
        <f>SUMPRODUCT(L88:L91,'Parameters, general'!$B$23:$B$26)</f>
        <v>1.0001867538189362E-3</v>
      </c>
      <c r="M92" s="301">
        <f>SUMPRODUCT(M88:M91,'Parameters, general'!$B$23:$B$26)</f>
        <v>0</v>
      </c>
      <c r="N92" s="301">
        <f>SUMPRODUCT(N88:N91,'Parameters, general'!$B$23:$B$26)</f>
        <v>0</v>
      </c>
      <c r="O92" s="301">
        <f>SUMPRODUCT(O88:O91,'Parameters, general'!$B$23:$B$26)</f>
        <v>8.6389700000000014E-2</v>
      </c>
      <c r="P92" s="301"/>
      <c r="R92" s="119"/>
      <c r="S92" s="6"/>
    </row>
    <row r="93" spans="1:19" x14ac:dyDescent="0.3">
      <c r="B93" t="s">
        <v>430</v>
      </c>
      <c r="C93" t="s">
        <v>109</v>
      </c>
      <c r="D93" t="s">
        <v>26</v>
      </c>
      <c r="E93" s="4">
        <f t="shared" si="13"/>
        <v>0.14348138326468057</v>
      </c>
      <c r="F93" s="4">
        <f>'Forage, input data per ha'!E30*(Frac_BAT_ES*EF_min_fert_BAT_CO2+Frac_AN_ES*EF_min_fert_AN_CO2)/'Forage, input data per ha'!C30</f>
        <v>2.1225258539773455E-2</v>
      </c>
      <c r="G93" s="4">
        <f>EF_capital_goods_CO2</f>
        <v>2.7E-2</v>
      </c>
      <c r="H93" s="4"/>
      <c r="I93" s="4"/>
      <c r="J93" s="4">
        <f>'Forage, input data per ha'!J30*EF_diesel_CO2*Heating_value_diesel/'Forage, input data per ha'!C30</f>
        <v>2.150288478884789E-2</v>
      </c>
      <c r="K93" s="4"/>
      <c r="L93" s="4">
        <f>'Forage, input data per ha'!K30*'Parameters, general'!$B$17/'Forage, input data per ha'!C30</f>
        <v>2.7053239936059206E-2</v>
      </c>
      <c r="M93" s="4"/>
      <c r="N93" s="4"/>
      <c r="O93" s="4">
        <f>'Parameters, general'!$B$20</f>
        <v>4.6700000000000005E-2</v>
      </c>
      <c r="P93" s="4"/>
    </row>
    <row r="94" spans="1:19" x14ac:dyDescent="0.3">
      <c r="B94" t="s">
        <v>430</v>
      </c>
      <c r="C94" t="s">
        <v>110</v>
      </c>
      <c r="D94" t="s">
        <v>26</v>
      </c>
      <c r="E94" s="4">
        <f t="shared" si="13"/>
        <v>9.4194027560908812E-4</v>
      </c>
      <c r="F94" s="4">
        <f>'Forage, input data per ha'!E30*(Frac_BAT_ES*EF_min_fert_BAT_CH4+Frac_AN_ES*EF_min_fert_AN_CH4)/'Forage, input data per ha'!C30</f>
        <v>3.8936683186619176E-5</v>
      </c>
      <c r="G94" s="4">
        <f>EF_capital_goods_CH4</f>
        <v>9.5000000000000005E-5</v>
      </c>
      <c r="H94" s="4"/>
      <c r="I94" s="4"/>
      <c r="J94" s="4">
        <f>'Forage, input data per ha'!J30*EF_diesel_CH4*Heating_value_diesel/'Forage, input data per ha'!C30</f>
        <v>9.5250528905289057E-6</v>
      </c>
      <c r="K94" s="4"/>
      <c r="L94" s="4">
        <f>'Forage, input data per ha'!K30*'Parameters, general'!$C$17/'Forage, input data per ha'!C30</f>
        <v>9.0478539531940063E-5</v>
      </c>
      <c r="M94" s="4"/>
      <c r="N94" s="4"/>
      <c r="O94" s="4">
        <f>'Parameters, general'!$C$20</f>
        <v>7.0799999999999997E-4</v>
      </c>
      <c r="P94" s="4"/>
    </row>
    <row r="95" spans="1:19" x14ac:dyDescent="0.3">
      <c r="B95" t="s">
        <v>430</v>
      </c>
      <c r="C95" t="s">
        <v>440</v>
      </c>
      <c r="D95" t="s">
        <v>26</v>
      </c>
      <c r="E95" s="4">
        <f t="shared" si="13"/>
        <v>0</v>
      </c>
      <c r="F95" s="4"/>
      <c r="G95" s="4"/>
      <c r="H95" s="4"/>
      <c r="I95" s="4"/>
      <c r="J95" s="4"/>
      <c r="K95" s="4"/>
      <c r="L95" s="4"/>
      <c r="M95" s="4"/>
      <c r="N95" s="4"/>
      <c r="O95" s="4"/>
      <c r="P95" s="4"/>
    </row>
    <row r="96" spans="1:19" x14ac:dyDescent="0.3">
      <c r="B96" t="s">
        <v>430</v>
      </c>
      <c r="C96" t="s">
        <v>112</v>
      </c>
      <c r="D96" t="s">
        <v>26</v>
      </c>
      <c r="E96" s="4">
        <f t="shared" si="13"/>
        <v>2.921638470286316E-4</v>
      </c>
      <c r="F96" s="4">
        <f>'Forage, input data per ha'!E30*(Frac_BAT_ES*EF_min_fert_BAT_N2O+Frac_AN_ES*EF_min_fert_AN_N2O)/'Forage, input data per ha'!C30</f>
        <v>4.6635822372013562E-5</v>
      </c>
      <c r="G96" s="4">
        <f>EF_capital_goods_N2O</f>
        <v>1.1000000000000001E-6</v>
      </c>
      <c r="H96" s="4">
        <f>('Forage, input data per ha'!E30*'Parameters, country spec'!I81+'Forage, input data per ha'!H30*'Parameters, country spec'!I82)*44/28/'Forage, input data per ha'!C30</f>
        <v>1.58760658585603E-4</v>
      </c>
      <c r="I96" s="4">
        <f>H96*0.1</f>
        <v>1.58760658585603E-5</v>
      </c>
      <c r="J96" s="4">
        <f>'Forage, input data per ha'!J30*EF_diesel_N2O*Heating_value_diesel/'Forage, input data per ha'!C30</f>
        <v>5.7779089790897923E-7</v>
      </c>
      <c r="K96" s="4"/>
      <c r="L96" s="4">
        <f>'Forage, input data per ha'!K30*'Parameters, general'!$D$17/'Forage, input data per ha'!C30</f>
        <v>1.1135093145457642E-6</v>
      </c>
      <c r="M96" s="4"/>
      <c r="N96" s="4"/>
      <c r="O96" s="4">
        <f>'Parameters, general'!$D$20</f>
        <v>6.8099999999999988E-5</v>
      </c>
      <c r="P96" s="4"/>
    </row>
    <row r="97" spans="1:16" x14ac:dyDescent="0.3">
      <c r="A97" s="142"/>
      <c r="B97" s="142" t="s">
        <v>430</v>
      </c>
      <c r="C97" s="142" t="s">
        <v>113</v>
      </c>
      <c r="D97" s="142" t="s">
        <v>26</v>
      </c>
      <c r="E97" s="301">
        <f>SUM(F97:P97)</f>
        <v>0.25131193371664784</v>
      </c>
      <c r="F97" s="301">
        <f>SUMPRODUCT(F93:F96,'Parameters, general'!$B$23:$B$26)</f>
        <v>3.5117151206294411E-2</v>
      </c>
      <c r="G97" s="301">
        <f>SUMPRODUCT(G93:G96,'Parameters, general'!$B$23:$B$26)</f>
        <v>3.01313E-2</v>
      </c>
      <c r="H97" s="301">
        <f>SUMPRODUCT(H93:H96,'Parameters, general'!$B$23:$B$26)</f>
        <v>4.334165979386962E-2</v>
      </c>
      <c r="I97" s="301">
        <f>SUMPRODUCT(I93:I96,'Parameters, general'!$B$23:$B$26)</f>
        <v>4.3341659793869614E-3</v>
      </c>
      <c r="J97" s="301">
        <f>SUMPRODUCT(J93:J96,'Parameters, general'!$B$23:$B$26)</f>
        <v>2.1944468280114801E-2</v>
      </c>
      <c r="K97" s="301">
        <f>SUMPRODUCT(K93:K96,'Parameters, general'!$B$23:$B$26)</f>
        <v>0</v>
      </c>
      <c r="L97" s="301">
        <f>SUMPRODUCT(L93:L96,'Parameters, general'!$B$23:$B$26)</f>
        <v>3.0053488456982014E-2</v>
      </c>
      <c r="M97" s="301">
        <f>SUMPRODUCT(M93:M96,'Parameters, general'!$B$23:$B$26)</f>
        <v>0</v>
      </c>
      <c r="N97" s="301">
        <f>SUMPRODUCT(N93:N96,'Parameters, general'!$B$23:$B$26)</f>
        <v>0</v>
      </c>
      <c r="O97" s="301">
        <f>SUMPRODUCT(O93:O96,'Parameters, general'!$B$23:$B$26)</f>
        <v>8.6389700000000014E-2</v>
      </c>
      <c r="P97" s="301"/>
    </row>
    <row r="98" spans="1:16" x14ac:dyDescent="0.3">
      <c r="B98" t="s">
        <v>430</v>
      </c>
      <c r="C98" t="s">
        <v>109</v>
      </c>
      <c r="D98" t="s">
        <v>27</v>
      </c>
      <c r="E98" s="4">
        <f t="shared" ref="E98:E101" si="14">SUM(F98:P98)</f>
        <v>0.11670621990044418</v>
      </c>
      <c r="F98" s="4">
        <f>'Forage, input data per ha'!E31*(Frac_BAT_SE*EF_min_fert_BAT_CO2+Frac_AN_SE*EF_min_fert_AN_CO2)/'Forage, input data per ha'!C31</f>
        <v>2.0076143571985575E-2</v>
      </c>
      <c r="G98" s="4">
        <f>EF_capital_goods_CO2</f>
        <v>2.7E-2</v>
      </c>
      <c r="H98" s="4"/>
      <c r="I98" s="4"/>
      <c r="J98" s="4">
        <f>'Forage, input data per ha'!J31*EF_diesel_CO2*Heating_value_diesel/'Forage, input data per ha'!C31</f>
        <v>1.9178668751894105E-2</v>
      </c>
      <c r="K98" s="4"/>
      <c r="L98" s="4">
        <f>'Forage, input data per ha'!K31*'Parameters, general'!$B$17/'Forage, input data per ha'!C31</f>
        <v>3.7514075765645014E-3</v>
      </c>
      <c r="M98" s="4"/>
      <c r="N98" s="250"/>
      <c r="O98" s="4">
        <f>'Parameters, general'!$B$20</f>
        <v>4.6700000000000005E-2</v>
      </c>
      <c r="P98" s="4"/>
    </row>
    <row r="99" spans="1:16" x14ac:dyDescent="0.3">
      <c r="B99" t="s">
        <v>430</v>
      </c>
      <c r="C99" t="s">
        <v>110</v>
      </c>
      <c r="D99" t="s">
        <v>27</v>
      </c>
      <c r="E99" s="4">
        <f t="shared" si="14"/>
        <v>8.4929872480248177E-4</v>
      </c>
      <c r="F99" s="4">
        <f>'Forage, input data per ha'!E31*(Frac_BAT_SE*EF_min_fert_BAT_CH4+Frac_AN_SE*EF_min_fert_AN_CH4)/'Forage, input data per ha'!C31</f>
        <v>2.5256780244444398E-5</v>
      </c>
      <c r="G99" s="4">
        <f>EF_capital_goods_CH4</f>
        <v>9.5000000000000005E-5</v>
      </c>
      <c r="H99" s="4"/>
      <c r="I99" s="4"/>
      <c r="J99" s="4">
        <f>'Forage, input data per ha'!J31*EF_diesel_CH4*Heating_value_diesel/'Forage, input data per ha'!C31</f>
        <v>8.4955035580373929E-6</v>
      </c>
      <c r="K99" s="4"/>
      <c r="L99" s="4">
        <f>'Forage, input data per ha'!K31*'Parameters, general'!$C$17/'Forage, input data per ha'!C31</f>
        <v>1.2546441000000003E-5</v>
      </c>
      <c r="M99" s="4"/>
      <c r="N99" s="4"/>
      <c r="O99" s="4">
        <f>'Parameters, general'!$C$20</f>
        <v>7.0799999999999997E-4</v>
      </c>
      <c r="P99" s="4"/>
    </row>
    <row r="100" spans="1:16" x14ac:dyDescent="0.3">
      <c r="B100" t="s">
        <v>430</v>
      </c>
      <c r="C100" t="s">
        <v>440</v>
      </c>
      <c r="D100" t="s">
        <v>27</v>
      </c>
      <c r="E100" s="4">
        <f t="shared" si="14"/>
        <v>0</v>
      </c>
      <c r="F100" s="4"/>
      <c r="G100" s="4"/>
      <c r="H100" s="4"/>
      <c r="I100" s="4"/>
      <c r="J100" s="4"/>
      <c r="K100" s="4"/>
      <c r="L100" s="4"/>
      <c r="M100" s="4"/>
      <c r="N100" s="4"/>
      <c r="O100" s="4"/>
      <c r="P100" s="4"/>
    </row>
    <row r="101" spans="1:16" x14ac:dyDescent="0.3">
      <c r="B101" t="s">
        <v>430</v>
      </c>
      <c r="C101" t="s">
        <v>112</v>
      </c>
      <c r="D101" t="s">
        <v>27</v>
      </c>
      <c r="E101" s="4">
        <f t="shared" si="14"/>
        <v>3.0779597131143279E-4</v>
      </c>
      <c r="F101" s="4">
        <f>'Forage, input data per ha'!E31*(Frac_BAT_SE*EF_min_fert_BAT_N2O+Frac_AN_SE*EF_min_fert_AN_N2O)/'Forage, input data per ha'!C31</f>
        <v>4.2215528572113299E-5</v>
      </c>
      <c r="G101" s="4">
        <f>EF_capital_goods_N2O</f>
        <v>1.1000000000000001E-6</v>
      </c>
      <c r="H101" s="4">
        <f>('Forage, input data per ha'!E31*'Parameters, country spec'!J81+'Forage, input data per ha'!H31*'Parameters, country spec'!J82)*44/28/'Forage, input data per ha'!C31</f>
        <v>1.7791881525427124E-4</v>
      </c>
      <c r="I101" s="4">
        <f>H101*0.1</f>
        <v>1.7791881525427124E-5</v>
      </c>
      <c r="J101" s="4">
        <f>'Forage, input data per ha'!J31*EF_diesel_N2O*Heating_value_diesel/'Forage, input data per ha'!C31</f>
        <v>5.1533830682117992E-7</v>
      </c>
      <c r="K101" s="4"/>
      <c r="L101" s="4">
        <f>'Forage, input data per ha'!K31*'Parameters, general'!$D$17/'Forage, input data per ha'!C31</f>
        <v>1.5440765280000001E-7</v>
      </c>
      <c r="M101" s="4"/>
      <c r="N101" s="4"/>
      <c r="O101" s="4">
        <f>'Parameters, general'!$D$20</f>
        <v>6.8099999999999988E-5</v>
      </c>
      <c r="P101" s="4"/>
    </row>
    <row r="102" spans="1:16" x14ac:dyDescent="0.3">
      <c r="A102" s="142"/>
      <c r="B102" s="142" t="s">
        <v>430</v>
      </c>
      <c r="C102" s="142" t="s">
        <v>113</v>
      </c>
      <c r="D102" s="142" t="s">
        <v>27</v>
      </c>
      <c r="E102" s="301">
        <f>SUM(F102:P102)</f>
        <v>0.22604362206757933</v>
      </c>
      <c r="F102" s="301">
        <f>SUMPRODUCT(F98:F101,'Parameters, general'!$B$23:$B$26)</f>
        <v>3.2353634923456949E-2</v>
      </c>
      <c r="G102" s="301">
        <f>SUMPRODUCT(G98:G101,'Parameters, general'!$B$23:$B$26)</f>
        <v>3.01313E-2</v>
      </c>
      <c r="H102" s="301">
        <f>SUMPRODUCT(H98:H101,'Parameters, general'!$B$23:$B$26)</f>
        <v>4.8571836564416049E-2</v>
      </c>
      <c r="I102" s="301">
        <f>SUMPRODUCT(I98:I101,'Parameters, general'!$B$23:$B$26)</f>
        <v>4.8571836564416044E-3</v>
      </c>
      <c r="J102" s="301">
        <f>SUMPRODUCT(J98:J101,'Parameters, general'!$B$23:$B$26)</f>
        <v>1.95725221156858E-2</v>
      </c>
      <c r="K102" s="301">
        <f>SUMPRODUCT(K98:K101,'Parameters, general'!$B$23:$B$26)</f>
        <v>0</v>
      </c>
      <c r="L102" s="301">
        <f>SUMPRODUCT(L98:L101,'Parameters, general'!$B$23:$B$26)</f>
        <v>4.1674448075789015E-3</v>
      </c>
      <c r="M102" s="301">
        <f>SUMPRODUCT(M98:M101,'Parameters, general'!$B$23:$B$26)</f>
        <v>0</v>
      </c>
      <c r="N102" s="301">
        <f>SUMPRODUCT(N98:N101,'Parameters, general'!$B$23:$B$26)</f>
        <v>0</v>
      </c>
      <c r="O102" s="301">
        <f>SUMPRODUCT(O98:O101,'Parameters, general'!$B$23:$B$26)</f>
        <v>8.6389700000000014E-2</v>
      </c>
      <c r="P102" s="301"/>
    </row>
    <row r="103" spans="1:16" x14ac:dyDescent="0.3">
      <c r="E103" s="4"/>
      <c r="F103" s="4"/>
      <c r="G103" s="4"/>
      <c r="H103" s="4"/>
      <c r="I103" s="4"/>
      <c r="J103" s="4"/>
      <c r="K103" s="4"/>
      <c r="L103" s="4"/>
      <c r="M103" s="4"/>
      <c r="N103" s="4"/>
      <c r="O103" s="4"/>
      <c r="P103" s="4"/>
    </row>
    <row r="104" spans="1:16" ht="18" x14ac:dyDescent="0.35">
      <c r="A104" s="239" t="s">
        <v>431</v>
      </c>
      <c r="B104" s="106"/>
      <c r="C104" s="106"/>
      <c r="D104" s="106"/>
      <c r="E104" s="106"/>
      <c r="F104" s="106"/>
      <c r="G104" s="106"/>
      <c r="H104" s="106"/>
      <c r="I104" s="106"/>
      <c r="J104" s="106"/>
      <c r="K104" s="106"/>
      <c r="L104" s="106"/>
      <c r="M104" s="106"/>
      <c r="N104" s="106"/>
      <c r="O104" s="106"/>
      <c r="P104" s="106"/>
    </row>
    <row r="106" spans="1:16" x14ac:dyDescent="0.3">
      <c r="A106" s="240" t="s">
        <v>355</v>
      </c>
      <c r="B106" s="241"/>
      <c r="C106" s="241"/>
      <c r="D106" s="241"/>
      <c r="E106" s="242" t="s">
        <v>82</v>
      </c>
      <c r="F106" s="242" t="s">
        <v>83</v>
      </c>
      <c r="G106" s="243"/>
      <c r="H106" s="242" t="s">
        <v>84</v>
      </c>
      <c r="I106" s="244"/>
      <c r="J106" s="245" t="s">
        <v>85</v>
      </c>
      <c r="K106" s="244"/>
      <c r="L106" s="244"/>
      <c r="M106" s="244"/>
      <c r="N106" s="245" t="s">
        <v>86</v>
      </c>
      <c r="O106" s="245" t="s">
        <v>87</v>
      </c>
      <c r="P106" s="245" t="s">
        <v>88</v>
      </c>
    </row>
    <row r="107" spans="1:16" ht="43.2" x14ac:dyDescent="0.3">
      <c r="A107" s="246" t="s">
        <v>44</v>
      </c>
      <c r="B107" s="246" t="s">
        <v>355</v>
      </c>
      <c r="C107" s="246" t="s">
        <v>93</v>
      </c>
      <c r="D107" s="247" t="s">
        <v>438</v>
      </c>
      <c r="E107" s="248"/>
      <c r="F107" s="46" t="s">
        <v>8</v>
      </c>
      <c r="G107" s="46" t="s">
        <v>9</v>
      </c>
      <c r="H107" s="46" t="s">
        <v>95</v>
      </c>
      <c r="I107" s="46" t="s">
        <v>358</v>
      </c>
      <c r="J107" s="46" t="s">
        <v>97</v>
      </c>
      <c r="K107" s="46" t="s">
        <v>98</v>
      </c>
      <c r="L107" s="46" t="s">
        <v>99</v>
      </c>
      <c r="M107" s="46" t="s">
        <v>100</v>
      </c>
      <c r="N107" s="46" t="s">
        <v>101</v>
      </c>
      <c r="O107" s="46"/>
      <c r="P107" s="46"/>
    </row>
    <row r="108" spans="1:16" x14ac:dyDescent="0.3">
      <c r="B108" t="s">
        <v>431</v>
      </c>
      <c r="C108" t="s">
        <v>109</v>
      </c>
      <c r="D108" t="s">
        <v>28</v>
      </c>
      <c r="E108" s="4">
        <f t="shared" ref="E108:E116" si="15">SUM(F108:P108)</f>
        <v>0.10483794372422073</v>
      </c>
      <c r="F108" s="4">
        <f>'Forage, input data per ha'!E38*(Frac_BAT_FR*EF_min_fert_BAT_CO2+Frac_AN_FR*EF_min_fert_AN_CO2)/'Forage, input data per ha'!C38</f>
        <v>1.8033196435898471E-2</v>
      </c>
      <c r="G108" s="4">
        <f>EF_capital_goods_CO2</f>
        <v>2.7E-2</v>
      </c>
      <c r="H108" s="4"/>
      <c r="I108" s="4"/>
      <c r="J108" s="4">
        <f>'Forage, input data per ha'!J38*EF_diesel_CO2*Heating_value_diesel/'Forage, input data per ha'!C38</f>
        <v>1.3104747288322258E-2</v>
      </c>
      <c r="K108" s="4"/>
      <c r="L108" s="4">
        <f>'Forage, input data per ha'!K38*'Parameters, general'!$B$17/'Forage, input data per ha'!C38</f>
        <v>0</v>
      </c>
      <c r="M108" s="4"/>
      <c r="N108" s="250"/>
      <c r="O108" s="4">
        <f>'Parameters, general'!$B$20</f>
        <v>4.6700000000000005E-2</v>
      </c>
      <c r="P108" s="4"/>
    </row>
    <row r="109" spans="1:16" x14ac:dyDescent="0.3">
      <c r="B109" t="s">
        <v>431</v>
      </c>
      <c r="C109" t="s">
        <v>110</v>
      </c>
      <c r="D109" t="s">
        <v>28</v>
      </c>
      <c r="E109" s="4">
        <f t="shared" si="15"/>
        <v>8.4188596486894549E-4</v>
      </c>
      <c r="F109" s="4">
        <f>'Forage, input data per ha'!E38*(Frac_BAT_FR*EF_min_fert_BAT_CH4+Frac_AN_FR*EF_min_fert_AN_CH4)/'Forage, input data per ha'!C38</f>
        <v>3.3081003708430824E-5</v>
      </c>
      <c r="G109" s="4">
        <f>EF_capital_goods_CH4</f>
        <v>9.5000000000000005E-5</v>
      </c>
      <c r="H109" s="4"/>
      <c r="I109" s="4"/>
      <c r="J109" s="4">
        <f>'Forage, input data per ha'!J38*EF_diesel_CH4*Heating_value_diesel/'Forage, input data per ha'!C38</f>
        <v>5.8049611605147208E-6</v>
      </c>
      <c r="K109" s="4"/>
      <c r="L109" s="4">
        <f>'Forage, input data per ha'!K38*'Parameters, general'!$C$17/'Forage, input data per ha'!C38</f>
        <v>0</v>
      </c>
      <c r="M109" s="4"/>
      <c r="N109" s="4"/>
      <c r="O109" s="4">
        <f>'Parameters, general'!$C$20</f>
        <v>7.0799999999999997E-4</v>
      </c>
      <c r="P109" s="4"/>
    </row>
    <row r="110" spans="1:16" x14ac:dyDescent="0.3">
      <c r="B110" t="s">
        <v>431</v>
      </c>
      <c r="C110" t="s">
        <v>440</v>
      </c>
      <c r="D110" t="s">
        <v>28</v>
      </c>
      <c r="E110" s="4">
        <f t="shared" si="15"/>
        <v>0</v>
      </c>
      <c r="F110" s="4"/>
      <c r="G110" s="4"/>
      <c r="H110" s="4"/>
      <c r="I110" s="4"/>
      <c r="J110" s="4"/>
      <c r="K110" s="4"/>
      <c r="L110" s="4"/>
      <c r="M110" s="4"/>
      <c r="N110" s="4"/>
      <c r="O110" s="4"/>
      <c r="P110" s="4"/>
    </row>
    <row r="111" spans="1:16" x14ac:dyDescent="0.3">
      <c r="B111" t="s">
        <v>431</v>
      </c>
      <c r="C111" t="s">
        <v>112</v>
      </c>
      <c r="D111" t="s">
        <v>28</v>
      </c>
      <c r="E111" s="4">
        <f t="shared" si="15"/>
        <v>2.7334375665426876E-4</v>
      </c>
      <c r="F111" s="4">
        <f>'Forage, input data per ha'!E38*(Frac_BAT_FR*EF_min_fert_BAT_N2O+Frac_AN_FR*EF_min_fert_AN_N2O)/'Forage, input data per ha'!C38</f>
        <v>3.9622270994168309E-5</v>
      </c>
      <c r="G111" s="4">
        <f>EF_capital_goods_N2O</f>
        <v>1.1000000000000001E-6</v>
      </c>
      <c r="H111" s="4">
        <f>('Forage, input data per ha'!E38*'Parameters, country spec'!B81+'Forage, input data per ha'!H38*'Parameters, country spec'!B82)*44/28/'Forage, input data per ha'!C38</f>
        <v>1.492448690828462E-4</v>
      </c>
      <c r="I111" s="4">
        <f>H111*0.1</f>
        <v>1.4924486908284621E-5</v>
      </c>
      <c r="J111" s="4">
        <f>'Forage, input data per ha'!J38*EF_diesel_N2O*Heating_value_diesel/'Forage, input data per ha'!C38</f>
        <v>3.521296689696708E-7</v>
      </c>
      <c r="K111" s="4"/>
      <c r="L111" s="4">
        <f>'Forage, input data per ha'!K38*'Parameters, general'!$D$17/'Forage, input data per ha'!C38</f>
        <v>0</v>
      </c>
      <c r="M111" s="4"/>
      <c r="N111" s="4"/>
      <c r="O111" s="4">
        <f>'Parameters, general'!$D$20</f>
        <v>6.8099999999999988E-5</v>
      </c>
      <c r="P111" s="4"/>
    </row>
    <row r="112" spans="1:16" x14ac:dyDescent="0.3">
      <c r="A112" s="142"/>
      <c r="B112" s="142" t="s">
        <v>431</v>
      </c>
      <c r="C112" s="142" t="s">
        <v>113</v>
      </c>
      <c r="D112" s="142" t="s">
        <v>28</v>
      </c>
      <c r="E112" s="301">
        <f>SUM(F112:P112)</f>
        <v>0.20454899104393071</v>
      </c>
      <c r="F112" s="301">
        <f>SUMPRODUCT(F108:F111,'Parameters, general'!$B$23:$B$26)</f>
        <v>2.9835890327817659E-2</v>
      </c>
      <c r="G112" s="301">
        <f>SUMPRODUCT(G108:G111,'Parameters, general'!$B$23:$B$26)</f>
        <v>3.01313E-2</v>
      </c>
      <c r="H112" s="301">
        <f>SUMPRODUCT(H108:H111,'Parameters, general'!$B$23:$B$26)</f>
        <v>4.0743849259617014E-2</v>
      </c>
      <c r="I112" s="301">
        <f>SUMPRODUCT(I108:I111,'Parameters, general'!$B$23:$B$26)</f>
        <v>4.0743849259617018E-3</v>
      </c>
      <c r="J112" s="301">
        <f>SUMPRODUCT(J108:J111,'Parameters, general'!$B$23:$B$26)</f>
        <v>1.3373866530534318E-2</v>
      </c>
      <c r="K112" s="301">
        <f>SUMPRODUCT(K108:K111,'Parameters, general'!$B$23:$B$26)</f>
        <v>0</v>
      </c>
      <c r="L112" s="301">
        <f>SUMPRODUCT(L108:L111,'Parameters, general'!$B$23:$B$26)</f>
        <v>0</v>
      </c>
      <c r="M112" s="301">
        <f>SUMPRODUCT(M108:M111,'Parameters, general'!$B$23:$B$26)</f>
        <v>0</v>
      </c>
      <c r="N112" s="301">
        <f>SUMPRODUCT(N108:N111,'Parameters, general'!$B$23:$B$26)</f>
        <v>0</v>
      </c>
      <c r="O112" s="301">
        <f>SUMPRODUCT(O108:O111,'Parameters, general'!$B$23:$B$26)</f>
        <v>8.6389700000000014E-2</v>
      </c>
      <c r="P112" s="301">
        <f>SUMPRODUCT(P108:P111,'Parameters, general'!$B$23:$B$26)</f>
        <v>0</v>
      </c>
    </row>
    <row r="113" spans="1:16" x14ac:dyDescent="0.3">
      <c r="B113" t="s">
        <v>431</v>
      </c>
      <c r="C113" t="s">
        <v>109</v>
      </c>
      <c r="D113" t="s">
        <v>25</v>
      </c>
      <c r="E113" s="4">
        <f t="shared" si="15"/>
        <v>0.10799551367465239</v>
      </c>
      <c r="F113" s="4">
        <f>'Forage, input data per ha'!E39*(Frac_BAT_DE*EF_min_fert_BAT_CO2+Frac_AN_DE*EF_min_fert_AN_CO2)/'Forage, input data per ha'!C39</f>
        <v>2.1132412362766816E-2</v>
      </c>
      <c r="G113" s="4">
        <f>EF_capital_goods_CO2</f>
        <v>2.7E-2</v>
      </c>
      <c r="H113" s="4"/>
      <c r="I113" s="4"/>
      <c r="J113" s="4">
        <f>'Forage, input data per ha'!J39*EF_diesel_CO2*Heating_value_diesel/'Forage, input data per ha'!C39</f>
        <v>1.3163101311885569E-2</v>
      </c>
      <c r="K113" s="4"/>
      <c r="L113" s="4">
        <f>'Forage, input data per ha'!K39*'Parameters, general'!$B$17/'Forage, input data per ha'!C39</f>
        <v>0</v>
      </c>
      <c r="M113" s="4"/>
      <c r="N113" s="4"/>
      <c r="O113" s="4">
        <f>'Parameters, general'!$B$20</f>
        <v>4.6700000000000005E-2</v>
      </c>
      <c r="P113" s="4"/>
    </row>
    <row r="114" spans="1:16" x14ac:dyDescent="0.3">
      <c r="B114" t="s">
        <v>431</v>
      </c>
      <c r="C114" t="s">
        <v>110</v>
      </c>
      <c r="D114" t="s">
        <v>25</v>
      </c>
      <c r="E114" s="4">
        <f t="shared" si="15"/>
        <v>8.475971715089821E-4</v>
      </c>
      <c r="F114" s="4">
        <f>'Forage, input data per ha'!E39*(Frac_BAT_DE*EF_min_fert_BAT_CH4+Frac_AN_DE*EF_min_fert_AN_CH4)/'Forage, input data per ha'!C39</f>
        <v>3.8766361483709314E-5</v>
      </c>
      <c r="G114" s="4">
        <f>EF_capital_goods_CH4</f>
        <v>9.5000000000000005E-5</v>
      </c>
      <c r="H114" s="4"/>
      <c r="I114" s="4"/>
      <c r="J114" s="4">
        <f>'Forage, input data per ha'!J39*EF_diesel_CH4*Heating_value_diesel/'Forage, input data per ha'!C39</f>
        <v>5.8308100252728102E-6</v>
      </c>
      <c r="K114" s="4"/>
      <c r="L114" s="4">
        <f>'Forage, input data per ha'!K39*'Parameters, general'!$C$17/'Forage, input data per ha'!C39</f>
        <v>0</v>
      </c>
      <c r="M114" s="4"/>
      <c r="N114" s="4"/>
      <c r="O114" s="4">
        <f>'Parameters, general'!$C$20</f>
        <v>7.0799999999999997E-4</v>
      </c>
      <c r="P114" s="4"/>
    </row>
    <row r="115" spans="1:16" x14ac:dyDescent="0.3">
      <c r="B115" t="s">
        <v>431</v>
      </c>
      <c r="C115" t="s">
        <v>440</v>
      </c>
      <c r="D115" t="s">
        <v>25</v>
      </c>
      <c r="E115" s="4">
        <f t="shared" si="15"/>
        <v>0</v>
      </c>
      <c r="F115" s="4"/>
      <c r="G115" s="4"/>
      <c r="H115" s="4"/>
      <c r="I115" s="4"/>
      <c r="J115" s="4"/>
      <c r="K115" s="4"/>
      <c r="L115" s="4"/>
      <c r="M115" s="4"/>
      <c r="N115" s="4"/>
      <c r="O115" s="4"/>
      <c r="P115" s="4"/>
    </row>
    <row r="116" spans="1:16" x14ac:dyDescent="0.3">
      <c r="B116" t="s">
        <v>431</v>
      </c>
      <c r="C116" t="s">
        <v>112</v>
      </c>
      <c r="D116" t="s">
        <v>25</v>
      </c>
      <c r="E116" s="4">
        <f t="shared" si="15"/>
        <v>3.029214170658229E-4</v>
      </c>
      <c r="F116" s="4">
        <f>'Forage, input data per ha'!E39*(Frac_BAT_DE*EF_min_fert_BAT_N2O+Frac_AN_DE*EF_min_fert_AN_N2O)/'Forage, input data per ha'!C39</f>
        <v>4.6431822132832091E-5</v>
      </c>
      <c r="G116" s="4">
        <f>EF_capital_goods_N2O</f>
        <v>1.1000000000000001E-6</v>
      </c>
      <c r="H116" s="4">
        <f>('Forage, input data per ha'!E39*'Parameters, country spec'!C81+'Forage, input data per ha'!H39*'Parameters, country spec'!C82)*44/28/'Forage, input data per ha'!C39</f>
        <v>1.6994172478968788E-4</v>
      </c>
      <c r="I116" s="4">
        <f>H116*0.1</f>
        <v>1.6994172478968787E-5</v>
      </c>
      <c r="J116" s="4">
        <f>'Forage, input data per ha'!J39*EF_diesel_N2O*Heating_value_diesel/'Forage, input data per ha'!C39</f>
        <v>3.5369766433412225E-7</v>
      </c>
      <c r="K116" s="4"/>
      <c r="L116" s="4">
        <f>'Forage, input data per ha'!K39*'Parameters, general'!$D$17/'Forage, input data per ha'!C39</f>
        <v>0</v>
      </c>
      <c r="M116" s="4"/>
      <c r="N116" s="4"/>
      <c r="O116" s="4">
        <f>'Parameters, general'!$D$20</f>
        <v>6.8099999999999988E-5</v>
      </c>
      <c r="P116" s="4"/>
    </row>
    <row r="117" spans="1:16" x14ac:dyDescent="0.3">
      <c r="A117" s="142"/>
      <c r="B117" s="142" t="s">
        <v>431</v>
      </c>
      <c r="C117" s="142" t="s">
        <v>113</v>
      </c>
      <c r="D117" s="142" t="s">
        <v>25</v>
      </c>
      <c r="E117" s="301">
        <f>SUM(F117:P117)</f>
        <v>0.21595145624458972</v>
      </c>
      <c r="F117" s="301">
        <f>SUMPRODUCT(F113:F116,'Parameters, general'!$B$23:$B$26)</f>
        <v>3.4963537377244516E-2</v>
      </c>
      <c r="G117" s="301">
        <f>SUMPRODUCT(G113:G116,'Parameters, general'!$B$23:$B$26)</f>
        <v>3.01313E-2</v>
      </c>
      <c r="H117" s="301">
        <f>SUMPRODUCT(H113:H116,'Parameters, general'!$B$23:$B$26)</f>
        <v>4.6394090867584795E-2</v>
      </c>
      <c r="I117" s="301">
        <f>SUMPRODUCT(I113:I116,'Parameters, general'!$B$23:$B$26)</f>
        <v>4.6394090867584786E-3</v>
      </c>
      <c r="J117" s="301">
        <f>SUMPRODUCT(J113:J116,'Parameters, general'!$B$23:$B$26)</f>
        <v>1.3433418913001914E-2</v>
      </c>
      <c r="K117" s="301">
        <f>SUMPRODUCT(K113:K116,'Parameters, general'!$B$23:$B$26)</f>
        <v>0</v>
      </c>
      <c r="L117" s="301">
        <f>SUMPRODUCT(L113:L116,'Parameters, general'!$B$23:$B$26)</f>
        <v>0</v>
      </c>
      <c r="M117" s="301">
        <f>SUMPRODUCT(M113:M116,'Parameters, general'!$B$23:$B$26)</f>
        <v>0</v>
      </c>
      <c r="N117" s="301">
        <f>SUMPRODUCT(N113:N116,'Parameters, general'!$B$23:$B$26)</f>
        <v>0</v>
      </c>
      <c r="O117" s="301">
        <f>SUMPRODUCT(O113:O116,'Parameters, general'!$B$23:$B$26)</f>
        <v>8.6389700000000014E-2</v>
      </c>
      <c r="P117" s="301">
        <f>SUMPRODUCT(P113:P116,'Parameters, general'!$B$23:$B$26)</f>
        <v>0</v>
      </c>
    </row>
    <row r="118" spans="1:16" x14ac:dyDescent="0.3">
      <c r="B118" t="s">
        <v>431</v>
      </c>
      <c r="C118" t="s">
        <v>109</v>
      </c>
      <c r="D118" t="s">
        <v>21</v>
      </c>
      <c r="E118" s="4">
        <f t="shared" ref="E118:E126" si="16">SUM(F118:P118)</f>
        <v>0.12786808282506407</v>
      </c>
      <c r="F118" s="4">
        <f>'Forage, input data per ha'!E40*(Frac_BAT_GR*EF_min_fert_BAT_CO2+Frac_AN_GR*EF_min_fert_AN_CO2)/'Forage, input data per ha'!C40</f>
        <v>2.175109426324023E-2</v>
      </c>
      <c r="G118" s="4">
        <f>EF_capital_goods_CO2</f>
        <v>2.7E-2</v>
      </c>
      <c r="H118" s="4"/>
      <c r="I118" s="4"/>
      <c r="J118" s="4">
        <f>'Forage, input data per ha'!J40*EF_diesel_CO2*Heating_value_diesel/'Forage, input data per ha'!C40</f>
        <v>3.241698856182381E-2</v>
      </c>
      <c r="K118" s="4"/>
      <c r="L118" s="4">
        <f>'Forage, input data per ha'!K40*'Parameters, general'!$B$17/'Forage, input data per ha'!C40</f>
        <v>0</v>
      </c>
      <c r="M118" s="4"/>
      <c r="N118" s="250"/>
      <c r="O118" s="4">
        <f>'Parameters, general'!$B$20</f>
        <v>4.6700000000000005E-2</v>
      </c>
      <c r="P118" s="4"/>
    </row>
    <row r="119" spans="1:16" x14ac:dyDescent="0.3">
      <c r="B119" t="s">
        <v>431</v>
      </c>
      <c r="C119" t="s">
        <v>110</v>
      </c>
      <c r="D119" t="s">
        <v>21</v>
      </c>
      <c r="E119" s="4">
        <f t="shared" si="16"/>
        <v>8.5726093556085891E-4</v>
      </c>
      <c r="F119" s="4">
        <f>'Forage, input data per ha'!E40*(Frac_BAT_GR*EF_min_fert_BAT_CH4+Frac_AN_GR*EF_min_fert_AN_CH4)/'Forage, input data per ha'!C40</f>
        <v>3.9901302719260733E-5</v>
      </c>
      <c r="G119" s="4">
        <f>EF_capital_goods_CH4</f>
        <v>9.5000000000000005E-5</v>
      </c>
      <c r="H119" s="4"/>
      <c r="I119" s="4"/>
      <c r="J119" s="4">
        <f>'Forage, input data per ha'!J40*EF_diesel_CH4*Heating_value_diesel/'Forage, input data per ha'!C40</f>
        <v>1.4359632841598194E-5</v>
      </c>
      <c r="K119" s="4"/>
      <c r="L119" s="4">
        <f>'Forage, input data per ha'!K40*'Parameters, general'!$C$17/'Forage, input data per ha'!C40</f>
        <v>0</v>
      </c>
      <c r="M119" s="4"/>
      <c r="N119" s="4"/>
      <c r="O119" s="4">
        <f>'Parameters, general'!$C$20</f>
        <v>7.0799999999999997E-4</v>
      </c>
      <c r="P119" s="4"/>
    </row>
    <row r="120" spans="1:16" x14ac:dyDescent="0.3">
      <c r="B120" t="s">
        <v>431</v>
      </c>
      <c r="C120" t="s">
        <v>440</v>
      </c>
      <c r="D120" t="s">
        <v>21</v>
      </c>
      <c r="E120" s="4">
        <f t="shared" si="16"/>
        <v>0</v>
      </c>
      <c r="F120" s="4"/>
      <c r="G120" s="4"/>
      <c r="H120" s="4"/>
      <c r="I120" s="4"/>
      <c r="J120" s="4"/>
      <c r="K120" s="4"/>
      <c r="L120" s="4"/>
      <c r="M120" s="4"/>
      <c r="N120" s="4"/>
      <c r="O120" s="4"/>
      <c r="P120" s="4"/>
    </row>
    <row r="121" spans="1:16" x14ac:dyDescent="0.3">
      <c r="B121" t="s">
        <v>431</v>
      </c>
      <c r="C121" t="s">
        <v>112</v>
      </c>
      <c r="D121" t="s">
        <v>21</v>
      </c>
      <c r="E121" s="4">
        <f t="shared" si="16"/>
        <v>3.093429127614697E-4</v>
      </c>
      <c r="F121" s="4">
        <f>'Forage, input data per ha'!E40*(Frac_BAT_GR*EF_min_fert_BAT_N2O+Frac_AN_GR*EF_min_fert_AN_N2O)/'Forage, input data per ha'!C40</f>
        <v>4.7791180802654265E-5</v>
      </c>
      <c r="G121" s="4">
        <f>EF_capital_goods_N2O</f>
        <v>1.1000000000000001E-6</v>
      </c>
      <c r="H121" s="4">
        <f>('Forage, input data per ha'!E40*'Parameters, country spec'!D81+'Forage, input data per ha'!H40*'Parameters, country spec'!D82)*44/28/'Forage, input data per ha'!C40</f>
        <v>1.7407334076117382E-4</v>
      </c>
      <c r="I121" s="4">
        <f>H121*0.1</f>
        <v>1.7407334076117384E-5</v>
      </c>
      <c r="J121" s="4">
        <f>'Forage, input data per ha'!J40*EF_diesel_N2O*Heating_value_diesel/'Forage, input data per ha'!C40</f>
        <v>8.7105712152424362E-7</v>
      </c>
      <c r="K121" s="4"/>
      <c r="L121" s="4">
        <f>'Forage, input data per ha'!K40*'Parameters, general'!$D$17/'Forage, input data per ha'!C40</f>
        <v>0</v>
      </c>
      <c r="M121" s="4"/>
      <c r="N121" s="4"/>
      <c r="O121" s="4">
        <f>'Parameters, general'!$D$20</f>
        <v>6.8099999999999988E-5</v>
      </c>
      <c r="P121" s="4"/>
    </row>
    <row r="122" spans="1:16" x14ac:dyDescent="0.3">
      <c r="A122" s="142"/>
      <c r="B122" s="142" t="s">
        <v>431</v>
      </c>
      <c r="C122" s="142" t="s">
        <v>113</v>
      </c>
      <c r="D122" s="142" t="s">
        <v>21</v>
      </c>
      <c r="E122" s="301">
        <f>SUM(F122:P122)</f>
        <v>0.23786507388865888</v>
      </c>
      <c r="F122" s="301">
        <f>SUMPRODUCT(F118:F121,'Parameters, general'!$B$23:$B$26)</f>
        <v>3.5987145443398816E-2</v>
      </c>
      <c r="G122" s="301">
        <f>SUMPRODUCT(G118:G121,'Parameters, general'!$B$23:$B$26)</f>
        <v>3.01313E-2</v>
      </c>
      <c r="H122" s="301">
        <f>SUMPRODUCT(H118:H121,'Parameters, general'!$B$23:$B$26)</f>
        <v>4.7522022027800453E-2</v>
      </c>
      <c r="I122" s="301">
        <f>SUMPRODUCT(I118:I121,'Parameters, general'!$B$23:$B$26)</f>
        <v>4.7522022027800459E-3</v>
      </c>
      <c r="J122" s="301">
        <f>SUMPRODUCT(J118:J121,'Parameters, general'!$B$23:$B$26)</f>
        <v>3.3082704214679549E-2</v>
      </c>
      <c r="K122" s="301">
        <f>SUMPRODUCT(K118:K121,'Parameters, general'!$B$23:$B$26)</f>
        <v>0</v>
      </c>
      <c r="L122" s="301">
        <f>SUMPRODUCT(L118:L121,'Parameters, general'!$B$23:$B$26)</f>
        <v>0</v>
      </c>
      <c r="M122" s="301">
        <f>SUMPRODUCT(M118:M121,'Parameters, general'!$B$23:$B$26)</f>
        <v>0</v>
      </c>
      <c r="N122" s="301">
        <f>SUMPRODUCT(N118:N121,'Parameters, general'!$B$23:$B$26)</f>
        <v>0</v>
      </c>
      <c r="O122" s="301">
        <f>SUMPRODUCT(O118:O121,'Parameters, general'!$B$23:$B$26)</f>
        <v>8.6389700000000014E-2</v>
      </c>
      <c r="P122" s="301">
        <f>SUMPRODUCT(P118:P121,'Parameters, general'!$B$23:$B$26)</f>
        <v>0</v>
      </c>
    </row>
    <row r="123" spans="1:16" x14ac:dyDescent="0.3">
      <c r="B123" t="s">
        <v>431</v>
      </c>
      <c r="C123" t="s">
        <v>109</v>
      </c>
      <c r="D123" t="s">
        <v>114</v>
      </c>
      <c r="E123" s="4">
        <f t="shared" si="16"/>
        <v>0.1441492768067118</v>
      </c>
      <c r="F123" s="4">
        <f>'Forage, input data per ha'!E41*(Frac_BAT_HU*EF_min_fert_BAT_CO2+Frac_AN_HU*EF_min_fert_AN_CO2)/'Forage, input data per ha'!C41</f>
        <v>2.1751094263240234E-2</v>
      </c>
      <c r="G123" s="4">
        <f>EF_capital_goods_CO2</f>
        <v>2.7E-2</v>
      </c>
      <c r="H123" s="4"/>
      <c r="I123" s="4"/>
      <c r="J123" s="4">
        <f>'Forage, input data per ha'!J41*EF_diesel_CO2*Heating_value_diesel/'Forage, input data per ha'!C41</f>
        <v>4.869818254347158E-2</v>
      </c>
      <c r="K123" s="4"/>
      <c r="L123" s="4">
        <f>'Forage, input data per ha'!K41*'Parameters, general'!$B$17/'Forage, input data per ha'!C41</f>
        <v>0</v>
      </c>
      <c r="M123" s="4"/>
      <c r="N123" s="4"/>
      <c r="O123" s="4">
        <f>'Parameters, general'!$B$20</f>
        <v>4.6700000000000005E-2</v>
      </c>
      <c r="P123" s="4"/>
    </row>
    <row r="124" spans="1:16" x14ac:dyDescent="0.3">
      <c r="B124" t="s">
        <v>431</v>
      </c>
      <c r="C124" t="s">
        <v>110</v>
      </c>
      <c r="D124" t="s">
        <v>114</v>
      </c>
      <c r="E124" s="4">
        <f t="shared" si="16"/>
        <v>8.6447295549767146E-4</v>
      </c>
      <c r="F124" s="4">
        <f>'Forage, input data per ha'!E41*(Frac_BAT_HU*EF_min_fert_BAT_CH4+Frac_AN_HU*EF_min_fert_AN_CH4)/'Forage, input data per ha'!C41</f>
        <v>3.9901302719260733E-5</v>
      </c>
      <c r="G124" s="4">
        <f>EF_capital_goods_CH4</f>
        <v>9.5000000000000005E-5</v>
      </c>
      <c r="H124" s="4"/>
      <c r="I124" s="4"/>
      <c r="J124" s="4">
        <f>'Forage, input data per ha'!J41*EF_diesel_CH4*Heating_value_diesel/'Forage, input data per ha'!C41</f>
        <v>2.1571652778410818E-5</v>
      </c>
      <c r="K124" s="4"/>
      <c r="L124" s="4">
        <f>'Forage, input data per ha'!K41*'Parameters, general'!$C$17/'Forage, input data per ha'!C41</f>
        <v>0</v>
      </c>
      <c r="M124" s="4"/>
      <c r="N124" s="4"/>
      <c r="O124" s="4">
        <f>'Parameters, general'!$C$20</f>
        <v>7.0799999999999997E-4</v>
      </c>
      <c r="P124" s="4"/>
    </row>
    <row r="125" spans="1:16" x14ac:dyDescent="0.3">
      <c r="B125" t="s">
        <v>431</v>
      </c>
      <c r="C125" t="s">
        <v>440</v>
      </c>
      <c r="D125" t="s">
        <v>114</v>
      </c>
      <c r="E125" s="4">
        <f t="shared" si="16"/>
        <v>0</v>
      </c>
      <c r="F125" s="4"/>
      <c r="G125" s="4"/>
      <c r="H125" s="4"/>
      <c r="I125" s="4"/>
      <c r="J125" s="4"/>
      <c r="K125" s="4"/>
      <c r="L125" s="4"/>
      <c r="M125" s="4"/>
      <c r="N125" s="4"/>
      <c r="O125" s="4"/>
      <c r="P125" s="4"/>
    </row>
    <row r="126" spans="1:16" x14ac:dyDescent="0.3">
      <c r="B126" t="s">
        <v>431</v>
      </c>
      <c r="C126" t="s">
        <v>112</v>
      </c>
      <c r="D126" t="s">
        <v>114</v>
      </c>
      <c r="E126" s="4">
        <f t="shared" si="16"/>
        <v>3.0978039479153508E-4</v>
      </c>
      <c r="F126" s="4">
        <f>'Forage, input data per ha'!E41*(Frac_BAT_HU*EF_min_fert_BAT_N2O+Frac_AN_HU*EF_min_fert_AN_N2O)/'Forage, input data per ha'!C41</f>
        <v>4.7791180802654265E-5</v>
      </c>
      <c r="G126" s="4">
        <f>EF_capital_goods_N2O</f>
        <v>1.1000000000000001E-6</v>
      </c>
      <c r="H126" s="4">
        <f>('Forage, input data per ha'!E41*'Parameters, country spec'!E81+'Forage, input data per ha'!H41*'Parameters, country spec'!E82)*44/28/'Forage, input data per ha'!C41</f>
        <v>1.7407334076117385E-4</v>
      </c>
      <c r="I126" s="4">
        <f>H126*0.1</f>
        <v>1.7407334076117384E-5</v>
      </c>
      <c r="J126" s="4">
        <f>'Forage, input data per ha'!J41*EF_diesel_N2O*Heating_value_diesel/'Forage, input data per ha'!C41</f>
        <v>1.3085391515895945E-6</v>
      </c>
      <c r="K126" s="4"/>
      <c r="L126" s="4">
        <f>'Forage, input data per ha'!K41*'Parameters, general'!$D$17/'Forage, input data per ha'!C41</f>
        <v>0</v>
      </c>
      <c r="M126" s="4"/>
      <c r="N126" s="4"/>
      <c r="O126" s="4">
        <f>'Parameters, general'!$D$20</f>
        <v>6.8099999999999988E-5</v>
      </c>
      <c r="P126" s="4"/>
    </row>
    <row r="127" spans="1:16" x14ac:dyDescent="0.3">
      <c r="A127" s="142"/>
      <c r="B127" s="142" t="s">
        <v>431</v>
      </c>
      <c r="C127" s="142" t="s">
        <v>113</v>
      </c>
      <c r="D127" s="142" t="s">
        <v>114</v>
      </c>
      <c r="E127" s="301">
        <f>SUM(F127:P127)</f>
        <v>0.25448061865863147</v>
      </c>
      <c r="F127" s="301">
        <f>SUMPRODUCT(F123:F126,'Parameters, general'!$B$23:$B$26)</f>
        <v>3.5987145443398816E-2</v>
      </c>
      <c r="G127" s="301">
        <f>SUMPRODUCT(G123:G126,'Parameters, general'!$B$23:$B$26)</f>
        <v>3.01313E-2</v>
      </c>
      <c r="H127" s="301">
        <f>SUMPRODUCT(H123:H126,'Parameters, general'!$B$23:$B$26)</f>
        <v>4.752202202780046E-2</v>
      </c>
      <c r="I127" s="301">
        <f>SUMPRODUCT(I123:I126,'Parameters, general'!$B$23:$B$26)</f>
        <v>4.7522022027800459E-3</v>
      </c>
      <c r="J127" s="301">
        <f>SUMPRODUCT(J123:J126,'Parameters, general'!$B$23:$B$26)</f>
        <v>4.969824898465218E-2</v>
      </c>
      <c r="K127" s="301">
        <f>SUMPRODUCT(K123:K126,'Parameters, general'!$B$23:$B$26)</f>
        <v>0</v>
      </c>
      <c r="L127" s="301">
        <f>SUMPRODUCT(L123:L126,'Parameters, general'!$B$23:$B$26)</f>
        <v>0</v>
      </c>
      <c r="M127" s="301">
        <f>SUMPRODUCT(M123:M126,'Parameters, general'!$B$23:$B$26)</f>
        <v>0</v>
      </c>
      <c r="N127" s="301">
        <f>SUMPRODUCT(N123:N126,'Parameters, general'!$B$23:$B$26)</f>
        <v>0</v>
      </c>
      <c r="O127" s="301">
        <f>SUMPRODUCT(O123:O126,'Parameters, general'!$B$23:$B$26)</f>
        <v>8.6389700000000014E-2</v>
      </c>
      <c r="P127" s="301">
        <f>SUMPRODUCT(P123:P126,'Parameters, general'!$B$23:$B$26)</f>
        <v>0</v>
      </c>
    </row>
    <row r="128" spans="1:16" x14ac:dyDescent="0.3">
      <c r="B128" t="s">
        <v>431</v>
      </c>
      <c r="C128" t="s">
        <v>109</v>
      </c>
      <c r="D128" t="s">
        <v>23</v>
      </c>
      <c r="E128" s="4">
        <f t="shared" ref="E128:E131" si="17">SUM(F128:P128)</f>
        <v>0.10757669689476632</v>
      </c>
      <c r="F128" s="4">
        <f>'Forage, input data per ha'!E42*(Frac_BAT_IT*EF_min_fert_BAT_CO2+Frac_AN_IT*EF_min_fert_AN_CO2)/'Forage, input data per ha'!C42</f>
        <v>2.175109426324023E-2</v>
      </c>
      <c r="G128" s="4">
        <f>EF_capital_goods_CO2</f>
        <v>2.7E-2</v>
      </c>
      <c r="H128" s="4"/>
      <c r="I128" s="4"/>
      <c r="J128" s="4">
        <f>'Forage, input data per ha'!J42*EF_diesel_CO2*Heating_value_diesel/'Forage, input data per ha'!C42</f>
        <v>1.2125602631526086E-2</v>
      </c>
      <c r="K128" s="4"/>
      <c r="L128" s="4">
        <f>'Forage, input data per ha'!K42*'Parameters, general'!$B$17/'Forage, input data per ha'!C42</f>
        <v>0</v>
      </c>
      <c r="M128" s="4"/>
      <c r="N128" s="4"/>
      <c r="O128" s="4">
        <f>'Parameters, general'!$B$20</f>
        <v>4.6700000000000005E-2</v>
      </c>
      <c r="P128" s="4"/>
    </row>
    <row r="129" spans="1:16" x14ac:dyDescent="0.3">
      <c r="B129" t="s">
        <v>431</v>
      </c>
      <c r="C129" t="s">
        <v>110</v>
      </c>
      <c r="D129" t="s">
        <v>23</v>
      </c>
      <c r="E129" s="4">
        <f t="shared" si="17"/>
        <v>8.4827253581328367E-4</v>
      </c>
      <c r="F129" s="4">
        <f>'Forage, input data per ha'!E42*(Frac_BAT_IT*EF_min_fert_BAT_CH4+Frac_AN_IT*EF_min_fert_AN_CH4)/'Forage, input data per ha'!C42</f>
        <v>3.9901302719260733E-5</v>
      </c>
      <c r="G129" s="4">
        <f>EF_capital_goods_CH4</f>
        <v>9.5000000000000005E-5</v>
      </c>
      <c r="H129" s="4"/>
      <c r="I129" s="4"/>
      <c r="J129" s="4">
        <f>'Forage, input data per ha'!J42*EF_diesel_CH4*Heating_value_diesel/'Forage, input data per ha'!C42</f>
        <v>5.371233094022949E-6</v>
      </c>
      <c r="K129" s="4"/>
      <c r="L129" s="4">
        <f>'Forage, input data per ha'!K42*'Parameters, general'!$C$17/'Forage, input data per ha'!C42</f>
        <v>0</v>
      </c>
      <c r="M129" s="4"/>
      <c r="N129" s="4"/>
      <c r="O129" s="4">
        <f>'Parameters, general'!$C$20</f>
        <v>7.0799999999999997E-4</v>
      </c>
      <c r="P129" s="4"/>
    </row>
    <row r="130" spans="1:16" x14ac:dyDescent="0.3">
      <c r="B130" t="s">
        <v>431</v>
      </c>
      <c r="C130" t="s">
        <v>440</v>
      </c>
      <c r="D130" t="s">
        <v>23</v>
      </c>
      <c r="E130" s="4">
        <f t="shared" si="17"/>
        <v>0</v>
      </c>
      <c r="F130" s="4"/>
      <c r="G130" s="4"/>
      <c r="H130" s="4"/>
      <c r="I130" s="4"/>
      <c r="J130" s="4"/>
      <c r="K130" s="4"/>
      <c r="L130" s="4"/>
      <c r="M130" s="4"/>
      <c r="N130" s="4"/>
      <c r="O130" s="4"/>
      <c r="P130" s="4"/>
    </row>
    <row r="131" spans="1:16" x14ac:dyDescent="0.3">
      <c r="B131" t="s">
        <v>431</v>
      </c>
      <c r="C131" t="s">
        <v>112</v>
      </c>
      <c r="D131" t="s">
        <v>23</v>
      </c>
      <c r="E131" s="4">
        <f t="shared" si="17"/>
        <v>3.0879767531023409E-4</v>
      </c>
      <c r="F131" s="4">
        <f>'Forage, input data per ha'!E42*(Frac_BAT_IT*EF_min_fert_BAT_N2O+Frac_AN_IT*EF_min_fert_AN_N2O)/'Forage, input data per ha'!C42</f>
        <v>4.7791180802654258E-5</v>
      </c>
      <c r="G131" s="4">
        <f>EF_capital_goods_N2O</f>
        <v>1.1000000000000001E-6</v>
      </c>
      <c r="H131" s="4">
        <f>('Forage, input data per ha'!E42*'Parameters, country spec'!F81+'Forage, input data per ha'!H42*'Parameters, country spec'!F82)*44/28/'Forage, input data per ha'!C42</f>
        <v>1.7407334076117382E-4</v>
      </c>
      <c r="I131" s="4">
        <f>H131*0.1</f>
        <v>1.7407334076117384E-5</v>
      </c>
      <c r="J131" s="4">
        <f>'Forage, input data per ha'!J42*EF_diesel_N2O*Heating_value_diesel/'Forage, input data per ha'!C42</f>
        <v>3.2581967028863559E-7</v>
      </c>
      <c r="K131" s="4"/>
      <c r="L131" s="4">
        <f>'Forage, input data per ha'!K42*'Parameters, general'!$D$17/'Forage, input data per ha'!C42</f>
        <v>0</v>
      </c>
      <c r="M131" s="4"/>
      <c r="N131" s="4"/>
      <c r="O131" s="4">
        <f>'Parameters, general'!$D$20</f>
        <v>6.8099999999999988E-5</v>
      </c>
      <c r="P131" s="4"/>
    </row>
    <row r="132" spans="1:16" x14ac:dyDescent="0.3">
      <c r="A132" s="142"/>
      <c r="B132" s="142" t="s">
        <v>431</v>
      </c>
      <c r="C132" s="142" t="s">
        <v>113</v>
      </c>
      <c r="D132" s="142" t="s">
        <v>23</v>
      </c>
      <c r="E132" s="301">
        <f>SUM(F132:P132)</f>
        <v>0.2171569838216961</v>
      </c>
      <c r="F132" s="301">
        <f>SUMPRODUCT(F128:F131,'Parameters, general'!$B$23:$B$26)</f>
        <v>3.5987145443398816E-2</v>
      </c>
      <c r="G132" s="301">
        <f>SUMPRODUCT(G128:G131,'Parameters, general'!$B$23:$B$26)</f>
        <v>3.01313E-2</v>
      </c>
      <c r="H132" s="301">
        <f>SUMPRODUCT(H128:H131,'Parameters, general'!$B$23:$B$26)</f>
        <v>4.7522022027800453E-2</v>
      </c>
      <c r="I132" s="301">
        <f>SUMPRODUCT(I128:I131,'Parameters, general'!$B$23:$B$26)</f>
        <v>4.7522022027800459E-3</v>
      </c>
      <c r="J132" s="301">
        <f>SUMPRODUCT(J128:J131,'Parameters, general'!$B$23:$B$26)</f>
        <v>1.2374614147716767E-2</v>
      </c>
      <c r="K132" s="301">
        <f>SUMPRODUCT(K128:K131,'Parameters, general'!$B$23:$B$26)</f>
        <v>0</v>
      </c>
      <c r="L132" s="301">
        <f>SUMPRODUCT(L128:L131,'Parameters, general'!$B$23:$B$26)</f>
        <v>0</v>
      </c>
      <c r="M132" s="301">
        <f>SUMPRODUCT(M128:M131,'Parameters, general'!$B$23:$B$26)</f>
        <v>0</v>
      </c>
      <c r="N132" s="301">
        <f>SUMPRODUCT(N128:N131,'Parameters, general'!$B$23:$B$26)</f>
        <v>0</v>
      </c>
      <c r="O132" s="301">
        <f>SUMPRODUCT(O128:O131,'Parameters, general'!$B$23:$B$26)</f>
        <v>8.6389700000000014E-2</v>
      </c>
      <c r="P132" s="301">
        <f>SUMPRODUCT(P128:P131,'Parameters, general'!$B$23:$B$26)</f>
        <v>0</v>
      </c>
    </row>
    <row r="133" spans="1:16" x14ac:dyDescent="0.3">
      <c r="B133" t="s">
        <v>431</v>
      </c>
      <c r="C133" t="s">
        <v>109</v>
      </c>
      <c r="D133" t="s">
        <v>20</v>
      </c>
      <c r="E133" s="4">
        <f t="shared" ref="E133:E136" si="18">SUM(F133:P133)</f>
        <v>0.19150219901619125</v>
      </c>
      <c r="F133" s="4">
        <f>'Forage, input data per ha'!E43*(Frac_BAT_NL*EF_min_fert_BAT_CO2+Frac_AN_NL*EF_min_fert_AN_CO2)/'Forage, input data per ha'!C43</f>
        <v>9.7200179188847394E-2</v>
      </c>
      <c r="G133" s="4">
        <f>EF_capital_goods_CO2</f>
        <v>2.7E-2</v>
      </c>
      <c r="H133" s="4"/>
      <c r="I133" s="4"/>
      <c r="J133" s="4">
        <f>'Forage, input data per ha'!J43*EF_diesel_CO2*Heating_value_diesel/'Forage, input data per ha'!C43</f>
        <v>2.0602019827343845E-2</v>
      </c>
      <c r="K133" s="4"/>
      <c r="L133" s="4">
        <f>'Forage, input data per ha'!K43*'Parameters, general'!$B$17/'Forage, input data per ha'!C43</f>
        <v>0</v>
      </c>
      <c r="M133" s="4"/>
      <c r="N133" s="250"/>
      <c r="O133" s="4">
        <f>'Parameters, general'!$B$20</f>
        <v>4.6700000000000005E-2</v>
      </c>
      <c r="P133" s="4"/>
    </row>
    <row r="134" spans="1:16" x14ac:dyDescent="0.3">
      <c r="B134" t="s">
        <v>431</v>
      </c>
      <c r="C134" t="s">
        <v>110</v>
      </c>
      <c r="D134" t="s">
        <v>20</v>
      </c>
      <c r="E134" s="4">
        <f t="shared" si="18"/>
        <v>9.904349038734727E-4</v>
      </c>
      <c r="F134" s="4">
        <f>'Forage, input data per ha'!E43*(Frac_BAT_NL*EF_min_fert_BAT_CH4+Frac_AN_NL*EF_min_fert_AN_CH4)/'Forage, input data per ha'!C43</f>
        <v>1.7830890378398945E-4</v>
      </c>
      <c r="G134" s="4">
        <f>EF_capital_goods_CH4</f>
        <v>9.5000000000000005E-5</v>
      </c>
      <c r="H134" s="4"/>
      <c r="I134" s="4"/>
      <c r="J134" s="4">
        <f>'Forage, input data per ha'!J43*EF_diesel_CH4*Heating_value_diesel/'Forage, input data per ha'!C43</f>
        <v>9.1260000894833206E-6</v>
      </c>
      <c r="K134" s="4"/>
      <c r="L134" s="4">
        <f>'Forage, input data per ha'!K43*'Parameters, general'!$C$17/'Forage, input data per ha'!C43</f>
        <v>0</v>
      </c>
      <c r="M134" s="4"/>
      <c r="N134" s="4"/>
      <c r="O134" s="4">
        <f>'Parameters, general'!$C$20</f>
        <v>7.0799999999999997E-4</v>
      </c>
      <c r="P134" s="4"/>
    </row>
    <row r="135" spans="1:16" x14ac:dyDescent="0.3">
      <c r="B135" t="s">
        <v>431</v>
      </c>
      <c r="C135" t="s">
        <v>440</v>
      </c>
      <c r="D135" t="s">
        <v>20</v>
      </c>
      <c r="E135" s="4">
        <f t="shared" si="18"/>
        <v>0</v>
      </c>
      <c r="F135" s="4"/>
      <c r="G135" s="4"/>
      <c r="H135" s="4"/>
      <c r="I135" s="4"/>
      <c r="J135" s="4"/>
      <c r="K135" s="4"/>
      <c r="L135" s="4"/>
      <c r="M135" s="4"/>
      <c r="N135" s="4"/>
      <c r="O135" s="4"/>
      <c r="P135" s="4"/>
    </row>
    <row r="136" spans="1:16" x14ac:dyDescent="0.3">
      <c r="B136" t="s">
        <v>431</v>
      </c>
      <c r="C136" t="s">
        <v>112</v>
      </c>
      <c r="D136" t="s">
        <v>20</v>
      </c>
      <c r="E136" s="4">
        <f t="shared" si="18"/>
        <v>1.029042747913559E-3</v>
      </c>
      <c r="F136" s="4">
        <f>'Forage, input data per ha'!E43*(Frac_BAT_NL*EF_min_fert_BAT_N2O+Frac_AN_NL*EF_min_fert_AN_N2O)/'Forage, input data per ha'!C43</f>
        <v>2.1356678801743158E-4</v>
      </c>
      <c r="G136" s="4">
        <f>EF_capital_goods_N2O</f>
        <v>1.1000000000000001E-6</v>
      </c>
      <c r="H136" s="4">
        <f>('Forage, input data per ha'!E43*'Parameters, country spec'!G81+'Forage, input data per ha'!H43*'Parameters, country spec'!G82)*44/28/'Forage, input data per ha'!C43</f>
        <v>6.7792943235542443E-4</v>
      </c>
      <c r="I136" s="4">
        <f>H136*0.1</f>
        <v>6.7792943235542451E-5</v>
      </c>
      <c r="J136" s="4">
        <f>'Forage, input data per ha'!J43*EF_diesel_N2O*Heating_value_diesel/'Forage, input data per ha'!C43</f>
        <v>5.5358430516045113E-7</v>
      </c>
      <c r="K136" s="4"/>
      <c r="L136" s="4">
        <f>'Forage, input data per ha'!K43*'Parameters, general'!$D$17/'Forage, input data per ha'!C43</f>
        <v>0</v>
      </c>
      <c r="M136" s="4"/>
      <c r="N136" s="4"/>
      <c r="O136" s="4">
        <f>'Parameters, general'!$D$20</f>
        <v>6.8099999999999988E-5</v>
      </c>
      <c r="P136" s="4"/>
    </row>
    <row r="137" spans="1:16" x14ac:dyDescent="0.3">
      <c r="A137" s="142"/>
      <c r="B137" s="142" t="s">
        <v>431</v>
      </c>
      <c r="C137" s="142" t="s">
        <v>113</v>
      </c>
      <c r="D137" s="142" t="s">
        <v>20</v>
      </c>
      <c r="E137" s="301">
        <f>SUM(F137:P137)</f>
        <v>0.50194582933202236</v>
      </c>
      <c r="F137" s="301">
        <f>SUMPRODUCT(F133:F136,'Parameters, general'!$B$23:$B$26)</f>
        <v>0.16081751765036911</v>
      </c>
      <c r="G137" s="301">
        <f>SUMPRODUCT(G133:G136,'Parameters, general'!$B$23:$B$26)</f>
        <v>3.01313E-2</v>
      </c>
      <c r="H137" s="301">
        <f>SUMPRODUCT(H133:H136,'Parameters, general'!$B$23:$B$26)</f>
        <v>0.18507473503303087</v>
      </c>
      <c r="I137" s="301">
        <f>SUMPRODUCT(I133:I136,'Parameters, general'!$B$23:$B$26)</f>
        <v>1.850747350330309E-2</v>
      </c>
      <c r="J137" s="301">
        <f>SUMPRODUCT(J133:J136,'Parameters, general'!$B$23:$B$26)</f>
        <v>2.1025103145319253E-2</v>
      </c>
      <c r="K137" s="301">
        <f>SUMPRODUCT(K133:K136,'Parameters, general'!$B$23:$B$26)</f>
        <v>0</v>
      </c>
      <c r="L137" s="301">
        <f>SUMPRODUCT(L133:L136,'Parameters, general'!$B$23:$B$26)</f>
        <v>0</v>
      </c>
      <c r="M137" s="301">
        <f>SUMPRODUCT(M133:M136,'Parameters, general'!$B$23:$B$26)</f>
        <v>0</v>
      </c>
      <c r="N137" s="301">
        <f>SUMPRODUCT(N133:N136,'Parameters, general'!$B$23:$B$26)</f>
        <v>0</v>
      </c>
      <c r="O137" s="301">
        <f>SUMPRODUCT(O133:O136,'Parameters, general'!$B$23:$B$26)</f>
        <v>8.6389700000000014E-2</v>
      </c>
      <c r="P137" s="301">
        <f>SUMPRODUCT(P133:P136,'Parameters, general'!$B$23:$B$26)</f>
        <v>0</v>
      </c>
    </row>
    <row r="138" spans="1:16" x14ac:dyDescent="0.3">
      <c r="B138" t="s">
        <v>431</v>
      </c>
      <c r="C138" t="s">
        <v>109</v>
      </c>
      <c r="D138" t="s">
        <v>22</v>
      </c>
      <c r="E138" s="4">
        <f t="shared" ref="E138:E146" si="19">SUM(F138:P138)</f>
        <v>0.11067391180234051</v>
      </c>
      <c r="F138" s="4">
        <f>'Forage, input data per ha'!E44*(Frac_BAT_PL*EF_min_fert_BAT_CO2+Frac_AN_PL*EF_min_fert_AN_CO2)/'Forage, input data per ha'!C44</f>
        <v>2.1751094263240234E-2</v>
      </c>
      <c r="G138" s="4">
        <f>EF_capital_goods_CO2</f>
        <v>2.7E-2</v>
      </c>
      <c r="H138" s="4"/>
      <c r="I138" s="4"/>
      <c r="J138" s="4">
        <f>'Forage, input data per ha'!J44*EF_diesel_CO2*Heating_value_diesel/'Forage, input data per ha'!C44</f>
        <v>1.5222817539100278E-2</v>
      </c>
      <c r="K138" s="4"/>
      <c r="L138" s="4">
        <f>'Forage, input data per ha'!K44*'Parameters, general'!$B$17/'Forage, input data per ha'!C44</f>
        <v>0</v>
      </c>
      <c r="M138" s="4"/>
      <c r="N138" s="250"/>
      <c r="O138" s="4">
        <f>'Parameters, general'!$B$20</f>
        <v>4.6700000000000005E-2</v>
      </c>
      <c r="P138" s="4"/>
    </row>
    <row r="139" spans="1:16" x14ac:dyDescent="0.3">
      <c r="B139" t="s">
        <v>431</v>
      </c>
      <c r="C139" t="s">
        <v>110</v>
      </c>
      <c r="D139" t="s">
        <v>22</v>
      </c>
      <c r="E139" s="4">
        <f t="shared" si="19"/>
        <v>8.4964449758016618E-4</v>
      </c>
      <c r="F139" s="4">
        <f>'Forage, input data per ha'!E44*(Frac_BAT_PL*EF_min_fert_BAT_CH4+Frac_AN_PL*EF_min_fert_AN_CH4)/'Forage, input data per ha'!C44</f>
        <v>3.9901302719260733E-5</v>
      </c>
      <c r="G139" s="4">
        <f>EF_capital_goods_CH4</f>
        <v>9.5000000000000005E-5</v>
      </c>
      <c r="H139" s="4"/>
      <c r="I139" s="4"/>
      <c r="J139" s="4">
        <f>'Forage, input data per ha'!J44*EF_diesel_CH4*Heating_value_diesel/'Forage, input data per ha'!C44</f>
        <v>6.7431948609054584E-6</v>
      </c>
      <c r="K139" s="4"/>
      <c r="L139" s="4">
        <f>'Forage, input data per ha'!K44*'Parameters, general'!$C$17/'Forage, input data per ha'!C44</f>
        <v>0</v>
      </c>
      <c r="M139" s="4"/>
      <c r="N139" s="4"/>
      <c r="O139" s="4">
        <f>'Parameters, general'!$C$20</f>
        <v>7.0799999999999997E-4</v>
      </c>
      <c r="P139" s="4"/>
    </row>
    <row r="140" spans="1:16" x14ac:dyDescent="0.3">
      <c r="B140" t="s">
        <v>431</v>
      </c>
      <c r="C140" t="s">
        <v>440</v>
      </c>
      <c r="D140" t="s">
        <v>22</v>
      </c>
      <c r="E140" s="4">
        <f t="shared" si="19"/>
        <v>0</v>
      </c>
      <c r="F140" s="4"/>
      <c r="G140" s="4"/>
      <c r="H140" s="4"/>
      <c r="I140" s="4"/>
      <c r="J140" s="4"/>
      <c r="K140" s="4"/>
      <c r="L140" s="4"/>
      <c r="M140" s="4"/>
      <c r="N140" s="4"/>
      <c r="O140" s="4"/>
      <c r="P140" s="4"/>
    </row>
    <row r="141" spans="1:16" x14ac:dyDescent="0.3">
      <c r="B141" t="s">
        <v>431</v>
      </c>
      <c r="C141" t="s">
        <v>112</v>
      </c>
      <c r="D141" t="s">
        <v>22</v>
      </c>
      <c r="E141" s="4">
        <f t="shared" si="19"/>
        <v>3.0888089868235546E-4</v>
      </c>
      <c r="F141" s="4">
        <f>'Forage, input data per ha'!E44*(Frac_BAT_PL*EF_min_fert_BAT_N2O+Frac_AN_PL*EF_min_fert_AN_N2O)/'Forage, input data per ha'!C44</f>
        <v>4.7791180802654265E-5</v>
      </c>
      <c r="G141" s="4">
        <f>EF_capital_goods_N2O</f>
        <v>1.1000000000000001E-6</v>
      </c>
      <c r="H141" s="4">
        <f>('Forage, input data per ha'!E44*'Parameters, country spec'!H81+'Forage, input data per ha'!H44*'Parameters, country spec'!H82)*44/28/'Forage, input data per ha'!C44</f>
        <v>1.7407334076117385E-4</v>
      </c>
      <c r="I141" s="4">
        <f>H141*0.1</f>
        <v>1.7407334076117384E-5</v>
      </c>
      <c r="J141" s="4">
        <f>'Forage, input data per ha'!J44*EF_diesel_N2O*Heating_value_diesel/'Forage, input data per ha'!C44</f>
        <v>4.0904304240996531E-7</v>
      </c>
      <c r="K141" s="4"/>
      <c r="L141" s="4">
        <f>'Forage, input data per ha'!K44*'Parameters, general'!$D$17/'Forage, input data per ha'!C44</f>
        <v>0</v>
      </c>
      <c r="M141" s="4"/>
      <c r="N141" s="4"/>
      <c r="O141" s="4">
        <f>'Parameters, general'!$D$20</f>
        <v>6.8099999999999988E-5</v>
      </c>
      <c r="P141" s="4"/>
    </row>
    <row r="142" spans="1:16" x14ac:dyDescent="0.3">
      <c r="A142" s="142"/>
      <c r="B142" s="142" t="s">
        <v>431</v>
      </c>
      <c r="C142" s="142" t="s">
        <v>113</v>
      </c>
      <c r="D142" s="142" t="s">
        <v>22</v>
      </c>
      <c r="E142" s="301">
        <f>SUM(F142:P142)</f>
        <v>0.2203178031705125</v>
      </c>
      <c r="F142" s="301">
        <f>SUMPRODUCT(F138:F141,'Parameters, general'!$B$23:$B$26)</f>
        <v>3.5987145443398816E-2</v>
      </c>
      <c r="G142" s="301">
        <f>SUMPRODUCT(G138:G141,'Parameters, general'!$B$23:$B$26)</f>
        <v>3.01313E-2</v>
      </c>
      <c r="H142" s="301">
        <f>SUMPRODUCT(H138:H141,'Parameters, general'!$B$23:$B$26)</f>
        <v>4.752202202780046E-2</v>
      </c>
      <c r="I142" s="301">
        <f>SUMPRODUCT(I138:I141,'Parameters, general'!$B$23:$B$26)</f>
        <v>4.7522022027800459E-3</v>
      </c>
      <c r="J142" s="301">
        <f>SUMPRODUCT(J138:J141,'Parameters, general'!$B$23:$B$26)</f>
        <v>1.553543349653318E-2</v>
      </c>
      <c r="K142" s="301">
        <f>SUMPRODUCT(K138:K141,'Parameters, general'!$B$23:$B$26)</f>
        <v>0</v>
      </c>
      <c r="L142" s="301">
        <f>SUMPRODUCT(L138:L141,'Parameters, general'!$B$23:$B$26)</f>
        <v>0</v>
      </c>
      <c r="M142" s="301">
        <f>SUMPRODUCT(M138:M141,'Parameters, general'!$B$23:$B$26)</f>
        <v>0</v>
      </c>
      <c r="N142" s="301">
        <f>SUMPRODUCT(N138:N141,'Parameters, general'!$B$23:$B$26)</f>
        <v>0</v>
      </c>
      <c r="O142" s="301">
        <f>SUMPRODUCT(O138:O141,'Parameters, general'!$B$23:$B$26)</f>
        <v>8.6389700000000014E-2</v>
      </c>
      <c r="P142" s="301">
        <f>SUMPRODUCT(P138:P141,'Parameters, general'!$B$23:$B$26)</f>
        <v>0</v>
      </c>
    </row>
    <row r="143" spans="1:16" x14ac:dyDescent="0.3">
      <c r="B143" t="s">
        <v>431</v>
      </c>
      <c r="C143" t="s">
        <v>109</v>
      </c>
      <c r="D143" t="s">
        <v>26</v>
      </c>
      <c r="E143" s="4">
        <f t="shared" si="19"/>
        <v>0.11737020747497832</v>
      </c>
      <c r="F143" s="4">
        <f>'Forage, input data per ha'!E45*(Frac_BAT_ES*EF_min_fert_BAT_CO2+Frac_AN_ES*EF_min_fert_AN_CO2)/'Forage, input data per ha'!C45</f>
        <v>2.1751094263240234E-2</v>
      </c>
      <c r="G143" s="4">
        <f>EF_capital_goods_CO2</f>
        <v>2.7E-2</v>
      </c>
      <c r="H143" s="4"/>
      <c r="I143" s="4"/>
      <c r="J143" s="4">
        <f>'Forage, input data per ha'!J45*EF_diesel_CO2*Heating_value_diesel/'Forage, input data per ha'!C45</f>
        <v>2.1919113211738082E-2</v>
      </c>
      <c r="K143" s="4"/>
      <c r="L143" s="4">
        <f>'Forage, input data per ha'!K45*'Parameters, general'!$B$17/'Forage, input data per ha'!C45</f>
        <v>0</v>
      </c>
      <c r="M143" s="4"/>
      <c r="N143" s="4"/>
      <c r="O143" s="4">
        <f>'Parameters, general'!$B$20</f>
        <v>4.6700000000000005E-2</v>
      </c>
      <c r="P143" s="4"/>
    </row>
    <row r="144" spans="1:16" x14ac:dyDescent="0.3">
      <c r="B144" t="s">
        <v>431</v>
      </c>
      <c r="C144" t="s">
        <v>110</v>
      </c>
      <c r="D144" t="s">
        <v>26</v>
      </c>
      <c r="E144" s="4">
        <f t="shared" si="19"/>
        <v>8.5261073076603033E-4</v>
      </c>
      <c r="F144" s="4">
        <f>'Forage, input data per ha'!E45*(Frac_BAT_ES*EF_min_fert_BAT_CH4+Frac_AN_ES*EF_min_fert_AN_CH4)/'Forage, input data per ha'!C45</f>
        <v>3.9901302719260733E-5</v>
      </c>
      <c r="G144" s="4">
        <f>EF_capital_goods_CH4</f>
        <v>9.5000000000000005E-5</v>
      </c>
      <c r="H144" s="4"/>
      <c r="I144" s="4"/>
      <c r="J144" s="4">
        <f>'Forage, input data per ha'!J45*EF_diesel_CH4*Heating_value_diesel/'Forage, input data per ha'!C45</f>
        <v>9.7094280467696498E-6</v>
      </c>
      <c r="K144" s="4"/>
      <c r="L144" s="4">
        <f>'Forage, input data per ha'!K45*'Parameters, general'!$C$17/'Forage, input data per ha'!C45</f>
        <v>0</v>
      </c>
      <c r="M144" s="4"/>
      <c r="N144" s="4"/>
      <c r="O144" s="4">
        <f>'Parameters, general'!$C$20</f>
        <v>7.0799999999999997E-4</v>
      </c>
      <c r="P144" s="4"/>
    </row>
    <row r="145" spans="1:16" x14ac:dyDescent="0.3">
      <c r="B145" t="s">
        <v>431</v>
      </c>
      <c r="C145" t="s">
        <v>440</v>
      </c>
      <c r="D145" t="s">
        <v>26</v>
      </c>
      <c r="E145" s="4">
        <f t="shared" si="19"/>
        <v>0</v>
      </c>
      <c r="F145" s="4"/>
      <c r="G145" s="4"/>
      <c r="H145" s="4"/>
      <c r="I145" s="4"/>
      <c r="J145" s="4"/>
      <c r="K145" s="4"/>
      <c r="L145" s="4"/>
      <c r="M145" s="4"/>
      <c r="N145" s="4"/>
      <c r="O145" s="4"/>
      <c r="P145" s="4"/>
    </row>
    <row r="146" spans="1:16" x14ac:dyDescent="0.3">
      <c r="B146" t="s">
        <v>431</v>
      </c>
      <c r="C146" t="s">
        <v>112</v>
      </c>
      <c r="D146" t="s">
        <v>26</v>
      </c>
      <c r="E146" s="4">
        <f t="shared" si="19"/>
        <v>3.0906083075785839E-4</v>
      </c>
      <c r="F146" s="4">
        <f>'Forage, input data per ha'!E45*(Frac_BAT_ES*EF_min_fert_BAT_N2O+Frac_AN_ES*EF_min_fert_AN_N2O)/'Forage, input data per ha'!C45</f>
        <v>4.7791180802654265E-5</v>
      </c>
      <c r="G146" s="4">
        <f>EF_capital_goods_N2O</f>
        <v>1.1000000000000001E-6</v>
      </c>
      <c r="H146" s="4">
        <f>('Forage, input data per ha'!E45*'Parameters, country spec'!I81+'Forage, input data per ha'!H45*'Parameters, country spec'!I82)*44/28/'Forage, input data per ha'!C45</f>
        <v>1.7407334076117385E-4</v>
      </c>
      <c r="I146" s="4">
        <f>H146*0.1</f>
        <v>1.7407334076117384E-5</v>
      </c>
      <c r="J146" s="4">
        <f>'Forage, input data per ha'!J45*EF_diesel_N2O*Heating_value_diesel/'Forage, input data per ha'!C45</f>
        <v>5.8897511791287795E-7</v>
      </c>
      <c r="K146" s="4"/>
      <c r="L146" s="4">
        <f>'Forage, input data per ha'!K45*'Parameters, general'!$D$17/'Forage, input data per ha'!C45</f>
        <v>0</v>
      </c>
      <c r="M146" s="4"/>
      <c r="N146" s="4"/>
      <c r="O146" s="4">
        <f>'Parameters, general'!$D$20</f>
        <v>6.8099999999999988E-5</v>
      </c>
      <c r="P146" s="4"/>
    </row>
    <row r="147" spans="1:16" x14ac:dyDescent="0.3">
      <c r="A147" s="142"/>
      <c r="B147" s="142" t="s">
        <v>431</v>
      </c>
      <c r="C147" s="142" t="s">
        <v>113</v>
      </c>
      <c r="D147" s="142" t="s">
        <v>26</v>
      </c>
      <c r="E147" s="301">
        <f>SUM(F147:P147)</f>
        <v>0.22715161404870135</v>
      </c>
      <c r="F147" s="301">
        <f>SUMPRODUCT(F143:F146,'Parameters, general'!$B$23:$B$26)</f>
        <v>3.5987145443398816E-2</v>
      </c>
      <c r="G147" s="301">
        <f>SUMPRODUCT(G143:G146,'Parameters, general'!$B$23:$B$26)</f>
        <v>3.01313E-2</v>
      </c>
      <c r="H147" s="301">
        <f>SUMPRODUCT(H143:H146,'Parameters, general'!$B$23:$B$26)</f>
        <v>4.752202202780046E-2</v>
      </c>
      <c r="I147" s="301">
        <f>SUMPRODUCT(I143:I146,'Parameters, general'!$B$23:$B$26)</f>
        <v>4.7522022027800459E-3</v>
      </c>
      <c r="J147" s="301">
        <f>SUMPRODUCT(J143:J146,'Parameters, general'!$B$23:$B$26)</f>
        <v>2.2369244374722035E-2</v>
      </c>
      <c r="K147" s="301">
        <f>SUMPRODUCT(K143:K146,'Parameters, general'!$B$23:$B$26)</f>
        <v>0</v>
      </c>
      <c r="L147" s="301">
        <f>SUMPRODUCT(L143:L146,'Parameters, general'!$B$23:$B$26)</f>
        <v>0</v>
      </c>
      <c r="M147" s="301">
        <f>SUMPRODUCT(M143:M146,'Parameters, general'!$B$23:$B$26)</f>
        <v>0</v>
      </c>
      <c r="N147" s="301">
        <f>SUMPRODUCT(N143:N146,'Parameters, general'!$B$23:$B$26)</f>
        <v>0</v>
      </c>
      <c r="O147" s="301">
        <f>SUMPRODUCT(O143:O146,'Parameters, general'!$B$23:$B$26)</f>
        <v>8.6389700000000014E-2</v>
      </c>
      <c r="P147" s="301">
        <f>SUMPRODUCT(P143:P146,'Parameters, general'!$B$23:$B$26)</f>
        <v>0</v>
      </c>
    </row>
    <row r="148" spans="1:16" x14ac:dyDescent="0.3">
      <c r="B148" t="s">
        <v>431</v>
      </c>
      <c r="C148" t="s">
        <v>109</v>
      </c>
      <c r="D148" t="s">
        <v>27</v>
      </c>
      <c r="E148" s="4">
        <f t="shared" ref="E148:E151" si="20">SUM(F148:P148)</f>
        <v>0.10245357628963847</v>
      </c>
      <c r="F148" s="4">
        <f>'Forage, input data per ha'!E46*(Frac_BAT_SE*EF_min_fert_BAT_CO2+Frac_AN_SE*EF_min_fert_AN_CO2)/'Forage, input data per ha'!C46</f>
        <v>1.444906499787716E-2</v>
      </c>
      <c r="G148" s="4">
        <f>EF_capital_goods_CO2</f>
        <v>2.7E-2</v>
      </c>
      <c r="H148" s="4"/>
      <c r="I148" s="4"/>
      <c r="J148" s="4">
        <f>'Forage, input data per ha'!J46*EF_diesel_CO2*Heating_value_diesel/'Forage, input data per ha'!C46</f>
        <v>1.4304511291761302E-2</v>
      </c>
      <c r="K148" s="4"/>
      <c r="L148" s="4">
        <f>'Forage, input data per ha'!K46*'Parameters, general'!$B$17/'Forage, input data per ha'!C46</f>
        <v>0</v>
      </c>
      <c r="M148" s="4"/>
      <c r="N148" s="250"/>
      <c r="O148" s="4">
        <f>'Parameters, general'!$B$20</f>
        <v>4.6700000000000005E-2</v>
      </c>
      <c r="P148" s="4"/>
    </row>
    <row r="149" spans="1:16" x14ac:dyDescent="0.3">
      <c r="B149" t="s">
        <v>431</v>
      </c>
      <c r="C149" t="s">
        <v>110</v>
      </c>
      <c r="D149" t="s">
        <v>27</v>
      </c>
      <c r="E149" s="4">
        <f t="shared" si="20"/>
        <v>8.275140536154915E-4</v>
      </c>
      <c r="F149" s="4">
        <f>'Forage, input data per ha'!E46*(Frac_BAT_SE*EF_min_fert_BAT_CH4+Frac_AN_SE*EF_min_fert_AN_CH4)/'Forage, input data per ha'!C46</f>
        <v>1.8177637457141569E-5</v>
      </c>
      <c r="G149" s="4">
        <f>EF_capital_goods_CH4</f>
        <v>9.5000000000000005E-5</v>
      </c>
      <c r="H149" s="4"/>
      <c r="I149" s="4"/>
      <c r="J149" s="4">
        <f>'Forage, input data per ha'!J46*EF_diesel_CH4*Heating_value_diesel/'Forage, input data per ha'!C46</f>
        <v>6.336416158350008E-6</v>
      </c>
      <c r="K149" s="4"/>
      <c r="L149" s="4">
        <f>'Forage, input data per ha'!K46*'Parameters, general'!$C$17/'Forage, input data per ha'!C46</f>
        <v>0</v>
      </c>
      <c r="M149" s="4"/>
      <c r="N149" s="4"/>
      <c r="O149" s="4">
        <f>'Parameters, general'!$C$20</f>
        <v>7.0799999999999997E-4</v>
      </c>
      <c r="P149" s="4"/>
    </row>
    <row r="150" spans="1:16" x14ac:dyDescent="0.3">
      <c r="B150" t="s">
        <v>431</v>
      </c>
      <c r="C150" t="s">
        <v>440</v>
      </c>
      <c r="D150" t="s">
        <v>27</v>
      </c>
      <c r="E150" s="4">
        <f t="shared" si="20"/>
        <v>0</v>
      </c>
      <c r="F150" s="4"/>
      <c r="G150" s="4"/>
      <c r="H150" s="4"/>
      <c r="I150" s="4"/>
      <c r="J150" s="4"/>
      <c r="K150" s="4"/>
      <c r="L150" s="4"/>
      <c r="M150" s="4"/>
      <c r="N150" s="4"/>
      <c r="O150" s="4"/>
      <c r="P150" s="4"/>
    </row>
    <row r="151" spans="1:16" x14ac:dyDescent="0.3">
      <c r="B151" t="s">
        <v>431</v>
      </c>
      <c r="C151" t="s">
        <v>112</v>
      </c>
      <c r="D151" t="s">
        <v>27</v>
      </c>
      <c r="E151" s="4">
        <f t="shared" si="20"/>
        <v>2.5905063344168667E-4</v>
      </c>
      <c r="F151" s="4">
        <f>'Forage, input data per ha'!E46*(Frac_BAT_SE*EF_min_fert_BAT_N2O+Frac_AN_SE*EF_min_fert_AN_N2O)/'Forage, input data per ha'!C46</f>
        <v>3.0383072031292393E-5</v>
      </c>
      <c r="G151" s="4">
        <f>EF_capital_goods_N2O</f>
        <v>1.1000000000000001E-6</v>
      </c>
      <c r="H151" s="4">
        <f>('Forage, input data per ha'!E46*'Parameters, country spec'!J81+'Forage, input data per ha'!H46*'Parameters, country spec'!J82)*44/28/'Forage, input data per ha'!C46</f>
        <v>1.4462108510443936E-4</v>
      </c>
      <c r="I151" s="4">
        <f>H151*0.1</f>
        <v>1.4462108510443936E-5</v>
      </c>
      <c r="J151" s="4">
        <f>'Forage, input data per ha'!J46*EF_diesel_N2O*Heating_value_diesel/'Forage, input data per ha'!C46</f>
        <v>3.8436779551097283E-7</v>
      </c>
      <c r="K151" s="4"/>
      <c r="L151" s="4">
        <f>'Forage, input data per ha'!K46*'Parameters, general'!$D$17/'Forage, input data per ha'!C46</f>
        <v>0</v>
      </c>
      <c r="M151" s="4"/>
      <c r="N151" s="4"/>
      <c r="O151" s="4">
        <f>'Parameters, general'!$D$20</f>
        <v>6.8099999999999988E-5</v>
      </c>
      <c r="P151" s="4"/>
    </row>
    <row r="152" spans="1:16" x14ac:dyDescent="0.3">
      <c r="A152" s="142"/>
      <c r="B152" s="142" t="s">
        <v>431</v>
      </c>
      <c r="C152" s="142" t="s">
        <v>113</v>
      </c>
      <c r="D152" s="142" t="s">
        <v>27</v>
      </c>
      <c r="E152" s="301">
        <f>SUM(F152:P152)</f>
        <v>0.19783431801696061</v>
      </c>
      <c r="F152" s="301">
        <f>SUMPRODUCT(F148:F151,'Parameters, general'!$B$23:$B$26)</f>
        <v>2.3285337258642805E-2</v>
      </c>
      <c r="G152" s="301">
        <f>SUMPRODUCT(G148:G151,'Parameters, general'!$B$23:$B$26)</f>
        <v>3.01313E-2</v>
      </c>
      <c r="H152" s="301">
        <f>SUMPRODUCT(H148:H151,'Parameters, general'!$B$23:$B$26)</f>
        <v>3.9481556233511947E-2</v>
      </c>
      <c r="I152" s="301">
        <f>SUMPRODUCT(I148:I151,'Parameters, general'!$B$23:$B$26)</f>
        <v>3.9481556233511945E-3</v>
      </c>
      <c r="J152" s="301">
        <f>SUMPRODUCT(J148:J151,'Parameters, general'!$B$23:$B$26)</f>
        <v>1.4598268901454627E-2</v>
      </c>
      <c r="K152" s="301">
        <f>SUMPRODUCT(K148:K151,'Parameters, general'!$B$23:$B$26)</f>
        <v>0</v>
      </c>
      <c r="L152" s="301">
        <f>SUMPRODUCT(L148:L151,'Parameters, general'!$B$23:$B$26)</f>
        <v>0</v>
      </c>
      <c r="M152" s="301">
        <f>SUMPRODUCT(M148:M151,'Parameters, general'!$B$23:$B$26)</f>
        <v>0</v>
      </c>
      <c r="N152" s="301">
        <f>SUMPRODUCT(N148:N151,'Parameters, general'!$B$23:$B$26)</f>
        <v>0</v>
      </c>
      <c r="O152" s="301">
        <f>SUMPRODUCT(O148:O151,'Parameters, general'!$B$23:$B$26)</f>
        <v>8.6389700000000014E-2</v>
      </c>
      <c r="P152" s="301">
        <f>SUMPRODUCT(P148:P151,'Parameters, general'!$B$23:$B$26)</f>
        <v>0</v>
      </c>
    </row>
    <row r="153" spans="1:16" x14ac:dyDescent="0.3">
      <c r="E153" s="4"/>
      <c r="F153" s="4"/>
      <c r="G153" s="4"/>
      <c r="H153" s="4"/>
      <c r="I153" s="4"/>
      <c r="J153" s="4"/>
      <c r="K153" s="4"/>
      <c r="L153" s="4"/>
      <c r="M153" s="4"/>
      <c r="N153" s="4"/>
      <c r="O153" s="4"/>
      <c r="P153" s="4"/>
    </row>
    <row r="154" spans="1:16" ht="18" x14ac:dyDescent="0.35">
      <c r="A154" s="239" t="s">
        <v>432</v>
      </c>
      <c r="B154" s="106"/>
      <c r="C154" s="106"/>
      <c r="D154" s="106"/>
      <c r="E154" s="106"/>
      <c r="F154" s="106"/>
      <c r="G154" s="106"/>
      <c r="H154" s="106"/>
      <c r="I154" s="106"/>
      <c r="J154" s="106"/>
      <c r="K154" s="106"/>
      <c r="L154" s="106"/>
      <c r="M154" s="106"/>
      <c r="N154" s="106"/>
      <c r="O154" s="106"/>
      <c r="P154" s="106"/>
    </row>
    <row r="156" spans="1:16" x14ac:dyDescent="0.3">
      <c r="A156" s="240" t="s">
        <v>355</v>
      </c>
      <c r="B156" s="241"/>
      <c r="C156" s="241"/>
      <c r="D156" s="241"/>
      <c r="E156" s="242" t="s">
        <v>82</v>
      </c>
      <c r="F156" s="242" t="s">
        <v>83</v>
      </c>
      <c r="G156" s="243"/>
      <c r="H156" s="242" t="s">
        <v>84</v>
      </c>
      <c r="I156" s="244"/>
      <c r="J156" s="245" t="s">
        <v>85</v>
      </c>
      <c r="K156" s="244"/>
      <c r="L156" s="244"/>
      <c r="M156" s="244"/>
      <c r="N156" s="245" t="s">
        <v>86</v>
      </c>
      <c r="O156" s="245" t="s">
        <v>87</v>
      </c>
      <c r="P156" s="245" t="s">
        <v>88</v>
      </c>
    </row>
    <row r="157" spans="1:16" ht="43.2" x14ac:dyDescent="0.3">
      <c r="A157" s="246" t="s">
        <v>44</v>
      </c>
      <c r="B157" s="246" t="s">
        <v>355</v>
      </c>
      <c r="C157" s="246" t="s">
        <v>93</v>
      </c>
      <c r="D157" s="247" t="s">
        <v>438</v>
      </c>
      <c r="E157" s="248"/>
      <c r="F157" s="46" t="s">
        <v>8</v>
      </c>
      <c r="G157" s="46" t="s">
        <v>9</v>
      </c>
      <c r="H157" s="46" t="s">
        <v>95</v>
      </c>
      <c r="I157" s="46" t="s">
        <v>358</v>
      </c>
      <c r="J157" s="46" t="s">
        <v>97</v>
      </c>
      <c r="K157" s="46" t="s">
        <v>98</v>
      </c>
      <c r="L157" s="46" t="s">
        <v>99</v>
      </c>
      <c r="M157" s="46" t="s">
        <v>100</v>
      </c>
      <c r="N157" s="46" t="s">
        <v>101</v>
      </c>
      <c r="O157" s="46"/>
      <c r="P157" s="46"/>
    </row>
    <row r="158" spans="1:16" x14ac:dyDescent="0.3">
      <c r="B158" t="s">
        <v>432</v>
      </c>
      <c r="C158" t="s">
        <v>109</v>
      </c>
      <c r="D158" t="s">
        <v>28</v>
      </c>
      <c r="E158" s="4">
        <f t="shared" ref="E158:E161" si="21">SUM(F158:P158)</f>
        <v>8.6527922533805673E-2</v>
      </c>
      <c r="F158" s="4">
        <f>'Forage, input data per ha'!E53*(Frac_BAT_FR*EF_min_fert_BAT_CO2+Frac_AN_FR*EF_min_fert_AN_CO2)/'Forage, input data per ha'!C53</f>
        <v>0</v>
      </c>
      <c r="G158" s="4">
        <f>EF_capital_goods_CO2</f>
        <v>2.7E-2</v>
      </c>
      <c r="H158" s="4"/>
      <c r="I158" s="4"/>
      <c r="J158" s="4">
        <f>'Forage, input data per ha'!J53*EF_diesel_CO2*Heating_value_diesel/'Forage, input data per ha'!C53</f>
        <v>1.2827922533805672E-2</v>
      </c>
      <c r="K158" s="4"/>
      <c r="L158" s="4">
        <f>'Forage, input data per ha'!K53*'Parameters, general'!$B$17/'Forage, input data per ha'!C53</f>
        <v>0</v>
      </c>
      <c r="M158" s="4"/>
      <c r="N158" s="250"/>
      <c r="O158" s="4">
        <f>'Parameters, general'!$B$20</f>
        <v>4.6700000000000005E-2</v>
      </c>
      <c r="P158" s="4"/>
    </row>
    <row r="159" spans="1:16" x14ac:dyDescent="0.3">
      <c r="B159" t="s">
        <v>432</v>
      </c>
      <c r="C159" t="s">
        <v>110</v>
      </c>
      <c r="D159" t="s">
        <v>28</v>
      </c>
      <c r="E159" s="4">
        <f t="shared" si="21"/>
        <v>8.0868233712871288E-4</v>
      </c>
      <c r="F159" s="4">
        <f>'Forage, input data per ha'!E53*(Frac_BAT_FR*EF_min_fert_BAT_CH4+Frac_AN_FR*EF_min_fert_AN_CH4)/'Forage, input data per ha'!C53</f>
        <v>0</v>
      </c>
      <c r="G159" s="4">
        <f>EF_capital_goods_CH4</f>
        <v>9.5000000000000005E-5</v>
      </c>
      <c r="H159" s="4"/>
      <c r="I159" s="4"/>
      <c r="J159" s="4">
        <f>'Forage, input data per ha'!J53*EF_diesel_CH4*Heating_value_diesel/'Forage, input data per ha'!C53</f>
        <v>5.6823371287129186E-6</v>
      </c>
      <c r="K159" s="4"/>
      <c r="L159" s="4">
        <f>'Forage, input data per ha'!K53*'Parameters, general'!$C$17/'Forage, input data per ha'!C53</f>
        <v>0</v>
      </c>
      <c r="M159" s="4"/>
      <c r="N159" s="4"/>
      <c r="O159" s="4">
        <f>'Parameters, general'!$C$20</f>
        <v>7.0799999999999997E-4</v>
      </c>
      <c r="P159" s="4"/>
    </row>
    <row r="160" spans="1:16" x14ac:dyDescent="0.3">
      <c r="B160" t="s">
        <v>432</v>
      </c>
      <c r="C160" t="s">
        <v>440</v>
      </c>
      <c r="D160" t="s">
        <v>28</v>
      </c>
      <c r="E160" s="4">
        <f t="shared" si="21"/>
        <v>0</v>
      </c>
      <c r="F160" s="4"/>
      <c r="G160" s="4"/>
      <c r="H160" s="4"/>
      <c r="I160" s="4"/>
      <c r="J160" s="4"/>
      <c r="K160" s="4"/>
      <c r="L160" s="4"/>
      <c r="M160" s="4"/>
      <c r="N160" s="4"/>
      <c r="O160" s="4"/>
      <c r="P160" s="4"/>
    </row>
    <row r="161" spans="1:16" x14ac:dyDescent="0.3">
      <c r="B161" t="s">
        <v>432</v>
      </c>
      <c r="C161" t="s">
        <v>112</v>
      </c>
      <c r="D161" t="s">
        <v>28</v>
      </c>
      <c r="E161" s="4">
        <f t="shared" si="21"/>
        <v>1.0124392556560053E-4</v>
      </c>
      <c r="F161" s="4">
        <f>'Forage, input data per ha'!E53*(Frac_BAT_FR*EF_min_fert_BAT_N2O+Frac_AN_FR*EF_min_fert_AN_N2O)/'Forage, input data per ha'!C53</f>
        <v>0</v>
      </c>
      <c r="G161" s="4">
        <f>EF_capital_goods_N2O</f>
        <v>1.1000000000000001E-6</v>
      </c>
      <c r="H161" s="4">
        <f>('Forage, input data per ha'!E53*'Parameters, country spec'!B81+'Forage, input data per ha'!H53*'Parameters, country spec'!B82)*44/28/'Forage, input data per ha'!C53</f>
        <v>2.8817485714285722E-5</v>
      </c>
      <c r="I161" s="4">
        <f>H161*0.1</f>
        <v>2.8817485714285724E-6</v>
      </c>
      <c r="J161" s="4">
        <f>'Forage, input data per ha'!J53*EF_diesel_N2O*Heating_value_diesel/'Forage, input data per ha'!C53</f>
        <v>3.4469127988624303E-7</v>
      </c>
      <c r="K161" s="4"/>
      <c r="L161" s="4">
        <f>'Forage, input data per ha'!K53*'Parameters, general'!$D$17/'Forage, input data per ha'!C53</f>
        <v>0</v>
      </c>
      <c r="M161" s="4"/>
      <c r="N161" s="4"/>
      <c r="O161" s="4">
        <f>'Parameters, general'!$D$20</f>
        <v>6.8099999999999988E-5</v>
      </c>
      <c r="P161" s="4"/>
    </row>
    <row r="162" spans="1:16" x14ac:dyDescent="0.3">
      <c r="A162" s="142"/>
      <c r="B162" s="142" t="s">
        <v>432</v>
      </c>
      <c r="C162" s="142" t="s">
        <v>113</v>
      </c>
      <c r="D162" s="142" t="s">
        <v>28</v>
      </c>
      <c r="E162" s="301">
        <f>SUM(F162:P162)</f>
        <v>0.13826624785965028</v>
      </c>
      <c r="F162" s="301">
        <f>SUMPRODUCT(F158:F161,'Parameters, general'!$B$23:$B$26)</f>
        <v>0</v>
      </c>
      <c r="G162" s="301">
        <f>SUMPRODUCT(G158:G161,'Parameters, general'!$B$23:$B$26)</f>
        <v>3.01313E-2</v>
      </c>
      <c r="H162" s="301">
        <f>SUMPRODUCT(H158:H161,'Parameters, general'!$B$23:$B$26)</f>
        <v>7.8671736000000027E-3</v>
      </c>
      <c r="I162" s="301">
        <f>SUMPRODUCT(I158:I161,'Parameters, general'!$B$23:$B$26)</f>
        <v>7.8671736000000022E-4</v>
      </c>
      <c r="J162" s="301">
        <f>SUMPRODUCT(J158:J161,'Parameters, general'!$B$23:$B$26)</f>
        <v>1.3091356899650261E-2</v>
      </c>
      <c r="K162" s="301">
        <f>SUMPRODUCT(K158:K161,'Parameters, general'!$B$23:$B$26)</f>
        <v>0</v>
      </c>
      <c r="L162" s="301">
        <f>SUMPRODUCT(L158:L161,'Parameters, general'!$B$23:$B$26)</f>
        <v>0</v>
      </c>
      <c r="M162" s="301">
        <f>SUMPRODUCT(M158:M161,'Parameters, general'!$B$23:$B$26)</f>
        <v>0</v>
      </c>
      <c r="N162" s="301">
        <f>SUMPRODUCT(N158:N161,'Parameters, general'!$B$23:$B$26)</f>
        <v>0</v>
      </c>
      <c r="O162" s="301">
        <f>SUMPRODUCT(O158:O161,'Parameters, general'!$B$23:$B$26)</f>
        <v>8.6389700000000014E-2</v>
      </c>
      <c r="P162" s="301">
        <f>SUMPRODUCT(P158:P161,'Parameters, general'!$B$23:$B$26)</f>
        <v>0</v>
      </c>
    </row>
    <row r="163" spans="1:16" x14ac:dyDescent="0.3">
      <c r="B163" t="s">
        <v>432</v>
      </c>
      <c r="C163" t="s">
        <v>109</v>
      </c>
      <c r="D163" t="s">
        <v>25</v>
      </c>
      <c r="E163" s="4">
        <f t="shared" ref="E163:E166" si="22">SUM(F163:P163)</f>
        <v>9.0598147836025364E-2</v>
      </c>
      <c r="F163" s="4">
        <f>'Forage, input data per ha'!E54*(Frac_BAT_DE*EF_min_fert_BAT_CO2+Frac_AN_DE*EF_min_fert_AN_CO2)/'Forage, input data per ha'!C54</f>
        <v>0</v>
      </c>
      <c r="G163" s="4">
        <f>EF_capital_goods_CO2</f>
        <v>2.7E-2</v>
      </c>
      <c r="H163" s="4"/>
      <c r="I163" s="4"/>
      <c r="J163" s="4">
        <f>'Forage, input data per ha'!J54*EF_diesel_CO2*Heating_value_diesel/'Forage, input data per ha'!C54</f>
        <v>1.6898147836025362E-2</v>
      </c>
      <c r="K163" s="4"/>
      <c r="L163" s="4">
        <f>'Forage, input data per ha'!K54*'Parameters, general'!$B$17/'Forage, input data per ha'!C54</f>
        <v>0</v>
      </c>
      <c r="M163" s="4"/>
      <c r="N163" s="4"/>
      <c r="O163" s="4">
        <f>'Parameters, general'!$B$20</f>
        <v>4.6700000000000005E-2</v>
      </c>
      <c r="P163" s="4"/>
    </row>
    <row r="164" spans="1:16" x14ac:dyDescent="0.3">
      <c r="B164" t="s">
        <v>432</v>
      </c>
      <c r="C164" t="s">
        <v>110</v>
      </c>
      <c r="D164" t="s">
        <v>25</v>
      </c>
      <c r="E164" s="4">
        <f t="shared" si="22"/>
        <v>8.1048530969079992E-4</v>
      </c>
      <c r="F164" s="4">
        <f>'Forage, input data per ha'!E54*(Frac_BAT_DE*EF_min_fert_BAT_CH4+Frac_AN_DE*EF_min_fert_AN_CH4)/'Forage, input data per ha'!C54</f>
        <v>0</v>
      </c>
      <c r="G164" s="4">
        <f>EF_capital_goods_CH4</f>
        <v>9.5000000000000005E-5</v>
      </c>
      <c r="H164" s="4"/>
      <c r="I164" s="4"/>
      <c r="J164" s="4">
        <f>'Forage, input data per ha'!J54*EF_diesel_CH4*Heating_value_diesel/'Forage, input data per ha'!C54</f>
        <v>7.4853096907999611E-6</v>
      </c>
      <c r="K164" s="4"/>
      <c r="L164" s="4">
        <f>'Forage, input data per ha'!K54*'Parameters, general'!$C$17/'Forage, input data per ha'!C54</f>
        <v>0</v>
      </c>
      <c r="M164" s="4"/>
      <c r="N164" s="4"/>
      <c r="O164" s="4">
        <f>'Parameters, general'!$C$20</f>
        <v>7.0799999999999997E-4</v>
      </c>
      <c r="P164" s="4"/>
    </row>
    <row r="165" spans="1:16" x14ac:dyDescent="0.3">
      <c r="B165" t="s">
        <v>432</v>
      </c>
      <c r="C165" t="s">
        <v>440</v>
      </c>
      <c r="D165" t="s">
        <v>25</v>
      </c>
      <c r="E165" s="4">
        <f t="shared" si="22"/>
        <v>0</v>
      </c>
      <c r="F165" s="4"/>
      <c r="G165" s="4"/>
      <c r="H165" s="4"/>
      <c r="I165" s="4"/>
      <c r="J165" s="4"/>
      <c r="K165" s="4"/>
      <c r="L165" s="4"/>
      <c r="M165" s="4"/>
      <c r="N165" s="4"/>
      <c r="O165" s="4"/>
      <c r="P165" s="4"/>
    </row>
    <row r="166" spans="1:16" x14ac:dyDescent="0.3">
      <c r="B166" t="s">
        <v>432</v>
      </c>
      <c r="C166" t="s">
        <v>112</v>
      </c>
      <c r="D166" t="s">
        <v>25</v>
      </c>
      <c r="E166" s="4">
        <f t="shared" si="22"/>
        <v>1.0135329410638724E-4</v>
      </c>
      <c r="F166" s="4">
        <f>'Forage, input data per ha'!E54*(Frac_BAT_DE*EF_min_fert_BAT_N2O+Frac_AN_DE*EF_min_fert_AN_N2O)/'Forage, input data per ha'!C54</f>
        <v>0</v>
      </c>
      <c r="G166" s="4">
        <f>EF_capital_goods_N2O</f>
        <v>1.1000000000000001E-6</v>
      </c>
      <c r="H166" s="4">
        <f>('Forage, input data per ha'!E54*'Parameters, country spec'!C81+'Forage, input data per ha'!H54*'Parameters, country spec'!C82)*44/28/'Forage, input data per ha'!C54</f>
        <v>2.8817485714285716E-5</v>
      </c>
      <c r="I166" s="4">
        <f>H166*0.1</f>
        <v>2.8817485714285716E-6</v>
      </c>
      <c r="J166" s="4">
        <f>'Forage, input data per ha'!J54*EF_diesel_N2O*Heating_value_diesel/'Forage, input data per ha'!C54</f>
        <v>4.5405982067296817E-7</v>
      </c>
      <c r="K166" s="4"/>
      <c r="L166" s="4">
        <f>'Forage, input data per ha'!K54*'Parameters, general'!$D$17/'Forage, input data per ha'!C54</f>
        <v>0</v>
      </c>
      <c r="M166" s="4"/>
      <c r="N166" s="4"/>
      <c r="O166" s="4">
        <f>'Parameters, general'!$D$20</f>
        <v>6.8099999999999988E-5</v>
      </c>
      <c r="P166" s="4"/>
    </row>
    <row r="167" spans="1:16" x14ac:dyDescent="0.3">
      <c r="A167" s="142"/>
      <c r="B167" s="142" t="s">
        <v>432</v>
      </c>
      <c r="C167" s="142" t="s">
        <v>113</v>
      </c>
      <c r="D167" s="142" t="s">
        <v>25</v>
      </c>
      <c r="E167" s="301">
        <f>SUM(F167:P167)</f>
        <v>0.14242005935585494</v>
      </c>
      <c r="F167" s="301">
        <f>SUMPRODUCT(F163:F166,'Parameters, general'!$B$23:$B$26)</f>
        <v>0</v>
      </c>
      <c r="G167" s="301">
        <f>SUMPRODUCT(G163:G166,'Parameters, general'!$B$23:$B$26)</f>
        <v>3.01313E-2</v>
      </c>
      <c r="H167" s="301">
        <f>SUMPRODUCT(H163:H166,'Parameters, general'!$B$23:$B$26)</f>
        <v>7.8671736000000009E-3</v>
      </c>
      <c r="I167" s="301">
        <f>SUMPRODUCT(I163:I166,'Parameters, general'!$B$23:$B$26)</f>
        <v>7.8671736000000001E-4</v>
      </c>
      <c r="J167" s="301">
        <f>SUMPRODUCT(J163:J166,'Parameters, general'!$B$23:$B$26)</f>
        <v>1.7245168395854923E-2</v>
      </c>
      <c r="K167" s="301">
        <f>SUMPRODUCT(K163:K166,'Parameters, general'!$B$23:$B$26)</f>
        <v>0</v>
      </c>
      <c r="L167" s="301">
        <f>SUMPRODUCT(L163:L166,'Parameters, general'!$B$23:$B$26)</f>
        <v>0</v>
      </c>
      <c r="M167" s="301">
        <f>SUMPRODUCT(M163:M166,'Parameters, general'!$B$23:$B$26)</f>
        <v>0</v>
      </c>
      <c r="N167" s="301">
        <f>SUMPRODUCT(N163:N166,'Parameters, general'!$B$23:$B$26)</f>
        <v>0</v>
      </c>
      <c r="O167" s="301">
        <f>SUMPRODUCT(O163:O166,'Parameters, general'!$B$23:$B$26)</f>
        <v>8.6389700000000014E-2</v>
      </c>
      <c r="P167" s="301">
        <f>SUMPRODUCT(P163:P166,'Parameters, general'!$B$23:$B$26)</f>
        <v>0</v>
      </c>
    </row>
    <row r="168" spans="1:16" x14ac:dyDescent="0.3">
      <c r="B168" t="s">
        <v>432</v>
      </c>
      <c r="C168" t="s">
        <v>109</v>
      </c>
      <c r="D168" t="s">
        <v>21</v>
      </c>
      <c r="E168" s="4">
        <f t="shared" ref="E168:E171" si="23">SUM(F168:P168)</f>
        <v>0.10006337420666951</v>
      </c>
      <c r="F168" s="4">
        <f>'Forage, input data per ha'!E55*(Frac_BAT_GR*EF_min_fert_BAT_CO2+Frac_AN_GR*EF_min_fert_AN_CO2)/'Forage, input data per ha'!C55</f>
        <v>0</v>
      </c>
      <c r="G168" s="4">
        <f>EF_capital_goods_CO2</f>
        <v>2.7E-2</v>
      </c>
      <c r="H168" s="4"/>
      <c r="I168" s="4"/>
      <c r="J168" s="4">
        <f>'Forage, input data per ha'!J55*EF_diesel_CO2*Heating_value_diesel/'Forage, input data per ha'!C55</f>
        <v>2.6363374206669506E-2</v>
      </c>
      <c r="K168" s="4"/>
      <c r="L168" s="4">
        <f>'Forage, input data per ha'!K55*'Parameters, general'!$B$17/'Forage, input data per ha'!C55</f>
        <v>0</v>
      </c>
      <c r="M168" s="4"/>
      <c r="N168" s="250"/>
      <c r="O168" s="4">
        <f>'Parameters, general'!$B$20</f>
        <v>4.6700000000000005E-2</v>
      </c>
      <c r="P168" s="4"/>
    </row>
    <row r="169" spans="1:16" x14ac:dyDescent="0.3">
      <c r="B169" t="s">
        <v>432</v>
      </c>
      <c r="C169" t="s">
        <v>110</v>
      </c>
      <c r="D169" t="s">
        <v>21</v>
      </c>
      <c r="E169" s="4">
        <f t="shared" si="23"/>
        <v>8.1467808580835477E-4</v>
      </c>
      <c r="F169" s="4">
        <f>'Forage, input data per ha'!E55*(Frac_BAT_GR*EF_min_fert_BAT_CH4+Frac_AN_GR*EF_min_fert_AN_CH4)/'Forage, input data per ha'!C55</f>
        <v>0</v>
      </c>
      <c r="G169" s="4">
        <f>EF_capital_goods_CH4</f>
        <v>9.5000000000000005E-5</v>
      </c>
      <c r="H169" s="4"/>
      <c r="I169" s="4"/>
      <c r="J169" s="4">
        <f>'Forage, input data per ha'!J55*EF_diesel_CH4*Heating_value_diesel/'Forage, input data per ha'!C55</f>
        <v>1.167808580835479E-5</v>
      </c>
      <c r="K169" s="4"/>
      <c r="L169" s="4">
        <f>'Forage, input data per ha'!K55*'Parameters, general'!$C$17/'Forage, input data per ha'!C55</f>
        <v>0</v>
      </c>
      <c r="M169" s="4"/>
      <c r="N169" s="4"/>
      <c r="O169" s="4">
        <f>'Parameters, general'!$C$20</f>
        <v>7.0799999999999997E-4</v>
      </c>
      <c r="P169" s="4"/>
    </row>
    <row r="170" spans="1:16" x14ac:dyDescent="0.3">
      <c r="B170" t="s">
        <v>432</v>
      </c>
      <c r="C170" t="s">
        <v>440</v>
      </c>
      <c r="D170" t="s">
        <v>21</v>
      </c>
      <c r="E170" s="4">
        <f t="shared" si="23"/>
        <v>0</v>
      </c>
      <c r="F170" s="4"/>
      <c r="G170" s="4"/>
      <c r="H170" s="4"/>
      <c r="I170" s="4"/>
      <c r="J170" s="4"/>
      <c r="K170" s="4"/>
      <c r="L170" s="4"/>
      <c r="M170" s="4"/>
      <c r="N170" s="4"/>
      <c r="O170" s="4"/>
      <c r="P170" s="4"/>
    </row>
    <row r="171" spans="1:16" x14ac:dyDescent="0.3">
      <c r="B171" t="s">
        <v>432</v>
      </c>
      <c r="C171" t="s">
        <v>112</v>
      </c>
      <c r="D171" t="s">
        <v>21</v>
      </c>
      <c r="E171" s="4">
        <f t="shared" si="23"/>
        <v>1.0160762842930762E-4</v>
      </c>
      <c r="F171" s="4">
        <f>'Forage, input data per ha'!E55*(Frac_BAT_GR*EF_min_fert_BAT_N2O+Frac_AN_GR*EF_min_fert_AN_N2O)/'Forage, input data per ha'!C55</f>
        <v>0</v>
      </c>
      <c r="G171" s="4">
        <f>EF_capital_goods_N2O</f>
        <v>1.1000000000000001E-6</v>
      </c>
      <c r="H171" s="4">
        <f>('Forage, input data per ha'!E55*'Parameters, country spec'!D81+'Forage, input data per ha'!H55*'Parameters, country spec'!D82)*44/28/'Forage, input data per ha'!C55</f>
        <v>2.8817485714285719E-5</v>
      </c>
      <c r="I171" s="4">
        <f>H171*0.1</f>
        <v>2.881748571428572E-6</v>
      </c>
      <c r="J171" s="4">
        <f>'Forage, input data per ha'!J55*EF_diesel_N2O*Heating_value_diesel/'Forage, input data per ha'!C55</f>
        <v>7.0839414359333239E-7</v>
      </c>
      <c r="K171" s="4"/>
      <c r="L171" s="4">
        <f>'Forage, input data per ha'!K55*'Parameters, general'!$D$17/'Forage, input data per ha'!C55</f>
        <v>0</v>
      </c>
      <c r="M171" s="4"/>
      <c r="N171" s="4"/>
      <c r="O171" s="4">
        <f>'Parameters, general'!$D$20</f>
        <v>6.8099999999999988E-5</v>
      </c>
      <c r="P171" s="4"/>
    </row>
    <row r="172" spans="1:16" x14ac:dyDescent="0.3">
      <c r="A172" s="142"/>
      <c r="B172" s="142" t="s">
        <v>432</v>
      </c>
      <c r="C172" s="142" t="s">
        <v>113</v>
      </c>
      <c r="D172" s="142" t="s">
        <v>21</v>
      </c>
      <c r="E172" s="301">
        <f>SUM(F172:P172)</f>
        <v>0.15207966372495946</v>
      </c>
      <c r="F172" s="301">
        <f>SUMPRODUCT(F168:F171,'Parameters, general'!$B$23:$B$26)</f>
        <v>0</v>
      </c>
      <c r="G172" s="301">
        <f>SUMPRODUCT(G168:G171,'Parameters, general'!$B$23:$B$26)</f>
        <v>3.01313E-2</v>
      </c>
      <c r="H172" s="301">
        <f>SUMPRODUCT(H168:H171,'Parameters, general'!$B$23:$B$26)</f>
        <v>7.8671736000000009E-3</v>
      </c>
      <c r="I172" s="301">
        <f>SUMPRODUCT(I168:I171,'Parameters, general'!$B$23:$B$26)</f>
        <v>7.8671736000000012E-4</v>
      </c>
      <c r="J172" s="301">
        <f>SUMPRODUCT(J168:J171,'Parameters, general'!$B$23:$B$26)</f>
        <v>2.6904772764959457E-2</v>
      </c>
      <c r="K172" s="301">
        <f>SUMPRODUCT(K168:K171,'Parameters, general'!$B$23:$B$26)</f>
        <v>0</v>
      </c>
      <c r="L172" s="301">
        <f>SUMPRODUCT(L168:L171,'Parameters, general'!$B$23:$B$26)</f>
        <v>0</v>
      </c>
      <c r="M172" s="301">
        <f>SUMPRODUCT(M168:M171,'Parameters, general'!$B$23:$B$26)</f>
        <v>0</v>
      </c>
      <c r="N172" s="301">
        <f>SUMPRODUCT(N168:N171,'Parameters, general'!$B$23:$B$26)</f>
        <v>0</v>
      </c>
      <c r="O172" s="301">
        <f>SUMPRODUCT(O168:O171,'Parameters, general'!$B$23:$B$26)</f>
        <v>8.6389700000000014E-2</v>
      </c>
      <c r="P172" s="301">
        <f>SUMPRODUCT(P168:P171,'Parameters, general'!$B$23:$B$26)</f>
        <v>0</v>
      </c>
    </row>
    <row r="173" spans="1:16" x14ac:dyDescent="0.3">
      <c r="B173" t="s">
        <v>432</v>
      </c>
      <c r="C173" t="s">
        <v>109</v>
      </c>
      <c r="D173" t="s">
        <v>114</v>
      </c>
      <c r="E173" s="4">
        <f t="shared" ref="E173:E176" si="24">SUM(F173:P173)</f>
        <v>0.10131737241923232</v>
      </c>
      <c r="F173" s="4">
        <f>'Forage, input data per ha'!E56*(Frac_BAT_HU*EF_min_fert_BAT_CO2+Frac_AN_HU*EF_min_fert_AN_CO2)/'Forage, input data per ha'!C56</f>
        <v>0</v>
      </c>
      <c r="G173" s="4">
        <f>EF_capital_goods_CO2</f>
        <v>2.7E-2</v>
      </c>
      <c r="H173" s="4"/>
      <c r="I173" s="4"/>
      <c r="J173" s="4">
        <f>'Forage, input data per ha'!J56*EF_diesel_CO2*Heating_value_diesel/'Forage, input data per ha'!C56</f>
        <v>2.7617372419232313E-2</v>
      </c>
      <c r="K173" s="4"/>
      <c r="L173" s="4">
        <f>'Forage, input data per ha'!K56*'Parameters, general'!$B$17/'Forage, input data per ha'!C56</f>
        <v>0</v>
      </c>
      <c r="M173" s="4"/>
      <c r="N173" s="4"/>
      <c r="O173" s="4">
        <f>'Parameters, general'!$B$20</f>
        <v>4.6700000000000005E-2</v>
      </c>
      <c r="P173" s="4"/>
    </row>
    <row r="174" spans="1:16" x14ac:dyDescent="0.3">
      <c r="B174" t="s">
        <v>432</v>
      </c>
      <c r="C174" t="s">
        <v>110</v>
      </c>
      <c r="D174" t="s">
        <v>114</v>
      </c>
      <c r="E174" s="4">
        <f t="shared" si="24"/>
        <v>8.152335647320703E-4</v>
      </c>
      <c r="F174" s="4">
        <f>'Forage, input data per ha'!E56*(Frac_BAT_HU*EF_min_fert_BAT_CH4+Frac_AN_HU*EF_min_fert_AN_CH4)/'Forage, input data per ha'!C56</f>
        <v>0</v>
      </c>
      <c r="G174" s="4">
        <f>EF_capital_goods_CH4</f>
        <v>9.5000000000000005E-5</v>
      </c>
      <c r="H174" s="4"/>
      <c r="I174" s="4"/>
      <c r="J174" s="4">
        <f>'Forage, input data per ha'!J56*EF_diesel_CH4*Heating_value_diesel/'Forage, input data per ha'!C56</f>
        <v>1.2233564732070374E-5</v>
      </c>
      <c r="K174" s="4"/>
      <c r="L174" s="4">
        <f>'Forage, input data per ha'!K56*'Parameters, general'!$C$17/'Forage, input data per ha'!C56</f>
        <v>0</v>
      </c>
      <c r="M174" s="4"/>
      <c r="N174" s="4"/>
      <c r="O174" s="4">
        <f>'Parameters, general'!$C$20</f>
        <v>7.0799999999999997E-4</v>
      </c>
      <c r="P174" s="4"/>
    </row>
    <row r="175" spans="1:16" x14ac:dyDescent="0.3">
      <c r="B175" t="s">
        <v>432</v>
      </c>
      <c r="C175" t="s">
        <v>440</v>
      </c>
      <c r="D175" t="s">
        <v>114</v>
      </c>
      <c r="E175" s="4">
        <f t="shared" si="24"/>
        <v>0</v>
      </c>
      <c r="F175" s="4"/>
      <c r="G175" s="4"/>
      <c r="H175" s="4"/>
      <c r="I175" s="4"/>
      <c r="J175" s="4"/>
      <c r="K175" s="4"/>
      <c r="L175" s="4"/>
      <c r="M175" s="4"/>
      <c r="N175" s="4"/>
      <c r="O175" s="4"/>
      <c r="P175" s="4"/>
    </row>
    <row r="176" spans="1:16" x14ac:dyDescent="0.3">
      <c r="B176" t="s">
        <v>432</v>
      </c>
      <c r="C176" t="s">
        <v>112</v>
      </c>
      <c r="D176" t="s">
        <v>114</v>
      </c>
      <c r="E176" s="4">
        <f t="shared" si="24"/>
        <v>1.0164132385019312E-4</v>
      </c>
      <c r="F176" s="4">
        <f>'Forage, input data per ha'!E56*(Frac_BAT_HU*EF_min_fert_BAT_N2O+Frac_AN_HU*EF_min_fert_AN_N2O)/'Forage, input data per ha'!C56</f>
        <v>0</v>
      </c>
      <c r="G176" s="4">
        <f>EF_capital_goods_N2O</f>
        <v>1.1000000000000001E-6</v>
      </c>
      <c r="H176" s="4">
        <f>('Forage, input data per ha'!E56*'Parameters, country spec'!E81+'Forage, input data per ha'!H56*'Parameters, country spec'!E82)*44/28/'Forage, input data per ha'!C56</f>
        <v>2.8817485714285716E-5</v>
      </c>
      <c r="I176" s="4">
        <f>H176*0.1</f>
        <v>2.8817485714285716E-6</v>
      </c>
      <c r="J176" s="4">
        <f>'Forage, input data per ha'!J56*EF_diesel_N2O*Heating_value_diesel/'Forage, input data per ha'!C56</f>
        <v>7.4208956447884509E-7</v>
      </c>
      <c r="K176" s="4"/>
      <c r="L176" s="4">
        <f>'Forage, input data per ha'!K56*'Parameters, general'!$D$17/'Forage, input data per ha'!C56</f>
        <v>0</v>
      </c>
      <c r="M176" s="4"/>
      <c r="N176" s="4"/>
      <c r="O176" s="4">
        <f>'Parameters, general'!$D$20</f>
        <v>6.8099999999999988E-5</v>
      </c>
      <c r="P176" s="4"/>
    </row>
    <row r="177" spans="1:16" x14ac:dyDescent="0.3">
      <c r="A177" s="142"/>
      <c r="B177" s="142" t="s">
        <v>432</v>
      </c>
      <c r="C177" s="142" t="s">
        <v>113</v>
      </c>
      <c r="D177" s="142" t="s">
        <v>114</v>
      </c>
      <c r="E177" s="301">
        <f>SUM(F177:P177)</f>
        <v>0.15335941405935075</v>
      </c>
      <c r="F177" s="301">
        <f>SUMPRODUCT(F173:F176,'Parameters, general'!$B$23:$B$26)</f>
        <v>0</v>
      </c>
      <c r="G177" s="301">
        <f>SUMPRODUCT(G173:G176,'Parameters, general'!$B$23:$B$26)</f>
        <v>3.01313E-2</v>
      </c>
      <c r="H177" s="301">
        <f>SUMPRODUCT(H173:H176,'Parameters, general'!$B$23:$B$26)</f>
        <v>7.8671736000000009E-3</v>
      </c>
      <c r="I177" s="301">
        <f>SUMPRODUCT(I173:I176,'Parameters, general'!$B$23:$B$26)</f>
        <v>7.8671736000000001E-4</v>
      </c>
      <c r="J177" s="301">
        <f>SUMPRODUCT(J173:J176,'Parameters, general'!$B$23:$B$26)</f>
        <v>2.8184523099350735E-2</v>
      </c>
      <c r="K177" s="301">
        <f>SUMPRODUCT(K173:K176,'Parameters, general'!$B$23:$B$26)</f>
        <v>0</v>
      </c>
      <c r="L177" s="301">
        <f>SUMPRODUCT(L173:L176,'Parameters, general'!$B$23:$B$26)</f>
        <v>0</v>
      </c>
      <c r="M177" s="301">
        <f>SUMPRODUCT(M173:M176,'Parameters, general'!$B$23:$B$26)</f>
        <v>0</v>
      </c>
      <c r="N177" s="301">
        <f>SUMPRODUCT(N173:N176,'Parameters, general'!$B$23:$B$26)</f>
        <v>0</v>
      </c>
      <c r="O177" s="301">
        <f>SUMPRODUCT(O173:O176,'Parameters, general'!$B$23:$B$26)</f>
        <v>8.6389700000000014E-2</v>
      </c>
      <c r="P177" s="301">
        <f>SUMPRODUCT(P173:P176,'Parameters, general'!$B$23:$B$26)</f>
        <v>0</v>
      </c>
    </row>
    <row r="178" spans="1:16" x14ac:dyDescent="0.3">
      <c r="B178" t="s">
        <v>432</v>
      </c>
      <c r="C178" t="s">
        <v>109</v>
      </c>
      <c r="D178" t="s">
        <v>23</v>
      </c>
      <c r="E178" s="4">
        <f t="shared" ref="E178:E181" si="25">SUM(F178:P178)</f>
        <v>8.9514544596593471E-2</v>
      </c>
      <c r="F178" s="4">
        <f>'Forage, input data per ha'!E57*(Frac_BAT_IT*EF_min_fert_BAT_CO2+Frac_AN_IT*EF_min_fert_AN_CO2)/'Forage, input data per ha'!C57</f>
        <v>0</v>
      </c>
      <c r="G178" s="4">
        <f>EF_capital_goods_CO2</f>
        <v>2.7E-2</v>
      </c>
      <c r="H178" s="4"/>
      <c r="I178" s="4"/>
      <c r="J178" s="4">
        <f>'Forage, input data per ha'!J57*EF_diesel_CO2*Heating_value_diesel/'Forage, input data per ha'!C57</f>
        <v>1.5814544596593462E-2</v>
      </c>
      <c r="K178" s="4"/>
      <c r="L178" s="4">
        <f>'Forage, input data per ha'!K57*'Parameters, general'!$B$17/'Forage, input data per ha'!C57</f>
        <v>0</v>
      </c>
      <c r="M178" s="4"/>
      <c r="N178" s="4"/>
      <c r="O178" s="4">
        <f>'Parameters, general'!$B$20</f>
        <v>4.6700000000000005E-2</v>
      </c>
      <c r="P178" s="4"/>
    </row>
    <row r="179" spans="1:16" x14ac:dyDescent="0.3">
      <c r="B179" t="s">
        <v>432</v>
      </c>
      <c r="C179" t="s">
        <v>110</v>
      </c>
      <c r="D179" t="s">
        <v>23</v>
      </c>
      <c r="E179" s="4">
        <f t="shared" si="25"/>
        <v>8.1000530999451317E-4</v>
      </c>
      <c r="F179" s="4">
        <f>'Forage, input data per ha'!E57*(Frac_BAT_IT*EF_min_fert_BAT_CH4+Frac_AN_IT*EF_min_fert_AN_CH4)/'Forage, input data per ha'!C57</f>
        <v>0</v>
      </c>
      <c r="G179" s="4">
        <f>EF_capital_goods_CH4</f>
        <v>9.5000000000000005E-5</v>
      </c>
      <c r="H179" s="4"/>
      <c r="I179" s="4"/>
      <c r="J179" s="4">
        <f>'Forage, input data per ha'!J57*EF_diesel_CH4*Heating_value_diesel/'Forage, input data per ha'!C57</f>
        <v>7.0053099945131471E-6</v>
      </c>
      <c r="K179" s="4"/>
      <c r="L179" s="4">
        <f>'Forage, input data per ha'!K57*'Parameters, general'!$C$17/'Forage, input data per ha'!C57</f>
        <v>0</v>
      </c>
      <c r="M179" s="4"/>
      <c r="N179" s="4"/>
      <c r="O179" s="4">
        <f>'Parameters, general'!$C$20</f>
        <v>7.0799999999999997E-4</v>
      </c>
      <c r="P179" s="4"/>
    </row>
    <row r="180" spans="1:16" x14ac:dyDescent="0.3">
      <c r="B180" t="s">
        <v>432</v>
      </c>
      <c r="C180" t="s">
        <v>440</v>
      </c>
      <c r="D180" t="s">
        <v>23</v>
      </c>
      <c r="E180" s="4">
        <f t="shared" si="25"/>
        <v>0</v>
      </c>
      <c r="F180" s="4"/>
      <c r="G180" s="4"/>
      <c r="H180" s="4"/>
      <c r="I180" s="4"/>
      <c r="J180" s="4"/>
      <c r="K180" s="4"/>
      <c r="L180" s="4"/>
      <c r="M180" s="4"/>
      <c r="N180" s="4"/>
      <c r="O180" s="4"/>
      <c r="P180" s="4"/>
    </row>
    <row r="181" spans="1:16" x14ac:dyDescent="0.3">
      <c r="B181" t="s">
        <v>432</v>
      </c>
      <c r="C181" t="s">
        <v>112</v>
      </c>
      <c r="D181" t="s">
        <v>23</v>
      </c>
      <c r="E181" s="4">
        <f t="shared" si="25"/>
        <v>1.0132417726486405E-4</v>
      </c>
      <c r="F181" s="4">
        <f>'Forage, input data per ha'!E57*(Frac_BAT_IT*EF_min_fert_BAT_N2O+Frac_AN_IT*EF_min_fert_AN_N2O)/'Forage, input data per ha'!C57</f>
        <v>0</v>
      </c>
      <c r="G181" s="4">
        <f>EF_capital_goods_N2O</f>
        <v>1.1000000000000001E-6</v>
      </c>
      <c r="H181" s="4">
        <f>('Forage, input data per ha'!E57*'Parameters, country spec'!F81+'Forage, input data per ha'!H57*'Parameters, country spec'!F82)*44/28/'Forage, input data per ha'!C57</f>
        <v>2.8817485714285719E-5</v>
      </c>
      <c r="I181" s="4">
        <f>H181*0.1</f>
        <v>2.881748571428572E-6</v>
      </c>
      <c r="J181" s="4">
        <f>'Forage, input data per ha'!J57*EF_diesel_N2O*Heating_value_diesel/'Forage, input data per ha'!C57</f>
        <v>4.2494297914977162E-7</v>
      </c>
      <c r="K181" s="4"/>
      <c r="L181" s="4">
        <f>'Forage, input data per ha'!K57*'Parameters, general'!$D$17/'Forage, input data per ha'!C57</f>
        <v>0</v>
      </c>
      <c r="M181" s="4"/>
      <c r="N181" s="4"/>
      <c r="O181" s="4">
        <f>'Parameters, general'!$D$20</f>
        <v>6.8099999999999988E-5</v>
      </c>
      <c r="P181" s="4"/>
    </row>
    <row r="182" spans="1:16" x14ac:dyDescent="0.3">
      <c r="A182" s="142"/>
      <c r="B182" s="142" t="s">
        <v>432</v>
      </c>
      <c r="C182" s="142" t="s">
        <v>113</v>
      </c>
      <c r="D182" s="142" t="s">
        <v>23</v>
      </c>
      <c r="E182" s="301">
        <f>SUM(F182:P182)</f>
        <v>0.14131420322773786</v>
      </c>
      <c r="F182" s="301">
        <f>SUMPRODUCT(F178:F181,'Parameters, general'!$B$23:$B$26)</f>
        <v>0</v>
      </c>
      <c r="G182" s="301">
        <f>SUMPRODUCT(G178:G181,'Parameters, general'!$B$23:$B$26)</f>
        <v>3.01313E-2</v>
      </c>
      <c r="H182" s="301">
        <f>SUMPRODUCT(H178:H181,'Parameters, general'!$B$23:$B$26)</f>
        <v>7.8671736000000009E-3</v>
      </c>
      <c r="I182" s="301">
        <f>SUMPRODUCT(I178:I181,'Parameters, general'!$B$23:$B$26)</f>
        <v>7.8671736000000012E-4</v>
      </c>
      <c r="J182" s="301">
        <f>SUMPRODUCT(J178:J181,'Parameters, general'!$B$23:$B$26)</f>
        <v>1.6139312267737842E-2</v>
      </c>
      <c r="K182" s="301">
        <f>SUMPRODUCT(K178:K181,'Parameters, general'!$B$23:$B$26)</f>
        <v>0</v>
      </c>
      <c r="L182" s="301">
        <f>SUMPRODUCT(L178:L181,'Parameters, general'!$B$23:$B$26)</f>
        <v>0</v>
      </c>
      <c r="M182" s="301">
        <f>SUMPRODUCT(M178:M181,'Parameters, general'!$B$23:$B$26)</f>
        <v>0</v>
      </c>
      <c r="N182" s="301">
        <f>SUMPRODUCT(N178:N181,'Parameters, general'!$B$23:$B$26)</f>
        <v>0</v>
      </c>
      <c r="O182" s="301">
        <f>SUMPRODUCT(O178:O181,'Parameters, general'!$B$23:$B$26)</f>
        <v>8.6389700000000014E-2</v>
      </c>
      <c r="P182" s="301">
        <f>SUMPRODUCT(P178:P181,'Parameters, general'!$B$23:$B$26)</f>
        <v>0</v>
      </c>
    </row>
    <row r="183" spans="1:16" x14ac:dyDescent="0.3">
      <c r="B183" t="s">
        <v>432</v>
      </c>
      <c r="C183" t="s">
        <v>109</v>
      </c>
      <c r="D183" t="s">
        <v>20</v>
      </c>
      <c r="E183" s="4">
        <f t="shared" ref="E183:E186" si="26">SUM(F183:P183)</f>
        <v>9.0042192210099015E-2</v>
      </c>
      <c r="F183" s="4">
        <f>'Forage, input data per ha'!E58*(Frac_BAT_NL*EF_min_fert_BAT_CO2+Frac_AN_NL*EF_min_fert_AN_CO2)/'Forage, input data per ha'!C58</f>
        <v>0</v>
      </c>
      <c r="G183" s="4">
        <f>EF_capital_goods_CO2</f>
        <v>2.7E-2</v>
      </c>
      <c r="H183" s="4"/>
      <c r="I183" s="4"/>
      <c r="J183" s="4">
        <f>'Forage, input data per ha'!J58*EF_diesel_CO2*Heating_value_diesel/'Forage, input data per ha'!C58</f>
        <v>1.6342192210099006E-2</v>
      </c>
      <c r="K183" s="4"/>
      <c r="L183" s="4">
        <f>'Forage, input data per ha'!K58*'Parameters, general'!$B$17/'Forage, input data per ha'!C58</f>
        <v>0</v>
      </c>
      <c r="M183" s="4"/>
      <c r="N183" s="250"/>
      <c r="O183" s="4">
        <f>'Parameters, general'!$B$20</f>
        <v>4.6700000000000005E-2</v>
      </c>
      <c r="P183" s="4"/>
    </row>
    <row r="184" spans="1:16" x14ac:dyDescent="0.3">
      <c r="B184" t="s">
        <v>432</v>
      </c>
      <c r="C184" t="s">
        <v>110</v>
      </c>
      <c r="D184" t="s">
        <v>20</v>
      </c>
      <c r="E184" s="4">
        <f t="shared" si="26"/>
        <v>8.1023904009517428E-4</v>
      </c>
      <c r="F184" s="4">
        <f>'Forage, input data per ha'!E58*(Frac_BAT_NL*EF_min_fert_BAT_CH4+Frac_AN_NL*EF_min_fert_AN_CH4)/'Forage, input data per ha'!C58</f>
        <v>0</v>
      </c>
      <c r="G184" s="4">
        <f>EF_capital_goods_CH4</f>
        <v>9.5000000000000005E-5</v>
      </c>
      <c r="H184" s="4"/>
      <c r="I184" s="4"/>
      <c r="J184" s="4">
        <f>'Forage, input data per ha'!J58*EF_diesel_CH4*Heating_value_diesel/'Forage, input data per ha'!C58</f>
        <v>7.2390400951742575E-6</v>
      </c>
      <c r="K184" s="4"/>
      <c r="L184" s="4">
        <f>'Forage, input data per ha'!K58*'Parameters, general'!$C$17/'Forage, input data per ha'!C58</f>
        <v>0</v>
      </c>
      <c r="M184" s="4"/>
      <c r="N184" s="4"/>
      <c r="O184" s="4">
        <f>'Parameters, general'!$C$20</f>
        <v>7.0799999999999997E-4</v>
      </c>
      <c r="P184" s="4"/>
    </row>
    <row r="185" spans="1:16" x14ac:dyDescent="0.3">
      <c r="B185" t="s">
        <v>432</v>
      </c>
      <c r="C185" t="s">
        <v>440</v>
      </c>
      <c r="D185" t="s">
        <v>20</v>
      </c>
      <c r="E185" s="4">
        <f t="shared" si="26"/>
        <v>0</v>
      </c>
      <c r="F185" s="4"/>
      <c r="G185" s="4"/>
      <c r="H185" s="4"/>
      <c r="I185" s="4"/>
      <c r="J185" s="4"/>
      <c r="K185" s="4"/>
      <c r="L185" s="4"/>
      <c r="M185" s="4"/>
      <c r="N185" s="4"/>
      <c r="O185" s="4"/>
      <c r="P185" s="4"/>
    </row>
    <row r="186" spans="1:16" x14ac:dyDescent="0.3">
      <c r="B186" t="s">
        <v>432</v>
      </c>
      <c r="C186" t="s">
        <v>112</v>
      </c>
      <c r="D186" t="s">
        <v>20</v>
      </c>
      <c r="E186" s="4">
        <f t="shared" si="26"/>
        <v>1.0133835536196036E-4</v>
      </c>
      <c r="F186" s="4">
        <f>'Forage, input data per ha'!E58*(Frac_BAT_NL*EF_min_fert_BAT_N2O+Frac_AN_NL*EF_min_fert_AN_N2O)/'Forage, input data per ha'!C58</f>
        <v>0</v>
      </c>
      <c r="G186" s="4">
        <f>EF_capital_goods_N2O</f>
        <v>1.1000000000000001E-6</v>
      </c>
      <c r="H186" s="4">
        <f>('Forage, input data per ha'!E58*'Parameters, country spec'!G81+'Forage, input data per ha'!H58*'Parameters, country spec'!G82)*44/28/'Forage, input data per ha'!C58</f>
        <v>2.8817485714285722E-5</v>
      </c>
      <c r="I186" s="4">
        <f>H186*0.1</f>
        <v>2.8817485714285724E-6</v>
      </c>
      <c r="J186" s="4">
        <f>'Forage, input data per ha'!J58*EF_diesel_N2O*Heating_value_diesel/'Forage, input data per ha'!C58</f>
        <v>4.3912107624607442E-7</v>
      </c>
      <c r="K186" s="4"/>
      <c r="L186" s="4">
        <f>'Forage, input data per ha'!K58*'Parameters, general'!$D$17/'Forage, input data per ha'!C58</f>
        <v>0</v>
      </c>
      <c r="M186" s="4"/>
      <c r="N186" s="4"/>
      <c r="O186" s="4">
        <f>'Parameters, general'!$D$20</f>
        <v>6.8099999999999988E-5</v>
      </c>
      <c r="P186" s="4"/>
    </row>
    <row r="187" spans="1:16" x14ac:dyDescent="0.3">
      <c r="A187" s="142"/>
      <c r="B187" s="142" t="s">
        <v>432</v>
      </c>
      <c r="C187" s="142" t="s">
        <v>113</v>
      </c>
      <c r="D187" s="142" t="s">
        <v>20</v>
      </c>
      <c r="E187" s="301">
        <f>SUM(F187:P187)</f>
        <v>0.14185268661875039</v>
      </c>
      <c r="F187" s="301">
        <f>SUMPRODUCT(F183:F186,'Parameters, general'!$B$23:$B$26)</f>
        <v>0</v>
      </c>
      <c r="G187" s="301">
        <f>SUMPRODUCT(G183:G186,'Parameters, general'!$B$23:$B$26)</f>
        <v>3.01313E-2</v>
      </c>
      <c r="H187" s="301">
        <f>SUMPRODUCT(H183:H186,'Parameters, general'!$B$23:$B$26)</f>
        <v>7.8671736000000027E-3</v>
      </c>
      <c r="I187" s="301">
        <f>SUMPRODUCT(I183:I186,'Parameters, general'!$B$23:$B$26)</f>
        <v>7.8671736000000022E-4</v>
      </c>
      <c r="J187" s="301">
        <f>SUMPRODUCT(J183:J186,'Parameters, general'!$B$23:$B$26)</f>
        <v>1.6677795658750376E-2</v>
      </c>
      <c r="K187" s="301">
        <f>SUMPRODUCT(K183:K186,'Parameters, general'!$B$23:$B$26)</f>
        <v>0</v>
      </c>
      <c r="L187" s="301">
        <f>SUMPRODUCT(L183:L186,'Parameters, general'!$B$23:$B$26)</f>
        <v>0</v>
      </c>
      <c r="M187" s="301">
        <f>SUMPRODUCT(M183:M186,'Parameters, general'!$B$23:$B$26)</f>
        <v>0</v>
      </c>
      <c r="N187" s="301">
        <f>SUMPRODUCT(N183:N186,'Parameters, general'!$B$23:$B$26)</f>
        <v>0</v>
      </c>
      <c r="O187" s="301">
        <f>SUMPRODUCT(O183:O186,'Parameters, general'!$B$23:$B$26)</f>
        <v>8.6389700000000014E-2</v>
      </c>
      <c r="P187" s="301">
        <f>SUMPRODUCT(P183:P186,'Parameters, general'!$B$23:$B$26)</f>
        <v>0</v>
      </c>
    </row>
    <row r="188" spans="1:16" x14ac:dyDescent="0.3">
      <c r="B188" t="s">
        <v>432</v>
      </c>
      <c r="C188" t="s">
        <v>109</v>
      </c>
      <c r="D188" t="s">
        <v>22</v>
      </c>
      <c r="E188" s="4">
        <f t="shared" ref="E188:E191" si="27">SUM(F188:P188)</f>
        <v>8.8424320352496449E-2</v>
      </c>
      <c r="F188" s="4">
        <f>'Forage, input data per ha'!E59*(Frac_BAT_PL*EF_min_fert_BAT_CO2+Frac_AN_PL*EF_min_fert_AN_CO2)/'Forage, input data per ha'!C59</f>
        <v>0</v>
      </c>
      <c r="G188" s="4">
        <f>EF_capital_goods_CO2</f>
        <v>2.7E-2</v>
      </c>
      <c r="H188" s="4"/>
      <c r="I188" s="4"/>
      <c r="J188" s="4">
        <f>'Forage, input data per ha'!J59*EF_diesel_CO2*Heating_value_diesel/'Forage, input data per ha'!C59</f>
        <v>1.4724320352496441E-2</v>
      </c>
      <c r="K188" s="4"/>
      <c r="L188" s="4">
        <f>'Forage, input data per ha'!K59*'Parameters, general'!$B$17/'Forage, input data per ha'!C59</f>
        <v>0</v>
      </c>
      <c r="M188" s="4"/>
      <c r="N188" s="250"/>
      <c r="O188" s="4">
        <f>'Parameters, general'!$B$20</f>
        <v>4.6700000000000005E-2</v>
      </c>
      <c r="P188" s="4"/>
    </row>
    <row r="189" spans="1:16" x14ac:dyDescent="0.3">
      <c r="B189" t="s">
        <v>432</v>
      </c>
      <c r="C189" t="s">
        <v>110</v>
      </c>
      <c r="D189" t="s">
        <v>22</v>
      </c>
      <c r="E189" s="4">
        <f t="shared" si="27"/>
        <v>8.0952237741641802E-4</v>
      </c>
      <c r="F189" s="4">
        <f>'Forage, input data per ha'!E59*(Frac_BAT_PL*EF_min_fert_BAT_CH4+Frac_AN_PL*EF_min_fert_AN_CH4)/'Forage, input data per ha'!C59</f>
        <v>0</v>
      </c>
      <c r="G189" s="4">
        <f>EF_capital_goods_CH4</f>
        <v>9.5000000000000005E-5</v>
      </c>
      <c r="H189" s="4"/>
      <c r="I189" s="4"/>
      <c r="J189" s="4">
        <f>'Forage, input data per ha'!J59*EF_diesel_CH4*Heating_value_diesel/'Forage, input data per ha'!C59</f>
        <v>6.5223774164180114E-6</v>
      </c>
      <c r="K189" s="4"/>
      <c r="L189" s="4">
        <f>'Forage, input data per ha'!K59*'Parameters, general'!$C$17/'Forage, input data per ha'!C59</f>
        <v>0</v>
      </c>
      <c r="M189" s="4"/>
      <c r="N189" s="4"/>
      <c r="O189" s="4">
        <f>'Parameters, general'!$C$20</f>
        <v>7.0799999999999997E-4</v>
      </c>
      <c r="P189" s="4"/>
    </row>
    <row r="190" spans="1:16" x14ac:dyDescent="0.3">
      <c r="B190" t="s">
        <v>432</v>
      </c>
      <c r="C190" t="s">
        <v>440</v>
      </c>
      <c r="D190" t="s">
        <v>22</v>
      </c>
      <c r="E190" s="4">
        <f t="shared" si="27"/>
        <v>0</v>
      </c>
      <c r="F190" s="4"/>
      <c r="G190" s="4"/>
      <c r="H190" s="4"/>
      <c r="I190" s="4"/>
      <c r="J190" s="4"/>
      <c r="K190" s="4"/>
      <c r="L190" s="4"/>
      <c r="M190" s="4"/>
      <c r="N190" s="4"/>
      <c r="O190" s="4"/>
      <c r="P190" s="4"/>
    </row>
    <row r="191" spans="1:16" x14ac:dyDescent="0.3">
      <c r="B191" t="s">
        <v>432</v>
      </c>
      <c r="C191" t="s">
        <v>112</v>
      </c>
      <c r="D191" t="s">
        <v>22</v>
      </c>
      <c r="E191" s="4">
        <f t="shared" si="27"/>
        <v>1.0129488251436409E-4</v>
      </c>
      <c r="F191" s="4">
        <f>'Forage, input data per ha'!E59*(Frac_BAT_PL*EF_min_fert_BAT_N2O+Frac_AN_PL*EF_min_fert_AN_N2O)/'Forage, input data per ha'!C59</f>
        <v>0</v>
      </c>
      <c r="G191" s="4">
        <f>EF_capital_goods_N2O</f>
        <v>1.1000000000000001E-6</v>
      </c>
      <c r="H191" s="4">
        <f>('Forage, input data per ha'!E59*'Parameters, country spec'!H81+'Forage, input data per ha'!H59*'Parameters, country spec'!H82)*44/28/'Forage, input data per ha'!C59</f>
        <v>2.8817485714285719E-5</v>
      </c>
      <c r="I191" s="4">
        <f>H191*0.1</f>
        <v>2.881748571428572E-6</v>
      </c>
      <c r="J191" s="4">
        <f>'Forage, input data per ha'!J59*EF_diesel_N2O*Heating_value_diesel/'Forage, input data per ha'!C59</f>
        <v>3.9564822864979905E-7</v>
      </c>
      <c r="K191" s="4"/>
      <c r="L191" s="4">
        <f>'Forage, input data per ha'!K59*'Parameters, general'!$D$17/'Forage, input data per ha'!C59</f>
        <v>0</v>
      </c>
      <c r="M191" s="4"/>
      <c r="N191" s="4"/>
      <c r="O191" s="4">
        <f>'Parameters, general'!$D$20</f>
        <v>6.8099999999999988E-5</v>
      </c>
      <c r="P191" s="4"/>
    </row>
    <row r="192" spans="1:16" x14ac:dyDescent="0.3">
      <c r="A192" s="142"/>
      <c r="B192" s="142" t="s">
        <v>432</v>
      </c>
      <c r="C192" s="142" t="s">
        <v>113</v>
      </c>
      <c r="D192" s="142" t="s">
        <v>22</v>
      </c>
      <c r="E192" s="301">
        <f>SUM(F192:P192)</f>
        <v>0.14020159012592712</v>
      </c>
      <c r="F192" s="301">
        <f>SUMPRODUCT(F188:F191,'Parameters, general'!$B$23:$B$26)</f>
        <v>0</v>
      </c>
      <c r="G192" s="301">
        <f>SUMPRODUCT(G188:G191,'Parameters, general'!$B$23:$B$26)</f>
        <v>3.01313E-2</v>
      </c>
      <c r="H192" s="301">
        <f>SUMPRODUCT(H188:H191,'Parameters, general'!$B$23:$B$26)</f>
        <v>7.8671736000000009E-3</v>
      </c>
      <c r="I192" s="301">
        <f>SUMPRODUCT(I188:I191,'Parameters, general'!$B$23:$B$26)</f>
        <v>7.8671736000000012E-4</v>
      </c>
      <c r="J192" s="301">
        <f>SUMPRODUCT(J188:J191,'Parameters, general'!$B$23:$B$26)</f>
        <v>1.5026699165927094E-2</v>
      </c>
      <c r="K192" s="301">
        <f>SUMPRODUCT(K188:K191,'Parameters, general'!$B$23:$B$26)</f>
        <v>0</v>
      </c>
      <c r="L192" s="301">
        <f>SUMPRODUCT(L188:L191,'Parameters, general'!$B$23:$B$26)</f>
        <v>0</v>
      </c>
      <c r="M192" s="301">
        <f>SUMPRODUCT(M188:M191,'Parameters, general'!$B$23:$B$26)</f>
        <v>0</v>
      </c>
      <c r="N192" s="301">
        <f>SUMPRODUCT(N188:N191,'Parameters, general'!$B$23:$B$26)</f>
        <v>0</v>
      </c>
      <c r="O192" s="301">
        <f>SUMPRODUCT(O188:O191,'Parameters, general'!$B$23:$B$26)</f>
        <v>8.6389700000000014E-2</v>
      </c>
      <c r="P192" s="301">
        <f>SUMPRODUCT(P188:P191,'Parameters, general'!$B$23:$B$26)</f>
        <v>0</v>
      </c>
    </row>
    <row r="193" spans="1:16" x14ac:dyDescent="0.3">
      <c r="B193" t="s">
        <v>432</v>
      </c>
      <c r="C193" t="s">
        <v>109</v>
      </c>
      <c r="D193" t="s">
        <v>26</v>
      </c>
      <c r="E193" s="4">
        <f t="shared" ref="E193:E196" si="28">SUM(F193:P193)</f>
        <v>8.7147771750171216E-2</v>
      </c>
      <c r="F193" s="4">
        <f>'Forage, input data per ha'!E60*(Frac_BAT_ES*EF_min_fert_BAT_CO2+Frac_AN_ES*EF_min_fert_AN_CO2)/'Forage, input data per ha'!C60</f>
        <v>0</v>
      </c>
      <c r="G193" s="4">
        <f>EF_capital_goods_CO2</f>
        <v>2.7E-2</v>
      </c>
      <c r="H193" s="4"/>
      <c r="I193" s="4"/>
      <c r="J193" s="4">
        <f>'Forage, input data per ha'!J60*EF_diesel_CO2*Heating_value_diesel/'Forage, input data per ha'!C60</f>
        <v>1.3447771750171205E-2</v>
      </c>
      <c r="K193" s="4"/>
      <c r="L193" s="4">
        <f>'Forage, input data per ha'!K60*'Parameters, general'!$B$17/'Forage, input data per ha'!C60</f>
        <v>0</v>
      </c>
      <c r="M193" s="4"/>
      <c r="N193" s="4"/>
      <c r="O193" s="4">
        <f>'Parameters, general'!$B$20</f>
        <v>4.6700000000000005E-2</v>
      </c>
      <c r="P193" s="4"/>
    </row>
    <row r="194" spans="1:16" x14ac:dyDescent="0.3">
      <c r="B194" t="s">
        <v>432</v>
      </c>
      <c r="C194" t="s">
        <v>110</v>
      </c>
      <c r="D194" t="s">
        <v>26</v>
      </c>
      <c r="E194" s="4">
        <f t="shared" si="28"/>
        <v>8.0895690943043016E-4</v>
      </c>
      <c r="F194" s="4">
        <f>'Forage, input data per ha'!E60*(Frac_BAT_ES*EF_min_fert_BAT_CH4+Frac_AN_ES*EF_min_fert_AN_CH4)/'Forage, input data per ha'!C60</f>
        <v>0</v>
      </c>
      <c r="G194" s="4">
        <f>EF_capital_goods_CH4</f>
        <v>9.5000000000000005E-5</v>
      </c>
      <c r="H194" s="4"/>
      <c r="I194" s="4"/>
      <c r="J194" s="4">
        <f>'Forage, input data per ha'!J60*EF_diesel_CH4*Heating_value_diesel/'Forage, input data per ha'!C60</f>
        <v>5.95690943043016E-6</v>
      </c>
      <c r="K194" s="4"/>
      <c r="L194" s="4">
        <f>'Forage, input data per ha'!K60*'Parameters, general'!$C$17/'Forage, input data per ha'!C60</f>
        <v>0</v>
      </c>
      <c r="M194" s="4"/>
      <c r="N194" s="4"/>
      <c r="O194" s="4">
        <f>'Parameters, general'!$C$20</f>
        <v>7.0799999999999997E-4</v>
      </c>
      <c r="P194" s="4"/>
    </row>
    <row r="195" spans="1:16" x14ac:dyDescent="0.3">
      <c r="B195" t="s">
        <v>432</v>
      </c>
      <c r="C195" t="s">
        <v>440</v>
      </c>
      <c r="D195" t="s">
        <v>26</v>
      </c>
      <c r="E195" s="4">
        <f t="shared" si="28"/>
        <v>0</v>
      </c>
      <c r="F195" s="4"/>
      <c r="G195" s="4"/>
      <c r="H195" s="4"/>
      <c r="I195" s="4"/>
      <c r="J195" s="4"/>
      <c r="K195" s="4"/>
      <c r="L195" s="4"/>
      <c r="M195" s="4"/>
      <c r="N195" s="4"/>
      <c r="O195" s="4"/>
      <c r="P195" s="4"/>
    </row>
    <row r="196" spans="1:16" x14ac:dyDescent="0.3">
      <c r="B196" t="s">
        <v>432</v>
      </c>
      <c r="C196" t="s">
        <v>112</v>
      </c>
      <c r="D196" t="s">
        <v>26</v>
      </c>
      <c r="E196" s="4">
        <f t="shared" si="28"/>
        <v>1.012605811557136E-4</v>
      </c>
      <c r="F196" s="4">
        <f>'Forage, input data per ha'!E60*(Frac_BAT_ES*EF_min_fert_BAT_N2O+Frac_AN_ES*EF_min_fert_AN_N2O)/'Forage, input data per ha'!C60</f>
        <v>0</v>
      </c>
      <c r="G196" s="4">
        <f>EF_capital_goods_N2O</f>
        <v>1.1000000000000001E-6</v>
      </c>
      <c r="H196" s="4">
        <f>('Forage, input data per ha'!E60*'Parameters, country spec'!I81+'Forage, input data per ha'!H60*'Parameters, country spec'!I82)*44/28/'Forage, input data per ha'!C60</f>
        <v>2.8817485714285722E-5</v>
      </c>
      <c r="I196" s="4">
        <f>H196*0.1</f>
        <v>2.8817485714285724E-6</v>
      </c>
      <c r="J196" s="4">
        <f>'Forage, input data per ha'!J60*EF_diesel_N2O*Heating_value_diesel/'Forage, input data per ha'!C60</f>
        <v>3.6134686999933171E-7</v>
      </c>
      <c r="K196" s="4"/>
      <c r="L196" s="4">
        <f>'Forage, input data per ha'!K60*'Parameters, general'!$D$17/'Forage, input data per ha'!C60</f>
        <v>0</v>
      </c>
      <c r="M196" s="4"/>
      <c r="N196" s="4"/>
      <c r="O196" s="4">
        <f>'Parameters, general'!$D$20</f>
        <v>6.8099999999999988E-5</v>
      </c>
      <c r="P196" s="4"/>
    </row>
    <row r="197" spans="1:16" x14ac:dyDescent="0.3">
      <c r="A197" s="142"/>
      <c r="B197" s="142" t="s">
        <v>432</v>
      </c>
      <c r="C197" s="142" t="s">
        <v>113</v>
      </c>
      <c r="D197" s="142" t="s">
        <v>26</v>
      </c>
      <c r="E197" s="301">
        <f>SUM(F197:P197)</f>
        <v>0.13889882630670786</v>
      </c>
      <c r="F197" s="301">
        <f>SUMPRODUCT(F193:F196,'Parameters, general'!$B$23:$B$26)</f>
        <v>0</v>
      </c>
      <c r="G197" s="301">
        <f>SUMPRODUCT(G193:G196,'Parameters, general'!$B$23:$B$26)</f>
        <v>3.01313E-2</v>
      </c>
      <c r="H197" s="301">
        <f>SUMPRODUCT(H193:H196,'Parameters, general'!$B$23:$B$26)</f>
        <v>7.8671736000000027E-3</v>
      </c>
      <c r="I197" s="301">
        <f>SUMPRODUCT(I193:I196,'Parameters, general'!$B$23:$B$26)</f>
        <v>7.8671736000000022E-4</v>
      </c>
      <c r="J197" s="301">
        <f>SUMPRODUCT(J193:J196,'Parameters, general'!$B$23:$B$26)</f>
        <v>1.3723935346707841E-2</v>
      </c>
      <c r="K197" s="301">
        <f>SUMPRODUCT(K193:K196,'Parameters, general'!$B$23:$B$26)</f>
        <v>0</v>
      </c>
      <c r="L197" s="301">
        <f>SUMPRODUCT(L193:L196,'Parameters, general'!$B$23:$B$26)</f>
        <v>0</v>
      </c>
      <c r="M197" s="301">
        <f>SUMPRODUCT(M193:M196,'Parameters, general'!$B$23:$B$26)</f>
        <v>0</v>
      </c>
      <c r="N197" s="301">
        <f>SUMPRODUCT(N193:N196,'Parameters, general'!$B$23:$B$26)</f>
        <v>0</v>
      </c>
      <c r="O197" s="301">
        <f>SUMPRODUCT(O193:O196,'Parameters, general'!$B$23:$B$26)</f>
        <v>8.6389700000000014E-2</v>
      </c>
      <c r="P197" s="301">
        <f>SUMPRODUCT(P193:P196,'Parameters, general'!$B$23:$B$26)</f>
        <v>0</v>
      </c>
    </row>
    <row r="198" spans="1:16" x14ac:dyDescent="0.3">
      <c r="B198" t="s">
        <v>432</v>
      </c>
      <c r="C198" t="s">
        <v>109</v>
      </c>
      <c r="D198" t="s">
        <v>27</v>
      </c>
      <c r="E198" s="4">
        <f t="shared" ref="E198:E201" si="29">SUM(F198:P198)</f>
        <v>0.10364084681465427</v>
      </c>
      <c r="F198" s="4">
        <f>'Forage, input data per ha'!E61*(Frac_BAT_SE*EF_min_fert_BAT_CO2+Frac_AN_SE*EF_min_fert_AN_CO2)/'Forage, input data per ha'!C61</f>
        <v>0</v>
      </c>
      <c r="G198" s="4">
        <f>EF_capital_goods_CO2</f>
        <v>2.7E-2</v>
      </c>
      <c r="H198" s="4"/>
      <c r="I198" s="4"/>
      <c r="J198" s="4">
        <f>'Forage, input data per ha'!J61*EF_diesel_CO2*Heating_value_diesel/'Forage, input data per ha'!C61</f>
        <v>2.9940846814654261E-2</v>
      </c>
      <c r="K198" s="4"/>
      <c r="L198" s="4">
        <f>'Forage, input data per ha'!K61*'Parameters, general'!$B$17/'Forage, input data per ha'!C61</f>
        <v>0</v>
      </c>
      <c r="M198" s="4"/>
      <c r="N198" s="250"/>
      <c r="O198" s="4">
        <f>'Parameters, general'!$B$20</f>
        <v>4.6700000000000005E-2</v>
      </c>
      <c r="P198" s="4"/>
    </row>
    <row r="199" spans="1:16" x14ac:dyDescent="0.3">
      <c r="B199" t="s">
        <v>432</v>
      </c>
      <c r="C199" t="s">
        <v>110</v>
      </c>
      <c r="D199" t="s">
        <v>27</v>
      </c>
      <c r="E199" s="4">
        <f t="shared" si="29"/>
        <v>8.1626278554237117E-4</v>
      </c>
      <c r="F199" s="4">
        <f>'Forage, input data per ha'!E61*(Frac_BAT_SE*EF_min_fert_BAT_CH4+Frac_AN_SE*EF_min_fert_AN_CH4)/'Forage, input data per ha'!C61</f>
        <v>0</v>
      </c>
      <c r="G199" s="4">
        <f>EF_capital_goods_CH4</f>
        <v>9.5000000000000005E-5</v>
      </c>
      <c r="H199" s="4"/>
      <c r="I199" s="4"/>
      <c r="J199" s="4">
        <f>'Forage, input data per ha'!J61*EF_diesel_CH4*Heating_value_diesel/'Forage, input data per ha'!C61</f>
        <v>1.3262785542371219E-5</v>
      </c>
      <c r="K199" s="4"/>
      <c r="L199" s="4">
        <f>'Forage, input data per ha'!K61*'Parameters, general'!$C$17/'Forage, input data per ha'!C61</f>
        <v>0</v>
      </c>
      <c r="M199" s="4"/>
      <c r="N199" s="4"/>
      <c r="O199" s="4">
        <f>'Parameters, general'!$C$20</f>
        <v>7.0799999999999997E-4</v>
      </c>
      <c r="P199" s="4"/>
    </row>
    <row r="200" spans="1:16" x14ac:dyDescent="0.3">
      <c r="B200" t="s">
        <v>432</v>
      </c>
      <c r="C200" t="s">
        <v>440</v>
      </c>
      <c r="D200" t="s">
        <v>27</v>
      </c>
      <c r="E200" s="4">
        <f t="shared" si="29"/>
        <v>0</v>
      </c>
      <c r="F200" s="4"/>
      <c r="G200" s="4"/>
      <c r="H200" s="4"/>
      <c r="I200" s="4"/>
      <c r="J200" s="4"/>
      <c r="K200" s="4"/>
      <c r="L200" s="4"/>
      <c r="M200" s="4"/>
      <c r="N200" s="4"/>
      <c r="O200" s="4"/>
      <c r="P200" s="4"/>
    </row>
    <row r="201" spans="1:16" x14ac:dyDescent="0.3">
      <c r="B201" t="s">
        <v>432</v>
      </c>
      <c r="C201" t="s">
        <v>112</v>
      </c>
      <c r="D201" t="s">
        <v>27</v>
      </c>
      <c r="E201" s="4">
        <f t="shared" si="29"/>
        <v>1.0170375651308381E-4</v>
      </c>
      <c r="F201" s="4">
        <f>'Forage, input data per ha'!E61*(Frac_BAT_SE*EF_min_fert_BAT_N2O+Frac_AN_SE*EF_min_fert_AN_N2O)/'Forage, input data per ha'!C61</f>
        <v>0</v>
      </c>
      <c r="G201" s="4">
        <f>EF_capital_goods_N2O</f>
        <v>1.1000000000000001E-6</v>
      </c>
      <c r="H201" s="4">
        <f>('Forage, input data per ha'!E61*'Parameters, country spec'!J81+'Forage, input data per ha'!H61*'Parameters, country spec'!J82)*44/28/'Forage, input data per ha'!C61</f>
        <v>2.8817485714285719E-5</v>
      </c>
      <c r="I201" s="4">
        <f>H201*0.1</f>
        <v>2.881748571428572E-6</v>
      </c>
      <c r="J201" s="4">
        <f>'Forage, input data per ha'!J61*EF_diesel_N2O*Heating_value_diesel/'Forage, input data per ha'!C61</f>
        <v>8.045222273695297E-7</v>
      </c>
      <c r="K201" s="4"/>
      <c r="L201" s="4">
        <f>'Forage, input data per ha'!K61*'Parameters, general'!$D$17/'Forage, input data per ha'!C61</f>
        <v>0</v>
      </c>
      <c r="M201" s="4"/>
      <c r="N201" s="4"/>
      <c r="O201" s="4">
        <f>'Parameters, general'!$D$20</f>
        <v>6.8099999999999988E-5</v>
      </c>
      <c r="P201" s="4"/>
    </row>
    <row r="202" spans="1:16" x14ac:dyDescent="0.3">
      <c r="A202" s="142"/>
      <c r="B202" s="142" t="s">
        <v>432</v>
      </c>
      <c r="C202" s="142" t="s">
        <v>113</v>
      </c>
      <c r="D202" s="142" t="s">
        <v>27</v>
      </c>
      <c r="E202" s="301">
        <f>SUM(F202:P202)</f>
        <v>0.15573060335188882</v>
      </c>
      <c r="F202" s="301">
        <f>SUMPRODUCT(F198:F201,'Parameters, general'!$B$23:$B$26)</f>
        <v>0</v>
      </c>
      <c r="G202" s="301">
        <f>SUMPRODUCT(G198:G201,'Parameters, general'!$B$23:$B$26)</f>
        <v>3.01313E-2</v>
      </c>
      <c r="H202" s="301">
        <f>SUMPRODUCT(H198:H201,'Parameters, general'!$B$23:$B$26)</f>
        <v>7.8671736000000009E-3</v>
      </c>
      <c r="I202" s="301">
        <f>SUMPRODUCT(I198:I201,'Parameters, general'!$B$23:$B$26)</f>
        <v>7.8671736000000012E-4</v>
      </c>
      <c r="J202" s="301">
        <f>SUMPRODUCT(J198:J201,'Parameters, general'!$B$23:$B$26)</f>
        <v>3.0555712391888805E-2</v>
      </c>
      <c r="K202" s="301">
        <f>SUMPRODUCT(K198:K201,'Parameters, general'!$B$23:$B$26)</f>
        <v>0</v>
      </c>
      <c r="L202" s="301">
        <f>SUMPRODUCT(L198:L201,'Parameters, general'!$B$23:$B$26)</f>
        <v>0</v>
      </c>
      <c r="M202" s="301">
        <f>SUMPRODUCT(M198:M201,'Parameters, general'!$B$23:$B$26)</f>
        <v>0</v>
      </c>
      <c r="N202" s="301">
        <f>SUMPRODUCT(N198:N201,'Parameters, general'!$B$23:$B$26)</f>
        <v>0</v>
      </c>
      <c r="O202" s="301">
        <f>SUMPRODUCT(O198:O201,'Parameters, general'!$B$23:$B$26)</f>
        <v>8.6389700000000014E-2</v>
      </c>
      <c r="P202" s="301">
        <f>SUMPRODUCT(P198:P201,'Parameters, general'!$B$23:$B$26)</f>
        <v>0</v>
      </c>
    </row>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D1C5-6441-4F5C-A9A8-DE7B309E0B29}">
  <dimension ref="A2:P76"/>
  <sheetViews>
    <sheetView topLeftCell="A32" zoomScale="80" zoomScaleNormal="80" workbookViewId="0">
      <selection activeCell="G16" sqref="G16"/>
    </sheetView>
  </sheetViews>
  <sheetFormatPr defaultColWidth="8.6640625" defaultRowHeight="14.4" x14ac:dyDescent="0.3"/>
  <cols>
    <col min="1" max="1" width="15.33203125" customWidth="1"/>
    <col min="2" max="2" width="18.33203125" customWidth="1"/>
    <col min="3" max="3" width="12.441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 min="20" max="24" width="10.6640625" customWidth="1"/>
    <col min="25" max="25" width="13.6640625" customWidth="1"/>
    <col min="36" max="36" width="30.44140625" customWidth="1"/>
    <col min="37" max="37" width="32.44140625" customWidth="1"/>
  </cols>
  <sheetData>
    <row r="2" spans="1:16" ht="21" x14ac:dyDescent="0.4">
      <c r="A2" s="2" t="s">
        <v>442</v>
      </c>
    </row>
    <row r="4" spans="1:16" ht="18" x14ac:dyDescent="0.35">
      <c r="A4" s="239" t="s">
        <v>152</v>
      </c>
      <c r="B4" s="106"/>
      <c r="C4" s="106"/>
      <c r="D4" s="106"/>
      <c r="E4" s="106"/>
      <c r="F4" s="106"/>
      <c r="G4" s="106"/>
      <c r="H4" s="106"/>
      <c r="I4" s="106"/>
      <c r="J4" s="106"/>
      <c r="K4" s="106"/>
      <c r="L4" s="106"/>
      <c r="M4" s="106"/>
      <c r="N4" s="106"/>
      <c r="O4" s="106"/>
      <c r="P4" s="106"/>
    </row>
    <row r="6" spans="1:16" x14ac:dyDescent="0.3">
      <c r="A6" s="143" t="s">
        <v>355</v>
      </c>
      <c r="B6" s="144"/>
      <c r="C6" s="144"/>
      <c r="D6" s="144"/>
      <c r="E6" s="144"/>
      <c r="F6" s="145" t="s">
        <v>34</v>
      </c>
      <c r="G6" s="145" t="s">
        <v>35</v>
      </c>
      <c r="H6" s="145" t="s">
        <v>36</v>
      </c>
      <c r="I6" s="145" t="s">
        <v>37</v>
      </c>
      <c r="J6" s="146" t="s">
        <v>38</v>
      </c>
      <c r="K6" s="146" t="s">
        <v>39</v>
      </c>
      <c r="L6" s="146" t="s">
        <v>40</v>
      </c>
      <c r="M6" s="255"/>
      <c r="N6" s="256"/>
      <c r="O6" s="256"/>
      <c r="P6" s="257"/>
    </row>
    <row r="7" spans="1:16" ht="43.2" x14ac:dyDescent="0.3">
      <c r="A7" s="148" t="s">
        <v>44</v>
      </c>
      <c r="B7" s="148" t="s">
        <v>355</v>
      </c>
      <c r="C7" s="148" t="s">
        <v>357</v>
      </c>
      <c r="D7" s="148" t="s">
        <v>47</v>
      </c>
      <c r="E7" s="136" t="s">
        <v>48</v>
      </c>
      <c r="F7" s="152" t="s">
        <v>443</v>
      </c>
      <c r="G7" s="152" t="s">
        <v>384</v>
      </c>
      <c r="H7" s="152" t="s">
        <v>385</v>
      </c>
      <c r="I7" s="153" t="s">
        <v>58</v>
      </c>
      <c r="J7" s="154" t="s">
        <v>59</v>
      </c>
      <c r="K7" s="155" t="s">
        <v>60</v>
      </c>
      <c r="L7" s="155" t="s">
        <v>61</v>
      </c>
      <c r="M7" s="256"/>
    </row>
    <row r="8" spans="1:16" x14ac:dyDescent="0.3">
      <c r="B8" s="15" t="s">
        <v>152</v>
      </c>
      <c r="C8" s="15" t="s">
        <v>444</v>
      </c>
      <c r="D8" t="s">
        <v>28</v>
      </c>
      <c r="E8" t="s">
        <v>67</v>
      </c>
      <c r="F8" s="10">
        <f>1/'Forage, input data per ha'!C8*10000</f>
        <v>2.2808216547075846</v>
      </c>
      <c r="G8" s="98">
        <f>('Forage, input data per ha'!E8+'Forage, input data per ha'!G8)/'Forage, input data per ha'!C8</f>
        <v>1.3261392141552593E-2</v>
      </c>
      <c r="H8" s="274">
        <f>'Forage, input data per ha'!I8/'Forage, input data per ha'!C8</f>
        <v>2.9377625397606846E-4</v>
      </c>
      <c r="I8" s="4">
        <f>'Forage, input data per ha'!K8/'Forage, input data per ha'!C8</f>
        <v>0</v>
      </c>
      <c r="J8" s="42">
        <f>'Forage, input data per ha'!L8/'Forage, input data per ha'!C8</f>
        <v>0</v>
      </c>
      <c r="K8" s="42">
        <f>1/'Forage, input data per ha'!C8*SUM('Forage, input data per ha'!T8:X8)*10000/(No_species/1000000)</f>
        <v>3.2252454611020728E-11</v>
      </c>
      <c r="L8" s="98">
        <f>'Forage, input data per ha'!E8/'Forage, input data per ha'!C8*EF_NH3*N_to_NH3</f>
        <v>2.9118945728129586E-4</v>
      </c>
    </row>
    <row r="9" spans="1:16" x14ac:dyDescent="0.3">
      <c r="B9" s="15" t="s">
        <v>152</v>
      </c>
      <c r="C9" s="15" t="s">
        <v>444</v>
      </c>
      <c r="D9" t="s">
        <v>25</v>
      </c>
      <c r="E9" t="s">
        <v>68</v>
      </c>
      <c r="F9" s="10">
        <f>1/'Forage, input data per ha'!C9*10000</f>
        <v>2.2909779070682172</v>
      </c>
      <c r="G9" s="98">
        <f>('Forage, input data per ha'!E9+'Forage, input data per ha'!G9)/'Forage, input data per ha'!C9</f>
        <v>1.4084562538983799E-2</v>
      </c>
      <c r="H9" s="274">
        <f>'Forage, input data per ha'!I9/'Forage, input data per ha'!C9</f>
        <v>1.5004291926573534E-4</v>
      </c>
      <c r="I9" s="4">
        <f>'Forage, input data per ha'!K9/'Forage, input data per ha'!C9</f>
        <v>0</v>
      </c>
      <c r="J9" s="42">
        <f>'Forage, input data per ha'!L9/'Forage, input data per ha'!C9</f>
        <v>0</v>
      </c>
      <c r="K9" s="42">
        <f>1/'Forage, input data per ha'!C9*SUM('Forage, input data per ha'!T9:X9)*10000/(No_species/1000000)</f>
        <v>1.3537280465961739E-11</v>
      </c>
      <c r="L9" s="98">
        <f>'Forage, input data per ha'!E9/'Forage, input data per ha'!C9*EF_NH3*N_to_NH3</f>
        <v>3.4123377454641629E-4</v>
      </c>
    </row>
    <row r="10" spans="1:16" x14ac:dyDescent="0.3">
      <c r="B10" s="15" t="s">
        <v>152</v>
      </c>
      <c r="C10" s="15" t="s">
        <v>444</v>
      </c>
      <c r="D10" t="s">
        <v>21</v>
      </c>
      <c r="E10" t="s">
        <v>69</v>
      </c>
      <c r="F10" s="10">
        <f>1/'Forage, input data per ha'!C10*10000</f>
        <v>5.6420294009104612</v>
      </c>
      <c r="G10" s="98">
        <f>('Forage, input data per ha'!E10+'Forage, input data per ha'!G10)/'Forage, input data per ha'!C10</f>
        <v>1.4248888174213355E-2</v>
      </c>
      <c r="H10" s="274">
        <f>'Forage, input data per ha'!I10/'Forage, input data per ha'!C10</f>
        <v>2.3847872238080535E-4</v>
      </c>
      <c r="I10" s="4">
        <f>'Forage, input data per ha'!K10/'Forage, input data per ha'!C10</f>
        <v>0</v>
      </c>
      <c r="J10" s="42">
        <f>'Forage, input data per ha'!L10/'Forage, input data per ha'!C10</f>
        <v>0</v>
      </c>
      <c r="K10" s="42">
        <f>1/'Forage, input data per ha'!C10*SUM('Forage, input data per ha'!T10:X10)*10000/(No_species/1000000)</f>
        <v>1.7393226708176552E-10</v>
      </c>
      <c r="L10" s="98">
        <f>'Forage, input data per ha'!E10/'Forage, input data per ha'!C10*EF_NH3*N_to_NH3</f>
        <v>3.5122388625340054E-4</v>
      </c>
    </row>
    <row r="11" spans="1:16" x14ac:dyDescent="0.3">
      <c r="B11" s="15" t="s">
        <v>152</v>
      </c>
      <c r="C11" s="15" t="s">
        <v>444</v>
      </c>
      <c r="D11" t="s">
        <v>24</v>
      </c>
      <c r="E11" t="s">
        <v>70</v>
      </c>
      <c r="F11" s="10">
        <f>1/'Forage, input data per ha'!C11*10000</f>
        <v>8.4756971535826438</v>
      </c>
      <c r="G11" s="98">
        <f>('Forage, input data per ha'!E11+'Forage, input data per ha'!G11)/'Forage, input data per ha'!C11</f>
        <v>1.4248888174213355E-2</v>
      </c>
      <c r="H11" s="274">
        <f>'Forage, input data per ha'!I11/'Forage, input data per ha'!C11</f>
        <v>2.3847872238080535E-4</v>
      </c>
      <c r="I11" s="4">
        <f>'Forage, input data per ha'!K11/'Forage, input data per ha'!C11</f>
        <v>0</v>
      </c>
      <c r="J11" s="42">
        <f>'Forage, input data per ha'!L11/'Forage, input data per ha'!C11</f>
        <v>0</v>
      </c>
      <c r="K11" s="42">
        <f>1/'Forage, input data per ha'!C11*SUM('Forage, input data per ha'!T11:X11)*10000/(No_species/1000000)</f>
        <v>5.2095311566368996E-11</v>
      </c>
      <c r="L11" s="98">
        <f>'Forage, input data per ha'!E11/'Forage, input data per ha'!C11*EF_NH3*N_to_NH3</f>
        <v>3.5122388625340054E-4</v>
      </c>
    </row>
    <row r="12" spans="1:16" x14ac:dyDescent="0.3">
      <c r="B12" s="15" t="s">
        <v>152</v>
      </c>
      <c r="C12" s="15" t="s">
        <v>444</v>
      </c>
      <c r="D12" t="s">
        <v>23</v>
      </c>
      <c r="E12" t="s">
        <v>71</v>
      </c>
      <c r="F12" s="10">
        <f>1/'Forage, input data per ha'!C12*10000</f>
        <v>2.1104059811217226</v>
      </c>
      <c r="G12" s="98">
        <f>('Forage, input data per ha'!E12+'Forage, input data per ha'!G12)/'Forage, input data per ha'!C12</f>
        <v>1.4248888174213353E-2</v>
      </c>
      <c r="H12" s="274">
        <f>'Forage, input data per ha'!I12/'Forage, input data per ha'!C12</f>
        <v>2.3847872238080535E-4</v>
      </c>
      <c r="I12" s="4">
        <f>'Forage, input data per ha'!K12/'Forage, input data per ha'!C12</f>
        <v>0</v>
      </c>
      <c r="J12" s="42">
        <f>'Forage, input data per ha'!L12/'Forage, input data per ha'!C12</f>
        <v>0</v>
      </c>
      <c r="K12" s="42">
        <f>1/'Forage, input data per ha'!C12*SUM('Forage, input data per ha'!T12:X12)*10000/(No_species/1000000)</f>
        <v>8.6954670873459043E-11</v>
      </c>
      <c r="L12" s="98">
        <f>'Forage, input data per ha'!E12/'Forage, input data per ha'!C12*EF_NH3*N_to_NH3</f>
        <v>3.5122388625340054E-4</v>
      </c>
    </row>
    <row r="13" spans="1:16" x14ac:dyDescent="0.3">
      <c r="B13" s="15" t="s">
        <v>152</v>
      </c>
      <c r="C13" s="15" t="s">
        <v>444</v>
      </c>
      <c r="D13" t="s">
        <v>20</v>
      </c>
      <c r="E13" t="s">
        <v>72</v>
      </c>
      <c r="F13" s="10">
        <f>1/'Forage, input data per ha'!C13*10000</f>
        <v>3.5856878365593201</v>
      </c>
      <c r="G13" s="98">
        <f>('Forage, input data per ha'!E13+'Forage, input data per ha'!G13)/'Forage, input data per ha'!C13</f>
        <v>3.4288619089893765E-2</v>
      </c>
      <c r="H13" s="274">
        <f>'Forage, input data per ha'!I13/'Forage, input data per ha'!C13</f>
        <v>0</v>
      </c>
      <c r="I13" s="4">
        <f>'Forage, input data per ha'!K13/'Forage, input data per ha'!C13</f>
        <v>0</v>
      </c>
      <c r="J13" s="42">
        <f>'Forage, input data per ha'!L13/'Forage, input data per ha'!C13</f>
        <v>0</v>
      </c>
      <c r="K13" s="42">
        <f>1/'Forage, input data per ha'!C13*SUM('Forage, input data per ha'!T13:X13)*10000/(No_species/1000000)</f>
        <v>1.4439923961886749E-11</v>
      </c>
      <c r="L13" s="98">
        <f>'Forage, input data per ha'!E13/'Forage, input data per ha'!C13*EF_NH3*N_to_NH3</f>
        <v>1.5695313654600586E-3</v>
      </c>
    </row>
    <row r="14" spans="1:16" x14ac:dyDescent="0.3">
      <c r="B14" s="15" t="s">
        <v>152</v>
      </c>
      <c r="C14" s="15" t="s">
        <v>444</v>
      </c>
      <c r="D14" t="s">
        <v>22</v>
      </c>
      <c r="E14" t="s">
        <v>73</v>
      </c>
      <c r="F14" s="10">
        <f>1/'Forage, input data per ha'!C14*10000</f>
        <v>2.6494621471855524</v>
      </c>
      <c r="G14" s="98">
        <f>('Forage, input data per ha'!E14+'Forage, input data per ha'!G14)/'Forage, input data per ha'!C14</f>
        <v>1.4248888174213353E-2</v>
      </c>
      <c r="H14" s="274">
        <f>'Forage, input data per ha'!I14/'Forage, input data per ha'!C14</f>
        <v>2.3847872238080535E-4</v>
      </c>
      <c r="I14" s="4">
        <f>'Forage, input data per ha'!K14/'Forage, input data per ha'!C14</f>
        <v>0</v>
      </c>
      <c r="J14" s="42">
        <f>'Forage, input data per ha'!L14/'Forage, input data per ha'!C14</f>
        <v>0</v>
      </c>
      <c r="K14" s="42">
        <f>1/'Forage, input data per ha'!C14*SUM('Forage, input data per ha'!T14:X14)*10000/(No_species/1000000)</f>
        <v>5.6886322522779026E-12</v>
      </c>
      <c r="L14" s="98">
        <f>'Forage, input data per ha'!E14/'Forage, input data per ha'!C14*EF_NH3*N_to_NH3</f>
        <v>3.5122388625340054E-4</v>
      </c>
    </row>
    <row r="15" spans="1:16" x14ac:dyDescent="0.3">
      <c r="B15" s="15" t="s">
        <v>152</v>
      </c>
      <c r="C15" s="15" t="s">
        <v>444</v>
      </c>
      <c r="D15" t="s">
        <v>26</v>
      </c>
      <c r="E15" t="s">
        <v>74</v>
      </c>
      <c r="F15" s="10">
        <f>1/'Forage, input data per ha'!C15*10000</f>
        <v>3.8149219489237312</v>
      </c>
      <c r="G15" s="98">
        <f>('Forage, input data per ha'!E15+'Forage, input data per ha'!G15)/'Forage, input data per ha'!C15</f>
        <v>1.4248888174213355E-2</v>
      </c>
      <c r="H15" s="274">
        <f>'Forage, input data per ha'!I15/'Forage, input data per ha'!C15</f>
        <v>2.3847872238080535E-4</v>
      </c>
      <c r="I15" s="4">
        <f>'Forage, input data per ha'!K15/'Forage, input data per ha'!C15</f>
        <v>0</v>
      </c>
      <c r="J15" s="42">
        <f>'Forage, input data per ha'!L15/'Forage, input data per ha'!C15</f>
        <v>0</v>
      </c>
      <c r="K15" s="42">
        <f>1/'Forage, input data per ha'!C15*SUM('Forage, input data per ha'!T15:X15)*10000/(No_species/1000000)</f>
        <v>1.1723811931033969E-10</v>
      </c>
      <c r="L15" s="98">
        <f>'Forage, input data per ha'!E15/'Forage, input data per ha'!C15*EF_NH3*N_to_NH3</f>
        <v>3.5122388625340054E-4</v>
      </c>
    </row>
    <row r="16" spans="1:16" x14ac:dyDescent="0.3">
      <c r="B16" s="15" t="s">
        <v>152</v>
      </c>
      <c r="C16" s="15" t="s">
        <v>444</v>
      </c>
      <c r="D16" s="16" t="s">
        <v>27</v>
      </c>
      <c r="E16" t="s">
        <v>75</v>
      </c>
      <c r="F16" s="10">
        <f>1/'Forage, input data per ha'!C16*10000</f>
        <v>5.7504312823461756</v>
      </c>
      <c r="G16" s="98">
        <f>('Forage, input data per ha'!E16+'Forage, input data per ha'!G16)/'Forage, input data per ha'!C16</f>
        <v>1.9567420375240063E-2</v>
      </c>
      <c r="H16" s="274">
        <f>'Forage, input data per ha'!I16/'Forage, input data per ha'!C16</f>
        <v>0</v>
      </c>
      <c r="I16" s="4">
        <f>'Forage, input data per ha'!K16/'Forage, input data per ha'!C16</f>
        <v>0</v>
      </c>
      <c r="J16" s="42">
        <f>'Forage, input data per ha'!L16/'Forage, input data per ha'!C16</f>
        <v>0</v>
      </c>
      <c r="K16" s="42">
        <f>1/'Forage, input data per ha'!C16*SUM('Forage, input data per ha'!T16:X16)*10000/(No_species/1000000)</f>
        <v>-1.608036288990619E-11</v>
      </c>
      <c r="L16" s="98">
        <f>'Forage, input data per ha'!E16/'Forage, input data per ha'!C16*EF_NH3*N_to_NH3</f>
        <v>0</v>
      </c>
    </row>
    <row r="18" spans="1:16" ht="18" x14ac:dyDescent="0.35">
      <c r="A18" s="239" t="s">
        <v>441</v>
      </c>
      <c r="B18" s="106"/>
      <c r="C18" s="106"/>
      <c r="D18" s="106"/>
      <c r="E18" s="106"/>
      <c r="F18" s="106"/>
      <c r="G18" s="106"/>
      <c r="H18" s="106"/>
      <c r="I18" s="106"/>
      <c r="J18" s="106"/>
      <c r="K18" s="106"/>
      <c r="L18" s="106"/>
      <c r="M18" s="106"/>
      <c r="N18" s="106"/>
      <c r="O18" s="106"/>
      <c r="P18" s="106"/>
    </row>
    <row r="20" spans="1:16" x14ac:dyDescent="0.3">
      <c r="A20" s="143" t="s">
        <v>355</v>
      </c>
      <c r="B20" s="144"/>
      <c r="C20" s="144"/>
      <c r="D20" s="144"/>
      <c r="E20" s="144"/>
      <c r="F20" s="145" t="s">
        <v>34</v>
      </c>
      <c r="G20" s="145" t="s">
        <v>35</v>
      </c>
      <c r="H20" s="145" t="s">
        <v>36</v>
      </c>
      <c r="I20" s="145" t="s">
        <v>37</v>
      </c>
      <c r="J20" s="146" t="s">
        <v>38</v>
      </c>
      <c r="K20" s="146" t="s">
        <v>39</v>
      </c>
      <c r="L20" s="146" t="s">
        <v>40</v>
      </c>
      <c r="M20" s="255"/>
      <c r="N20" s="256"/>
      <c r="O20" s="256"/>
      <c r="P20" s="257"/>
    </row>
    <row r="21" spans="1:16" ht="43.2" x14ac:dyDescent="0.3">
      <c r="A21" s="148" t="s">
        <v>44</v>
      </c>
      <c r="B21" s="148" t="s">
        <v>355</v>
      </c>
      <c r="C21" s="148" t="s">
        <v>357</v>
      </c>
      <c r="D21" s="148" t="s">
        <v>47</v>
      </c>
      <c r="E21" s="136" t="s">
        <v>48</v>
      </c>
      <c r="F21" s="152" t="s">
        <v>55</v>
      </c>
      <c r="G21" s="152" t="s">
        <v>384</v>
      </c>
      <c r="H21" s="152" t="s">
        <v>385</v>
      </c>
      <c r="I21" s="153" t="s">
        <v>58</v>
      </c>
      <c r="J21" s="154" t="s">
        <v>59</v>
      </c>
      <c r="K21" s="155" t="s">
        <v>60</v>
      </c>
      <c r="L21" s="155" t="s">
        <v>61</v>
      </c>
      <c r="M21" s="256"/>
    </row>
    <row r="22" spans="1:16" x14ac:dyDescent="0.3">
      <c r="A22" s="70"/>
      <c r="B22" s="15" t="s">
        <v>430</v>
      </c>
      <c r="C22" s="15" t="s">
        <v>444</v>
      </c>
      <c r="D22" t="s">
        <v>28</v>
      </c>
      <c r="E22" t="s">
        <v>67</v>
      </c>
      <c r="F22" s="10">
        <f>1/'Forage, input data per ha'!C23*10000</f>
        <v>0.78354822784250244</v>
      </c>
      <c r="G22" s="98">
        <f>('Forage, input data per ha'!E23+'Forage, input data per ha'!G23)/'Forage, input data per ha'!C23</f>
        <v>4.8579990126235142E-3</v>
      </c>
      <c r="H22" s="274">
        <f>'Forage, input data per ha'!I23/'Forage, input data per ha'!C23</f>
        <v>6.5685620452374282E-4</v>
      </c>
      <c r="I22" s="4">
        <f>'Forage, input data per ha'!K23/'Forage, input data per ha'!C23</f>
        <v>9.0999999999999998E-2</v>
      </c>
      <c r="J22" s="42">
        <f>'Forage, input data per ha'!L23/'Forage, input data per ha'!C23</f>
        <v>6.7567011968587768E-5</v>
      </c>
      <c r="K22" s="42">
        <f>1/'Forage, input data per ha'!C23*SUM('Forage, input data per ha'!T23:X23)*10000/(No_species/1000000)</f>
        <v>9.4193784415180687E-12</v>
      </c>
      <c r="L22" s="98">
        <f>'Forage, input data per ha'!E23/'Forage, input data per ha'!C23*EF_NH3*N_to_NH3</f>
        <v>2.9534011988288379E-4</v>
      </c>
    </row>
    <row r="23" spans="1:16" x14ac:dyDescent="0.3">
      <c r="A23" s="20"/>
      <c r="B23" s="15" t="s">
        <v>430</v>
      </c>
      <c r="C23" s="15" t="s">
        <v>444</v>
      </c>
      <c r="D23" t="s">
        <v>25</v>
      </c>
      <c r="E23" t="s">
        <v>68</v>
      </c>
      <c r="F23" s="10">
        <f>1/'Forage, input data per ha'!C24*10000</f>
        <v>0.63803221792873233</v>
      </c>
      <c r="G23" s="98">
        <f>('Forage, input data per ha'!E24+'Forage, input data per ha'!G24)/'Forage, input data per ha'!C24</f>
        <v>3.2539643114365352E-3</v>
      </c>
      <c r="H23" s="274">
        <f>'Forage, input data per ha'!I24/'Forage, input data per ha'!C24</f>
        <v>2.2286195781172623E-4</v>
      </c>
      <c r="I23" s="4">
        <f>'Forage, input data per ha'!K24/'Forage, input data per ha'!C24</f>
        <v>2.0999999999999998E-2</v>
      </c>
      <c r="J23" s="42">
        <f>'Forage, input data per ha'!L24/'Forage, input data per ha'!C24</f>
        <v>1.0479214179139297E-4</v>
      </c>
      <c r="K23" s="42">
        <f>1/'Forage, input data per ha'!C24*SUM('Forage, input data per ha'!T24:X24)*10000/(No_species/1000000)</f>
        <v>5.8519653024927725E-12</v>
      </c>
      <c r="L23" s="98">
        <f>'Forage, input data per ha'!E24/'Forage, input data per ha'!C24*EF_NH3*N_to_NH3</f>
        <v>1.9782346750937254E-4</v>
      </c>
    </row>
    <row r="24" spans="1:16" x14ac:dyDescent="0.3">
      <c r="A24" s="20"/>
      <c r="B24" s="15" t="s">
        <v>430</v>
      </c>
      <c r="C24" s="15" t="s">
        <v>444</v>
      </c>
      <c r="D24" t="s">
        <v>21</v>
      </c>
      <c r="E24" t="s">
        <v>69</v>
      </c>
      <c r="F24" s="10">
        <f>1/'Forage, input data per ha'!C25*10000</f>
        <v>1.4743513961474723</v>
      </c>
      <c r="G24" s="98">
        <f>('Forage, input data per ha'!E25+'Forage, input data per ha'!G25)/'Forage, input data per ha'!C25</f>
        <v>2.6538325130654503E-2</v>
      </c>
      <c r="H24" s="274">
        <f>'Forage, input data per ha'!I25/'Forage, input data per ha'!C25</f>
        <v>1.4162079608064451E-3</v>
      </c>
      <c r="I24" s="4">
        <f>'Forage, input data per ha'!K25/'Forage, input data per ha'!C25</f>
        <v>0.20600000000000002</v>
      </c>
      <c r="J24" s="42">
        <f>'Forage, input data per ha'!L25/'Forage, input data per ha'!C25</f>
        <v>6.7567011968587768E-5</v>
      </c>
      <c r="K24" s="42">
        <f>1/'Forage, input data per ha'!C25*SUM('Forage, input data per ha'!T25:X25)*10000/(No_species/1000000)</f>
        <v>6.9414276357249014E-11</v>
      </c>
      <c r="L24" s="98">
        <f>'Forage, input data per ha'!E25/'Forage, input data per ha'!C25*EF_NH3*N_to_NH3</f>
        <v>1.6133869326057572E-3</v>
      </c>
    </row>
    <row r="25" spans="1:16" x14ac:dyDescent="0.3">
      <c r="A25" s="20"/>
      <c r="B25" s="15" t="s">
        <v>430</v>
      </c>
      <c r="C25" s="15" t="s">
        <v>444</v>
      </c>
      <c r="D25" t="s">
        <v>24</v>
      </c>
      <c r="E25" t="s">
        <v>70</v>
      </c>
      <c r="F25" s="10">
        <f>1/'Forage, input data per ha'!C26*10000</f>
        <v>1.0253586201655651</v>
      </c>
      <c r="G25" s="98">
        <f>('Forage, input data per ha'!E26+'Forage, input data per ha'!G26)/'Forage, input data per ha'!C26</f>
        <v>1.2271227357465341E-2</v>
      </c>
      <c r="H25" s="274">
        <f>'Forage, input data per ha'!I26/'Forage, input data per ha'!C26</f>
        <v>1.3430753757098248E-4</v>
      </c>
      <c r="I25" s="4">
        <f>'Forage, input data per ha'!K26/'Forage, input data per ha'!C26</f>
        <v>1.9999999999999996E-3</v>
      </c>
      <c r="J25" s="42">
        <f>'Forage, input data per ha'!L26/'Forage, input data per ha'!C26</f>
        <v>1.0479214179139297E-4</v>
      </c>
      <c r="K25" s="42">
        <f>1/'Forage, input data per ha'!C26*SUM('Forage, input data per ha'!T26:X26)*10000/(No_species/1000000)</f>
        <v>1.2876214228064374E-11</v>
      </c>
      <c r="L25" s="98">
        <f>'Forage, input data per ha'!E26/'Forage, input data per ha'!C26*EF_NH3*N_to_NH3</f>
        <v>7.4602439182191841E-4</v>
      </c>
    </row>
    <row r="26" spans="1:16" x14ac:dyDescent="0.3">
      <c r="A26" s="20"/>
      <c r="B26" s="15" t="s">
        <v>430</v>
      </c>
      <c r="C26" s="15" t="s">
        <v>444</v>
      </c>
      <c r="D26" t="s">
        <v>23</v>
      </c>
      <c r="E26" t="s">
        <v>71</v>
      </c>
      <c r="F26" s="10">
        <f>1/'Forage, input data per ha'!C27*10000</f>
        <v>0.51445196317795561</v>
      </c>
      <c r="G26" s="98">
        <f>('Forage, input data per ha'!E27+'Forage, input data per ha'!G27)/'Forage, input data per ha'!C27</f>
        <v>7.6719017232218913E-3</v>
      </c>
      <c r="H26" s="274">
        <f>'Forage, input data per ha'!I27/'Forage, input data per ha'!C27</f>
        <v>1.3477192274802781E-4</v>
      </c>
      <c r="I26" s="4">
        <f>'Forage, input data per ha'!K27/'Forage, input data per ha'!C27</f>
        <v>0.1</v>
      </c>
      <c r="J26" s="42">
        <f>'Forage, input data per ha'!L27/'Forage, input data per ha'!C27</f>
        <v>6.7567011968587768E-5</v>
      </c>
      <c r="K26" s="42">
        <f>1/'Forage, input data per ha'!C27*SUM('Forage, input data per ha'!T27:X27)*10000/(No_species/1000000)</f>
        <v>2.7684265407222258E-11</v>
      </c>
      <c r="L26" s="98">
        <f>'Forage, input data per ha'!E27/'Forage, input data per ha'!C27*EF_NH3*N_to_NH3</f>
        <v>4.6641021720636829E-4</v>
      </c>
    </row>
    <row r="27" spans="1:16" x14ac:dyDescent="0.3">
      <c r="A27" s="20"/>
      <c r="B27" s="15" t="s">
        <v>430</v>
      </c>
      <c r="C27" s="15" t="s">
        <v>444</v>
      </c>
      <c r="D27" t="s">
        <v>20</v>
      </c>
      <c r="E27" t="s">
        <v>72</v>
      </c>
      <c r="F27" s="10">
        <f>1/'Forage, input data per ha'!C28*10000</f>
        <v>0.61500988697347925</v>
      </c>
      <c r="G27" s="98">
        <f>('Forage, input data per ha'!E28+'Forage, input data per ha'!G28)/'Forage, input data per ha'!C28</f>
        <v>3.1365504235647443E-4</v>
      </c>
      <c r="H27" s="274">
        <f>'Forage, input data per ha'!I28/'Forage, input data per ha'!C28</f>
        <v>8.458551473656372E-5</v>
      </c>
      <c r="I27" s="4">
        <f>'Forage, input data per ha'!K28/'Forage, input data per ha'!C28</f>
        <v>6.1690666490291896E-2</v>
      </c>
      <c r="J27" s="42">
        <f>'Forage, input data per ha'!L28/'Forage, input data per ha'!C28</f>
        <v>7.1677920029331065E-5</v>
      </c>
      <c r="K27" s="42">
        <f>1/'Forage, input data per ha'!C28*SUM('Forage, input data per ha'!T28:X28)*10000/(No_species/1000000)</f>
        <v>4.9799456928696098E-12</v>
      </c>
      <c r="L27" s="98">
        <f>'Forage, input data per ha'!E28/'Forage, input data per ha'!C28*EF_NH3*N_to_NH3</f>
        <v>1.9068533684490312E-5</v>
      </c>
    </row>
    <row r="28" spans="1:16" x14ac:dyDescent="0.3">
      <c r="A28" s="20"/>
      <c r="B28" s="15" t="s">
        <v>430</v>
      </c>
      <c r="C28" s="15" t="s">
        <v>444</v>
      </c>
      <c r="D28" t="s">
        <v>22</v>
      </c>
      <c r="E28" t="s">
        <v>73</v>
      </c>
      <c r="F28" s="10">
        <f>1/'Forage, input data per ha'!C29*10000</f>
        <v>0.6336182502296176</v>
      </c>
      <c r="G28" s="98">
        <f>('Forage, input data per ha'!E29+'Forage, input data per ha'!G29)/'Forage, input data per ha'!C29</f>
        <v>7.983589952893182E-3</v>
      </c>
      <c r="H28" s="274">
        <f>'Forage, input data per ha'!I29/'Forage, input data per ha'!C29</f>
        <v>1.3832511096562076E-3</v>
      </c>
      <c r="I28" s="4">
        <f>'Forage, input data per ha'!K29/'Forage, input data per ha'!C29</f>
        <v>1.2E-2</v>
      </c>
      <c r="J28" s="42">
        <f>'Forage, input data per ha'!L29/'Forage, input data per ha'!C29</f>
        <v>1.0479214179139297E-4</v>
      </c>
      <c r="K28" s="42">
        <f>1/'Forage, input data per ha'!C29*SUM('Forage, input data per ha'!T29:X29)*10000/(No_species/1000000)</f>
        <v>2.5239361658889796E-12</v>
      </c>
      <c r="L28" s="98">
        <f>'Forage, input data per ha'!E29/'Forage, input data per ha'!C29*EF_NH3*N_to_NH3</f>
        <v>4.8535917929508023E-4</v>
      </c>
    </row>
    <row r="29" spans="1:16" x14ac:dyDescent="0.3">
      <c r="A29" s="20"/>
      <c r="B29" s="15" t="s">
        <v>430</v>
      </c>
      <c r="C29" s="15" t="s">
        <v>444</v>
      </c>
      <c r="D29" t="s">
        <v>26</v>
      </c>
      <c r="E29" t="s">
        <v>74</v>
      </c>
      <c r="F29" s="10">
        <f>1/'Forage, input data per ha'!C30*10000</f>
        <v>1.0250102501025009</v>
      </c>
      <c r="G29" s="98">
        <f>('Forage, input data per ha'!E30+'Forage, input data per ha'!G30)/'Forage, input data per ha'!C30</f>
        <v>5.6375563755637556E-3</v>
      </c>
      <c r="H29" s="274">
        <f>'Forage, input data per ha'!I30/'Forage, input data per ha'!C30</f>
        <v>1.3426190599934167E-3</v>
      </c>
      <c r="I29" s="4">
        <f>'Forage, input data per ha'!K30/'Forage, input data per ha'!C30</f>
        <v>0.36057452281463748</v>
      </c>
      <c r="J29" s="42">
        <f>'Forage, input data per ha'!L30/'Forage, input data per ha'!C30</f>
        <v>6.7567011968587768E-5</v>
      </c>
      <c r="K29" s="42">
        <f>1/'Forage, input data per ha'!C30*SUM('Forage, input data per ha'!T30:X30)*10000/(No_species/1000000)</f>
        <v>7.0036243032082879E-11</v>
      </c>
      <c r="L29" s="98">
        <f>'Forage, input data per ha'!E30/'Forage, input data per ha'!C30*EF_NH3*N_to_NH3</f>
        <v>3.427330000436436E-4</v>
      </c>
    </row>
    <row r="30" spans="1:16" x14ac:dyDescent="0.3">
      <c r="A30" s="20"/>
      <c r="B30" s="15" t="s">
        <v>430</v>
      </c>
      <c r="C30" s="15" t="s">
        <v>444</v>
      </c>
      <c r="D30" s="16" t="s">
        <v>27</v>
      </c>
      <c r="E30" t="s">
        <v>75</v>
      </c>
      <c r="F30" s="10">
        <f>1/'Forage, input data per ha'!C31*10000</f>
        <v>0.91421835939926821</v>
      </c>
      <c r="G30" s="98">
        <f>('Forage, input data per ha'!E31+'Forage, input data per ha'!G31)/'Forage, input data per ha'!C31</f>
        <v>6.399528515794878E-3</v>
      </c>
      <c r="H30" s="274">
        <f>'Forage, input data per ha'!I31/'Forage, input data per ha'!C31</f>
        <v>5.4853101563956093E-4</v>
      </c>
      <c r="I30" s="4">
        <f>'Forage, input data per ha'!K31/'Forage, input data per ha'!C31</f>
        <v>5.000000000000001E-2</v>
      </c>
      <c r="J30" s="42">
        <f>'Forage, input data per ha'!L31/'Forage, input data per ha'!C31</f>
        <v>9.1421835939926832E-6</v>
      </c>
      <c r="K30" s="42">
        <f>1/'Forage, input data per ha'!C31*SUM('Forage, input data per ha'!T31:X31)*10000/(No_species/1000000)</f>
        <v>1.8706078991556431E-12</v>
      </c>
      <c r="L30" s="98">
        <f>'Forage, input data per ha'!E31/'Forage, input data per ha'!C31*EF_NH3*N_to_NH3</f>
        <v>3.8905679357643523E-4</v>
      </c>
    </row>
    <row r="31" spans="1:16" x14ac:dyDescent="0.3">
      <c r="A31" s="20"/>
      <c r="B31" s="15"/>
      <c r="C31" s="15"/>
    </row>
    <row r="32" spans="1:16" ht="18" x14ac:dyDescent="0.35">
      <c r="A32" s="239" t="s">
        <v>431</v>
      </c>
      <c r="B32" s="106"/>
      <c r="C32" s="106"/>
      <c r="D32" s="106"/>
      <c r="E32" s="106"/>
      <c r="F32" s="106"/>
      <c r="G32" s="106"/>
      <c r="H32" s="106"/>
      <c r="I32" s="106"/>
      <c r="J32" s="106"/>
      <c r="K32" s="106"/>
      <c r="L32" s="106"/>
      <c r="M32" s="106"/>
      <c r="N32" s="106"/>
      <c r="O32" s="106"/>
      <c r="P32" s="106"/>
    </row>
    <row r="34" spans="1:16" x14ac:dyDescent="0.3">
      <c r="A34" s="143" t="s">
        <v>355</v>
      </c>
      <c r="B34" s="144"/>
      <c r="C34" s="144"/>
      <c r="D34" s="144"/>
      <c r="E34" s="144"/>
      <c r="F34" s="145" t="s">
        <v>34</v>
      </c>
      <c r="G34" s="145" t="s">
        <v>35</v>
      </c>
      <c r="H34" s="145" t="s">
        <v>36</v>
      </c>
      <c r="I34" s="145" t="s">
        <v>37</v>
      </c>
      <c r="J34" s="146" t="s">
        <v>38</v>
      </c>
      <c r="K34" s="146" t="s">
        <v>39</v>
      </c>
      <c r="L34" s="146" t="s">
        <v>40</v>
      </c>
      <c r="M34" s="255"/>
      <c r="N34" s="256"/>
      <c r="O34" s="256"/>
      <c r="P34" s="257"/>
    </row>
    <row r="35" spans="1:16" ht="43.2" x14ac:dyDescent="0.3">
      <c r="A35" s="148" t="s">
        <v>44</v>
      </c>
      <c r="B35" s="148" t="s">
        <v>355</v>
      </c>
      <c r="C35" s="148" t="s">
        <v>357</v>
      </c>
      <c r="D35" s="148" t="s">
        <v>47</v>
      </c>
      <c r="E35" s="136" t="s">
        <v>48</v>
      </c>
      <c r="F35" s="152" t="s">
        <v>55</v>
      </c>
      <c r="G35" s="152" t="s">
        <v>384</v>
      </c>
      <c r="H35" s="152" t="s">
        <v>385</v>
      </c>
      <c r="I35" s="153" t="s">
        <v>58</v>
      </c>
      <c r="J35" s="154" t="s">
        <v>59</v>
      </c>
      <c r="K35" s="155" t="s">
        <v>60</v>
      </c>
      <c r="L35" s="155" t="s">
        <v>61</v>
      </c>
      <c r="M35" s="256"/>
    </row>
    <row r="36" spans="1:16" x14ac:dyDescent="0.3">
      <c r="A36" s="70"/>
      <c r="B36" s="15" t="s">
        <v>431</v>
      </c>
      <c r="C36" s="15" t="s">
        <v>444</v>
      </c>
      <c r="D36" t="s">
        <v>28</v>
      </c>
      <c r="E36" t="s">
        <v>67</v>
      </c>
      <c r="F36" s="10">
        <f>1/'Forage, input data per ha'!C38*10000</f>
        <v>1.1404108273537923</v>
      </c>
      <c r="G36" s="98">
        <f>('Forage, input data per ha'!E38+'Forage, input data per ha'!G38)/'Forage, input data per ha'!C38</f>
        <v>1.3261392141552593E-2</v>
      </c>
      <c r="H36" s="274">
        <f>'Forage, input data per ha'!I38/'Forage, input data per ha'!C38</f>
        <v>2.9377625397606846E-4</v>
      </c>
      <c r="I36" s="4">
        <f>'Forage, input data per ha'!K38/'Forage, input data per ha'!C38</f>
        <v>0</v>
      </c>
      <c r="J36" s="42">
        <f>'Forage, input data per ha'!L38/'Forage, input data per ha'!C38</f>
        <v>2.9875621464290254E-5</v>
      </c>
      <c r="K36" s="42">
        <f>1/'Forage, input data per ha'!C38*SUM('Forage, input data per ha'!T38:X38)*10000/(No_species/1000000)</f>
        <v>9.3396559792334097E-12</v>
      </c>
      <c r="L36" s="98">
        <f>'Forage, input data per ha'!E38/'Forage, input data per ha'!C38*EF_NH3*N_to_NH3</f>
        <v>2.9118945728129586E-4</v>
      </c>
    </row>
    <row r="37" spans="1:16" x14ac:dyDescent="0.3">
      <c r="A37" s="20"/>
      <c r="B37" s="15" t="s">
        <v>431</v>
      </c>
      <c r="C37" s="15" t="s">
        <v>444</v>
      </c>
      <c r="D37" t="s">
        <v>25</v>
      </c>
      <c r="E37" t="s">
        <v>68</v>
      </c>
      <c r="F37" s="10">
        <f>1/'Forage, input data per ha'!C39*10000</f>
        <v>1.1454889535341086</v>
      </c>
      <c r="G37" s="98">
        <f>('Forage, input data per ha'!E39+'Forage, input data per ha'!G39)/'Forage, input data per ha'!C39</f>
        <v>1.4084562538983799E-2</v>
      </c>
      <c r="H37" s="274">
        <f>'Forage, input data per ha'!I39/'Forage, input data per ha'!C39</f>
        <v>1.5004291926573534E-4</v>
      </c>
      <c r="I37" s="4">
        <f>'Forage, input data per ha'!K39/'Forage, input data per ha'!C39</f>
        <v>0</v>
      </c>
      <c r="J37" s="42">
        <f>'Forage, input data per ha'!L39/'Forage, input data per ha'!C39</f>
        <v>2.9875621464290258E-5</v>
      </c>
      <c r="K37" s="42">
        <f>1/'Forage, input data per ha'!C39*SUM('Forage, input data per ha'!T39:X39)*10000/(No_species/1000000)</f>
        <v>7.1575218380200387E-12</v>
      </c>
      <c r="L37" s="98">
        <f>'Forage, input data per ha'!E39/'Forage, input data per ha'!C39*EF_NH3*N_to_NH3</f>
        <v>3.4123377454641629E-4</v>
      </c>
    </row>
    <row r="38" spans="1:16" x14ac:dyDescent="0.3">
      <c r="A38" s="20"/>
      <c r="B38" s="15" t="s">
        <v>431</v>
      </c>
      <c r="C38" s="15" t="s">
        <v>444</v>
      </c>
      <c r="D38" t="s">
        <v>21</v>
      </c>
      <c r="E38" t="s">
        <v>69</v>
      </c>
      <c r="F38" s="10">
        <f>1/'Forage, input data per ha'!C40*10000</f>
        <v>2.8210147004552306</v>
      </c>
      <c r="G38" s="98">
        <f>('Forage, input data per ha'!E40+'Forage, input data per ha'!G40)/'Forage, input data per ha'!C40</f>
        <v>1.4248888174213355E-2</v>
      </c>
      <c r="H38" s="274">
        <f>'Forage, input data per ha'!I40/'Forage, input data per ha'!C40</f>
        <v>2.3847872238080535E-4</v>
      </c>
      <c r="I38" s="4">
        <f>'Forage, input data per ha'!K40/'Forage, input data per ha'!C40</f>
        <v>0</v>
      </c>
      <c r="J38" s="42">
        <f>'Forage, input data per ha'!L40/'Forage, input data per ha'!C40</f>
        <v>2.9875621464290258E-5</v>
      </c>
      <c r="K38" s="42">
        <f>1/'Forage, input data per ha'!C40*SUM('Forage, input data per ha'!T40:X40)*10000/(No_species/1000000)</f>
        <v>9.0380275303623506E-11</v>
      </c>
      <c r="L38" s="98">
        <f>'Forage, input data per ha'!E40/'Forage, input data per ha'!C40*EF_NH3*N_to_NH3</f>
        <v>3.5122388625340054E-4</v>
      </c>
    </row>
    <row r="39" spans="1:16" x14ac:dyDescent="0.3">
      <c r="A39" s="20"/>
      <c r="B39" s="15" t="s">
        <v>431</v>
      </c>
      <c r="C39" s="15" t="s">
        <v>444</v>
      </c>
      <c r="D39" t="s">
        <v>24</v>
      </c>
      <c r="E39" t="s">
        <v>70</v>
      </c>
      <c r="F39" s="10">
        <f>1/'Forage, input data per ha'!C41*10000</f>
        <v>4.2378485767913219</v>
      </c>
      <c r="G39" s="98">
        <f>('Forage, input data per ha'!E41+'Forage, input data per ha'!G41)/'Forage, input data per ha'!C41</f>
        <v>1.4248888174213355E-2</v>
      </c>
      <c r="H39" s="274">
        <f>'Forage, input data per ha'!I41/'Forage, input data per ha'!C41</f>
        <v>2.3847872238080535E-4</v>
      </c>
      <c r="I39" s="4">
        <f>'Forage, input data per ha'!K41/'Forage, input data per ha'!C41</f>
        <v>0</v>
      </c>
      <c r="J39" s="42">
        <f>'Forage, input data per ha'!L41/'Forage, input data per ha'!C41</f>
        <v>2.9875621464290258E-5</v>
      </c>
      <c r="K39" s="42">
        <f>1/'Forage, input data per ha'!C41*SUM('Forage, input data per ha'!T41:X41)*10000/(No_species/1000000)</f>
        <v>3.6979701257089292E-11</v>
      </c>
      <c r="L39" s="98">
        <f>'Forage, input data per ha'!E41/'Forage, input data per ha'!C41*EF_NH3*N_to_NH3</f>
        <v>3.5122388625340054E-4</v>
      </c>
    </row>
    <row r="40" spans="1:16" x14ac:dyDescent="0.3">
      <c r="A40" s="20"/>
      <c r="B40" s="15" t="s">
        <v>431</v>
      </c>
      <c r="C40" s="15" t="s">
        <v>444</v>
      </c>
      <c r="D40" t="s">
        <v>23</v>
      </c>
      <c r="E40" t="s">
        <v>71</v>
      </c>
      <c r="F40" s="10">
        <f>1/'Forage, input data per ha'!C42*10000</f>
        <v>1.0552029905608613</v>
      </c>
      <c r="G40" s="98">
        <f>('Forage, input data per ha'!E42+'Forage, input data per ha'!G42)/'Forage, input data per ha'!C42</f>
        <v>1.4248888174213353E-2</v>
      </c>
      <c r="H40" s="274">
        <f>'Forage, input data per ha'!I42/'Forage, input data per ha'!C42</f>
        <v>2.3847872238080535E-4</v>
      </c>
      <c r="I40" s="4">
        <f>'Forage, input data per ha'!K42/'Forage, input data per ha'!C42</f>
        <v>0</v>
      </c>
      <c r="J40" s="42">
        <f>'Forage, input data per ha'!L42/'Forage, input data per ha'!C42</f>
        <v>2.9875621464290258E-5</v>
      </c>
      <c r="K40" s="42">
        <f>1/'Forage, input data per ha'!C42*SUM('Forage, input data per ha'!T42:X42)*10000/(No_species/1000000)</f>
        <v>3.8214842852610717E-11</v>
      </c>
      <c r="L40" s="98">
        <f>'Forage, input data per ha'!E42/'Forage, input data per ha'!C42*EF_NH3*N_to_NH3</f>
        <v>3.5122388625340054E-4</v>
      </c>
    </row>
    <row r="41" spans="1:16" x14ac:dyDescent="0.3">
      <c r="A41" s="20"/>
      <c r="B41" s="15" t="s">
        <v>431</v>
      </c>
      <c r="C41" s="15" t="s">
        <v>444</v>
      </c>
      <c r="D41" t="s">
        <v>20</v>
      </c>
      <c r="E41" t="s">
        <v>72</v>
      </c>
      <c r="F41" s="10">
        <f>1/'Forage, input data per ha'!C43*10000</f>
        <v>1.7928439182796601</v>
      </c>
      <c r="G41" s="98">
        <f>('Forage, input data per ha'!E43+'Forage, input data per ha'!G43)/'Forage, input data per ha'!C43</f>
        <v>3.4288619089893765E-2</v>
      </c>
      <c r="H41" s="274">
        <f>'Forage, input data per ha'!I43/'Forage, input data per ha'!C43</f>
        <v>0</v>
      </c>
      <c r="I41" s="4">
        <f>'Forage, input data per ha'!K43/'Forage, input data per ha'!C43</f>
        <v>0</v>
      </c>
      <c r="J41" s="42">
        <f>'Forage, input data per ha'!L43/'Forage, input data per ha'!C43</f>
        <v>2.9875621464290261E-5</v>
      </c>
      <c r="K41" s="42">
        <f>1/'Forage, input data per ha'!C43*SUM('Forage, input data per ha'!T43:X43)*10000/(No_species/1000000)</f>
        <v>9.9883841540653846E-12</v>
      </c>
      <c r="L41" s="98">
        <f>'Forage, input data per ha'!E43/'Forage, input data per ha'!C43*EF_NH3*N_to_NH3</f>
        <v>1.5695313654600586E-3</v>
      </c>
    </row>
    <row r="42" spans="1:16" x14ac:dyDescent="0.3">
      <c r="A42" s="20"/>
      <c r="B42" s="15" t="s">
        <v>431</v>
      </c>
      <c r="C42" s="15" t="s">
        <v>444</v>
      </c>
      <c r="D42" t="s">
        <v>22</v>
      </c>
      <c r="E42" t="s">
        <v>73</v>
      </c>
      <c r="F42" s="10">
        <f>1/'Forage, input data per ha'!C44*10000</f>
        <v>1.3247310735927762</v>
      </c>
      <c r="G42" s="98">
        <f>('Forage, input data per ha'!E44+'Forage, input data per ha'!G44)/'Forage, input data per ha'!C44</f>
        <v>1.4248888174213353E-2</v>
      </c>
      <c r="H42" s="274">
        <f>'Forage, input data per ha'!I44/'Forage, input data per ha'!C44</f>
        <v>2.3847872238080535E-4</v>
      </c>
      <c r="I42" s="4">
        <f>'Forage, input data per ha'!K44/'Forage, input data per ha'!C44</f>
        <v>0</v>
      </c>
      <c r="J42" s="42">
        <f>'Forage, input data per ha'!L44/'Forage, input data per ha'!C44</f>
        <v>2.9875621464290258E-5</v>
      </c>
      <c r="K42" s="42">
        <f>1/'Forage, input data per ha'!C44*SUM('Forage, input data per ha'!T44:X44)*10000/(No_species/1000000)</f>
        <v>3.7240185040764132E-12</v>
      </c>
      <c r="L42" s="98">
        <f>'Forage, input data per ha'!E44/'Forage, input data per ha'!C44*EF_NH3*N_to_NH3</f>
        <v>3.5122388625340054E-4</v>
      </c>
    </row>
    <row r="43" spans="1:16" x14ac:dyDescent="0.3">
      <c r="A43" s="20"/>
      <c r="B43" s="15" t="s">
        <v>431</v>
      </c>
      <c r="C43" s="15" t="s">
        <v>444</v>
      </c>
      <c r="D43" t="s">
        <v>26</v>
      </c>
      <c r="E43" t="s">
        <v>74</v>
      </c>
      <c r="F43" s="10">
        <f>1/'Forage, input data per ha'!C45*10000</f>
        <v>1.9074609744618656</v>
      </c>
      <c r="G43" s="98">
        <f>('Forage, input data per ha'!E45+'Forage, input data per ha'!G45)/'Forage, input data per ha'!C45</f>
        <v>1.4248888174213355E-2</v>
      </c>
      <c r="H43" s="274">
        <f>'Forage, input data per ha'!I45/'Forage, input data per ha'!C45</f>
        <v>2.3847872238080535E-4</v>
      </c>
      <c r="I43" s="4">
        <f>'Forage, input data per ha'!K45/'Forage, input data per ha'!C45</f>
        <v>0</v>
      </c>
      <c r="J43" s="42">
        <f>'Forage, input data per ha'!L45/'Forage, input data per ha'!C45</f>
        <v>2.9875621464290261E-5</v>
      </c>
      <c r="K43" s="42">
        <f>1/'Forage, input data per ha'!C45*SUM('Forage, input data per ha'!T45:X45)*10000/(No_species/1000000)</f>
        <v>8.7561523313164621E-11</v>
      </c>
      <c r="L43" s="98">
        <f>'Forage, input data per ha'!E45/'Forage, input data per ha'!C45*EF_NH3*N_to_NH3</f>
        <v>3.5122388625340054E-4</v>
      </c>
    </row>
    <row r="44" spans="1:16" x14ac:dyDescent="0.3">
      <c r="A44" s="20"/>
      <c r="B44" s="15" t="s">
        <v>431</v>
      </c>
      <c r="C44" s="15" t="s">
        <v>444</v>
      </c>
      <c r="D44" s="16" t="s">
        <v>27</v>
      </c>
      <c r="E44" t="s">
        <v>75</v>
      </c>
      <c r="F44" s="10">
        <f>1/'Forage, input data per ha'!C46*10000</f>
        <v>1.2448175610120942</v>
      </c>
      <c r="G44" s="98">
        <f>('Forage, input data per ha'!E46+'Forage, input data per ha'!G46)/'Forage, input data per ha'!C46</f>
        <v>1.3077491642411421E-2</v>
      </c>
      <c r="H44" s="274">
        <f>'Forage, input data per ha'!I46/'Forage, input data per ha'!C46</f>
        <v>1.8107799593374165E-4</v>
      </c>
      <c r="I44" s="4">
        <f>'Forage, input data per ha'!K46/'Forage, input data per ha'!C46</f>
        <v>0</v>
      </c>
      <c r="J44" s="42">
        <f>'Forage, input data per ha'!L46/'Forage, input data per ha'!C46</f>
        <v>2.9875621464290258E-5</v>
      </c>
      <c r="K44" s="42">
        <f>1/'Forage, input data per ha'!C46*SUM('Forage, input data per ha'!T46:X46)*10000/(No_species/1000000)</f>
        <v>1.8580877935903654E-12</v>
      </c>
      <c r="L44" s="98">
        <f>'Forage, input data per ha'!E46/'Forage, input data per ha'!C46*EF_NH3*N_to_NH3</f>
        <v>2.8000929949992433E-4</v>
      </c>
    </row>
    <row r="45" spans="1:16" x14ac:dyDescent="0.3">
      <c r="A45" s="20"/>
      <c r="B45" s="15"/>
      <c r="C45" s="15"/>
      <c r="D45" s="16"/>
      <c r="F45" s="10"/>
      <c r="G45" s="98"/>
      <c r="H45" s="274"/>
      <c r="I45" s="4"/>
      <c r="J45" s="42"/>
      <c r="K45" s="42"/>
      <c r="L45" s="98"/>
    </row>
    <row r="46" spans="1:16" ht="18" x14ac:dyDescent="0.35">
      <c r="A46" s="239" t="s">
        <v>432</v>
      </c>
      <c r="B46" s="106"/>
      <c r="C46" s="106"/>
      <c r="D46" s="106"/>
      <c r="E46" s="106"/>
      <c r="F46" s="106"/>
      <c r="G46" s="106"/>
      <c r="H46" s="106"/>
      <c r="I46" s="106"/>
      <c r="J46" s="106"/>
      <c r="K46" s="106"/>
      <c r="L46" s="106"/>
      <c r="M46" s="106"/>
      <c r="N46" s="106"/>
      <c r="O46" s="106"/>
      <c r="P46" s="106"/>
    </row>
    <row r="48" spans="1:16" x14ac:dyDescent="0.3">
      <c r="A48" s="143" t="s">
        <v>355</v>
      </c>
      <c r="B48" s="144"/>
      <c r="C48" s="144"/>
      <c r="D48" s="144"/>
      <c r="E48" s="144"/>
      <c r="F48" s="145" t="s">
        <v>34</v>
      </c>
      <c r="G48" s="145" t="s">
        <v>35</v>
      </c>
      <c r="H48" s="145" t="s">
        <v>36</v>
      </c>
      <c r="I48" s="145" t="s">
        <v>37</v>
      </c>
      <c r="J48" s="146" t="s">
        <v>38</v>
      </c>
      <c r="K48" s="146" t="s">
        <v>39</v>
      </c>
      <c r="L48" s="146" t="s">
        <v>40</v>
      </c>
      <c r="M48" s="255"/>
      <c r="N48" s="256"/>
      <c r="O48" s="256"/>
      <c r="P48" s="257"/>
    </row>
    <row r="49" spans="1:13" ht="43.2" x14ac:dyDescent="0.3">
      <c r="A49" s="148" t="s">
        <v>44</v>
      </c>
      <c r="B49" s="148" t="s">
        <v>355</v>
      </c>
      <c r="C49" s="148" t="s">
        <v>357</v>
      </c>
      <c r="D49" s="148" t="s">
        <v>47</v>
      </c>
      <c r="E49" s="136" t="s">
        <v>48</v>
      </c>
      <c r="F49" s="152" t="s">
        <v>55</v>
      </c>
      <c r="G49" s="152" t="s">
        <v>384</v>
      </c>
      <c r="H49" s="152" t="s">
        <v>385</v>
      </c>
      <c r="I49" s="153" t="s">
        <v>58</v>
      </c>
      <c r="J49" s="154" t="s">
        <v>59</v>
      </c>
      <c r="K49" s="155" t="s">
        <v>60</v>
      </c>
      <c r="L49" s="155" t="s">
        <v>61</v>
      </c>
      <c r="M49" s="256"/>
    </row>
    <row r="50" spans="1:13" x14ac:dyDescent="0.3">
      <c r="A50" s="70"/>
      <c r="B50" s="15" t="s">
        <v>432</v>
      </c>
      <c r="C50" s="15" t="s">
        <v>444</v>
      </c>
      <c r="D50" t="s">
        <v>28</v>
      </c>
      <c r="E50" t="s">
        <v>67</v>
      </c>
      <c r="F50" s="10">
        <f>1/'Forage, input data per ha'!C53*10000</f>
        <v>1.1163207827016843</v>
      </c>
      <c r="G50" s="98">
        <f>('Forage, input data per ha'!E53+'Forage, input data per ha'!G53)/'Forage, input data per ha'!C53</f>
        <v>4.5673333333333337E-2</v>
      </c>
      <c r="H50" s="274">
        <f>'Forage, input data per ha'!I53/'Forage, input data per ha'!C53</f>
        <v>3.3619718309859156E-3</v>
      </c>
      <c r="I50" s="4">
        <f>'Forage, input data per ha'!K53/'Forage, input data per ha'!C53</f>
        <v>0</v>
      </c>
      <c r="J50" s="42">
        <f>'Forage, input data per ha'!L53/'Forage, input data per ha'!C53</f>
        <v>6.2532818319357796E-5</v>
      </c>
      <c r="K50" s="42">
        <f>1/'Forage, input data per ha'!C53*SUM('Forage, input data per ha'!T53:X53)*10000/(No_species/1000000)</f>
        <v>9.1423650344454408E-12</v>
      </c>
      <c r="L50" s="98">
        <f>'Forage, input data per ha'!E53/'Forage, input data per ha'!C53*EF_NH3*N_to_NH3</f>
        <v>0</v>
      </c>
    </row>
    <row r="51" spans="1:13" x14ac:dyDescent="0.3">
      <c r="A51" s="20"/>
      <c r="B51" s="15" t="s">
        <v>432</v>
      </c>
      <c r="C51" s="15" t="s">
        <v>444</v>
      </c>
      <c r="D51" t="s">
        <v>25</v>
      </c>
      <c r="E51" t="s">
        <v>68</v>
      </c>
      <c r="F51" s="10">
        <f>1/'Forage, input data per ha'!C54*10000</f>
        <v>1.4705228823146224</v>
      </c>
      <c r="G51" s="98">
        <f>('Forage, input data per ha'!E54+'Forage, input data per ha'!G54)/'Forage, input data per ha'!C54</f>
        <v>4.567333333333333E-2</v>
      </c>
      <c r="H51" s="274">
        <f>'Forage, input data per ha'!I54/'Forage, input data per ha'!C54</f>
        <v>3.3619718309859151E-3</v>
      </c>
      <c r="I51" s="4">
        <f>'Forage, input data per ha'!K54/'Forage, input data per ha'!C54</f>
        <v>0</v>
      </c>
      <c r="J51" s="42">
        <f>'Forage, input data per ha'!L54/'Forage, input data per ha'!C54</f>
        <v>6.2532818319357796E-5</v>
      </c>
      <c r="K51" s="42">
        <f>1/'Forage, input data per ha'!C54*SUM('Forage, input data per ha'!T54:X54)*10000/(No_species/1000000)</f>
        <v>9.1884776461632418E-12</v>
      </c>
      <c r="L51" s="98">
        <f>'Forage, input data per ha'!E54/'Forage, input data per ha'!C54*EF_NH3*N_to_NH3</f>
        <v>0</v>
      </c>
    </row>
    <row r="52" spans="1:13" x14ac:dyDescent="0.3">
      <c r="A52" s="20"/>
      <c r="B52" s="15" t="s">
        <v>432</v>
      </c>
      <c r="C52" s="15" t="s">
        <v>444</v>
      </c>
      <c r="D52" t="s">
        <v>21</v>
      </c>
      <c r="E52" t="s">
        <v>69</v>
      </c>
      <c r="F52" s="10">
        <f>1/'Forage, input data per ha'!C55*10000</f>
        <v>2.2942126795269693</v>
      </c>
      <c r="G52" s="98">
        <f>('Forage, input data per ha'!E55+'Forage, input data per ha'!G55)/'Forage, input data per ha'!C55</f>
        <v>4.5673333333333323E-2</v>
      </c>
      <c r="H52" s="274">
        <f>'Forage, input data per ha'!I55/'Forage, input data per ha'!C55</f>
        <v>3.3619718309859156E-3</v>
      </c>
      <c r="I52" s="4">
        <f>'Forage, input data per ha'!K55/'Forage, input data per ha'!C55</f>
        <v>0</v>
      </c>
      <c r="J52" s="42">
        <f>'Forage, input data per ha'!L55/'Forage, input data per ha'!C55</f>
        <v>6.2532818319357796E-5</v>
      </c>
      <c r="K52" s="42">
        <f>1/'Forage, input data per ha'!C55*SUM('Forage, input data per ha'!T55:X55)*10000/(No_species/1000000)</f>
        <v>7.3502478929744921E-11</v>
      </c>
      <c r="L52" s="98">
        <f>'Forage, input data per ha'!E55/'Forage, input data per ha'!C55*EF_NH3*N_to_NH3</f>
        <v>0</v>
      </c>
    </row>
    <row r="53" spans="1:13" x14ac:dyDescent="0.3">
      <c r="A53" s="20"/>
      <c r="B53" s="15" t="s">
        <v>432</v>
      </c>
      <c r="C53" s="15" t="s">
        <v>444</v>
      </c>
      <c r="D53" t="s">
        <v>24</v>
      </c>
      <c r="E53" t="s">
        <v>70</v>
      </c>
      <c r="F53" s="10">
        <f>1/'Forage, input data per ha'!C56*10000</f>
        <v>2.4033390218840847</v>
      </c>
      <c r="G53" s="98">
        <f>('Forage, input data per ha'!E56+'Forage, input data per ha'!G56)/'Forage, input data per ha'!C56</f>
        <v>4.5673333333333344E-2</v>
      </c>
      <c r="H53" s="274">
        <f>'Forage, input data per ha'!I56/'Forage, input data per ha'!C56</f>
        <v>3.3619718309859156E-3</v>
      </c>
      <c r="I53" s="4">
        <f>'Forage, input data per ha'!K56/'Forage, input data per ha'!C56</f>
        <v>0</v>
      </c>
      <c r="J53" s="42">
        <f>'Forage, input data per ha'!L56/'Forage, input data per ha'!C56</f>
        <v>6.2532818319357796E-5</v>
      </c>
      <c r="K53" s="42">
        <f>1/'Forage, input data per ha'!C56*SUM('Forage, input data per ha'!T56:X56)*10000/(No_species/1000000)</f>
        <v>2.097166933606438E-11</v>
      </c>
      <c r="L53" s="98">
        <f>'Forage, input data per ha'!E56/'Forage, input data per ha'!C56*EF_NH3*N_to_NH3</f>
        <v>0</v>
      </c>
    </row>
    <row r="54" spans="1:13" x14ac:dyDescent="0.3">
      <c r="A54" s="20"/>
      <c r="B54" s="15" t="s">
        <v>432</v>
      </c>
      <c r="C54" s="15" t="s">
        <v>444</v>
      </c>
      <c r="D54" t="s">
        <v>23</v>
      </c>
      <c r="E54" t="s">
        <v>71</v>
      </c>
      <c r="F54" s="10">
        <f>1/'Forage, input data per ha'!C57*10000</f>
        <v>1.3762247749482197</v>
      </c>
      <c r="G54" s="98">
        <f>('Forage, input data per ha'!E57+'Forage, input data per ha'!G57)/'Forage, input data per ha'!C57</f>
        <v>4.567333333333333E-2</v>
      </c>
      <c r="H54" s="274">
        <f>'Forage, input data per ha'!I57/'Forage, input data per ha'!C57</f>
        <v>3.3619718309859156E-3</v>
      </c>
      <c r="I54" s="4">
        <f>'Forage, input data per ha'!K57/'Forage, input data per ha'!C57</f>
        <v>0</v>
      </c>
      <c r="J54" s="42">
        <f>'Forage, input data per ha'!L57/'Forage, input data per ha'!C57</f>
        <v>6.2532818319357796E-5</v>
      </c>
      <c r="K54" s="42">
        <f>1/'Forage, input data per ha'!C57*SUM('Forage, input data per ha'!T57:X57)*10000/(No_species/1000000)</f>
        <v>4.9840849556881904E-11</v>
      </c>
      <c r="L54" s="98">
        <f>'Forage, input data per ha'!E57/'Forage, input data per ha'!C57*EF_NH3*N_to_NH3</f>
        <v>0</v>
      </c>
    </row>
    <row r="55" spans="1:13" x14ac:dyDescent="0.3">
      <c r="A55" s="20"/>
      <c r="B55" s="15" t="s">
        <v>432</v>
      </c>
      <c r="C55" s="15" t="s">
        <v>444</v>
      </c>
      <c r="D55" t="s">
        <v>20</v>
      </c>
      <c r="E55" t="s">
        <v>72</v>
      </c>
      <c r="F55" s="10">
        <f>1/'Forage, input data per ha'!C58*10000</f>
        <v>1.4221421084328052</v>
      </c>
      <c r="G55" s="98">
        <f>('Forage, input data per ha'!E58+'Forage, input data per ha'!G58)/'Forage, input data per ha'!C58</f>
        <v>4.5673333333333337E-2</v>
      </c>
      <c r="H55" s="274">
        <f>'Forage, input data per ha'!I58/'Forage, input data per ha'!C58</f>
        <v>4.5717683839384812E-3</v>
      </c>
      <c r="I55" s="4">
        <f>'Forage, input data per ha'!K58/'Forage, input data per ha'!C58</f>
        <v>0</v>
      </c>
      <c r="J55" s="42">
        <f>'Forage, input data per ha'!L58/'Forage, input data per ha'!C58</f>
        <v>6.2532818319357796E-5</v>
      </c>
      <c r="K55" s="42">
        <f>1/'Forage, input data per ha'!C58*SUM('Forage, input data per ha'!T58:X58)*10000/(No_species/1000000)</f>
        <v>7.9231111843410296E-12</v>
      </c>
      <c r="L55" s="98">
        <f>'Forage, input data per ha'!E58/'Forage, input data per ha'!C58*EF_NH3*N_to_NH3</f>
        <v>0</v>
      </c>
    </row>
    <row r="56" spans="1:13" x14ac:dyDescent="0.3">
      <c r="A56" s="20"/>
      <c r="B56" s="15" t="s">
        <v>432</v>
      </c>
      <c r="C56" s="15" t="s">
        <v>444</v>
      </c>
      <c r="D56" t="s">
        <v>22</v>
      </c>
      <c r="E56" t="s">
        <v>73</v>
      </c>
      <c r="F56" s="10">
        <f>1/'Forage, input data per ha'!C59*10000</f>
        <v>1.2813504897096357</v>
      </c>
      <c r="G56" s="98">
        <f>('Forage, input data per ha'!E59+'Forage, input data per ha'!G59)/'Forage, input data per ha'!C59</f>
        <v>4.5673333333333337E-2</v>
      </c>
      <c r="H56" s="274">
        <f>'Forage, input data per ha'!I59/'Forage, input data per ha'!C59</f>
        <v>3.3619718309859156E-3</v>
      </c>
      <c r="I56" s="4">
        <f>'Forage, input data per ha'!K59/'Forage, input data per ha'!C59</f>
        <v>0</v>
      </c>
      <c r="J56" s="42">
        <f>'Forage, input data per ha'!L59/'Forage, input data per ha'!C59</f>
        <v>6.2532818319357796E-5</v>
      </c>
      <c r="K56" s="42">
        <f>1/'Forage, input data per ha'!C59*SUM('Forage, input data per ha'!T59:X59)*10000/(No_species/1000000)</f>
        <v>3.6020691512463945E-12</v>
      </c>
      <c r="L56" s="98">
        <f>'Forage, input data per ha'!E59/'Forage, input data per ha'!C59*EF_NH3*N_to_NH3</f>
        <v>0</v>
      </c>
    </row>
    <row r="57" spans="1:13" x14ac:dyDescent="0.3">
      <c r="A57" s="20"/>
      <c r="B57" s="15" t="s">
        <v>432</v>
      </c>
      <c r="C57" s="15" t="s">
        <v>444</v>
      </c>
      <c r="D57" t="s">
        <v>26</v>
      </c>
      <c r="E57" t="s">
        <v>74</v>
      </c>
      <c r="F57" s="10">
        <f>1/'Forage, input data per ha'!C60*10000</f>
        <v>1.1702617509720095</v>
      </c>
      <c r="G57" s="98">
        <f>('Forage, input data per ha'!E60+'Forage, input data per ha'!G60)/'Forage, input data per ha'!C60</f>
        <v>4.5673333333333337E-2</v>
      </c>
      <c r="H57" s="274">
        <f>'Forage, input data per ha'!I60/'Forage, input data per ha'!C60</f>
        <v>3.3619718309859156E-3</v>
      </c>
      <c r="I57" s="4">
        <f>'Forage, input data per ha'!K60/'Forage, input data per ha'!C60</f>
        <v>0</v>
      </c>
      <c r="J57" s="42">
        <f>'Forage, input data per ha'!L60/'Forage, input data per ha'!C60</f>
        <v>6.2532818319357796E-5</v>
      </c>
      <c r="K57" s="42">
        <f>1/'Forage, input data per ha'!C60*SUM('Forage, input data per ha'!T60:X60)*10000/(No_species/1000000)</f>
        <v>5.3720575656416425E-11</v>
      </c>
      <c r="L57" s="98">
        <f>'Forage, input data per ha'!E60/'Forage, input data per ha'!C60*EF_NH3*N_to_NH3</f>
        <v>0</v>
      </c>
    </row>
    <row r="58" spans="1:13" x14ac:dyDescent="0.3">
      <c r="A58" s="20"/>
      <c r="B58" s="15" t="s">
        <v>432</v>
      </c>
      <c r="C58" s="15" t="s">
        <v>444</v>
      </c>
      <c r="D58" s="16" t="s">
        <v>27</v>
      </c>
      <c r="E58" t="s">
        <v>75</v>
      </c>
      <c r="F58" s="10">
        <f>1/'Forage, input data per ha'!C61*10000</f>
        <v>2.6055340966399085</v>
      </c>
      <c r="G58" s="98">
        <f>('Forage, input data per ha'!E61+'Forage, input data per ha'!G61)/'Forage, input data per ha'!C61</f>
        <v>4.5673333333333344E-2</v>
      </c>
      <c r="H58" s="274">
        <f>'Forage, input data per ha'!I61/'Forage, input data per ha'!C61</f>
        <v>3.3619718309859156E-3</v>
      </c>
      <c r="I58" s="4">
        <f>'Forage, input data per ha'!K61/'Forage, input data per ha'!C61</f>
        <v>0</v>
      </c>
      <c r="J58" s="42">
        <f>'Forage, input data per ha'!L61/'Forage, input data per ha'!C61</f>
        <v>6.2532818319357796E-5</v>
      </c>
      <c r="K58" s="42">
        <f>1/'Forage, input data per ha'!C61*SUM('Forage, input data per ha'!T61:X61)*10000/(No_species/1000000)</f>
        <v>3.8891732028699079E-12</v>
      </c>
      <c r="L58" s="98">
        <f>'Forage, input data per ha'!E61/'Forage, input data per ha'!C61*EF_NH3*N_to_NH3</f>
        <v>0</v>
      </c>
    </row>
    <row r="59" spans="1:13" x14ac:dyDescent="0.3">
      <c r="I59" s="16"/>
    </row>
    <row r="60" spans="1:13" x14ac:dyDescent="0.3">
      <c r="I60" s="16"/>
    </row>
    <row r="61" spans="1:13" x14ac:dyDescent="0.3">
      <c r="I61" s="16"/>
    </row>
    <row r="62" spans="1:13" x14ac:dyDescent="0.3">
      <c r="I62" s="16"/>
    </row>
    <row r="63" spans="1:13" x14ac:dyDescent="0.3">
      <c r="I63" s="16"/>
    </row>
    <row r="64" spans="1:13" x14ac:dyDescent="0.3">
      <c r="I64" s="16"/>
    </row>
    <row r="65" spans="9:9" x14ac:dyDescent="0.3">
      <c r="I65" s="16"/>
    </row>
    <row r="66" spans="9:9" x14ac:dyDescent="0.3">
      <c r="I66" s="16"/>
    </row>
    <row r="67" spans="9:9" x14ac:dyDescent="0.3">
      <c r="I67" s="16"/>
    </row>
    <row r="68" spans="9:9" x14ac:dyDescent="0.3">
      <c r="I68" s="16"/>
    </row>
    <row r="69" spans="9:9" x14ac:dyDescent="0.3">
      <c r="I69" s="16"/>
    </row>
    <row r="70" spans="9:9" x14ac:dyDescent="0.3">
      <c r="I70" s="16"/>
    </row>
    <row r="71" spans="9:9" x14ac:dyDescent="0.3">
      <c r="I71" s="16"/>
    </row>
    <row r="72" spans="9:9" x14ac:dyDescent="0.3">
      <c r="I72" s="16"/>
    </row>
    <row r="73" spans="9:9" x14ac:dyDescent="0.3">
      <c r="I73" s="16"/>
    </row>
    <row r="74" spans="9:9" x14ac:dyDescent="0.3">
      <c r="I74" s="16"/>
    </row>
    <row r="75" spans="9:9" x14ac:dyDescent="0.3">
      <c r="I75" s="16"/>
    </row>
    <row r="76" spans="9:9" x14ac:dyDescent="0.3">
      <c r="I76" s="16"/>
    </row>
  </sheetData>
  <phoneticPr fontId="78"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B48-FC37-4C67-A5F8-D96386155467}">
  <dimension ref="A2:BA123"/>
  <sheetViews>
    <sheetView topLeftCell="A52" zoomScale="80" zoomScaleNormal="80" workbookViewId="0">
      <selection activeCell="A76" sqref="A76:XFD76"/>
    </sheetView>
  </sheetViews>
  <sheetFormatPr defaultColWidth="8.6640625" defaultRowHeight="14.4" x14ac:dyDescent="0.3"/>
  <cols>
    <col min="1" max="1" width="15.33203125" customWidth="1"/>
    <col min="2" max="2" width="18.33203125" customWidth="1"/>
    <col min="3" max="4" width="12.44140625" customWidth="1"/>
    <col min="5" max="6" width="16.6640625" customWidth="1"/>
    <col min="7" max="7" width="12.33203125" customWidth="1"/>
    <col min="8" max="9" width="14.6640625" customWidth="1"/>
    <col min="10" max="10" width="11.33203125" customWidth="1"/>
    <col min="11" max="11" width="12.33203125" customWidth="1"/>
    <col min="12" max="12" width="14.33203125" customWidth="1"/>
    <col min="13" max="13" width="12" customWidth="1"/>
    <col min="14" max="14" width="14.6640625" customWidth="1"/>
    <col min="15" max="15" width="14.33203125" customWidth="1"/>
    <col min="16" max="16" width="15" customWidth="1"/>
    <col min="17" max="17" width="15.44140625" customWidth="1"/>
    <col min="18" max="18" width="15" customWidth="1"/>
    <col min="19" max="19" width="17.6640625" customWidth="1"/>
    <col min="20" max="20" width="10.6640625" customWidth="1"/>
    <col min="21" max="21" width="8.88671875" bestFit="1" customWidth="1"/>
    <col min="22" max="26" width="10.6640625" customWidth="1"/>
    <col min="27" max="27" width="13.6640625" customWidth="1"/>
    <col min="38" max="38" width="30.44140625" customWidth="1"/>
    <col min="39" max="39" width="32.44140625" customWidth="1"/>
    <col min="49" max="49" width="12" bestFit="1" customWidth="1"/>
    <col min="51" max="51" width="9.33203125" bestFit="1" customWidth="1"/>
  </cols>
  <sheetData>
    <row r="2" spans="1:50" ht="21" x14ac:dyDescent="0.4">
      <c r="A2" s="2" t="s">
        <v>445</v>
      </c>
    </row>
    <row r="4" spans="1:50" ht="18" x14ac:dyDescent="0.35">
      <c r="A4" s="239" t="s">
        <v>152</v>
      </c>
      <c r="B4" s="322" t="s">
        <v>446</v>
      </c>
      <c r="C4" s="106"/>
      <c r="D4" s="106"/>
      <c r="E4" s="106"/>
      <c r="F4" s="106"/>
      <c r="G4" s="106"/>
      <c r="H4" s="106"/>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row>
    <row r="5" spans="1:50" ht="18" x14ac:dyDescent="0.35">
      <c r="A5" s="1"/>
      <c r="S5" s="6"/>
    </row>
    <row r="6" spans="1:50" x14ac:dyDescent="0.3">
      <c r="A6" s="323" t="s">
        <v>355</v>
      </c>
      <c r="B6" s="324"/>
      <c r="C6" s="325" t="s">
        <v>447</v>
      </c>
      <c r="D6" s="325"/>
      <c r="E6" s="326" t="s">
        <v>448</v>
      </c>
      <c r="F6" s="326"/>
      <c r="G6" s="327"/>
      <c r="H6" s="328"/>
      <c r="I6" s="328"/>
      <c r="J6" s="329" t="s">
        <v>449</v>
      </c>
      <c r="K6" s="329" t="s">
        <v>37</v>
      </c>
      <c r="L6" s="330" t="s">
        <v>38</v>
      </c>
      <c r="M6" s="331" t="s">
        <v>450</v>
      </c>
      <c r="N6" s="328"/>
      <c r="O6" s="328"/>
      <c r="P6" s="327"/>
      <c r="Q6" s="332"/>
      <c r="R6" s="332"/>
      <c r="S6" s="332"/>
      <c r="T6" s="330" t="s">
        <v>451</v>
      </c>
      <c r="U6" s="332"/>
      <c r="V6" s="332"/>
      <c r="W6" s="332"/>
      <c r="X6" s="332"/>
      <c r="Y6" s="330" t="s">
        <v>41</v>
      </c>
      <c r="Z6" s="333" t="s">
        <v>447</v>
      </c>
      <c r="AA6" s="334" t="s">
        <v>448</v>
      </c>
      <c r="AB6" s="335"/>
      <c r="AC6" s="336"/>
      <c r="AD6" s="336"/>
      <c r="AE6" s="337" t="s">
        <v>449</v>
      </c>
      <c r="AF6" s="337" t="s">
        <v>37</v>
      </c>
      <c r="AG6" s="338" t="s">
        <v>38</v>
      </c>
      <c r="AH6" s="339" t="s">
        <v>450</v>
      </c>
      <c r="AI6" s="336"/>
      <c r="AJ6" s="336"/>
      <c r="AK6" s="338" t="s">
        <v>39</v>
      </c>
      <c r="AL6" s="340"/>
    </row>
    <row r="7" spans="1:50" ht="57.6" x14ac:dyDescent="0.3">
      <c r="A7" s="341" t="s">
        <v>452</v>
      </c>
      <c r="B7" s="264" t="s">
        <v>47</v>
      </c>
      <c r="C7" s="263" t="s">
        <v>453</v>
      </c>
      <c r="D7" s="263"/>
      <c r="E7" s="263" t="s">
        <v>454</v>
      </c>
      <c r="F7" s="263"/>
      <c r="G7" s="265" t="s">
        <v>455</v>
      </c>
      <c r="H7" s="263" t="s">
        <v>456</v>
      </c>
      <c r="I7" s="265" t="s">
        <v>457</v>
      </c>
      <c r="J7" s="265" t="s">
        <v>458</v>
      </c>
      <c r="K7" s="342" t="s">
        <v>459</v>
      </c>
      <c r="L7" s="343" t="s">
        <v>460</v>
      </c>
      <c r="M7" s="266" t="s">
        <v>461</v>
      </c>
      <c r="N7" s="266" t="s">
        <v>462</v>
      </c>
      <c r="O7" s="266" t="s">
        <v>463</v>
      </c>
      <c r="P7" s="266" t="s">
        <v>464</v>
      </c>
      <c r="Q7" s="266" t="s">
        <v>465</v>
      </c>
      <c r="R7" s="266" t="s">
        <v>466</v>
      </c>
      <c r="S7" s="266" t="s">
        <v>467</v>
      </c>
      <c r="T7" s="267" t="s">
        <v>468</v>
      </c>
      <c r="U7" s="267" t="s">
        <v>469</v>
      </c>
      <c r="V7" s="267" t="s">
        <v>470</v>
      </c>
      <c r="W7" s="267" t="s">
        <v>471</v>
      </c>
      <c r="X7" s="267" t="s">
        <v>472</v>
      </c>
      <c r="Y7" s="267" t="s">
        <v>473</v>
      </c>
      <c r="Z7" s="268" t="s">
        <v>453</v>
      </c>
      <c r="AA7" s="268" t="s">
        <v>474</v>
      </c>
      <c r="AB7" s="269" t="s">
        <v>455</v>
      </c>
      <c r="AC7" s="268" t="s">
        <v>456</v>
      </c>
      <c r="AD7" s="269" t="s">
        <v>457</v>
      </c>
      <c r="AE7" s="269" t="s">
        <v>458</v>
      </c>
      <c r="AF7" s="270" t="s">
        <v>58</v>
      </c>
      <c r="AG7" s="271" t="s">
        <v>460</v>
      </c>
      <c r="AH7" s="272" t="s">
        <v>475</v>
      </c>
      <c r="AI7" s="272" t="s">
        <v>476</v>
      </c>
      <c r="AJ7" s="272" t="s">
        <v>477</v>
      </c>
      <c r="AK7" s="273" t="s">
        <v>478</v>
      </c>
      <c r="AL7" s="273"/>
    </row>
    <row r="8" spans="1:50" x14ac:dyDescent="0.3">
      <c r="A8" t="s">
        <v>152</v>
      </c>
      <c r="B8" t="s">
        <v>28</v>
      </c>
      <c r="C8" s="115">
        <f t="shared" ref="C8:K8" si="0">C38/2</f>
        <v>4384.3848901382262</v>
      </c>
      <c r="D8" s="115"/>
      <c r="E8" s="115">
        <f t="shared" si="0"/>
        <v>21</v>
      </c>
      <c r="F8" s="115"/>
      <c r="G8" s="115">
        <f t="shared" si="0"/>
        <v>37.143047327620998</v>
      </c>
      <c r="H8" s="115">
        <f t="shared" si="0"/>
        <v>13.400433978218475</v>
      </c>
      <c r="I8" s="115">
        <f t="shared" si="0"/>
        <v>1.2880281690140845</v>
      </c>
      <c r="J8" s="115">
        <f t="shared" si="0"/>
        <v>21.5</v>
      </c>
      <c r="K8" s="115">
        <f t="shared" si="0"/>
        <v>0</v>
      </c>
      <c r="L8" s="115">
        <v>0</v>
      </c>
      <c r="T8" s="365">
        <v>8.5500000000000002E-14</v>
      </c>
      <c r="U8" s="365">
        <v>1.0199999999999999E-13</v>
      </c>
      <c r="V8" s="365">
        <v>3.3099999999999999E-14</v>
      </c>
      <c r="W8" s="365">
        <v>3.1499999999999998E-14</v>
      </c>
      <c r="X8" s="365">
        <v>4.7300000000000002E-12</v>
      </c>
      <c r="Y8" s="118">
        <f t="shared" ref="Y8:Y16" si="1">Y38/2</f>
        <v>13.56</v>
      </c>
      <c r="Z8" s="6" t="s">
        <v>479</v>
      </c>
      <c r="AH8" t="s">
        <v>480</v>
      </c>
      <c r="AI8" t="s">
        <v>481</v>
      </c>
      <c r="AJ8" t="s">
        <v>482</v>
      </c>
      <c r="AK8" t="s">
        <v>483</v>
      </c>
    </row>
    <row r="9" spans="1:50" x14ac:dyDescent="0.3">
      <c r="A9" t="s">
        <v>152</v>
      </c>
      <c r="B9" t="s">
        <v>25</v>
      </c>
      <c r="C9" s="115">
        <f t="shared" ref="C9:K9" si="2">C39/2</f>
        <v>4364.9482472736199</v>
      </c>
      <c r="D9" s="115"/>
      <c r="E9" s="115">
        <f t="shared" si="2"/>
        <v>24.5</v>
      </c>
      <c r="F9" s="115"/>
      <c r="G9" s="115">
        <f t="shared" si="2"/>
        <v>36.97838656815302</v>
      </c>
      <c r="H9" s="115">
        <f t="shared" si="2"/>
        <v>13.341027822967092</v>
      </c>
      <c r="I9" s="115">
        <f t="shared" si="2"/>
        <v>0.65492957746478875</v>
      </c>
      <c r="J9" s="115">
        <f t="shared" si="2"/>
        <v>21.5</v>
      </c>
      <c r="K9" s="115">
        <f t="shared" si="2"/>
        <v>0</v>
      </c>
      <c r="L9" s="115">
        <v>0</v>
      </c>
      <c r="Q9" s="42"/>
      <c r="T9" s="365">
        <v>6.1199999999999994E-14</v>
      </c>
      <c r="U9" s="365">
        <v>9.29E-14</v>
      </c>
      <c r="V9" s="365">
        <v>5.6499999999999999E-15</v>
      </c>
      <c r="W9" s="365">
        <v>2.11E-15</v>
      </c>
      <c r="X9" s="365">
        <v>1.9199999999999999E-12</v>
      </c>
      <c r="Y9" s="118">
        <f t="shared" si="1"/>
        <v>15.31</v>
      </c>
      <c r="AH9" t="s">
        <v>480</v>
      </c>
      <c r="AI9" t="s">
        <v>484</v>
      </c>
      <c r="AJ9" t="s">
        <v>482</v>
      </c>
      <c r="AK9" t="s">
        <v>483</v>
      </c>
    </row>
    <row r="10" spans="1:50" x14ac:dyDescent="0.3">
      <c r="A10" t="s">
        <v>152</v>
      </c>
      <c r="B10" t="s">
        <v>21</v>
      </c>
      <c r="C10" s="115">
        <f t="shared" ref="C10:K10" si="3">C40/2</f>
        <v>1772.4118910805903</v>
      </c>
      <c r="D10" s="115"/>
      <c r="E10" s="115">
        <f t="shared" si="3"/>
        <v>10.239616097382282</v>
      </c>
      <c r="F10" s="115"/>
      <c r="G10" s="115">
        <f t="shared" si="3"/>
        <v>15.01528273727107</v>
      </c>
      <c r="H10" s="115">
        <f t="shared" si="3"/>
        <v>5.4171997038987172</v>
      </c>
      <c r="I10" s="115">
        <f t="shared" si="3"/>
        <v>0.42268252331744632</v>
      </c>
      <c r="J10" s="115">
        <f t="shared" si="3"/>
        <v>21.5</v>
      </c>
      <c r="K10" s="115">
        <f t="shared" si="3"/>
        <v>0</v>
      </c>
      <c r="L10" s="115">
        <v>0</v>
      </c>
      <c r="Q10" s="42"/>
      <c r="T10" s="365">
        <v>2.0899999999999999E-13</v>
      </c>
      <c r="U10" s="365">
        <v>1.3199999999999999E-13</v>
      </c>
      <c r="V10" s="365">
        <v>7.8399999999999999E-14</v>
      </c>
      <c r="W10" s="365">
        <v>2.4199999999999998E-13</v>
      </c>
      <c r="X10" s="365">
        <v>1.0199999999999999E-11</v>
      </c>
      <c r="Y10" s="118">
        <f t="shared" si="1"/>
        <v>10.06</v>
      </c>
      <c r="AH10" t="s">
        <v>480</v>
      </c>
      <c r="AI10" t="s">
        <v>485</v>
      </c>
      <c r="AJ10" t="s">
        <v>482</v>
      </c>
      <c r="AK10" t="s">
        <v>483</v>
      </c>
    </row>
    <row r="11" spans="1:50" x14ac:dyDescent="0.3">
      <c r="A11" t="s">
        <v>152</v>
      </c>
      <c r="B11" t="s">
        <v>24</v>
      </c>
      <c r="C11" s="115">
        <f t="shared" ref="C11:K11" si="4">C41/2</f>
        <v>1179.8439489751045</v>
      </c>
      <c r="D11" s="115"/>
      <c r="E11" s="115">
        <f t="shared" si="4"/>
        <v>6.8162198375677896</v>
      </c>
      <c r="F11" s="115"/>
      <c r="G11" s="115">
        <f t="shared" si="4"/>
        <v>9.9952446544007607</v>
      </c>
      <c r="H11" s="115">
        <f t="shared" si="4"/>
        <v>3.6060750456475099</v>
      </c>
      <c r="I11" s="115">
        <f t="shared" si="4"/>
        <v>0.28136767756030701</v>
      </c>
      <c r="J11" s="115">
        <f t="shared" si="4"/>
        <v>21.5</v>
      </c>
      <c r="K11" s="115">
        <f t="shared" si="4"/>
        <v>0</v>
      </c>
      <c r="L11" s="115">
        <v>0</v>
      </c>
      <c r="Q11" s="42"/>
      <c r="T11" s="365">
        <v>2.1499999999999999E-13</v>
      </c>
      <c r="U11" s="365">
        <v>7.2199999999999998E-14</v>
      </c>
      <c r="V11" s="365">
        <v>5.7199999999999999E-15</v>
      </c>
      <c r="W11" s="365">
        <v>2.6099999999999998E-15</v>
      </c>
      <c r="X11" s="365">
        <v>1.8699999999999999E-12</v>
      </c>
      <c r="Y11" s="118">
        <f t="shared" si="1"/>
        <v>43.954999999999998</v>
      </c>
      <c r="AH11" t="s">
        <v>480</v>
      </c>
      <c r="AI11" t="s">
        <v>486</v>
      </c>
      <c r="AJ11" t="s">
        <v>482</v>
      </c>
      <c r="AK11" t="s">
        <v>483</v>
      </c>
    </row>
    <row r="12" spans="1:50" x14ac:dyDescent="0.3">
      <c r="A12" t="s">
        <v>152</v>
      </c>
      <c r="B12" t="s">
        <v>23</v>
      </c>
      <c r="C12" s="115">
        <f t="shared" ref="C12:K12" si="5">C42/2</f>
        <v>4738.4247815127983</v>
      </c>
      <c r="D12" s="115"/>
      <c r="E12" s="115">
        <f t="shared" si="5"/>
        <v>27.374929559647949</v>
      </c>
      <c r="F12" s="115"/>
      <c r="G12" s="115">
        <f t="shared" si="5"/>
        <v>40.142355274049258</v>
      </c>
      <c r="H12" s="115">
        <f t="shared" si="5"/>
        <v>14.482521502215718</v>
      </c>
      <c r="I12" s="115">
        <f t="shared" si="5"/>
        <v>1.1300134879927188</v>
      </c>
      <c r="J12" s="115">
        <f t="shared" si="5"/>
        <v>21.5</v>
      </c>
      <c r="K12" s="115">
        <f t="shared" si="5"/>
        <v>0</v>
      </c>
      <c r="L12" s="115">
        <v>0</v>
      </c>
      <c r="Q12" s="42"/>
      <c r="T12" s="365">
        <v>2.13E-13</v>
      </c>
      <c r="U12" s="365">
        <v>1.6400000000000001E-13</v>
      </c>
      <c r="V12" s="365">
        <v>1.5200000000000001E-13</v>
      </c>
      <c r="W12" s="365">
        <v>8.7699999999999995E-14</v>
      </c>
      <c r="X12" s="365">
        <v>1.39E-11</v>
      </c>
      <c r="Y12" s="118">
        <f t="shared" si="1"/>
        <v>14.215</v>
      </c>
      <c r="AH12" t="s">
        <v>480</v>
      </c>
      <c r="AI12" t="s">
        <v>487</v>
      </c>
      <c r="AJ12" t="s">
        <v>482</v>
      </c>
      <c r="AK12" t="s">
        <v>483</v>
      </c>
    </row>
    <row r="13" spans="1:50" x14ac:dyDescent="0.3">
      <c r="A13" t="s">
        <v>152</v>
      </c>
      <c r="B13" t="s">
        <v>20</v>
      </c>
      <c r="C13" s="115">
        <f t="shared" ref="C13:K13" si="6">C43/2</f>
        <v>2788.8651929041298</v>
      </c>
      <c r="D13" s="115"/>
      <c r="E13" s="115">
        <f t="shared" si="6"/>
        <v>72</v>
      </c>
      <c r="F13" s="115"/>
      <c r="G13" s="115">
        <f t="shared" si="6"/>
        <v>23.626336292552807</v>
      </c>
      <c r="H13" s="115">
        <f t="shared" si="6"/>
        <v>8.5238875755921839</v>
      </c>
      <c r="I13" s="115">
        <f t="shared" si="6"/>
        <v>0</v>
      </c>
      <c r="J13" s="115">
        <f t="shared" si="6"/>
        <v>21.5</v>
      </c>
      <c r="K13" s="115">
        <f t="shared" si="6"/>
        <v>0</v>
      </c>
      <c r="L13" s="115">
        <v>0</v>
      </c>
      <c r="T13" s="365">
        <v>5.3800000000000002E-14</v>
      </c>
      <c r="U13" s="365">
        <v>1.48E-13</v>
      </c>
      <c r="V13" s="365">
        <v>4.8500000000000003E-15</v>
      </c>
      <c r="W13" s="365">
        <v>2.1900000000000001E-15</v>
      </c>
      <c r="X13" s="365">
        <v>1.2100000000000001E-12</v>
      </c>
      <c r="Y13" s="118">
        <f t="shared" si="1"/>
        <v>18.37</v>
      </c>
      <c r="AH13" t="s">
        <v>480</v>
      </c>
      <c r="AI13" t="s">
        <v>488</v>
      </c>
      <c r="AJ13" t="s">
        <v>482</v>
      </c>
      <c r="AK13" t="s">
        <v>483</v>
      </c>
    </row>
    <row r="14" spans="1:50" x14ac:dyDescent="0.3">
      <c r="A14" t="s">
        <v>489</v>
      </c>
      <c r="B14" t="s">
        <v>22</v>
      </c>
      <c r="C14" s="115">
        <f t="shared" ref="C14:K14" si="7">C44/2</f>
        <v>3774.350960485589</v>
      </c>
      <c r="D14" s="115"/>
      <c r="E14" s="115">
        <f t="shared" si="7"/>
        <v>21.805261545946841</v>
      </c>
      <c r="F14" s="115"/>
      <c r="G14" s="115">
        <f t="shared" si="7"/>
        <v>31.975043220247084</v>
      </c>
      <c r="H14" s="115">
        <f t="shared" si="7"/>
        <v>11.535926275628153</v>
      </c>
      <c r="I14" s="115">
        <f t="shared" si="7"/>
        <v>0.90010239487336885</v>
      </c>
      <c r="J14" s="115">
        <f t="shared" si="7"/>
        <v>21.5</v>
      </c>
      <c r="K14" s="115">
        <f t="shared" si="7"/>
        <v>0</v>
      </c>
      <c r="L14" s="115">
        <v>0</v>
      </c>
      <c r="Q14" s="42"/>
      <c r="T14" s="365">
        <v>6.5900000000000002E-14</v>
      </c>
      <c r="U14" s="365">
        <v>7.0900000000000006E-14</v>
      </c>
      <c r="V14" s="365">
        <v>2.21E-15</v>
      </c>
      <c r="W14" s="365">
        <v>4.5899999999999996E-16</v>
      </c>
      <c r="X14" s="365">
        <v>6.17E-13</v>
      </c>
      <c r="Y14" s="118">
        <f t="shared" si="1"/>
        <v>46.36</v>
      </c>
      <c r="AH14" t="s">
        <v>480</v>
      </c>
      <c r="AI14" t="s">
        <v>490</v>
      </c>
      <c r="AJ14" t="s">
        <v>482</v>
      </c>
      <c r="AK14" t="s">
        <v>483</v>
      </c>
      <c r="AL14" s="87"/>
      <c r="AN14" t="s">
        <v>491</v>
      </c>
    </row>
    <row r="15" spans="1:50" x14ac:dyDescent="0.3">
      <c r="A15" t="s">
        <v>152</v>
      </c>
      <c r="B15" t="s">
        <v>26</v>
      </c>
      <c r="C15" s="115">
        <f t="shared" ref="C15:K15" si="8">C45/2</f>
        <v>2621.2856079063972</v>
      </c>
      <c r="D15" s="115"/>
      <c r="E15" s="115">
        <f t="shared" si="8"/>
        <v>15.14374759141943</v>
      </c>
      <c r="F15" s="115"/>
      <c r="G15" s="115">
        <f t="shared" si="8"/>
        <v>22.206657908313698</v>
      </c>
      <c r="H15" s="115">
        <f t="shared" si="8"/>
        <v>8.011697332005113</v>
      </c>
      <c r="I15" s="115">
        <f t="shared" si="8"/>
        <v>0.62512084276871027</v>
      </c>
      <c r="J15" s="115">
        <f t="shared" si="8"/>
        <v>21.5</v>
      </c>
      <c r="K15" s="115">
        <f t="shared" si="8"/>
        <v>0</v>
      </c>
      <c r="L15" s="115">
        <v>0</v>
      </c>
      <c r="Q15" s="42"/>
      <c r="T15" s="365">
        <v>1.3E-13</v>
      </c>
      <c r="U15" s="365">
        <v>1.66E-13</v>
      </c>
      <c r="V15" s="365">
        <v>2.5400000000000001E-14</v>
      </c>
      <c r="W15" s="365">
        <v>1.06E-13</v>
      </c>
      <c r="X15" s="365">
        <v>1.0399999999999999E-11</v>
      </c>
      <c r="Y15" s="118">
        <f t="shared" si="1"/>
        <v>4.375</v>
      </c>
      <c r="AH15" t="s">
        <v>480</v>
      </c>
      <c r="AI15" t="s">
        <v>492</v>
      </c>
      <c r="AJ15" t="s">
        <v>482</v>
      </c>
      <c r="AK15" t="s">
        <v>483</v>
      </c>
      <c r="AL15" s="87"/>
    </row>
    <row r="16" spans="1:50" x14ac:dyDescent="0.3">
      <c r="A16" t="s">
        <v>152</v>
      </c>
      <c r="B16" s="16" t="s">
        <v>27</v>
      </c>
      <c r="C16" s="351">
        <v>1739</v>
      </c>
      <c r="D16" s="351"/>
      <c r="E16" s="351">
        <v>0</v>
      </c>
      <c r="F16" s="351"/>
      <c r="G16" s="352">
        <f t="shared" ref="G16:J16" si="9">G46/2</f>
        <v>34.027744032542472</v>
      </c>
      <c r="H16" s="118">
        <f t="shared" si="9"/>
        <v>12.276497760503178</v>
      </c>
      <c r="I16" s="351">
        <v>0</v>
      </c>
      <c r="J16" s="352">
        <f t="shared" si="9"/>
        <v>21.5</v>
      </c>
      <c r="K16" s="351">
        <v>0</v>
      </c>
      <c r="L16" s="315">
        <v>0</v>
      </c>
      <c r="Q16" s="42"/>
      <c r="T16" s="353"/>
      <c r="U16" s="353"/>
      <c r="V16" s="353"/>
      <c r="W16" s="353"/>
      <c r="X16" s="353">
        <f>AV20</f>
        <v>-9.8522726666666674E-13</v>
      </c>
      <c r="Y16" s="118">
        <f t="shared" si="1"/>
        <v>8.9649999999999999</v>
      </c>
      <c r="Z16" t="s">
        <v>493</v>
      </c>
      <c r="AH16" t="s">
        <v>480</v>
      </c>
      <c r="AI16" t="s">
        <v>494</v>
      </c>
      <c r="AJ16" t="s">
        <v>495</v>
      </c>
      <c r="AK16" t="s">
        <v>496</v>
      </c>
      <c r="AL16" s="87"/>
      <c r="AV16" t="s">
        <v>497</v>
      </c>
      <c r="AX16" t="s">
        <v>498</v>
      </c>
    </row>
    <row r="17" spans="1:53" x14ac:dyDescent="0.3">
      <c r="Q17" s="42"/>
    </row>
    <row r="18" spans="1:53" x14ac:dyDescent="0.3">
      <c r="AV18">
        <v>7.2089800000000004E-13</v>
      </c>
      <c r="AX18" s="355">
        <f>0.000000000000499+0.000000000000762+0.0000000000000694+0.00000000000000714+0.00000000000153</f>
        <v>2.8675399999999997E-12</v>
      </c>
      <c r="AZ18">
        <v>9.4</v>
      </c>
    </row>
    <row r="19" spans="1:53" ht="18" x14ac:dyDescent="0.35">
      <c r="A19" s="239" t="s">
        <v>441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V19">
        <v>0</v>
      </c>
      <c r="AX19" s="115">
        <v>0</v>
      </c>
      <c r="AZ19">
        <v>0</v>
      </c>
    </row>
    <row r="20" spans="1:53" x14ac:dyDescent="0.3">
      <c r="AV20" s="366">
        <f>-AV18/3000*4100</f>
        <v>-9.8522726666666674E-13</v>
      </c>
      <c r="AX20" s="356">
        <f>-AX18/3000*4100</f>
        <v>-3.9189713333333335E-12</v>
      </c>
      <c r="AY20" s="73"/>
      <c r="AZ20" s="107">
        <f>-9.4/3000*4100</f>
        <v>-12.846666666666668</v>
      </c>
      <c r="BA20" s="354"/>
    </row>
    <row r="21" spans="1:53" x14ac:dyDescent="0.3">
      <c r="A21" s="323" t="s">
        <v>355</v>
      </c>
      <c r="B21" s="324"/>
      <c r="C21" s="325" t="s">
        <v>447</v>
      </c>
      <c r="D21" s="325" t="s">
        <v>499</v>
      </c>
      <c r="E21" s="326" t="s">
        <v>448</v>
      </c>
      <c r="F21" s="326"/>
      <c r="G21" s="327"/>
      <c r="H21" s="328"/>
      <c r="I21" s="328"/>
      <c r="J21" s="329" t="s">
        <v>449</v>
      </c>
      <c r="K21" s="329" t="s">
        <v>37</v>
      </c>
      <c r="L21" s="330" t="s">
        <v>38</v>
      </c>
      <c r="M21" s="331" t="s">
        <v>450</v>
      </c>
      <c r="N21" s="328"/>
      <c r="O21" s="328"/>
      <c r="P21" s="327"/>
      <c r="Q21" s="332"/>
      <c r="R21" s="332"/>
      <c r="S21" s="332"/>
      <c r="T21" s="330" t="s">
        <v>451</v>
      </c>
      <c r="U21" s="332"/>
      <c r="V21" s="332"/>
      <c r="W21" s="332"/>
      <c r="X21" s="332"/>
      <c r="Y21" s="330" t="s">
        <v>41</v>
      </c>
      <c r="Z21" s="333" t="s">
        <v>447</v>
      </c>
      <c r="AA21" s="334" t="s">
        <v>448</v>
      </c>
      <c r="AB21" s="335"/>
      <c r="AC21" s="336"/>
      <c r="AD21" s="336"/>
      <c r="AE21" s="337" t="s">
        <v>449</v>
      </c>
      <c r="AF21" s="337" t="s">
        <v>37</v>
      </c>
      <c r="AG21" s="338" t="s">
        <v>38</v>
      </c>
      <c r="AH21" s="339" t="s">
        <v>450</v>
      </c>
      <c r="AI21" s="336"/>
      <c r="AJ21" s="336"/>
      <c r="AK21" s="338" t="s">
        <v>39</v>
      </c>
      <c r="AL21" s="340"/>
      <c r="AZ21" t="s">
        <v>500</v>
      </c>
    </row>
    <row r="22" spans="1:53" ht="57.6" x14ac:dyDescent="0.3">
      <c r="A22" s="341" t="s">
        <v>452</v>
      </c>
      <c r="B22" s="264" t="s">
        <v>47</v>
      </c>
      <c r="C22" s="263" t="s">
        <v>453</v>
      </c>
      <c r="D22" s="263"/>
      <c r="E22" s="263" t="s">
        <v>454</v>
      </c>
      <c r="F22" s="263" t="s">
        <v>501</v>
      </c>
      <c r="G22" s="265" t="s">
        <v>455</v>
      </c>
      <c r="H22" s="263" t="s">
        <v>456</v>
      </c>
      <c r="I22" s="265" t="s">
        <v>457</v>
      </c>
      <c r="J22" s="265" t="s">
        <v>458</v>
      </c>
      <c r="K22" s="342" t="s">
        <v>459</v>
      </c>
      <c r="L22" s="343" t="s">
        <v>460</v>
      </c>
      <c r="M22" s="266" t="s">
        <v>461</v>
      </c>
      <c r="N22" s="266" t="s">
        <v>462</v>
      </c>
      <c r="O22" s="266" t="s">
        <v>463</v>
      </c>
      <c r="P22" s="266" t="s">
        <v>464</v>
      </c>
      <c r="Q22" s="266" t="s">
        <v>465</v>
      </c>
      <c r="R22" s="266" t="s">
        <v>466</v>
      </c>
      <c r="S22" s="266" t="s">
        <v>467</v>
      </c>
      <c r="T22" s="267" t="s">
        <v>468</v>
      </c>
      <c r="U22" s="267" t="s">
        <v>469</v>
      </c>
      <c r="V22" s="267" t="s">
        <v>470</v>
      </c>
      <c r="W22" s="267" t="s">
        <v>471</v>
      </c>
      <c r="X22" s="267" t="s">
        <v>472</v>
      </c>
      <c r="Y22" s="267" t="s">
        <v>473</v>
      </c>
      <c r="Z22" s="268" t="s">
        <v>453</v>
      </c>
      <c r="AA22" s="268" t="s">
        <v>474</v>
      </c>
      <c r="AB22" s="269" t="s">
        <v>455</v>
      </c>
      <c r="AC22" s="268" t="s">
        <v>456</v>
      </c>
      <c r="AD22" s="269" t="s">
        <v>457</v>
      </c>
      <c r="AE22" s="269" t="s">
        <v>458</v>
      </c>
      <c r="AF22" s="270" t="s">
        <v>58</v>
      </c>
      <c r="AG22" s="271" t="s">
        <v>460</v>
      </c>
      <c r="AH22" s="272" t="s">
        <v>475</v>
      </c>
      <c r="AI22" s="272" t="s">
        <v>476</v>
      </c>
      <c r="AJ22" s="272" t="s">
        <v>477</v>
      </c>
      <c r="AK22" s="273" t="s">
        <v>478</v>
      </c>
      <c r="AL22" s="273" t="s">
        <v>502</v>
      </c>
    </row>
    <row r="23" spans="1:53" x14ac:dyDescent="0.3">
      <c r="A23" t="s">
        <v>503</v>
      </c>
      <c r="B23" t="s">
        <v>28</v>
      </c>
      <c r="C23" s="204">
        <v>12762.456278581561</v>
      </c>
      <c r="D23" s="204">
        <f>C23*'Parameters, general'!$B$38/100</f>
        <v>122.51958027438299</v>
      </c>
      <c r="E23" s="344">
        <f>IF((D23-G23-Manure!B147)*N_leak_deni_factor&lt;F23,F23,(D23-G23-Manure!$B$147)*N_leak_deni_factor)</f>
        <v>61.999999999999993</v>
      </c>
      <c r="F23" s="363">
        <v>61.999999999999993</v>
      </c>
      <c r="G23" s="12"/>
      <c r="H23" s="345">
        <f t="shared" ref="H23:H31" si="10">((C23*R23*O23)*S23*N23*(1-M23))+((C23*R23)+(C23*R23*O23))*P23*S23*Q23</f>
        <v>23.033272692983086</v>
      </c>
      <c r="I23" s="346">
        <v>8.3830985915492953</v>
      </c>
      <c r="J23" s="347">
        <v>78.5</v>
      </c>
      <c r="K23" s="204">
        <v>1161.3835213509221</v>
      </c>
      <c r="L23" s="14">
        <v>0.86232103612349842</v>
      </c>
      <c r="M23" s="348">
        <v>0</v>
      </c>
      <c r="N23" s="348">
        <v>6.0000000000000001E-3</v>
      </c>
      <c r="O23" s="348">
        <v>0.04</v>
      </c>
      <c r="P23" s="349">
        <v>0.22</v>
      </c>
      <c r="Q23" s="350">
        <v>7.0000000000000001E-3</v>
      </c>
      <c r="R23" s="349">
        <v>0.98</v>
      </c>
      <c r="S23" s="349">
        <v>1</v>
      </c>
      <c r="T23" s="365">
        <v>7.7900000000000001E-14</v>
      </c>
      <c r="U23" s="365">
        <v>1.1099999999999999E-13</v>
      </c>
      <c r="V23" s="365">
        <v>9.5299999999999998E-15</v>
      </c>
      <c r="W23" s="365">
        <v>7.0000000000000001E-15</v>
      </c>
      <c r="X23" s="365">
        <v>4.0300000000000004E-12</v>
      </c>
      <c r="Y23" s="204">
        <v>25.14</v>
      </c>
      <c r="Z23" t="s">
        <v>504</v>
      </c>
      <c r="AA23" t="s">
        <v>505</v>
      </c>
      <c r="AC23" t="s">
        <v>332</v>
      </c>
      <c r="AD23" t="s">
        <v>505</v>
      </c>
      <c r="AE23" t="s">
        <v>506</v>
      </c>
      <c r="AF23" t="s">
        <v>507</v>
      </c>
      <c r="AG23" t="s">
        <v>508</v>
      </c>
      <c r="AH23" t="s">
        <v>480</v>
      </c>
      <c r="AI23" t="s">
        <v>481</v>
      </c>
      <c r="AJ23" t="s">
        <v>482</v>
      </c>
      <c r="AK23" t="s">
        <v>509</v>
      </c>
      <c r="AL23" s="87"/>
    </row>
    <row r="24" spans="1:53" x14ac:dyDescent="0.3">
      <c r="A24" t="s">
        <v>503</v>
      </c>
      <c r="B24" t="s">
        <v>25</v>
      </c>
      <c r="C24" s="204">
        <v>15673.189721458533</v>
      </c>
      <c r="D24" s="204">
        <f>C24*'Parameters, general'!$B$38/100</f>
        <v>150.46262132600191</v>
      </c>
      <c r="E24" s="344">
        <f>IF((D24-G24-Manure!D147)*N_leak_deni_factor&lt;F24,F24,(D24-G24-Manure!$D$147)*N_leak_deni_factor)</f>
        <v>51</v>
      </c>
      <c r="F24" s="363">
        <v>51</v>
      </c>
      <c r="G24" s="12"/>
      <c r="H24" s="345">
        <f t="shared" si="10"/>
        <v>28.286471267217276</v>
      </c>
      <c r="I24" s="346">
        <v>3.492957746478873</v>
      </c>
      <c r="J24" s="347">
        <v>78.5</v>
      </c>
      <c r="K24" s="204">
        <v>329.13698415062919</v>
      </c>
      <c r="L24" s="14">
        <v>1.6424271196144855</v>
      </c>
      <c r="M24" s="348">
        <v>0</v>
      </c>
      <c r="N24" s="348">
        <v>6.0000000000000001E-3</v>
      </c>
      <c r="O24" s="348">
        <v>0.04</v>
      </c>
      <c r="P24" s="349">
        <v>0.22</v>
      </c>
      <c r="Q24" s="350">
        <v>7.0000000000000001E-3</v>
      </c>
      <c r="R24" s="349">
        <v>0.98</v>
      </c>
      <c r="S24" s="349">
        <v>1</v>
      </c>
      <c r="T24" s="365">
        <v>7.5499999999999994E-14</v>
      </c>
      <c r="U24" s="365">
        <v>7.9399999999999995E-14</v>
      </c>
      <c r="V24" s="365">
        <v>4.5200000000000001E-15</v>
      </c>
      <c r="W24" s="365">
        <v>2.0500000000000002E-15</v>
      </c>
      <c r="X24" s="365">
        <v>3.07E-12</v>
      </c>
      <c r="Y24" s="204">
        <v>28.38</v>
      </c>
      <c r="Z24" t="s">
        <v>504</v>
      </c>
      <c r="AA24" t="s">
        <v>505</v>
      </c>
      <c r="AC24" t="s">
        <v>332</v>
      </c>
      <c r="AD24" t="s">
        <v>505</v>
      </c>
      <c r="AE24" t="s">
        <v>506</v>
      </c>
      <c r="AF24" t="s">
        <v>507</v>
      </c>
      <c r="AG24" t="s">
        <v>508</v>
      </c>
      <c r="AH24" t="s">
        <v>480</v>
      </c>
      <c r="AI24" t="s">
        <v>484</v>
      </c>
      <c r="AJ24" t="s">
        <v>482</v>
      </c>
      <c r="AK24" t="s">
        <v>509</v>
      </c>
      <c r="AL24" s="87"/>
    </row>
    <row r="25" spans="1:53" x14ac:dyDescent="0.3">
      <c r="A25" t="s">
        <v>503</v>
      </c>
      <c r="B25" t="s">
        <v>21</v>
      </c>
      <c r="C25" s="204">
        <v>6782.6435584693863</v>
      </c>
      <c r="D25" s="204">
        <f>C25*'Parameters, general'!$B$38/100</f>
        <v>65.113378161306116</v>
      </c>
      <c r="E25" s="344">
        <f>IF((D25-G25-Manure!F147)*N_leak_deni_factor&lt;F25,F25,(D25-G25-Manure!$F$147)*N_leak_deni_factor)</f>
        <v>180</v>
      </c>
      <c r="F25" s="363">
        <v>180</v>
      </c>
      <c r="G25" s="12"/>
      <c r="H25" s="345">
        <f t="shared" si="10"/>
        <v>12.241098049731676</v>
      </c>
      <c r="I25" s="346">
        <v>9.6056338028169002</v>
      </c>
      <c r="J25" s="347">
        <v>78.5</v>
      </c>
      <c r="K25" s="204">
        <v>1397.2245730446937</v>
      </c>
      <c r="L25" s="14">
        <f>$L$23/$C$23*C25</f>
        <v>0.45828295849376577</v>
      </c>
      <c r="M25" s="348">
        <v>0</v>
      </c>
      <c r="N25" s="348">
        <v>6.0000000000000001E-3</v>
      </c>
      <c r="O25" s="348">
        <v>0.04</v>
      </c>
      <c r="P25" s="349">
        <v>0.22</v>
      </c>
      <c r="Q25" s="350">
        <v>7.0000000000000001E-3</v>
      </c>
      <c r="R25" s="349">
        <v>0.98</v>
      </c>
      <c r="S25" s="349">
        <v>1</v>
      </c>
      <c r="T25" s="365">
        <v>2.1499999999999999E-13</v>
      </c>
      <c r="U25" s="365">
        <v>1.31E-13</v>
      </c>
      <c r="V25" s="365">
        <v>9.5800000000000006E-14</v>
      </c>
      <c r="W25" s="365">
        <v>2.4600000000000001E-13</v>
      </c>
      <c r="X25" s="365">
        <v>1.5900000000000001E-11</v>
      </c>
      <c r="Y25" s="204">
        <v>18.649999999999999</v>
      </c>
      <c r="Z25" t="s">
        <v>504</v>
      </c>
      <c r="AA25" t="s">
        <v>505</v>
      </c>
      <c r="AC25" t="s">
        <v>332</v>
      </c>
      <c r="AD25" t="s">
        <v>505</v>
      </c>
      <c r="AE25" t="s">
        <v>506</v>
      </c>
      <c r="AF25" t="s">
        <v>507</v>
      </c>
      <c r="AG25" t="s">
        <v>510</v>
      </c>
      <c r="AH25" t="s">
        <v>480</v>
      </c>
      <c r="AI25" t="s">
        <v>485</v>
      </c>
      <c r="AJ25" t="s">
        <v>482</v>
      </c>
      <c r="AK25" t="s">
        <v>509</v>
      </c>
      <c r="AL25" s="87"/>
    </row>
    <row r="26" spans="1:53" x14ac:dyDescent="0.3">
      <c r="A26" t="s">
        <v>503</v>
      </c>
      <c r="B26" t="s">
        <v>24</v>
      </c>
      <c r="C26" s="204">
        <v>9752.6853564514786</v>
      </c>
      <c r="D26" s="204">
        <f>C26*'Parameters, general'!$B$38/100</f>
        <v>93.625779421934183</v>
      </c>
      <c r="E26" s="344">
        <f>IF((D26-G26-Manure!H147)*N_leak_deni_factor&lt;F26,F26,(D26-G26-Manure!$H$147)*N_leak_deni_factor)</f>
        <v>119.677419354839</v>
      </c>
      <c r="F26" s="363">
        <v>119.677419354839</v>
      </c>
      <c r="G26" s="12"/>
      <c r="H26" s="345">
        <f t="shared" si="10"/>
        <v>17.601334445392226</v>
      </c>
      <c r="I26" s="346">
        <v>1.3098591549295777</v>
      </c>
      <c r="J26" s="347">
        <v>78.5</v>
      </c>
      <c r="K26" s="204">
        <v>19.505370712902955</v>
      </c>
      <c r="L26" s="14">
        <f>$L$24/$C$24*C26</f>
        <v>1.0220047867201052</v>
      </c>
      <c r="M26" s="348">
        <v>0</v>
      </c>
      <c r="N26" s="348">
        <v>6.0000000000000001E-3</v>
      </c>
      <c r="O26" s="348">
        <v>0.04</v>
      </c>
      <c r="P26" s="349">
        <v>0.22</v>
      </c>
      <c r="Q26" s="350">
        <v>7.0000000000000001E-3</v>
      </c>
      <c r="R26" s="349">
        <v>0.98</v>
      </c>
      <c r="S26" s="349">
        <v>1</v>
      </c>
      <c r="T26" s="365">
        <v>3.0099999999999998E-13</v>
      </c>
      <c r="U26" s="365">
        <v>6.3499999999999994E-14</v>
      </c>
      <c r="V26" s="365">
        <v>6.5900000000000002E-15</v>
      </c>
      <c r="W26" s="365">
        <v>3.3E-15</v>
      </c>
      <c r="X26" s="365">
        <v>4.0499999999999999E-12</v>
      </c>
      <c r="Y26" s="204">
        <v>81.510000000000005</v>
      </c>
      <c r="Z26" t="s">
        <v>504</v>
      </c>
      <c r="AA26" t="s">
        <v>505</v>
      </c>
      <c r="AC26" t="s">
        <v>332</v>
      </c>
      <c r="AD26" t="s">
        <v>505</v>
      </c>
      <c r="AE26" t="s">
        <v>506</v>
      </c>
      <c r="AF26" t="s">
        <v>507</v>
      </c>
      <c r="AG26" t="s">
        <v>511</v>
      </c>
      <c r="AH26" t="s">
        <v>480</v>
      </c>
      <c r="AI26" t="s">
        <v>486</v>
      </c>
      <c r="AJ26" t="s">
        <v>482</v>
      </c>
      <c r="AK26" t="s">
        <v>509</v>
      </c>
      <c r="AL26" s="87"/>
    </row>
    <row r="27" spans="1:53" x14ac:dyDescent="0.3">
      <c r="A27" t="s">
        <v>503</v>
      </c>
      <c r="B27" t="s">
        <v>23</v>
      </c>
      <c r="C27" s="204">
        <v>19438.160830850731</v>
      </c>
      <c r="D27" s="204">
        <f>C27*'Parameters, general'!$B$38/100</f>
        <v>186.60634397616701</v>
      </c>
      <c r="E27" s="344">
        <f>IF((D27-G27-Manure!J147)*N_leak_deni_factor&lt;F27,F27,(D27-G27-Manure!$J$147)*N_leak_deni_factor)</f>
        <v>149.127659574468</v>
      </c>
      <c r="F27" s="363">
        <v>149.127659574468</v>
      </c>
      <c r="G27" s="12"/>
      <c r="H27" s="345">
        <f t="shared" si="10"/>
        <v>35.081370646372811</v>
      </c>
      <c r="I27" s="346">
        <v>2.619718309859155</v>
      </c>
      <c r="J27" s="347">
        <v>78.5</v>
      </c>
      <c r="K27" s="204">
        <v>1943.8160830850732</v>
      </c>
      <c r="L27" s="14">
        <f>$L$23/$C$23*C27</f>
        <v>1.3133784455054254</v>
      </c>
      <c r="M27" s="348">
        <v>0</v>
      </c>
      <c r="N27" s="348">
        <v>6.0000000000000001E-3</v>
      </c>
      <c r="O27" s="348">
        <v>0.04</v>
      </c>
      <c r="P27" s="349">
        <v>0.22</v>
      </c>
      <c r="Q27" s="350">
        <v>7.0000000000000001E-3</v>
      </c>
      <c r="R27" s="349">
        <v>0.98</v>
      </c>
      <c r="S27" s="349">
        <v>1</v>
      </c>
      <c r="T27" s="365">
        <v>1.4999999999999999E-13</v>
      </c>
      <c r="U27" s="365">
        <v>1.2900000000000001E-13</v>
      </c>
      <c r="V27" s="365">
        <v>1.1499999999999999E-13</v>
      </c>
      <c r="W27" s="365">
        <v>6.5600000000000006E-14</v>
      </c>
      <c r="X27" s="365">
        <v>1.8500000000000001E-11</v>
      </c>
      <c r="Y27" s="204">
        <v>26.36</v>
      </c>
      <c r="Z27" t="s">
        <v>504</v>
      </c>
      <c r="AA27" t="s">
        <v>505</v>
      </c>
      <c r="AC27" t="s">
        <v>332</v>
      </c>
      <c r="AD27" t="s">
        <v>505</v>
      </c>
      <c r="AE27" t="s">
        <v>506</v>
      </c>
      <c r="AF27" t="s">
        <v>507</v>
      </c>
      <c r="AG27" t="s">
        <v>510</v>
      </c>
      <c r="AH27" t="s">
        <v>480</v>
      </c>
      <c r="AI27" t="s">
        <v>487</v>
      </c>
      <c r="AJ27" t="s">
        <v>482</v>
      </c>
      <c r="AK27" t="s">
        <v>509</v>
      </c>
      <c r="AL27" s="87"/>
    </row>
    <row r="28" spans="1:53" x14ac:dyDescent="0.3">
      <c r="A28" t="s">
        <v>503</v>
      </c>
      <c r="B28" t="s">
        <v>20</v>
      </c>
      <c r="C28" s="204">
        <v>16259.901201281378</v>
      </c>
      <c r="D28" s="204">
        <f>C28*'Parameters, general'!$B$38/100</f>
        <v>156.09505153230123</v>
      </c>
      <c r="E28" s="344">
        <f>IF((D28-G28-Manure!L147)*N_leak_deni_factor&lt;F28,F28,(D28-G28-Manure!$L$147)*N_leak_deni_factor)</f>
        <v>5.0999999999999996</v>
      </c>
      <c r="F28" s="363">
        <v>5.0999999999999996</v>
      </c>
      <c r="G28" s="12"/>
      <c r="H28" s="345">
        <f t="shared" si="10"/>
        <v>29.345349371234189</v>
      </c>
      <c r="I28" s="346">
        <v>1.3753521126760562</v>
      </c>
      <c r="J28" s="347">
        <v>78.5</v>
      </c>
      <c r="K28" s="204">
        <v>1003.0841421733461</v>
      </c>
      <c r="L28" s="14">
        <v>1.1654758979902708</v>
      </c>
      <c r="M28" s="348">
        <v>0</v>
      </c>
      <c r="N28" s="348">
        <v>6.0000000000000001E-3</v>
      </c>
      <c r="O28" s="348">
        <v>0.04</v>
      </c>
      <c r="P28" s="349">
        <v>0.22</v>
      </c>
      <c r="Q28" s="350">
        <v>7.0000000000000001E-3</v>
      </c>
      <c r="R28" s="349">
        <v>0.98</v>
      </c>
      <c r="S28" s="349">
        <v>1</v>
      </c>
      <c r="T28" s="365">
        <v>7.2899999999999997E-14</v>
      </c>
      <c r="U28" s="365">
        <v>1.3199999999999999E-13</v>
      </c>
      <c r="V28" s="365">
        <v>5.0799999999999997E-15</v>
      </c>
      <c r="W28" s="365">
        <v>2.9000000000000002E-15</v>
      </c>
      <c r="X28" s="365">
        <v>2.6400000000000001E-12</v>
      </c>
      <c r="Y28" s="204">
        <v>34.06</v>
      </c>
      <c r="Z28" t="s">
        <v>504</v>
      </c>
      <c r="AA28" t="s">
        <v>504</v>
      </c>
      <c r="AC28" t="s">
        <v>332</v>
      </c>
      <c r="AD28" t="s">
        <v>504</v>
      </c>
      <c r="AE28" t="s">
        <v>506</v>
      </c>
      <c r="AF28" t="s">
        <v>507</v>
      </c>
      <c r="AG28" t="s">
        <v>508</v>
      </c>
      <c r="AH28" t="s">
        <v>480</v>
      </c>
      <c r="AI28" t="s">
        <v>488</v>
      </c>
      <c r="AJ28" t="s">
        <v>482</v>
      </c>
      <c r="AK28" t="s">
        <v>509</v>
      </c>
      <c r="AL28" s="87"/>
    </row>
    <row r="29" spans="1:53" x14ac:dyDescent="0.3">
      <c r="A29" t="s">
        <v>503</v>
      </c>
      <c r="B29" t="s">
        <v>22</v>
      </c>
      <c r="C29" s="204">
        <v>15782.373686957546</v>
      </c>
      <c r="D29" s="204">
        <f>C29*'Parameters, general'!$B$38/100</f>
        <v>151.51078739479243</v>
      </c>
      <c r="E29" s="344">
        <f>IF((D29-G29-Manure!N147)*N_leak_deni_factor&lt;F29,F29,(D29-G29-Manure!$N$147)*N_leak_deni_factor)</f>
        <v>125.99999999999999</v>
      </c>
      <c r="F29" s="363">
        <v>125.99999999999999</v>
      </c>
      <c r="G29" s="12"/>
      <c r="H29" s="345">
        <f t="shared" si="10"/>
        <v>28.483522994262998</v>
      </c>
      <c r="I29" s="346">
        <v>21.830985915492956</v>
      </c>
      <c r="J29" s="347">
        <v>78.5</v>
      </c>
      <c r="K29" s="204">
        <v>189.38848424349055</v>
      </c>
      <c r="L29" s="14">
        <f>$L$24/$C$24*C29</f>
        <v>1.6538687412084045</v>
      </c>
      <c r="M29" s="348">
        <v>0</v>
      </c>
      <c r="N29" s="348">
        <v>6.0000000000000001E-3</v>
      </c>
      <c r="O29" s="348">
        <v>0.04</v>
      </c>
      <c r="P29" s="349">
        <v>0.22</v>
      </c>
      <c r="Q29" s="350">
        <v>7.0000000000000001E-3</v>
      </c>
      <c r="R29" s="349">
        <v>0.98</v>
      </c>
      <c r="S29" s="349">
        <v>1</v>
      </c>
      <c r="T29" s="365">
        <v>8.8799999999999998E-14</v>
      </c>
      <c r="U29" s="365">
        <v>6.2000000000000001E-14</v>
      </c>
      <c r="V29" s="365">
        <v>2.1200000000000001E-15</v>
      </c>
      <c r="W29" s="365">
        <v>5.1299999999999995E-16</v>
      </c>
      <c r="X29" s="365">
        <v>1.2499999999999999E-12</v>
      </c>
      <c r="Y29" s="204">
        <v>85.97</v>
      </c>
      <c r="Z29" t="s">
        <v>504</v>
      </c>
      <c r="AA29" t="s">
        <v>505</v>
      </c>
      <c r="AC29" t="s">
        <v>332</v>
      </c>
      <c r="AD29" t="s">
        <v>505</v>
      </c>
      <c r="AE29" t="s">
        <v>506</v>
      </c>
      <c r="AF29" t="s">
        <v>507</v>
      </c>
      <c r="AG29" t="s">
        <v>511</v>
      </c>
      <c r="AH29" t="s">
        <v>480</v>
      </c>
      <c r="AI29" t="s">
        <v>490</v>
      </c>
      <c r="AJ29" t="s">
        <v>482</v>
      </c>
      <c r="AK29" t="s">
        <v>509</v>
      </c>
      <c r="AL29" s="87"/>
    </row>
    <row r="30" spans="1:53" x14ac:dyDescent="0.3">
      <c r="A30" t="s">
        <v>503</v>
      </c>
      <c r="B30" t="s">
        <v>26</v>
      </c>
      <c r="C30" s="204">
        <v>9756</v>
      </c>
      <c r="D30" s="204">
        <f>C30*'Parameters, general'!$B$38/100</f>
        <v>93.657600000000002</v>
      </c>
      <c r="E30" s="344">
        <f>IF((D30-G30-Manure!P147)*N_leak_deni_factor&lt;F30,F30,(D30-G30-Manure!$P$147)*N_leak_deni_factor)</f>
        <v>55</v>
      </c>
      <c r="F30" s="363">
        <v>55</v>
      </c>
      <c r="G30" s="12"/>
      <c r="H30" s="345">
        <f t="shared" si="10"/>
        <v>17.607316608000001</v>
      </c>
      <c r="I30" s="346">
        <v>13.098591549295774</v>
      </c>
      <c r="J30" s="347">
        <v>78.5</v>
      </c>
      <c r="K30" s="204">
        <v>3517.765044579603</v>
      </c>
      <c r="L30" s="14">
        <f>$L$23/$C$23*C30</f>
        <v>0.6591837687655423</v>
      </c>
      <c r="M30" s="348">
        <v>0</v>
      </c>
      <c r="N30" s="348">
        <v>6.0000000000000001E-3</v>
      </c>
      <c r="O30" s="348">
        <v>0.04</v>
      </c>
      <c r="P30" s="349">
        <v>0.22</v>
      </c>
      <c r="Q30" s="350">
        <v>7.0000000000000001E-3</v>
      </c>
      <c r="R30" s="349">
        <v>0.98</v>
      </c>
      <c r="S30" s="349">
        <v>1</v>
      </c>
      <c r="T30" s="365">
        <v>1.7500000000000001E-13</v>
      </c>
      <c r="U30" s="365">
        <v>1.6E-13</v>
      </c>
      <c r="V30" s="365">
        <v>3.0300000000000001E-14</v>
      </c>
      <c r="W30" s="365">
        <v>1.0799999999999999E-13</v>
      </c>
      <c r="X30" s="365">
        <v>2.3600000000000001E-11</v>
      </c>
      <c r="Y30" s="204">
        <v>8.11</v>
      </c>
      <c r="Z30" t="s">
        <v>504</v>
      </c>
      <c r="AA30" t="s">
        <v>505</v>
      </c>
      <c r="AC30" t="s">
        <v>332</v>
      </c>
      <c r="AD30" t="s">
        <v>505</v>
      </c>
      <c r="AE30" t="s">
        <v>506</v>
      </c>
      <c r="AF30" t="s">
        <v>507</v>
      </c>
      <c r="AG30" t="s">
        <v>510</v>
      </c>
      <c r="AH30" t="s">
        <v>480</v>
      </c>
      <c r="AI30" t="s">
        <v>492</v>
      </c>
      <c r="AJ30" t="s">
        <v>482</v>
      </c>
      <c r="AK30" t="s">
        <v>509</v>
      </c>
      <c r="AL30" s="87"/>
    </row>
    <row r="31" spans="1:53" x14ac:dyDescent="0.3">
      <c r="A31" t="s">
        <v>503</v>
      </c>
      <c r="B31" s="16" t="s">
        <v>27</v>
      </c>
      <c r="C31" s="204">
        <v>10938.305818503784</v>
      </c>
      <c r="D31" s="204">
        <f>C31*'Parameters, general'!$B$38/100</f>
        <v>105.00773585763632</v>
      </c>
      <c r="E31" s="344">
        <f>IF((D31-G31-Manure!R147)*N_leak_deni_factor&lt;F31,F31,(D31-G31-Manure!R147)*N_leak_deni_factor)</f>
        <v>70</v>
      </c>
      <c r="F31" s="363">
        <v>70</v>
      </c>
      <c r="G31" s="12"/>
      <c r="H31" s="345">
        <f t="shared" si="10"/>
        <v>19.741104315449441</v>
      </c>
      <c r="I31" s="346">
        <v>6</v>
      </c>
      <c r="J31" s="347">
        <v>78.5</v>
      </c>
      <c r="K31" s="204">
        <v>546.91529092518931</v>
      </c>
      <c r="L31" s="14">
        <v>0.1</v>
      </c>
      <c r="M31" s="348">
        <v>0</v>
      </c>
      <c r="N31" s="348">
        <v>6.0000000000000001E-3</v>
      </c>
      <c r="O31" s="348">
        <v>0.04</v>
      </c>
      <c r="P31" s="349">
        <v>0.22</v>
      </c>
      <c r="Q31" s="350">
        <v>7.0000000000000001E-3</v>
      </c>
      <c r="R31" s="349">
        <v>0.98</v>
      </c>
      <c r="S31" s="349">
        <v>1</v>
      </c>
      <c r="T31" s="365">
        <v>4.9699999999999999E-14</v>
      </c>
      <c r="U31" s="365">
        <v>8.2700000000000004E-14</v>
      </c>
      <c r="V31" s="365">
        <v>1.36E-15</v>
      </c>
      <c r="W31" s="365">
        <v>1.38E-16</v>
      </c>
      <c r="X31" s="365">
        <v>5.8700000000000002E-13</v>
      </c>
      <c r="Y31" s="204">
        <v>16.63</v>
      </c>
      <c r="Z31" t="s">
        <v>504</v>
      </c>
      <c r="AA31" t="s">
        <v>505</v>
      </c>
      <c r="AC31" t="s">
        <v>332</v>
      </c>
      <c r="AD31" t="s">
        <v>505</v>
      </c>
      <c r="AE31" t="s">
        <v>506</v>
      </c>
      <c r="AF31" t="s">
        <v>507</v>
      </c>
      <c r="AG31" t="s">
        <v>512</v>
      </c>
      <c r="AH31" t="s">
        <v>480</v>
      </c>
      <c r="AI31" t="s">
        <v>494</v>
      </c>
      <c r="AJ31" t="s">
        <v>495</v>
      </c>
      <c r="AK31" t="s">
        <v>509</v>
      </c>
      <c r="AL31" s="87"/>
    </row>
    <row r="34" spans="1:39" ht="18" x14ac:dyDescent="0.35">
      <c r="A34" s="239" t="s">
        <v>431</v>
      </c>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row>
    <row r="35" spans="1:39" ht="18" x14ac:dyDescent="0.35">
      <c r="A35" s="1"/>
    </row>
    <row r="36" spans="1:39" x14ac:dyDescent="0.3">
      <c r="A36" s="323" t="s">
        <v>355</v>
      </c>
      <c r="B36" s="324"/>
      <c r="C36" s="325" t="s">
        <v>447</v>
      </c>
      <c r="D36" s="325" t="s">
        <v>499</v>
      </c>
      <c r="E36" s="326" t="s">
        <v>448</v>
      </c>
      <c r="F36" s="326"/>
      <c r="G36" s="327"/>
      <c r="H36" s="328"/>
      <c r="I36" s="328"/>
      <c r="J36" s="329" t="s">
        <v>449</v>
      </c>
      <c r="K36" s="329" t="s">
        <v>37</v>
      </c>
      <c r="L36" s="330" t="s">
        <v>38</v>
      </c>
      <c r="M36" s="331" t="s">
        <v>450</v>
      </c>
      <c r="N36" s="328"/>
      <c r="O36" s="328"/>
      <c r="P36" s="327"/>
      <c r="Q36" s="332"/>
      <c r="R36" s="332"/>
      <c r="S36" s="332"/>
      <c r="T36" s="330" t="s">
        <v>451</v>
      </c>
      <c r="U36" s="332"/>
      <c r="V36" s="332"/>
      <c r="W36" s="332"/>
      <c r="X36" s="332"/>
      <c r="Y36" s="330" t="s">
        <v>41</v>
      </c>
      <c r="Z36" s="333" t="s">
        <v>447</v>
      </c>
      <c r="AA36" s="334" t="s">
        <v>448</v>
      </c>
      <c r="AB36" s="335"/>
      <c r="AC36" s="336"/>
      <c r="AD36" s="336"/>
      <c r="AE36" s="337" t="s">
        <v>449</v>
      </c>
      <c r="AF36" s="337" t="s">
        <v>37</v>
      </c>
      <c r="AG36" s="338" t="s">
        <v>38</v>
      </c>
      <c r="AH36" s="339" t="s">
        <v>450</v>
      </c>
      <c r="AI36" s="336"/>
      <c r="AJ36" s="336"/>
      <c r="AK36" s="338" t="s">
        <v>39</v>
      </c>
      <c r="AL36" s="340"/>
    </row>
    <row r="37" spans="1:39" ht="57.6" x14ac:dyDescent="0.3">
      <c r="A37" s="341" t="s">
        <v>452</v>
      </c>
      <c r="B37" s="264" t="s">
        <v>47</v>
      </c>
      <c r="C37" s="263" t="s">
        <v>453</v>
      </c>
      <c r="D37" s="263"/>
      <c r="E37" s="263" t="s">
        <v>454</v>
      </c>
      <c r="F37" s="263" t="s">
        <v>501</v>
      </c>
      <c r="G37" s="265" t="s">
        <v>455</v>
      </c>
      <c r="H37" s="263" t="s">
        <v>456</v>
      </c>
      <c r="I37" s="265" t="s">
        <v>457</v>
      </c>
      <c r="J37" s="265" t="s">
        <v>458</v>
      </c>
      <c r="K37" s="342" t="s">
        <v>459</v>
      </c>
      <c r="L37" s="343" t="s">
        <v>460</v>
      </c>
      <c r="M37" s="266" t="s">
        <v>461</v>
      </c>
      <c r="N37" s="266" t="s">
        <v>462</v>
      </c>
      <c r="O37" s="266" t="s">
        <v>463</v>
      </c>
      <c r="P37" s="266" t="s">
        <v>464</v>
      </c>
      <c r="Q37" s="266" t="s">
        <v>465</v>
      </c>
      <c r="R37" s="266" t="s">
        <v>466</v>
      </c>
      <c r="S37" s="266" t="s">
        <v>467</v>
      </c>
      <c r="T37" s="267" t="s">
        <v>468</v>
      </c>
      <c r="U37" s="267" t="s">
        <v>469</v>
      </c>
      <c r="V37" s="267" t="s">
        <v>470</v>
      </c>
      <c r="W37" s="267" t="s">
        <v>471</v>
      </c>
      <c r="X37" s="267" t="s">
        <v>472</v>
      </c>
      <c r="Y37" s="267" t="s">
        <v>473</v>
      </c>
      <c r="Z37" s="268" t="s">
        <v>453</v>
      </c>
      <c r="AA37" s="268" t="s">
        <v>474</v>
      </c>
      <c r="AB37" s="269" t="s">
        <v>455</v>
      </c>
      <c r="AC37" s="268" t="s">
        <v>456</v>
      </c>
      <c r="AD37" s="269" t="s">
        <v>457</v>
      </c>
      <c r="AE37" s="269" t="s">
        <v>458</v>
      </c>
      <c r="AF37" s="270" t="s">
        <v>58</v>
      </c>
      <c r="AG37" s="271" t="s">
        <v>460</v>
      </c>
      <c r="AH37" s="272" t="s">
        <v>475</v>
      </c>
      <c r="AI37" s="272" t="s">
        <v>476</v>
      </c>
      <c r="AJ37" s="272" t="s">
        <v>477</v>
      </c>
      <c r="AK37" s="273" t="s">
        <v>478</v>
      </c>
      <c r="AL37" s="273" t="s">
        <v>502</v>
      </c>
    </row>
    <row r="38" spans="1:39" x14ac:dyDescent="0.3">
      <c r="A38" t="s">
        <v>431</v>
      </c>
      <c r="B38" t="s">
        <v>28</v>
      </c>
      <c r="C38" s="204">
        <v>8768.7697802764524</v>
      </c>
      <c r="D38" s="204">
        <f>C38*'Parameters, general'!$B$39/100</f>
        <v>210.45047472663487</v>
      </c>
      <c r="E38" s="364">
        <f>IF((D38-G38-Manure!B147)*N_leak_deni_factor&lt;F38,F38,(D38-G38-Manure!$B$147)*N_leak_deni_factor)</f>
        <v>42</v>
      </c>
      <c r="F38" s="363">
        <v>42</v>
      </c>
      <c r="G38" s="344">
        <v>74.286094655241996</v>
      </c>
      <c r="H38" s="345">
        <f t="shared" ref="H38:H46" si="11">((C38*R38*O38)*S38*N38*(1-M38))+((C38*R38)+(C38*R38*O38))*P38*S38*Q38</f>
        <v>26.800867956436949</v>
      </c>
      <c r="I38" s="346">
        <v>2.5760563380281689</v>
      </c>
      <c r="J38" s="347">
        <v>43</v>
      </c>
      <c r="K38" s="204"/>
      <c r="L38" s="14">
        <f t="shared" ref="L38:L45" si="12">$L$46/$C$46*C38</f>
        <v>0.26197244666304692</v>
      </c>
      <c r="M38" s="348">
        <v>0</v>
      </c>
      <c r="N38" s="4">
        <v>1.4999999999999999E-2</v>
      </c>
      <c r="O38" s="4">
        <v>0.3</v>
      </c>
      <c r="P38" s="4">
        <v>0.8</v>
      </c>
      <c r="Q38" s="4">
        <v>1.2E-2</v>
      </c>
      <c r="R38" s="4">
        <v>0.9</v>
      </c>
      <c r="S38" s="4">
        <v>0.2</v>
      </c>
      <c r="T38" s="365">
        <v>7.7900000000000001E-14</v>
      </c>
      <c r="U38" s="365">
        <v>1.1099999999999999E-13</v>
      </c>
      <c r="V38" s="365">
        <v>9.5299999999999998E-15</v>
      </c>
      <c r="W38" s="365">
        <v>7.0000000000000001E-15</v>
      </c>
      <c r="X38" s="12">
        <v>2.6799999999999999E-12</v>
      </c>
      <c r="Y38" s="204">
        <v>27.12</v>
      </c>
      <c r="Z38" t="s">
        <v>504</v>
      </c>
      <c r="AA38" t="s">
        <v>505</v>
      </c>
      <c r="AB38" t="s">
        <v>504</v>
      </c>
      <c r="AC38" t="s">
        <v>332</v>
      </c>
      <c r="AD38" t="s">
        <v>505</v>
      </c>
      <c r="AE38" t="s">
        <v>513</v>
      </c>
      <c r="AG38" t="s">
        <v>267</v>
      </c>
      <c r="AH38" t="s">
        <v>480</v>
      </c>
      <c r="AI38" t="s">
        <v>480</v>
      </c>
      <c r="AJ38" t="s">
        <v>495</v>
      </c>
      <c r="AK38" t="s">
        <v>514</v>
      </c>
      <c r="AL38" s="87"/>
    </row>
    <row r="39" spans="1:39" x14ac:dyDescent="0.3">
      <c r="A39" t="s">
        <v>431</v>
      </c>
      <c r="B39" t="s">
        <v>25</v>
      </c>
      <c r="C39" s="204">
        <v>8729.8964945472399</v>
      </c>
      <c r="D39" s="204">
        <f>C39*'Parameters, general'!$B$39/100</f>
        <v>209.51751586913375</v>
      </c>
      <c r="E39" s="364">
        <f>IF((D39-G39-Manure!$D$147)*N_leak_deni_factor&lt;F39,F39,(D39-G39-Manure!$D$147)*N_leak_deni_factor)</f>
        <v>49</v>
      </c>
      <c r="F39" s="363">
        <v>49</v>
      </c>
      <c r="G39" s="344">
        <v>73.95677313630604</v>
      </c>
      <c r="H39" s="345">
        <f t="shared" si="11"/>
        <v>26.682055645934184</v>
      </c>
      <c r="I39" s="346">
        <v>1.3098591549295775</v>
      </c>
      <c r="J39" s="347">
        <v>43</v>
      </c>
      <c r="K39" s="204"/>
      <c r="L39" s="14">
        <f t="shared" si="12"/>
        <v>0.2608110830935278</v>
      </c>
      <c r="M39" s="348">
        <v>0</v>
      </c>
      <c r="N39" s="4">
        <v>1.4999999999999999E-2</v>
      </c>
      <c r="O39" s="4">
        <v>0.3</v>
      </c>
      <c r="P39" s="4">
        <v>0.8</v>
      </c>
      <c r="Q39" s="4">
        <v>1.2E-2</v>
      </c>
      <c r="R39" s="4">
        <v>0.9</v>
      </c>
      <c r="S39" s="4">
        <v>0.2</v>
      </c>
      <c r="T39" s="365">
        <v>7.5499999999999994E-14</v>
      </c>
      <c r="U39" s="365">
        <v>7.9399999999999995E-14</v>
      </c>
      <c r="V39" s="365">
        <v>4.5200000000000001E-15</v>
      </c>
      <c r="W39" s="365">
        <v>2.0500000000000002E-15</v>
      </c>
      <c r="X39" s="92">
        <v>2.0400000000000002E-12</v>
      </c>
      <c r="Y39" s="204">
        <v>30.62</v>
      </c>
      <c r="Z39" t="s">
        <v>504</v>
      </c>
      <c r="AA39" t="s">
        <v>505</v>
      </c>
      <c r="AB39" t="s">
        <v>504</v>
      </c>
      <c r="AC39" t="s">
        <v>332</v>
      </c>
      <c r="AD39" t="s">
        <v>505</v>
      </c>
      <c r="AE39" t="s">
        <v>513</v>
      </c>
      <c r="AG39" t="s">
        <v>267</v>
      </c>
      <c r="AH39" t="s">
        <v>480</v>
      </c>
      <c r="AI39" t="s">
        <v>480</v>
      </c>
      <c r="AJ39" t="s">
        <v>495</v>
      </c>
      <c r="AK39" t="s">
        <v>514</v>
      </c>
      <c r="AL39" s="87"/>
    </row>
    <row r="40" spans="1:39" x14ac:dyDescent="0.3">
      <c r="A40" t="s">
        <v>431</v>
      </c>
      <c r="B40" t="s">
        <v>21</v>
      </c>
      <c r="C40" s="204">
        <v>3544.8237821611806</v>
      </c>
      <c r="D40" s="204">
        <f>C40*'Parameters, general'!$B$39/100</f>
        <v>85.075770771868335</v>
      </c>
      <c r="E40" s="364">
        <f>IF((D40-G40-Manure!$F$147)*N_leak_deni_factor,F40,(D40-G40-Manure!$F$147)*N_leak_deni_factor)</f>
        <v>20.479232194764563</v>
      </c>
      <c r="F40" s="363">
        <v>20.479232194764563</v>
      </c>
      <c r="G40" s="344">
        <v>30.03056547454214</v>
      </c>
      <c r="H40" s="345">
        <f t="shared" si="11"/>
        <v>10.834399407797434</v>
      </c>
      <c r="I40" s="346">
        <v>0.84536504663489265</v>
      </c>
      <c r="J40" s="347">
        <v>43</v>
      </c>
      <c r="K40" s="204"/>
      <c r="L40" s="14">
        <f t="shared" si="12"/>
        <v>0.10590381347346114</v>
      </c>
      <c r="M40" s="348">
        <v>0</v>
      </c>
      <c r="N40" s="4">
        <v>1.4999999999999999E-2</v>
      </c>
      <c r="O40" s="4">
        <v>0.3</v>
      </c>
      <c r="P40" s="4">
        <v>0.8</v>
      </c>
      <c r="Q40" s="4">
        <v>1.2E-2</v>
      </c>
      <c r="R40" s="4">
        <v>0.9</v>
      </c>
      <c r="S40" s="4">
        <v>0.2</v>
      </c>
      <c r="T40" s="365">
        <v>2.1499999999999999E-13</v>
      </c>
      <c r="U40" s="365">
        <v>1.31E-13</v>
      </c>
      <c r="V40" s="365">
        <v>9.5800000000000006E-14</v>
      </c>
      <c r="W40" s="365">
        <v>2.4600000000000001E-13</v>
      </c>
      <c r="X40" s="92">
        <v>1.0599999999999999E-11</v>
      </c>
      <c r="Y40" s="204">
        <v>20.12</v>
      </c>
      <c r="Z40" t="s">
        <v>504</v>
      </c>
      <c r="AA40" t="s">
        <v>505</v>
      </c>
      <c r="AB40" t="s">
        <v>504</v>
      </c>
      <c r="AC40" t="s">
        <v>332</v>
      </c>
      <c r="AD40" t="s">
        <v>505</v>
      </c>
      <c r="AE40" t="s">
        <v>513</v>
      </c>
      <c r="AG40" t="s">
        <v>267</v>
      </c>
      <c r="AH40" t="s">
        <v>480</v>
      </c>
      <c r="AI40" t="s">
        <v>480</v>
      </c>
      <c r="AJ40" t="s">
        <v>495</v>
      </c>
      <c r="AK40" t="s">
        <v>514</v>
      </c>
      <c r="AL40" s="87"/>
    </row>
    <row r="41" spans="1:39" x14ac:dyDescent="0.3">
      <c r="A41" t="s">
        <v>431</v>
      </c>
      <c r="B41" t="s">
        <v>24</v>
      </c>
      <c r="C41" s="204">
        <v>2359.6878979502089</v>
      </c>
      <c r="D41" s="204">
        <f>C41*'Parameters, general'!$B$39/100</f>
        <v>56.632509550805018</v>
      </c>
      <c r="E41" s="364">
        <f>IF((D41-G41-Manure!$H$147)*N_leak_deni_factor&lt;F41,F41,(D41-G41-Manure!$H$147)*N_leak_deni_factor)</f>
        <v>13.632439675135579</v>
      </c>
      <c r="F41" s="363">
        <v>13.632439675135579</v>
      </c>
      <c r="G41" s="344">
        <v>19.990489308801521</v>
      </c>
      <c r="H41" s="345">
        <f t="shared" si="11"/>
        <v>7.2121500912950198</v>
      </c>
      <c r="I41" s="346">
        <v>0.56273535512061401</v>
      </c>
      <c r="J41" s="347">
        <v>43</v>
      </c>
      <c r="K41" s="204"/>
      <c r="L41" s="14">
        <f t="shared" si="12"/>
        <v>7.0497142413027222E-2</v>
      </c>
      <c r="M41" s="348">
        <v>0</v>
      </c>
      <c r="N41" s="4">
        <v>1.4999999999999999E-2</v>
      </c>
      <c r="O41" s="4">
        <v>0.3</v>
      </c>
      <c r="P41" s="4">
        <v>0.8</v>
      </c>
      <c r="Q41" s="4">
        <v>1.2E-2</v>
      </c>
      <c r="R41" s="4">
        <v>0.9</v>
      </c>
      <c r="S41" s="4">
        <v>0.2</v>
      </c>
      <c r="T41" s="365">
        <v>3.0099999999999998E-13</v>
      </c>
      <c r="U41" s="365">
        <v>6.3499999999999994E-14</v>
      </c>
      <c r="V41" s="365">
        <v>6.5900000000000002E-15</v>
      </c>
      <c r="W41" s="365">
        <v>3.3E-15</v>
      </c>
      <c r="X41" s="12">
        <v>2.6999999999999998E-12</v>
      </c>
      <c r="Y41" s="204">
        <v>87.91</v>
      </c>
      <c r="Z41" t="s">
        <v>504</v>
      </c>
      <c r="AA41" t="s">
        <v>505</v>
      </c>
      <c r="AB41" t="s">
        <v>504</v>
      </c>
      <c r="AC41" t="s">
        <v>332</v>
      </c>
      <c r="AD41" t="s">
        <v>505</v>
      </c>
      <c r="AE41" t="s">
        <v>513</v>
      </c>
      <c r="AG41" t="s">
        <v>267</v>
      </c>
      <c r="AH41" t="s">
        <v>480</v>
      </c>
      <c r="AI41" t="s">
        <v>480</v>
      </c>
      <c r="AJ41" t="s">
        <v>495</v>
      </c>
      <c r="AK41" t="s">
        <v>514</v>
      </c>
      <c r="AL41" s="87"/>
    </row>
    <row r="42" spans="1:39" x14ac:dyDescent="0.3">
      <c r="A42" t="s">
        <v>431</v>
      </c>
      <c r="B42" t="s">
        <v>23</v>
      </c>
      <c r="C42" s="204">
        <v>9476.8495630255966</v>
      </c>
      <c r="D42" s="204">
        <f>C42*'Parameters, general'!$B$39/100</f>
        <v>227.44438951261432</v>
      </c>
      <c r="E42" s="364">
        <f>IF((D42-G42-Manure!$J$147)*N_leak_deni_factor&lt;F42,F42,(D42-G42-Manure!$J$147)*N_leak_deni_factor)</f>
        <v>54.749859119295898</v>
      </c>
      <c r="F42" s="363">
        <v>54.749859119295898</v>
      </c>
      <c r="G42" s="344">
        <v>80.284710548098516</v>
      </c>
      <c r="H42" s="345">
        <f t="shared" si="11"/>
        <v>28.965043004431436</v>
      </c>
      <c r="I42" s="346">
        <v>2.2600269759854377</v>
      </c>
      <c r="J42" s="347">
        <v>43</v>
      </c>
      <c r="K42" s="204"/>
      <c r="L42" s="14">
        <f t="shared" si="12"/>
        <v>0.28312677021897725</v>
      </c>
      <c r="M42" s="348">
        <v>0</v>
      </c>
      <c r="N42" s="4">
        <v>1.4999999999999999E-2</v>
      </c>
      <c r="O42" s="4">
        <v>0.3</v>
      </c>
      <c r="P42" s="4">
        <v>0.8</v>
      </c>
      <c r="Q42" s="4">
        <v>1.2E-2</v>
      </c>
      <c r="R42" s="4">
        <v>0.9</v>
      </c>
      <c r="S42" s="4">
        <v>0.2</v>
      </c>
      <c r="T42" s="365">
        <v>1.4999999999999999E-13</v>
      </c>
      <c r="U42" s="365">
        <v>1.2900000000000001E-13</v>
      </c>
      <c r="V42" s="365">
        <v>1.1499999999999999E-13</v>
      </c>
      <c r="W42" s="365">
        <v>6.5600000000000006E-14</v>
      </c>
      <c r="X42" s="92">
        <v>1.23E-11</v>
      </c>
      <c r="Y42" s="204">
        <v>28.43</v>
      </c>
      <c r="Z42" t="s">
        <v>504</v>
      </c>
      <c r="AA42" t="s">
        <v>505</v>
      </c>
      <c r="AB42" t="s">
        <v>504</v>
      </c>
      <c r="AC42" t="s">
        <v>332</v>
      </c>
      <c r="AD42" t="s">
        <v>505</v>
      </c>
      <c r="AE42" t="s">
        <v>513</v>
      </c>
      <c r="AG42" t="s">
        <v>267</v>
      </c>
      <c r="AH42" t="s">
        <v>480</v>
      </c>
      <c r="AI42" t="s">
        <v>480</v>
      </c>
      <c r="AJ42" t="s">
        <v>495</v>
      </c>
      <c r="AK42" t="s">
        <v>514</v>
      </c>
      <c r="AL42" s="87"/>
    </row>
    <row r="43" spans="1:39" x14ac:dyDescent="0.3">
      <c r="A43" t="s">
        <v>431</v>
      </c>
      <c r="B43" t="s">
        <v>20</v>
      </c>
      <c r="C43" s="204">
        <v>5577.7303858082596</v>
      </c>
      <c r="D43" s="204">
        <f>C43*'Parameters, general'!$B$39/100</f>
        <v>133.86552925939822</v>
      </c>
      <c r="E43" s="364">
        <f>IF((D43-G43-Manure!$L$147)*N_leak_deni_factor&lt;F43,F43,(D43-G43-Manure!$L$147)*N_leak_deni_factor)</f>
        <v>144</v>
      </c>
      <c r="F43" s="363">
        <v>144</v>
      </c>
      <c r="G43" s="344">
        <v>47.252672585105614</v>
      </c>
      <c r="H43" s="345">
        <f t="shared" si="11"/>
        <v>17.047775151184368</v>
      </c>
      <c r="I43" s="346">
        <v>0</v>
      </c>
      <c r="J43" s="347">
        <v>43</v>
      </c>
      <c r="K43" s="204"/>
      <c r="L43" s="14">
        <f t="shared" si="12"/>
        <v>0.16663816163627723</v>
      </c>
      <c r="M43" s="348">
        <v>0</v>
      </c>
      <c r="N43" s="4">
        <v>1.4999999999999999E-2</v>
      </c>
      <c r="O43" s="4">
        <v>0.3</v>
      </c>
      <c r="P43" s="4">
        <v>0.8</v>
      </c>
      <c r="Q43" s="4">
        <v>1.2E-2</v>
      </c>
      <c r="R43" s="4">
        <v>0.9</v>
      </c>
      <c r="S43" s="4">
        <v>0.2</v>
      </c>
      <c r="T43" s="365">
        <v>7.2899999999999997E-14</v>
      </c>
      <c r="U43" s="365">
        <v>1.3199999999999999E-13</v>
      </c>
      <c r="V43" s="365">
        <v>5.0799999999999997E-15</v>
      </c>
      <c r="W43" s="365">
        <v>2.9000000000000002E-15</v>
      </c>
      <c r="X43" s="92">
        <v>1.75E-12</v>
      </c>
      <c r="Y43" s="204">
        <v>36.74</v>
      </c>
      <c r="Z43" t="s">
        <v>504</v>
      </c>
      <c r="AA43" t="s">
        <v>504</v>
      </c>
      <c r="AC43" t="s">
        <v>332</v>
      </c>
      <c r="AD43" t="s">
        <v>504</v>
      </c>
      <c r="AE43" t="s">
        <v>513</v>
      </c>
      <c r="AG43" t="s">
        <v>267</v>
      </c>
      <c r="AH43" t="s">
        <v>480</v>
      </c>
      <c r="AI43" t="s">
        <v>480</v>
      </c>
      <c r="AJ43" t="s">
        <v>495</v>
      </c>
      <c r="AK43" t="s">
        <v>514</v>
      </c>
      <c r="AL43" s="87"/>
    </row>
    <row r="44" spans="1:39" x14ac:dyDescent="0.3">
      <c r="A44" t="s">
        <v>431</v>
      </c>
      <c r="B44" t="s">
        <v>22</v>
      </c>
      <c r="C44" s="204">
        <v>7548.701920971178</v>
      </c>
      <c r="D44" s="204">
        <f>C44*'Parameters, general'!$B$39/100</f>
        <v>181.16884610330828</v>
      </c>
      <c r="E44" s="364">
        <f>IF((D44-G44-Manure!$N$147)*N_leak_deni_factor&lt;F44,F44,(D44-G44-Manure!$N$147)*N_leak_deni_factor)</f>
        <v>43.610523091893683</v>
      </c>
      <c r="F44" s="363">
        <v>43.610523091893683</v>
      </c>
      <c r="G44" s="344">
        <v>63.950086440494168</v>
      </c>
      <c r="H44" s="345">
        <f t="shared" si="11"/>
        <v>23.071852551256306</v>
      </c>
      <c r="I44" s="346">
        <v>1.8002047897467377</v>
      </c>
      <c r="J44" s="347">
        <v>43</v>
      </c>
      <c r="K44" s="204"/>
      <c r="L44" s="14">
        <f t="shared" si="12"/>
        <v>0.22552216113769563</v>
      </c>
      <c r="M44" s="348">
        <v>0</v>
      </c>
      <c r="N44" s="4">
        <v>1.4999999999999999E-2</v>
      </c>
      <c r="O44" s="4">
        <v>0.3</v>
      </c>
      <c r="P44" s="4">
        <v>0.8</v>
      </c>
      <c r="Q44" s="4">
        <v>1.2E-2</v>
      </c>
      <c r="R44" s="4">
        <v>0.9</v>
      </c>
      <c r="S44" s="4">
        <v>0.2</v>
      </c>
      <c r="T44" s="365">
        <v>8.8799999999999998E-14</v>
      </c>
      <c r="U44" s="365">
        <v>6.2000000000000001E-14</v>
      </c>
      <c r="V44" s="365">
        <v>2.1200000000000001E-15</v>
      </c>
      <c r="W44" s="365">
        <v>5.1299999999999995E-16</v>
      </c>
      <c r="X44" s="12">
        <v>8.3699999999999997E-13</v>
      </c>
      <c r="Y44" s="204">
        <v>92.72</v>
      </c>
      <c r="Z44" t="s">
        <v>504</v>
      </c>
      <c r="AA44" t="s">
        <v>505</v>
      </c>
      <c r="AB44" t="s">
        <v>504</v>
      </c>
      <c r="AC44" t="s">
        <v>332</v>
      </c>
      <c r="AD44" t="s">
        <v>505</v>
      </c>
      <c r="AE44" t="s">
        <v>513</v>
      </c>
      <c r="AG44" t="s">
        <v>267</v>
      </c>
      <c r="AH44" t="s">
        <v>480</v>
      </c>
      <c r="AI44" t="s">
        <v>480</v>
      </c>
      <c r="AJ44" t="s">
        <v>495</v>
      </c>
      <c r="AK44" t="s">
        <v>514</v>
      </c>
      <c r="AL44" s="87"/>
    </row>
    <row r="45" spans="1:39" x14ac:dyDescent="0.3">
      <c r="A45" t="s">
        <v>431</v>
      </c>
      <c r="B45" t="s">
        <v>26</v>
      </c>
      <c r="C45" s="204">
        <v>5242.5712158127944</v>
      </c>
      <c r="D45" s="204">
        <f>C45*'Parameters, general'!$B$39/100</f>
        <v>125.82170917950707</v>
      </c>
      <c r="E45" s="364">
        <f>IF((D45-G45-Manure!$P$147)*N_leak_deni_factor&lt;F45,F45,(D45-G45-Manure!$P$147)*N_leak_deni_factor)</f>
        <v>30.28749518283886</v>
      </c>
      <c r="F45" s="363">
        <v>30.28749518283886</v>
      </c>
      <c r="G45" s="344">
        <v>44.413315816627396</v>
      </c>
      <c r="H45" s="345">
        <f t="shared" si="11"/>
        <v>16.023394664010226</v>
      </c>
      <c r="I45" s="346">
        <v>1.2502416855374205</v>
      </c>
      <c r="J45" s="347">
        <v>43</v>
      </c>
      <c r="K45" s="204"/>
      <c r="L45" s="14">
        <f t="shared" si="12"/>
        <v>0.15662507314320701</v>
      </c>
      <c r="M45" s="348">
        <v>0</v>
      </c>
      <c r="N45" s="4">
        <v>1.4999999999999999E-2</v>
      </c>
      <c r="O45" s="4">
        <v>0.3</v>
      </c>
      <c r="P45" s="4">
        <v>0.8</v>
      </c>
      <c r="Q45" s="4">
        <v>1.2E-2</v>
      </c>
      <c r="R45" s="4">
        <v>0.9</v>
      </c>
      <c r="S45" s="4">
        <v>0.2</v>
      </c>
      <c r="T45" s="365">
        <v>1.7500000000000001E-13</v>
      </c>
      <c r="U45" s="365">
        <v>1.6E-13</v>
      </c>
      <c r="V45" s="365">
        <v>3.0300000000000001E-14</v>
      </c>
      <c r="W45" s="365">
        <v>1.0799999999999999E-13</v>
      </c>
      <c r="X45" s="12">
        <v>1.5700000000000001E-11</v>
      </c>
      <c r="Y45" s="204">
        <v>8.75</v>
      </c>
      <c r="Z45" t="s">
        <v>504</v>
      </c>
      <c r="AA45" t="s">
        <v>505</v>
      </c>
      <c r="AB45" t="s">
        <v>504</v>
      </c>
      <c r="AC45" t="s">
        <v>332</v>
      </c>
      <c r="AD45" t="s">
        <v>505</v>
      </c>
      <c r="AE45" t="s">
        <v>513</v>
      </c>
      <c r="AG45" t="s">
        <v>267</v>
      </c>
      <c r="AH45" t="s">
        <v>480</v>
      </c>
      <c r="AI45" t="s">
        <v>480</v>
      </c>
      <c r="AJ45" t="s">
        <v>495</v>
      </c>
      <c r="AK45" t="s">
        <v>514</v>
      </c>
      <c r="AL45" s="87"/>
    </row>
    <row r="46" spans="1:39" x14ac:dyDescent="0.3">
      <c r="A46" t="s">
        <v>431</v>
      </c>
      <c r="B46" s="16" t="s">
        <v>27</v>
      </c>
      <c r="C46" s="360">
        <f>5355.53712886759*1.5</f>
        <v>8033.305693301385</v>
      </c>
      <c r="D46" s="204">
        <f>C46*'Parameters, general'!$B$39/100</f>
        <v>192.79933663923322</v>
      </c>
      <c r="E46" s="364">
        <f>IF((D46-G46-Manure!R147)*N_leak_deni_factor&lt;F46,F46,(D46-G46-Manure!R147)*N_leak_deni_factor)</f>
        <v>37</v>
      </c>
      <c r="F46" s="363">
        <v>37</v>
      </c>
      <c r="G46" s="163">
        <f>45.3703253767233*1.5</f>
        <v>68.055488065084944</v>
      </c>
      <c r="H46" s="345">
        <f t="shared" si="11"/>
        <v>24.552995521006356</v>
      </c>
      <c r="I46" s="346">
        <v>1.4546548956661318</v>
      </c>
      <c r="J46" s="347">
        <v>43</v>
      </c>
      <c r="K46" s="204"/>
      <c r="L46" s="14">
        <v>0.24</v>
      </c>
      <c r="M46" s="348">
        <v>0</v>
      </c>
      <c r="N46" s="4">
        <v>1.4999999999999999E-2</v>
      </c>
      <c r="O46" s="4">
        <v>0.3</v>
      </c>
      <c r="P46" s="4">
        <v>0.8</v>
      </c>
      <c r="Q46" s="4">
        <v>1.2E-2</v>
      </c>
      <c r="R46" s="4">
        <v>0.9</v>
      </c>
      <c r="S46" s="4">
        <v>0.2</v>
      </c>
      <c r="T46" s="365">
        <v>4.9699999999999999E-14</v>
      </c>
      <c r="U46" s="365">
        <v>8.2700000000000004E-14</v>
      </c>
      <c r="V46" s="365">
        <v>1.36E-15</v>
      </c>
      <c r="W46" s="365">
        <v>1.38E-16</v>
      </c>
      <c r="X46" s="92">
        <v>3.92E-13</v>
      </c>
      <c r="Y46" s="204">
        <v>17.93</v>
      </c>
      <c r="Z46" t="s">
        <v>515</v>
      </c>
      <c r="AA46" t="s">
        <v>505</v>
      </c>
      <c r="AB46" t="s">
        <v>504</v>
      </c>
      <c r="AC46" t="s">
        <v>332</v>
      </c>
      <c r="AD46" t="s">
        <v>505</v>
      </c>
      <c r="AE46" t="s">
        <v>513</v>
      </c>
      <c r="AG46" t="s">
        <v>516</v>
      </c>
      <c r="AH46" t="s">
        <v>480</v>
      </c>
      <c r="AI46" t="s">
        <v>480</v>
      </c>
      <c r="AJ46" t="s">
        <v>495</v>
      </c>
      <c r="AK46" t="s">
        <v>514</v>
      </c>
      <c r="AL46" s="87"/>
    </row>
    <row r="47" spans="1:39" x14ac:dyDescent="0.3">
      <c r="E47" s="344"/>
      <c r="F47" s="344"/>
    </row>
    <row r="49" spans="1:39" ht="18" x14ac:dyDescent="0.35">
      <c r="A49" s="239" t="s">
        <v>432</v>
      </c>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row>
    <row r="51" spans="1:39" x14ac:dyDescent="0.3">
      <c r="A51" s="323" t="s">
        <v>355</v>
      </c>
      <c r="B51" s="324"/>
      <c r="C51" s="325" t="s">
        <v>447</v>
      </c>
      <c r="D51" s="325"/>
      <c r="E51" s="326" t="s">
        <v>448</v>
      </c>
      <c r="F51" s="326"/>
      <c r="G51" s="327"/>
      <c r="H51" s="328"/>
      <c r="I51" s="328"/>
      <c r="J51" s="329" t="s">
        <v>449</v>
      </c>
      <c r="K51" s="329" t="s">
        <v>37</v>
      </c>
      <c r="L51" s="330" t="s">
        <v>38</v>
      </c>
      <c r="M51" s="331" t="s">
        <v>450</v>
      </c>
      <c r="N51" s="328"/>
      <c r="O51" s="328"/>
      <c r="P51" s="327"/>
      <c r="Q51" s="332"/>
      <c r="R51" s="332"/>
      <c r="S51" s="332"/>
      <c r="T51" s="330" t="s">
        <v>451</v>
      </c>
      <c r="U51" s="332"/>
      <c r="V51" s="332"/>
      <c r="W51" s="332"/>
      <c r="X51" s="332"/>
      <c r="Y51" s="330" t="s">
        <v>41</v>
      </c>
      <c r="Z51" s="333" t="s">
        <v>447</v>
      </c>
      <c r="AA51" s="334" t="s">
        <v>448</v>
      </c>
      <c r="AB51" s="335"/>
      <c r="AC51" s="336"/>
      <c r="AD51" s="336"/>
      <c r="AE51" s="337" t="s">
        <v>449</v>
      </c>
      <c r="AF51" s="337" t="s">
        <v>37</v>
      </c>
      <c r="AG51" s="338" t="s">
        <v>38</v>
      </c>
      <c r="AH51" s="339" t="s">
        <v>450</v>
      </c>
      <c r="AI51" s="336"/>
      <c r="AJ51" s="336"/>
      <c r="AK51" s="338" t="s">
        <v>39</v>
      </c>
      <c r="AL51" s="340"/>
    </row>
    <row r="52" spans="1:39" ht="57.6" x14ac:dyDescent="0.3">
      <c r="A52" s="341" t="s">
        <v>452</v>
      </c>
      <c r="B52" s="264" t="s">
        <v>47</v>
      </c>
      <c r="C52" s="263" t="s">
        <v>453</v>
      </c>
      <c r="D52" s="263"/>
      <c r="E52" s="263" t="s">
        <v>454</v>
      </c>
      <c r="F52" s="263"/>
      <c r="G52" s="265" t="s">
        <v>455</v>
      </c>
      <c r="H52" s="263" t="s">
        <v>456</v>
      </c>
      <c r="I52" s="265" t="s">
        <v>457</v>
      </c>
      <c r="J52" s="265" t="s">
        <v>458</v>
      </c>
      <c r="K52" s="342" t="s">
        <v>459</v>
      </c>
      <c r="L52" s="343" t="s">
        <v>460</v>
      </c>
      <c r="M52" s="266" t="s">
        <v>461</v>
      </c>
      <c r="N52" s="266" t="s">
        <v>462</v>
      </c>
      <c r="O52" s="266" t="s">
        <v>463</v>
      </c>
      <c r="P52" s="266" t="s">
        <v>464</v>
      </c>
      <c r="Q52" s="266" t="s">
        <v>465</v>
      </c>
      <c r="R52" s="266" t="s">
        <v>466</v>
      </c>
      <c r="S52" s="266" t="s">
        <v>467</v>
      </c>
      <c r="T52" s="267" t="s">
        <v>468</v>
      </c>
      <c r="U52" s="267" t="s">
        <v>469</v>
      </c>
      <c r="V52" s="267" t="s">
        <v>470</v>
      </c>
      <c r="W52" s="267" t="s">
        <v>471</v>
      </c>
      <c r="X52" s="267" t="s">
        <v>472</v>
      </c>
      <c r="Y52" s="267" t="s">
        <v>473</v>
      </c>
      <c r="Z52" s="268" t="s">
        <v>453</v>
      </c>
      <c r="AA52" s="268" t="s">
        <v>474</v>
      </c>
      <c r="AB52" s="269" t="s">
        <v>455</v>
      </c>
      <c r="AC52" s="268" t="s">
        <v>456</v>
      </c>
      <c r="AD52" s="269" t="s">
        <v>457</v>
      </c>
      <c r="AE52" s="269" t="s">
        <v>458</v>
      </c>
      <c r="AF52" s="270" t="s">
        <v>58</v>
      </c>
      <c r="AG52" s="271" t="s">
        <v>460</v>
      </c>
      <c r="AH52" s="272" t="s">
        <v>475</v>
      </c>
      <c r="AI52" s="272" t="s">
        <v>476</v>
      </c>
      <c r="AJ52" s="272" t="s">
        <v>477</v>
      </c>
      <c r="AK52" s="273" t="s">
        <v>478</v>
      </c>
      <c r="AL52" s="273" t="s">
        <v>502</v>
      </c>
    </row>
    <row r="53" spans="1:39" x14ac:dyDescent="0.3">
      <c r="A53" t="s">
        <v>432</v>
      </c>
      <c r="B53" t="s">
        <v>28</v>
      </c>
      <c r="C53" s="204">
        <v>8957.9985923027562</v>
      </c>
      <c r="D53" s="204"/>
      <c r="E53" s="344">
        <v>0</v>
      </c>
      <c r="F53" s="344"/>
      <c r="G53" s="344">
        <v>409.14165570577455</v>
      </c>
      <c r="H53" s="345">
        <f t="shared" ref="H53:H61" si="13">((C53*R38*O38)*S38*N38*(1-M38))+((C53*R38)+(C53*R38*O38))*P38*S38*Q38</f>
        <v>27.379226897514148</v>
      </c>
      <c r="I53" s="346">
        <v>30.116538929333352</v>
      </c>
      <c r="J53" s="347">
        <v>43</v>
      </c>
      <c r="K53" s="204"/>
      <c r="L53" s="14">
        <f t="shared" ref="L53:L60" si="14">$L$61/$C$61*C53</f>
        <v>0.56016889847753115</v>
      </c>
      <c r="M53" s="348">
        <v>0</v>
      </c>
      <c r="N53" s="4">
        <v>2.7E-2</v>
      </c>
      <c r="O53" s="4">
        <v>0.15</v>
      </c>
      <c r="P53" s="4">
        <v>0.4</v>
      </c>
      <c r="Q53" s="4">
        <v>1.9E-2</v>
      </c>
      <c r="R53" s="4">
        <v>0.9</v>
      </c>
      <c r="S53" s="4">
        <v>1</v>
      </c>
      <c r="T53" s="365">
        <v>7.7900000000000001E-14</v>
      </c>
      <c r="U53" s="365">
        <v>1.1099999999999999E-13</v>
      </c>
      <c r="V53" s="365">
        <v>9.5299999999999998E-15</v>
      </c>
      <c r="W53" s="365">
        <v>7.0000000000000001E-15</v>
      </c>
      <c r="X53" s="12">
        <v>2.6799999999999999E-12</v>
      </c>
      <c r="Y53" s="204">
        <v>27.12</v>
      </c>
      <c r="Z53" t="s">
        <v>504</v>
      </c>
      <c r="AA53" t="s">
        <v>505</v>
      </c>
      <c r="AB53" t="s">
        <v>504</v>
      </c>
      <c r="AC53" t="s">
        <v>332</v>
      </c>
      <c r="AD53" t="s">
        <v>505</v>
      </c>
      <c r="AE53" t="s">
        <v>513</v>
      </c>
      <c r="AG53" t="s">
        <v>267</v>
      </c>
      <c r="AH53" t="s">
        <v>480</v>
      </c>
      <c r="AI53" t="s">
        <v>517</v>
      </c>
      <c r="AJ53" t="s">
        <v>495</v>
      </c>
      <c r="AK53" t="s">
        <v>514</v>
      </c>
      <c r="AL53" s="87"/>
    </row>
    <row r="54" spans="1:39" x14ac:dyDescent="0.3">
      <c r="A54" t="s">
        <v>432</v>
      </c>
      <c r="B54" t="s">
        <v>25</v>
      </c>
      <c r="C54" s="204">
        <v>6800.3022056072114</v>
      </c>
      <c r="D54" s="204"/>
      <c r="E54" s="344">
        <v>0</v>
      </c>
      <c r="F54" s="344"/>
      <c r="G54" s="344">
        <v>310.59246940410003</v>
      </c>
      <c r="H54" s="345">
        <f t="shared" si="13"/>
        <v>20.784443661217882</v>
      </c>
      <c r="I54" s="346">
        <v>22.862424457442835</v>
      </c>
      <c r="J54" s="347">
        <v>43</v>
      </c>
      <c r="K54" s="204"/>
      <c r="L54" s="14">
        <f t="shared" si="14"/>
        <v>0.42524206233996387</v>
      </c>
      <c r="M54" s="348">
        <v>0</v>
      </c>
      <c r="N54" s="4">
        <v>2.7E-2</v>
      </c>
      <c r="O54" s="4">
        <v>0.15</v>
      </c>
      <c r="P54" s="4">
        <v>0.4</v>
      </c>
      <c r="Q54" s="4">
        <v>1.9E-2</v>
      </c>
      <c r="R54" s="4">
        <v>0.9</v>
      </c>
      <c r="S54" s="4">
        <v>1</v>
      </c>
      <c r="T54" s="365">
        <v>7.5499999999999994E-14</v>
      </c>
      <c r="U54" s="365">
        <v>7.9399999999999995E-14</v>
      </c>
      <c r="V54" s="365">
        <v>4.5200000000000001E-15</v>
      </c>
      <c r="W54" s="365">
        <v>2.0500000000000002E-15</v>
      </c>
      <c r="X54" s="92">
        <v>2.0400000000000002E-12</v>
      </c>
      <c r="Y54" s="204">
        <v>30.62</v>
      </c>
      <c r="Z54" t="s">
        <v>504</v>
      </c>
      <c r="AA54" t="s">
        <v>505</v>
      </c>
      <c r="AB54" t="s">
        <v>504</v>
      </c>
      <c r="AC54" t="s">
        <v>332</v>
      </c>
      <c r="AD54" t="s">
        <v>505</v>
      </c>
      <c r="AE54" t="s">
        <v>513</v>
      </c>
      <c r="AG54" t="s">
        <v>267</v>
      </c>
      <c r="AH54" t="s">
        <v>480</v>
      </c>
      <c r="AI54" t="s">
        <v>517</v>
      </c>
      <c r="AJ54" t="s">
        <v>495</v>
      </c>
      <c r="AK54" t="s">
        <v>514</v>
      </c>
      <c r="AL54" s="87"/>
    </row>
    <row r="55" spans="1:39" x14ac:dyDescent="0.3">
      <c r="A55" t="s">
        <v>432</v>
      </c>
      <c r="B55" t="s">
        <v>21</v>
      </c>
      <c r="C55" s="204">
        <v>4358.7937985164663</v>
      </c>
      <c r="D55" s="204"/>
      <c r="E55" s="344">
        <v>0</v>
      </c>
      <c r="F55" s="344"/>
      <c r="G55" s="344">
        <v>199.0806420909087</v>
      </c>
      <c r="H55" s="345">
        <f t="shared" si="13"/>
        <v>13.322217365785729</v>
      </c>
      <c r="I55" s="346">
        <v>14.654141967688458</v>
      </c>
      <c r="J55" s="347">
        <v>43</v>
      </c>
      <c r="K55" s="204"/>
      <c r="L55" s="14">
        <f t="shared" si="14"/>
        <v>0.27256766069417365</v>
      </c>
      <c r="M55" s="348">
        <v>0</v>
      </c>
      <c r="N55" s="4">
        <v>2.7E-2</v>
      </c>
      <c r="O55" s="4">
        <v>0.15</v>
      </c>
      <c r="P55" s="4">
        <v>0.4</v>
      </c>
      <c r="Q55" s="4">
        <v>1.9E-2</v>
      </c>
      <c r="R55" s="4">
        <v>0.9</v>
      </c>
      <c r="S55" s="4">
        <v>1</v>
      </c>
      <c r="T55" s="365">
        <v>2.1499999999999999E-13</v>
      </c>
      <c r="U55" s="365">
        <v>1.31E-13</v>
      </c>
      <c r="V55" s="365">
        <v>9.5800000000000006E-14</v>
      </c>
      <c r="W55" s="365">
        <v>2.4600000000000001E-13</v>
      </c>
      <c r="X55" s="92">
        <v>1.0599999999999999E-11</v>
      </c>
      <c r="Y55" s="204">
        <v>20.12</v>
      </c>
      <c r="Z55" t="s">
        <v>504</v>
      </c>
      <c r="AA55" t="s">
        <v>505</v>
      </c>
      <c r="AB55" t="s">
        <v>504</v>
      </c>
      <c r="AC55" t="s">
        <v>332</v>
      </c>
      <c r="AD55" t="s">
        <v>505</v>
      </c>
      <c r="AE55" t="s">
        <v>513</v>
      </c>
      <c r="AG55" t="s">
        <v>267</v>
      </c>
      <c r="AH55" t="s">
        <v>480</v>
      </c>
      <c r="AI55" t="s">
        <v>517</v>
      </c>
      <c r="AJ55" t="s">
        <v>495</v>
      </c>
      <c r="AK55" t="s">
        <v>514</v>
      </c>
      <c r="AL55" s="87"/>
    </row>
    <row r="56" spans="1:39" x14ac:dyDescent="0.3">
      <c r="A56" t="s">
        <v>432</v>
      </c>
      <c r="B56" t="s">
        <v>24</v>
      </c>
      <c r="C56" s="204">
        <v>4160.8778074765978</v>
      </c>
      <c r="D56" s="204"/>
      <c r="E56" s="344">
        <v>0</v>
      </c>
      <c r="F56" s="344"/>
      <c r="G56" s="344">
        <v>190.04115906014786</v>
      </c>
      <c r="H56" s="345">
        <f t="shared" si="13"/>
        <v>12.717306930771473</v>
      </c>
      <c r="I56" s="346">
        <v>13.98875398091076</v>
      </c>
      <c r="J56" s="347">
        <v>43</v>
      </c>
      <c r="K56" s="204"/>
      <c r="L56" s="14">
        <f t="shared" si="14"/>
        <v>0.26019141598398188</v>
      </c>
      <c r="M56" s="348">
        <v>0</v>
      </c>
      <c r="N56" s="4">
        <v>2.7E-2</v>
      </c>
      <c r="O56" s="4">
        <v>0.15</v>
      </c>
      <c r="P56" s="4">
        <v>0.4</v>
      </c>
      <c r="Q56" s="4">
        <v>1.9E-2</v>
      </c>
      <c r="R56" s="4">
        <v>0.9</v>
      </c>
      <c r="S56" s="4">
        <v>1</v>
      </c>
      <c r="T56" s="365">
        <v>3.0099999999999998E-13</v>
      </c>
      <c r="U56" s="365">
        <v>6.3499999999999994E-14</v>
      </c>
      <c r="V56" s="365">
        <v>6.5900000000000002E-15</v>
      </c>
      <c r="W56" s="365">
        <v>3.3E-15</v>
      </c>
      <c r="X56" s="12">
        <v>2.6999999999999998E-12</v>
      </c>
      <c r="Y56" s="204">
        <v>87.91</v>
      </c>
      <c r="Z56" t="s">
        <v>504</v>
      </c>
      <c r="AA56" t="s">
        <v>505</v>
      </c>
      <c r="AB56" t="s">
        <v>504</v>
      </c>
      <c r="AC56" t="s">
        <v>332</v>
      </c>
      <c r="AD56" t="s">
        <v>505</v>
      </c>
      <c r="AE56" t="s">
        <v>513</v>
      </c>
      <c r="AG56" t="s">
        <v>267</v>
      </c>
      <c r="AH56" t="s">
        <v>480</v>
      </c>
      <c r="AI56" t="s">
        <v>517</v>
      </c>
      <c r="AJ56" t="s">
        <v>495</v>
      </c>
      <c r="AK56" t="s">
        <v>514</v>
      </c>
      <c r="AL56" s="87"/>
    </row>
    <row r="57" spans="1:39" x14ac:dyDescent="0.3">
      <c r="A57" t="s">
        <v>432</v>
      </c>
      <c r="B57" t="s">
        <v>23</v>
      </c>
      <c r="C57" s="204">
        <v>7266.2548894865295</v>
      </c>
      <c r="D57" s="204"/>
      <c r="E57" s="344">
        <v>0</v>
      </c>
      <c r="F57" s="344"/>
      <c r="G57" s="344">
        <v>331.87408165248138</v>
      </c>
      <c r="H57" s="345">
        <f t="shared" si="13"/>
        <v>22.208581444226631</v>
      </c>
      <c r="I57" s="346">
        <v>24.428944255217388</v>
      </c>
      <c r="J57" s="347">
        <v>43</v>
      </c>
      <c r="K57" s="204"/>
      <c r="L57" s="14">
        <f t="shared" si="14"/>
        <v>0.45437939686640638</v>
      </c>
      <c r="M57" s="348">
        <v>0</v>
      </c>
      <c r="N57" s="4">
        <v>2.7E-2</v>
      </c>
      <c r="O57" s="4">
        <v>0.15</v>
      </c>
      <c r="P57" s="4">
        <v>0.4</v>
      </c>
      <c r="Q57" s="4">
        <v>1.9E-2</v>
      </c>
      <c r="R57" s="4">
        <v>0.9</v>
      </c>
      <c r="S57" s="4">
        <v>1</v>
      </c>
      <c r="T57" s="365">
        <v>1.4999999999999999E-13</v>
      </c>
      <c r="U57" s="365">
        <v>1.2900000000000001E-13</v>
      </c>
      <c r="V57" s="365">
        <v>1.1499999999999999E-13</v>
      </c>
      <c r="W57" s="365">
        <v>6.5600000000000006E-14</v>
      </c>
      <c r="X57" s="92">
        <v>1.23E-11</v>
      </c>
      <c r="Y57" s="204">
        <v>28.43</v>
      </c>
      <c r="Z57" t="s">
        <v>504</v>
      </c>
      <c r="AA57" t="s">
        <v>505</v>
      </c>
      <c r="AB57" t="s">
        <v>504</v>
      </c>
      <c r="AC57" t="s">
        <v>332</v>
      </c>
      <c r="AD57" t="s">
        <v>505</v>
      </c>
      <c r="AE57" t="s">
        <v>513</v>
      </c>
      <c r="AG57" t="s">
        <v>267</v>
      </c>
      <c r="AH57" t="s">
        <v>480</v>
      </c>
      <c r="AI57" t="s">
        <v>517</v>
      </c>
      <c r="AJ57" t="s">
        <v>495</v>
      </c>
      <c r="AK57" t="s">
        <v>514</v>
      </c>
      <c r="AL57" s="87"/>
    </row>
    <row r="58" spans="1:39" x14ac:dyDescent="0.3">
      <c r="A58" t="s">
        <v>432</v>
      </c>
      <c r="B58" t="s">
        <v>20</v>
      </c>
      <c r="C58" s="204">
        <v>7031.6460926819464</v>
      </c>
      <c r="D58" s="204"/>
      <c r="E58" s="344">
        <v>0</v>
      </c>
      <c r="F58" s="344"/>
      <c r="G58" s="344">
        <v>321.15871587309346</v>
      </c>
      <c r="H58" s="345">
        <f t="shared" si="13"/>
        <v>21.491523117673104</v>
      </c>
      <c r="I58" s="346">
        <v>32.147057293567876</v>
      </c>
      <c r="J58" s="347">
        <v>43</v>
      </c>
      <c r="K58" s="204"/>
      <c r="L58" s="14">
        <f t="shared" si="14"/>
        <v>0.4397086475997023</v>
      </c>
      <c r="M58" s="348">
        <v>0</v>
      </c>
      <c r="N58" s="4">
        <v>2.7E-2</v>
      </c>
      <c r="O58" s="4">
        <v>0.15</v>
      </c>
      <c r="P58" s="4">
        <v>0.4</v>
      </c>
      <c r="Q58" s="4">
        <v>1.9E-2</v>
      </c>
      <c r="R58" s="4">
        <v>0.9</v>
      </c>
      <c r="S58" s="4">
        <v>1</v>
      </c>
      <c r="T58" s="365">
        <v>7.2899999999999997E-14</v>
      </c>
      <c r="U58" s="365">
        <v>1.3199999999999999E-13</v>
      </c>
      <c r="V58" s="365">
        <v>5.0799999999999997E-15</v>
      </c>
      <c r="W58" s="365">
        <v>2.9000000000000002E-15</v>
      </c>
      <c r="X58" s="92">
        <v>1.75E-12</v>
      </c>
      <c r="Y58" s="204">
        <v>36.74</v>
      </c>
      <c r="Z58" t="s">
        <v>504</v>
      </c>
      <c r="AA58" t="s">
        <v>504</v>
      </c>
      <c r="AC58" t="s">
        <v>332</v>
      </c>
      <c r="AD58" t="s">
        <v>504</v>
      </c>
      <c r="AE58" t="s">
        <v>513</v>
      </c>
      <c r="AG58" t="s">
        <v>267</v>
      </c>
      <c r="AH58" t="s">
        <v>480</v>
      </c>
      <c r="AI58" t="s">
        <v>517</v>
      </c>
      <c r="AJ58" t="s">
        <v>495</v>
      </c>
      <c r="AK58" t="s">
        <v>514</v>
      </c>
      <c r="AL58" s="87"/>
    </row>
    <row r="59" spans="1:39" x14ac:dyDescent="0.3">
      <c r="A59" t="s">
        <v>432</v>
      </c>
      <c r="B59" t="s">
        <v>22</v>
      </c>
      <c r="C59" s="204">
        <v>7804.2659524530864</v>
      </c>
      <c r="D59" s="204"/>
      <c r="E59" s="344">
        <v>0</v>
      </c>
      <c r="F59" s="344"/>
      <c r="G59" s="344">
        <v>356.44684026837399</v>
      </c>
      <c r="H59" s="345">
        <f t="shared" si="13"/>
        <v>23.852958457077616</v>
      </c>
      <c r="I59" s="346">
        <v>26.237722293669744</v>
      </c>
      <c r="J59" s="347">
        <v>43</v>
      </c>
      <c r="K59" s="204"/>
      <c r="L59" s="14">
        <f t="shared" si="14"/>
        <v>0.48802274492069869</v>
      </c>
      <c r="M59" s="348">
        <v>0</v>
      </c>
      <c r="N59" s="4">
        <v>2.7E-2</v>
      </c>
      <c r="O59" s="4">
        <v>0.15</v>
      </c>
      <c r="P59" s="4">
        <v>0.4</v>
      </c>
      <c r="Q59" s="4">
        <v>1.9E-2</v>
      </c>
      <c r="R59" s="4">
        <v>0.9</v>
      </c>
      <c r="S59" s="4">
        <v>1</v>
      </c>
      <c r="T59" s="365">
        <v>8.8799999999999998E-14</v>
      </c>
      <c r="U59" s="365">
        <v>6.2000000000000001E-14</v>
      </c>
      <c r="V59" s="365">
        <v>2.1200000000000001E-15</v>
      </c>
      <c r="W59" s="365">
        <v>5.1299999999999995E-16</v>
      </c>
      <c r="X59" s="12">
        <v>8.3699999999999997E-13</v>
      </c>
      <c r="Y59" s="204">
        <v>92.72</v>
      </c>
      <c r="Z59" t="s">
        <v>504</v>
      </c>
      <c r="AA59" t="s">
        <v>505</v>
      </c>
      <c r="AB59" t="s">
        <v>504</v>
      </c>
      <c r="AC59" t="s">
        <v>332</v>
      </c>
      <c r="AD59" t="s">
        <v>505</v>
      </c>
      <c r="AE59" t="s">
        <v>513</v>
      </c>
      <c r="AG59" t="s">
        <v>267</v>
      </c>
      <c r="AH59" t="s">
        <v>480</v>
      </c>
      <c r="AI59" t="s">
        <v>517</v>
      </c>
      <c r="AJ59" t="s">
        <v>495</v>
      </c>
      <c r="AK59" t="s">
        <v>514</v>
      </c>
      <c r="AL59" s="87"/>
    </row>
    <row r="60" spans="1:39" x14ac:dyDescent="0.3">
      <c r="A60" t="s">
        <v>432</v>
      </c>
      <c r="B60" t="s">
        <v>26</v>
      </c>
      <c r="C60" s="204">
        <v>8545.0968483709603</v>
      </c>
      <c r="D60" s="204"/>
      <c r="E60" s="344">
        <v>0</v>
      </c>
      <c r="F60" s="344"/>
      <c r="G60" s="344">
        <v>390.28305672126299</v>
      </c>
      <c r="H60" s="345">
        <f t="shared" si="13"/>
        <v>26.117234007361006</v>
      </c>
      <c r="I60" s="346">
        <v>28.728374897269696</v>
      </c>
      <c r="J60" s="347">
        <v>43</v>
      </c>
      <c r="K60" s="204"/>
      <c r="L60" s="14">
        <f t="shared" si="14"/>
        <v>0.53434898874049819</v>
      </c>
      <c r="M60" s="348">
        <v>0</v>
      </c>
      <c r="N60" s="4">
        <v>2.7E-2</v>
      </c>
      <c r="O60" s="4">
        <v>0.15</v>
      </c>
      <c r="P60" s="4">
        <v>0.4</v>
      </c>
      <c r="Q60" s="4">
        <v>1.9E-2</v>
      </c>
      <c r="R60" s="4">
        <v>0.9</v>
      </c>
      <c r="S60" s="4">
        <v>1</v>
      </c>
      <c r="T60" s="365">
        <v>1.7500000000000001E-13</v>
      </c>
      <c r="U60" s="365">
        <v>1.6E-13</v>
      </c>
      <c r="V60" s="365">
        <v>3.0300000000000001E-14</v>
      </c>
      <c r="W60" s="365">
        <v>1.0799999999999999E-13</v>
      </c>
      <c r="X60" s="12">
        <v>1.5700000000000001E-11</v>
      </c>
      <c r="Y60" s="204">
        <v>8.75</v>
      </c>
      <c r="Z60" t="s">
        <v>504</v>
      </c>
      <c r="AA60" t="s">
        <v>505</v>
      </c>
      <c r="AB60" t="s">
        <v>504</v>
      </c>
      <c r="AC60" t="s">
        <v>332</v>
      </c>
      <c r="AD60" t="s">
        <v>505</v>
      </c>
      <c r="AE60" t="s">
        <v>513</v>
      </c>
      <c r="AG60" t="s">
        <v>267</v>
      </c>
      <c r="AH60" t="s">
        <v>480</v>
      </c>
      <c r="AI60" t="s">
        <v>517</v>
      </c>
      <c r="AJ60" t="s">
        <v>495</v>
      </c>
      <c r="AK60" t="s">
        <v>514</v>
      </c>
      <c r="AL60" s="87"/>
    </row>
    <row r="61" spans="1:39" x14ac:dyDescent="0.3">
      <c r="A61" t="s">
        <v>432</v>
      </c>
      <c r="B61" s="16" t="s">
        <v>27</v>
      </c>
      <c r="C61" s="204">
        <v>3837.9847006784448</v>
      </c>
      <c r="D61" s="204"/>
      <c r="E61" s="344">
        <v>0</v>
      </c>
      <c r="F61" s="344"/>
      <c r="G61" s="344">
        <v>175.2935545623202</v>
      </c>
      <c r="H61" s="345">
        <f t="shared" si="13"/>
        <v>11.730416439153601</v>
      </c>
      <c r="I61" s="346">
        <v>12.903196451435843</v>
      </c>
      <c r="J61" s="347">
        <v>43</v>
      </c>
      <c r="K61" s="204"/>
      <c r="L61" s="14">
        <v>0.24</v>
      </c>
      <c r="M61" s="348">
        <v>0</v>
      </c>
      <c r="N61" s="4">
        <v>2.7E-2</v>
      </c>
      <c r="O61" s="4">
        <v>0.15</v>
      </c>
      <c r="P61" s="4">
        <v>0.4</v>
      </c>
      <c r="Q61" s="4">
        <v>1.9E-2</v>
      </c>
      <c r="R61" s="4">
        <v>0.9</v>
      </c>
      <c r="S61" s="4">
        <v>1</v>
      </c>
      <c r="T61" s="365">
        <v>4.9699999999999999E-14</v>
      </c>
      <c r="U61" s="365">
        <v>8.2700000000000004E-14</v>
      </c>
      <c r="V61" s="365">
        <v>1.36E-15</v>
      </c>
      <c r="W61" s="365">
        <v>1.38E-16</v>
      </c>
      <c r="X61" s="92">
        <v>3.92E-13</v>
      </c>
      <c r="Y61" s="204">
        <v>17.93</v>
      </c>
      <c r="Z61" t="s">
        <v>504</v>
      </c>
      <c r="AA61" t="s">
        <v>505</v>
      </c>
      <c r="AB61" t="s">
        <v>504</v>
      </c>
      <c r="AC61" t="s">
        <v>332</v>
      </c>
      <c r="AD61" t="s">
        <v>505</v>
      </c>
      <c r="AE61" t="s">
        <v>513</v>
      </c>
      <c r="AG61" t="s">
        <v>516</v>
      </c>
      <c r="AH61" t="s">
        <v>480</v>
      </c>
      <c r="AI61" t="s">
        <v>517</v>
      </c>
      <c r="AJ61" t="s">
        <v>495</v>
      </c>
      <c r="AK61" t="s">
        <v>514</v>
      </c>
      <c r="AL61" s="87"/>
    </row>
    <row r="63" spans="1:39" ht="21" x14ac:dyDescent="0.4">
      <c r="A63" s="2" t="s">
        <v>518</v>
      </c>
      <c r="H63" s="312"/>
    </row>
    <row r="64" spans="1:39" x14ac:dyDescent="0.3">
      <c r="K64" s="16"/>
    </row>
    <row r="65" spans="1:19" x14ac:dyDescent="0.3">
      <c r="A65" s="359"/>
      <c r="B65" s="359" t="s">
        <v>519</v>
      </c>
      <c r="C65" s="359" t="s">
        <v>520</v>
      </c>
      <c r="D65" s="359"/>
      <c r="E65" s="359" t="s">
        <v>521</v>
      </c>
      <c r="F65" s="359"/>
      <c r="G65" s="359" t="s">
        <v>522</v>
      </c>
      <c r="I65" s="157" t="s">
        <v>478</v>
      </c>
      <c r="K65" s="16"/>
      <c r="L65" t="s">
        <v>523</v>
      </c>
    </row>
    <row r="66" spans="1:19" x14ac:dyDescent="0.3">
      <c r="A66" t="s">
        <v>524</v>
      </c>
      <c r="B66" s="118">
        <v>1059276</v>
      </c>
      <c r="C66" s="118">
        <v>484.00000000000006</v>
      </c>
      <c r="D66" s="118"/>
      <c r="E66" s="10">
        <f t="shared" ref="E66:E76" si="15">B66/SUM($B66:$C66)</f>
        <v>0.99954329282101606</v>
      </c>
      <c r="F66" s="10"/>
      <c r="G66" s="10">
        <f t="shared" ref="G66:G76" si="16">C66/SUM($B66:$C66)</f>
        <v>4.5670717898392094E-4</v>
      </c>
      <c r="I66" t="s">
        <v>525</v>
      </c>
      <c r="K66" s="16"/>
    </row>
    <row r="67" spans="1:19" x14ac:dyDescent="0.3">
      <c r="A67" t="s">
        <v>28</v>
      </c>
      <c r="B67" s="118">
        <v>2852134.0000000005</v>
      </c>
      <c r="C67" s="118">
        <v>295444.91935483797</v>
      </c>
      <c r="D67" s="118"/>
      <c r="E67" s="10">
        <f t="shared" si="15"/>
        <v>0.90613581837833779</v>
      </c>
      <c r="F67" s="10"/>
      <c r="G67" s="10">
        <f t="shared" si="16"/>
        <v>9.3864181621662254E-2</v>
      </c>
      <c r="I67" t="s">
        <v>504</v>
      </c>
      <c r="J67" s="9"/>
      <c r="K67" s="16"/>
    </row>
    <row r="68" spans="1:19" x14ac:dyDescent="0.3">
      <c r="A68" t="s">
        <v>25</v>
      </c>
      <c r="B68" s="118">
        <v>286100</v>
      </c>
      <c r="C68" s="118">
        <v>44886.792304672119</v>
      </c>
      <c r="D68" s="118"/>
      <c r="E68" s="10">
        <f t="shared" si="15"/>
        <v>0.86438494420842626</v>
      </c>
      <c r="F68" s="10"/>
      <c r="G68" s="10">
        <f t="shared" si="16"/>
        <v>0.13561505579157368</v>
      </c>
      <c r="I68" t="s">
        <v>504</v>
      </c>
      <c r="J68" s="9"/>
      <c r="K68" s="16"/>
    </row>
    <row r="69" spans="1:19" x14ac:dyDescent="0.3">
      <c r="A69" t="s">
        <v>21</v>
      </c>
      <c r="B69" s="118">
        <v>108490</v>
      </c>
      <c r="C69" s="118">
        <v>149600</v>
      </c>
      <c r="D69" s="118"/>
      <c r="E69" s="10">
        <f t="shared" si="15"/>
        <v>0.42035723972257738</v>
      </c>
      <c r="F69" s="10"/>
      <c r="G69" s="10">
        <f t="shared" si="16"/>
        <v>0.57964276027742256</v>
      </c>
      <c r="I69" t="s">
        <v>504</v>
      </c>
      <c r="J69" s="9"/>
      <c r="K69" s="16"/>
    </row>
    <row r="70" spans="1:19" x14ac:dyDescent="0.3">
      <c r="A70" t="s">
        <v>24</v>
      </c>
      <c r="B70" s="118">
        <v>36106.000000000007</v>
      </c>
      <c r="C70" s="118">
        <v>185007.9999999998</v>
      </c>
      <c r="D70" s="118"/>
      <c r="E70" s="10">
        <f t="shared" si="15"/>
        <v>0.16329133388207007</v>
      </c>
      <c r="F70" s="10"/>
      <c r="G70" s="10">
        <f t="shared" si="16"/>
        <v>0.83670866611792993</v>
      </c>
      <c r="I70" t="s">
        <v>504</v>
      </c>
      <c r="J70" s="9"/>
      <c r="K70" s="16"/>
    </row>
    <row r="71" spans="1:19" x14ac:dyDescent="0.3">
      <c r="A71" t="s">
        <v>526</v>
      </c>
      <c r="B71" s="118">
        <v>94045.999999999985</v>
      </c>
      <c r="C71" s="118">
        <v>8.0000000000000018</v>
      </c>
      <c r="D71" s="118"/>
      <c r="E71" s="10">
        <f t="shared" si="15"/>
        <v>0.99991494247985202</v>
      </c>
      <c r="F71" s="10"/>
      <c r="G71" s="10">
        <f t="shared" si="16"/>
        <v>8.505752014800012E-5</v>
      </c>
      <c r="I71" t="s">
        <v>504</v>
      </c>
      <c r="J71" s="9"/>
      <c r="K71" s="16"/>
    </row>
    <row r="72" spans="1:19" x14ac:dyDescent="0.3">
      <c r="A72" t="s">
        <v>23</v>
      </c>
      <c r="B72" s="118">
        <v>818844</v>
      </c>
      <c r="C72" s="118">
        <v>691136</v>
      </c>
      <c r="D72" s="118"/>
      <c r="E72" s="10">
        <f t="shared" si="15"/>
        <v>0.54228797732420297</v>
      </c>
      <c r="F72" s="10"/>
      <c r="G72" s="10">
        <f t="shared" si="16"/>
        <v>0.45771202267579703</v>
      </c>
      <c r="I72" t="s">
        <v>504</v>
      </c>
      <c r="J72" s="9"/>
      <c r="K72" s="16"/>
    </row>
    <row r="73" spans="1:19" x14ac:dyDescent="0.3">
      <c r="A73" t="s">
        <v>20</v>
      </c>
      <c r="B73" s="118">
        <v>286100</v>
      </c>
      <c r="C73" s="118">
        <v>44886.792304672119</v>
      </c>
      <c r="D73" s="118"/>
      <c r="E73" s="10">
        <f t="shared" si="15"/>
        <v>0.86438494420842626</v>
      </c>
      <c r="F73" s="10"/>
      <c r="G73" s="10">
        <f t="shared" si="16"/>
        <v>0.13561505579157368</v>
      </c>
      <c r="I73" t="s">
        <v>379</v>
      </c>
      <c r="K73" s="16"/>
    </row>
    <row r="74" spans="1:19" x14ac:dyDescent="0.3">
      <c r="A74" t="s">
        <v>22</v>
      </c>
      <c r="B74" s="118">
        <v>201026</v>
      </c>
      <c r="C74" s="118">
        <v>54147.999999999993</v>
      </c>
      <c r="D74" s="118"/>
      <c r="E74" s="10">
        <f t="shared" si="15"/>
        <v>0.78779969746134015</v>
      </c>
      <c r="F74" s="10"/>
      <c r="G74" s="10">
        <f t="shared" si="16"/>
        <v>0.21220030253865987</v>
      </c>
      <c r="I74" t="s">
        <v>504</v>
      </c>
      <c r="J74" s="9"/>
      <c r="K74" s="16"/>
    </row>
    <row r="75" spans="1:19" x14ac:dyDescent="0.3">
      <c r="A75" t="s">
        <v>26</v>
      </c>
      <c r="B75" s="118">
        <v>286312</v>
      </c>
      <c r="C75" s="118">
        <v>262695.99999999983</v>
      </c>
      <c r="D75" s="118"/>
      <c r="E75" s="10">
        <f t="shared" si="15"/>
        <v>0.52150788330953302</v>
      </c>
      <c r="F75" s="10"/>
      <c r="G75" s="10">
        <f t="shared" si="16"/>
        <v>0.47849211669046704</v>
      </c>
      <c r="I75" t="s">
        <v>504</v>
      </c>
      <c r="J75" s="9"/>
      <c r="K75" s="16"/>
    </row>
    <row r="76" spans="1:19" x14ac:dyDescent="0.3">
      <c r="A76" s="16" t="s">
        <v>27</v>
      </c>
      <c r="B76" s="118">
        <v>1059276</v>
      </c>
      <c r="C76" s="118">
        <v>484.00000000000006</v>
      </c>
      <c r="D76" s="118"/>
      <c r="E76" s="10">
        <f t="shared" si="15"/>
        <v>0.99954329282101606</v>
      </c>
      <c r="F76" s="10"/>
      <c r="G76" s="10">
        <f t="shared" si="16"/>
        <v>4.5670717898392094E-4</v>
      </c>
      <c r="H76" s="16"/>
      <c r="I76" t="s">
        <v>504</v>
      </c>
      <c r="J76" s="9"/>
      <c r="K76" s="16"/>
    </row>
    <row r="77" spans="1:19" x14ac:dyDescent="0.3">
      <c r="A77" t="s">
        <v>527</v>
      </c>
      <c r="B77" s="118">
        <f>B71</f>
        <v>94045.999999999985</v>
      </c>
      <c r="C77" s="118">
        <f>C71</f>
        <v>8.0000000000000018</v>
      </c>
      <c r="D77" s="118"/>
      <c r="E77" s="10">
        <f t="shared" ref="E77:G77" si="17">E70</f>
        <v>0.16329133388207007</v>
      </c>
      <c r="F77" s="10"/>
      <c r="G77" s="10">
        <f t="shared" si="17"/>
        <v>0.83670866611792993</v>
      </c>
      <c r="I77" s="6" t="s">
        <v>528</v>
      </c>
      <c r="K77" s="16"/>
      <c r="S77" s="16"/>
    </row>
    <row r="78" spans="1:19" x14ac:dyDescent="0.3">
      <c r="A78" s="6"/>
      <c r="K78" s="16"/>
    </row>
    <row r="79" spans="1:19" x14ac:dyDescent="0.3">
      <c r="K79" s="16"/>
    </row>
    <row r="80" spans="1:19" x14ac:dyDescent="0.3">
      <c r="K80" s="16"/>
    </row>
    <row r="81" spans="11:22" x14ac:dyDescent="0.3">
      <c r="K81" s="16"/>
    </row>
    <row r="82" spans="11:22" x14ac:dyDescent="0.3">
      <c r="K82" s="16"/>
    </row>
    <row r="83" spans="11:22" x14ac:dyDescent="0.3">
      <c r="K83" s="16"/>
    </row>
    <row r="84" spans="11:22" x14ac:dyDescent="0.3">
      <c r="K84" s="16"/>
    </row>
    <row r="89" spans="11:22" x14ac:dyDescent="0.3">
      <c r="T89" s="101"/>
      <c r="U89" s="9"/>
      <c r="V89" s="9"/>
    </row>
    <row r="90" spans="11:22" x14ac:dyDescent="0.3">
      <c r="T90" s="101"/>
      <c r="U90" s="9"/>
      <c r="V90" s="9"/>
    </row>
    <row r="91" spans="11:22" x14ac:dyDescent="0.3">
      <c r="T91" s="101"/>
      <c r="U91" s="9"/>
      <c r="V91" s="9"/>
    </row>
    <row r="92" spans="11:22" x14ac:dyDescent="0.3">
      <c r="T92" s="101"/>
      <c r="U92" s="9"/>
      <c r="V92" s="9"/>
    </row>
    <row r="93" spans="11:22" x14ac:dyDescent="0.3">
      <c r="T93" s="101"/>
      <c r="U93" s="9"/>
      <c r="V93" s="9"/>
    </row>
    <row r="94" spans="11:22" x14ac:dyDescent="0.3">
      <c r="T94" s="101"/>
      <c r="U94" s="9"/>
      <c r="V94" s="9"/>
    </row>
    <row r="96" spans="11:22" x14ac:dyDescent="0.3">
      <c r="T96" s="101"/>
      <c r="U96" s="9"/>
      <c r="V96" s="9"/>
    </row>
    <row r="97" spans="11:22" x14ac:dyDescent="0.3">
      <c r="T97" s="101"/>
      <c r="U97" s="9"/>
      <c r="V97" s="9"/>
    </row>
    <row r="98" spans="11:22" x14ac:dyDescent="0.3">
      <c r="T98" s="101"/>
      <c r="U98" s="9"/>
      <c r="V98" s="9"/>
    </row>
    <row r="106" spans="11:22" x14ac:dyDescent="0.3">
      <c r="K106" s="16"/>
    </row>
    <row r="107" spans="11:22" x14ac:dyDescent="0.3">
      <c r="K107" s="16"/>
    </row>
    <row r="108" spans="11:22" x14ac:dyDescent="0.3">
      <c r="K108" s="16"/>
    </row>
    <row r="109" spans="11:22" x14ac:dyDescent="0.3">
      <c r="K109" s="16"/>
    </row>
    <row r="110" spans="11:22" x14ac:dyDescent="0.3">
      <c r="K110" s="16"/>
    </row>
    <row r="111" spans="11:22" x14ac:dyDescent="0.3">
      <c r="K111" s="16"/>
    </row>
    <row r="112" spans="11:22" x14ac:dyDescent="0.3">
      <c r="K112" s="16"/>
    </row>
    <row r="113" spans="11:11" x14ac:dyDescent="0.3">
      <c r="K113" s="16"/>
    </row>
    <row r="114" spans="11:11" x14ac:dyDescent="0.3">
      <c r="K114" s="16"/>
    </row>
    <row r="115" spans="11:11" x14ac:dyDescent="0.3">
      <c r="K115" s="16"/>
    </row>
    <row r="116" spans="11:11" x14ac:dyDescent="0.3">
      <c r="K116" s="16"/>
    </row>
    <row r="117" spans="11:11" x14ac:dyDescent="0.3">
      <c r="K117" s="16"/>
    </row>
    <row r="118" spans="11:11" x14ac:dyDescent="0.3">
      <c r="K118" s="16"/>
    </row>
    <row r="119" spans="11:11" x14ac:dyDescent="0.3">
      <c r="K119" s="16"/>
    </row>
    <row r="120" spans="11:11" x14ac:dyDescent="0.3">
      <c r="K120" s="16"/>
    </row>
    <row r="121" spans="11:11" x14ac:dyDescent="0.3">
      <c r="K121" s="16"/>
    </row>
    <row r="122" spans="11:11" x14ac:dyDescent="0.3">
      <c r="K122" s="16"/>
    </row>
    <row r="123" spans="11:11" x14ac:dyDescent="0.3">
      <c r="K123" s="16"/>
    </row>
  </sheetData>
  <phoneticPr fontId="78" type="noConversion"/>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F04F3-FD34-439B-98A8-BE0BA5C72459}">
  <dimension ref="A2:S98"/>
  <sheetViews>
    <sheetView topLeftCell="A77" zoomScale="72" workbookViewId="0">
      <selection activeCell="K84" sqref="K84:K86"/>
    </sheetView>
  </sheetViews>
  <sheetFormatPr defaultColWidth="8.6640625" defaultRowHeight="14.4" x14ac:dyDescent="0.3"/>
  <cols>
    <col min="1" max="1" width="10.6640625" customWidth="1"/>
    <col min="2" max="2" width="18.33203125" customWidth="1"/>
    <col min="3" max="3" width="11.6640625" customWidth="1"/>
    <col min="4" max="4" width="16.6640625" customWidth="1"/>
    <col min="5" max="5" width="12.33203125" customWidth="1"/>
    <col min="6" max="7" width="14.6640625" customWidth="1"/>
    <col min="8" max="8" width="11.33203125" customWidth="1"/>
    <col min="9" max="9" width="12.3320312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6640625" customWidth="1"/>
  </cols>
  <sheetData>
    <row r="2" spans="1:19" ht="21" x14ac:dyDescent="0.4">
      <c r="A2" s="2" t="s">
        <v>529</v>
      </c>
    </row>
    <row r="4" spans="1:19" ht="18" x14ac:dyDescent="0.35">
      <c r="A4" s="239" t="s">
        <v>373</v>
      </c>
      <c r="B4" s="106"/>
      <c r="C4" s="106"/>
      <c r="D4" s="106"/>
      <c r="E4" s="106"/>
      <c r="F4" s="106"/>
      <c r="G4" s="106"/>
      <c r="H4" s="106"/>
      <c r="I4" s="106"/>
      <c r="J4" s="106"/>
      <c r="K4" s="106"/>
      <c r="L4" s="106"/>
      <c r="M4" s="106"/>
      <c r="N4" s="106"/>
      <c r="O4" s="106"/>
      <c r="P4" s="106"/>
    </row>
    <row r="6" spans="1:19" ht="18" x14ac:dyDescent="0.35">
      <c r="A6" s="1" t="s">
        <v>530</v>
      </c>
    </row>
    <row r="8" spans="1:19" x14ac:dyDescent="0.3">
      <c r="A8" s="240" t="s">
        <v>355</v>
      </c>
      <c r="B8" s="241"/>
      <c r="C8" s="241"/>
      <c r="D8" s="241"/>
      <c r="E8" s="242" t="s">
        <v>82</v>
      </c>
      <c r="F8" s="242" t="s">
        <v>83</v>
      </c>
      <c r="G8" s="243"/>
      <c r="H8" s="242" t="s">
        <v>84</v>
      </c>
      <c r="I8" s="244"/>
      <c r="J8" s="245" t="s">
        <v>85</v>
      </c>
      <c r="K8" s="244"/>
      <c r="L8" s="244"/>
      <c r="M8" s="244"/>
      <c r="N8" s="245" t="s">
        <v>86</v>
      </c>
      <c r="O8" s="245" t="s">
        <v>87</v>
      </c>
      <c r="P8" s="245" t="s">
        <v>88</v>
      </c>
    </row>
    <row r="9" spans="1:19" ht="43.2" x14ac:dyDescent="0.3">
      <c r="A9" s="246" t="s">
        <v>44</v>
      </c>
      <c r="B9" s="246" t="s">
        <v>355</v>
      </c>
      <c r="C9" s="246" t="s">
        <v>93</v>
      </c>
      <c r="D9" s="247" t="s">
        <v>438</v>
      </c>
      <c r="E9" s="248"/>
      <c r="F9" s="46" t="s">
        <v>8</v>
      </c>
      <c r="G9" s="46" t="s">
        <v>9</v>
      </c>
      <c r="H9" s="46" t="s">
        <v>95</v>
      </c>
      <c r="I9" s="46" t="s">
        <v>358</v>
      </c>
      <c r="J9" s="46" t="s">
        <v>97</v>
      </c>
      <c r="K9" s="46" t="s">
        <v>98</v>
      </c>
      <c r="L9" s="46" t="s">
        <v>99</v>
      </c>
      <c r="M9" s="46" t="s">
        <v>100</v>
      </c>
      <c r="N9" s="46" t="s">
        <v>101</v>
      </c>
      <c r="O9" s="46"/>
      <c r="P9" s="46"/>
      <c r="R9" s="249" t="s">
        <v>531</v>
      </c>
    </row>
    <row r="10" spans="1:19" ht="18" customHeight="1" x14ac:dyDescent="0.3">
      <c r="A10" t="s">
        <v>532</v>
      </c>
      <c r="B10" t="s">
        <v>533</v>
      </c>
      <c r="C10" t="s">
        <v>113</v>
      </c>
      <c r="D10" t="s">
        <v>534</v>
      </c>
      <c r="E10" s="4">
        <f t="shared" ref="E10:E20" si="0">SUM(F10:P10)</f>
        <v>1.2947363945588042</v>
      </c>
      <c r="F10" s="4">
        <v>6.3780206352419501E-3</v>
      </c>
      <c r="G10" s="4">
        <v>3.01313E-2</v>
      </c>
      <c r="H10" s="4">
        <v>0.36167247211622844</v>
      </c>
      <c r="I10" s="4">
        <v>4.3198581779485433E-3</v>
      </c>
      <c r="J10" s="4">
        <v>5.168680555007258E-2</v>
      </c>
      <c r="K10" s="4">
        <v>0</v>
      </c>
      <c r="L10" s="4">
        <v>8.3348896151578009E-5</v>
      </c>
      <c r="M10" s="4">
        <v>3.9645293683161227E-2</v>
      </c>
      <c r="N10" s="4">
        <v>0.80081929549999997</v>
      </c>
      <c r="O10" s="4">
        <v>0</v>
      </c>
      <c r="P10" s="4">
        <v>0</v>
      </c>
      <c r="R10" s="119" t="s">
        <v>535</v>
      </c>
      <c r="S10" s="6"/>
    </row>
    <row r="11" spans="1:19" x14ac:dyDescent="0.3">
      <c r="A11" t="s">
        <v>532</v>
      </c>
      <c r="B11" t="s">
        <v>533</v>
      </c>
      <c r="C11" t="s">
        <v>109</v>
      </c>
      <c r="D11" t="s">
        <v>534</v>
      </c>
      <c r="E11" s="4">
        <f t="shared" si="0"/>
        <v>0.92073417828065618</v>
      </c>
      <c r="F11" s="4">
        <v>3.8012291590112874E-3</v>
      </c>
      <c r="G11" s="4">
        <v>2.7E-2</v>
      </c>
      <c r="H11" s="4"/>
      <c r="I11" s="4"/>
      <c r="J11" s="4">
        <v>5.0646723842195554E-2</v>
      </c>
      <c r="K11" s="4"/>
      <c r="L11" s="4">
        <v>7.5028151531290012E-5</v>
      </c>
      <c r="M11" s="4">
        <v>3.8391901627918008E-2</v>
      </c>
      <c r="N11" s="4">
        <v>0.80081929549999997</v>
      </c>
      <c r="O11" s="4"/>
      <c r="P11" s="4"/>
    </row>
    <row r="12" spans="1:19" x14ac:dyDescent="0.3">
      <c r="A12" t="s">
        <v>532</v>
      </c>
      <c r="B12" t="s">
        <v>533</v>
      </c>
      <c r="C12" t="s">
        <v>110</v>
      </c>
      <c r="D12" t="s">
        <v>534</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
      <c r="A13" t="s">
        <v>532</v>
      </c>
      <c r="B13" t="s">
        <v>533</v>
      </c>
      <c r="C13" t="s">
        <v>440</v>
      </c>
      <c r="D13" t="s">
        <v>534</v>
      </c>
      <c r="E13" s="4">
        <f t="shared" si="0"/>
        <v>0</v>
      </c>
      <c r="F13" s="4"/>
      <c r="G13" s="4"/>
      <c r="H13" s="4"/>
      <c r="I13" s="4"/>
      <c r="J13" s="4"/>
      <c r="K13" s="4"/>
      <c r="L13" s="4"/>
      <c r="M13" s="4"/>
      <c r="N13" s="4"/>
      <c r="O13" s="4"/>
      <c r="P13" s="4"/>
    </row>
    <row r="14" spans="1:19" x14ac:dyDescent="0.3">
      <c r="A14" t="s">
        <v>532</v>
      </c>
      <c r="B14" t="s">
        <v>533</v>
      </c>
      <c r="C14" t="s">
        <v>112</v>
      </c>
      <c r="D14" t="s">
        <v>534</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
      <c r="E15" s="4"/>
      <c r="F15" s="4"/>
      <c r="G15" s="4"/>
      <c r="H15" s="4"/>
      <c r="I15" s="4"/>
      <c r="J15" s="4"/>
      <c r="K15" s="4"/>
      <c r="L15" s="4"/>
      <c r="M15" s="4"/>
      <c r="N15" s="4"/>
      <c r="O15" s="4"/>
      <c r="P15" s="4"/>
    </row>
    <row r="16" spans="1:19" x14ac:dyDescent="0.3">
      <c r="A16" t="s">
        <v>532</v>
      </c>
      <c r="B16" t="s">
        <v>533</v>
      </c>
      <c r="C16" t="s">
        <v>113</v>
      </c>
      <c r="D16" t="s">
        <v>536</v>
      </c>
      <c r="E16" s="4">
        <v>0.52633119479302792</v>
      </c>
      <c r="F16" s="4">
        <v>2.4370510521528055E-2</v>
      </c>
      <c r="G16" s="4">
        <v>3.01313E-2</v>
      </c>
      <c r="H16" s="4">
        <v>0.36711611109208486</v>
      </c>
      <c r="I16" s="4">
        <v>4.8642220755341862E-3</v>
      </c>
      <c r="J16" s="4">
        <v>5.9248812939961648E-2</v>
      </c>
      <c r="K16" s="4">
        <v>0</v>
      </c>
      <c r="L16" s="4">
        <v>4.1674448075789007E-4</v>
      </c>
      <c r="M16" s="4">
        <v>3.9645293683161227E-2</v>
      </c>
      <c r="N16" s="4">
        <v>5.3819999999999996E-4</v>
      </c>
      <c r="O16" s="4">
        <v>0</v>
      </c>
      <c r="P16" s="4">
        <v>0</v>
      </c>
      <c r="R16" s="119" t="s">
        <v>535</v>
      </c>
      <c r="S16" s="6"/>
    </row>
    <row r="17" spans="1:18" x14ac:dyDescent="0.3">
      <c r="A17" t="s">
        <v>532</v>
      </c>
      <c r="B17" t="s">
        <v>533</v>
      </c>
      <c r="C17" t="s">
        <v>109</v>
      </c>
      <c r="D17" t="s">
        <v>536</v>
      </c>
      <c r="E17" s="4">
        <f t="shared" si="0"/>
        <v>0.13888635752648032</v>
      </c>
      <c r="F17" s="4">
        <v>1.4524552445401365E-2</v>
      </c>
      <c r="G17" s="4">
        <v>2.7E-2</v>
      </c>
      <c r="H17" s="4"/>
      <c r="I17" s="4"/>
      <c r="J17" s="4">
        <v>5.8056562695504521E-2</v>
      </c>
      <c r="K17" s="4"/>
      <c r="L17" s="4">
        <v>3.7514075765645005E-4</v>
      </c>
      <c r="M17" s="4">
        <v>3.8391901627918008E-2</v>
      </c>
      <c r="N17" s="250">
        <v>5.3819999999999996E-4</v>
      </c>
      <c r="O17" s="4"/>
      <c r="P17" s="4"/>
    </row>
    <row r="18" spans="1:18" x14ac:dyDescent="0.3">
      <c r="A18" t="s">
        <v>532</v>
      </c>
      <c r="B18" t="s">
        <v>533</v>
      </c>
      <c r="C18" t="s">
        <v>110</v>
      </c>
      <c r="D18" t="s">
        <v>536</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
      <c r="A19" t="s">
        <v>532</v>
      </c>
      <c r="B19" t="s">
        <v>533</v>
      </c>
      <c r="C19" t="s">
        <v>440</v>
      </c>
      <c r="D19" t="s">
        <v>536</v>
      </c>
      <c r="E19" s="4">
        <f t="shared" si="0"/>
        <v>0</v>
      </c>
      <c r="F19" s="4"/>
      <c r="G19" s="4"/>
      <c r="H19" s="4"/>
      <c r="I19" s="4"/>
      <c r="J19" s="4"/>
      <c r="K19" s="4"/>
      <c r="L19" s="4"/>
      <c r="M19" s="4"/>
      <c r="N19" s="4"/>
      <c r="O19" s="4"/>
      <c r="P19" s="4"/>
    </row>
    <row r="20" spans="1:18" x14ac:dyDescent="0.3">
      <c r="A20" t="s">
        <v>532</v>
      </c>
      <c r="B20" t="s">
        <v>533</v>
      </c>
      <c r="C20" t="s">
        <v>112</v>
      </c>
      <c r="D20" t="s">
        <v>536</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
      <c r="E21" s="4"/>
      <c r="F21" s="4"/>
      <c r="G21" s="4"/>
      <c r="H21" s="4"/>
      <c r="I21" s="4"/>
      <c r="J21" s="4"/>
      <c r="K21" s="4"/>
      <c r="L21" s="4"/>
      <c r="M21" s="4"/>
      <c r="N21" s="4"/>
      <c r="O21" s="4"/>
      <c r="P21" s="4"/>
    </row>
    <row r="22" spans="1:18" x14ac:dyDescent="0.3">
      <c r="A22" t="s">
        <v>537</v>
      </c>
      <c r="B22" t="s">
        <v>373</v>
      </c>
      <c r="C22" t="s">
        <v>113</v>
      </c>
      <c r="D22" t="s">
        <v>538</v>
      </c>
      <c r="E22" s="4">
        <v>1.0241565454522199</v>
      </c>
      <c r="F22" s="4">
        <v>1.2186917836524699E-2</v>
      </c>
      <c r="G22" s="4">
        <v>2.3884567073170736E-2</v>
      </c>
      <c r="H22" s="4">
        <v>0.28884913358866082</v>
      </c>
      <c r="I22" s="4">
        <v>3.6400318077827896E-3</v>
      </c>
      <c r="J22" s="4">
        <v>4.3968385377147715E-2</v>
      </c>
      <c r="K22" s="4">
        <v>0</v>
      </c>
      <c r="L22" s="4">
        <v>1.9820774084826478E-4</v>
      </c>
      <c r="M22" s="4">
        <v>3.1426147431774146E-2</v>
      </c>
      <c r="N22" s="4">
        <v>0.31761120248475611</v>
      </c>
      <c r="O22" s="4">
        <v>4.265297238182502E-2</v>
      </c>
      <c r="P22" s="4">
        <v>0.2597389797297297</v>
      </c>
    </row>
    <row r="23" spans="1:18" x14ac:dyDescent="0.3">
      <c r="A23" s="410" t="s">
        <v>537</v>
      </c>
      <c r="B23" s="403" t="s">
        <v>373</v>
      </c>
      <c r="C23" s="403" t="s">
        <v>109</v>
      </c>
      <c r="D23" s="403" t="s">
        <v>538</v>
      </c>
      <c r="E23" s="402">
        <f>SUM(F23:P23)</f>
        <v>0.7061171705997602</v>
      </c>
      <c r="F23" s="402">
        <f>$C$40*(AVERAGE(F11,F17))/$C$39</f>
        <v>7.2632670993098931E-3</v>
      </c>
      <c r="G23" s="402">
        <f t="shared" ref="G23:M23" si="1">$C$40*(AVERAGE(G11,G17))/$C$39</f>
        <v>2.1402439024390246E-2</v>
      </c>
      <c r="H23" s="402"/>
      <c r="I23" s="402"/>
      <c r="J23" s="402">
        <f t="shared" si="1"/>
        <v>4.308361966433235E-2</v>
      </c>
      <c r="K23" s="402"/>
      <c r="L23" s="402">
        <f t="shared" si="1"/>
        <v>1.7842060425123844E-4</v>
      </c>
      <c r="M23" s="402">
        <f t="shared" si="1"/>
        <v>3.0432604948959403E-2</v>
      </c>
      <c r="N23" s="402">
        <f>$C$40*(AVERAGE(N11,N17))/$C$39</f>
        <v>0.31761120248475611</v>
      </c>
      <c r="O23" s="402">
        <v>3.5145616773760872E-2</v>
      </c>
      <c r="P23" s="411">
        <v>0.251</v>
      </c>
      <c r="R23" t="s">
        <v>539</v>
      </c>
    </row>
    <row r="24" spans="1:18" x14ac:dyDescent="0.3">
      <c r="A24" s="179" t="s">
        <v>537</v>
      </c>
      <c r="B24" t="s">
        <v>373</v>
      </c>
      <c r="C24" t="s">
        <v>110</v>
      </c>
      <c r="D24" t="s">
        <v>538</v>
      </c>
      <c r="E24" s="251">
        <f>SUM(F24:P24)</f>
        <v>4.7266553697523981E-4</v>
      </c>
      <c r="F24" s="251">
        <f t="shared" ref="F24:M24" si="2">$C$40*(AVERAGE(F12,F18))/$C$39</f>
        <v>1.5603516238625262E-5</v>
      </c>
      <c r="G24" s="251">
        <f t="shared" si="2"/>
        <v>7.5304878048780503E-5</v>
      </c>
      <c r="H24" s="251"/>
      <c r="I24" s="251"/>
      <c r="J24" s="251">
        <f t="shared" si="2"/>
        <v>1.908459074435586E-5</v>
      </c>
      <c r="K24" s="251"/>
      <c r="L24" s="251">
        <f t="shared" si="2"/>
        <v>5.9672097439024396E-7</v>
      </c>
      <c r="M24" s="251">
        <f t="shared" si="2"/>
        <v>2.3084271612619523E-5</v>
      </c>
      <c r="N24" s="251"/>
      <c r="O24" s="251">
        <v>1.2899155935646844E-4</v>
      </c>
      <c r="P24" s="252">
        <f>4.83/1000/23</f>
        <v>2.1000000000000001E-4</v>
      </c>
      <c r="R24" t="s">
        <v>540</v>
      </c>
    </row>
    <row r="25" spans="1:18" x14ac:dyDescent="0.3">
      <c r="A25" s="179" t="s">
        <v>537</v>
      </c>
      <c r="B25" t="s">
        <v>373</v>
      </c>
      <c r="C25" t="s">
        <v>440</v>
      </c>
      <c r="D25" t="s">
        <v>538</v>
      </c>
      <c r="E25" s="251">
        <f>SUM(F25:P25)</f>
        <v>0</v>
      </c>
      <c r="F25" s="251"/>
      <c r="G25" s="251"/>
      <c r="H25" s="251"/>
      <c r="I25" s="251"/>
      <c r="J25" s="251"/>
      <c r="K25" s="251"/>
      <c r="L25" s="251"/>
      <c r="M25" s="251"/>
      <c r="N25" s="251"/>
      <c r="O25" s="251"/>
      <c r="P25" s="252"/>
    </row>
    <row r="26" spans="1:18" x14ac:dyDescent="0.3">
      <c r="A26" s="211" t="s">
        <v>537</v>
      </c>
      <c r="B26" s="212" t="s">
        <v>373</v>
      </c>
      <c r="C26" s="212" t="s">
        <v>112</v>
      </c>
      <c r="D26" s="212" t="s">
        <v>538</v>
      </c>
      <c r="E26" s="253">
        <f>SUM(F26:P26)</f>
        <v>1.8866346644602505E-4</v>
      </c>
      <c r="F26" s="253">
        <f t="shared" ref="F26:M26" si="3">$C$40*(AVERAGE(F14,F20))/$C$39</f>
        <v>1.6332109719061441E-5</v>
      </c>
      <c r="G26" s="253">
        <f t="shared" si="3"/>
        <v>8.7195121951219526E-7</v>
      </c>
      <c r="H26" s="253">
        <f t="shared" si="3"/>
        <v>1.3333449845358202E-4</v>
      </c>
      <c r="I26" s="253">
        <f t="shared" si="3"/>
        <v>1.3333449845358203E-5</v>
      </c>
      <c r="J26" s="253">
        <f t="shared" si="3"/>
        <v>1.1576736579983931E-6</v>
      </c>
      <c r="K26" s="253"/>
      <c r="L26" s="253">
        <f t="shared" si="3"/>
        <v>7.3437786087804866E-9</v>
      </c>
      <c r="M26" s="253">
        <f t="shared" si="3"/>
        <v>1.1195281639512197E-6</v>
      </c>
      <c r="N26" s="253"/>
      <c r="O26" s="253">
        <v>1.3419073770114991E-5</v>
      </c>
      <c r="P26" s="254">
        <f>2.69/1000/296</f>
        <v>9.087837837837838E-6</v>
      </c>
      <c r="R26" t="s">
        <v>540</v>
      </c>
    </row>
    <row r="29" spans="1:18" ht="18" x14ac:dyDescent="0.35">
      <c r="A29" s="1" t="s">
        <v>541</v>
      </c>
    </row>
    <row r="31" spans="1:18" x14ac:dyDescent="0.3">
      <c r="A31" s="143" t="s">
        <v>355</v>
      </c>
      <c r="B31" s="144"/>
      <c r="C31" s="144"/>
      <c r="D31" s="144"/>
      <c r="E31" s="144"/>
      <c r="F31" s="145" t="s">
        <v>34</v>
      </c>
      <c r="G31" s="145" t="s">
        <v>35</v>
      </c>
      <c r="H31" s="145" t="s">
        <v>36</v>
      </c>
      <c r="I31" s="145" t="s">
        <v>37</v>
      </c>
      <c r="J31" s="146" t="s">
        <v>38</v>
      </c>
      <c r="K31" s="146" t="s">
        <v>39</v>
      </c>
      <c r="L31" s="146" t="s">
        <v>40</v>
      </c>
      <c r="M31" s="255"/>
      <c r="N31" s="256"/>
      <c r="O31" s="256"/>
      <c r="P31" s="257"/>
    </row>
    <row r="32" spans="1:18" ht="43.2" x14ac:dyDescent="0.3">
      <c r="A32" s="148" t="s">
        <v>44</v>
      </c>
      <c r="B32" s="148" t="s">
        <v>355</v>
      </c>
      <c r="C32" s="148" t="s">
        <v>357</v>
      </c>
      <c r="D32" s="148" t="s">
        <v>47</v>
      </c>
      <c r="E32" s="136" t="s">
        <v>48</v>
      </c>
      <c r="F32" s="152" t="s">
        <v>55</v>
      </c>
      <c r="G32" s="152" t="s">
        <v>384</v>
      </c>
      <c r="H32" s="152" t="s">
        <v>385</v>
      </c>
      <c r="I32" s="153" t="s">
        <v>58</v>
      </c>
      <c r="J32" s="154" t="s">
        <v>59</v>
      </c>
      <c r="K32" s="155" t="s">
        <v>60</v>
      </c>
      <c r="L32" s="155" t="s">
        <v>61</v>
      </c>
      <c r="M32" s="256"/>
    </row>
    <row r="33" spans="1:18" x14ac:dyDescent="0.3">
      <c r="A33" s="70" t="s">
        <v>532</v>
      </c>
      <c r="B33" s="15" t="s">
        <v>533</v>
      </c>
      <c r="C33" s="15" t="s">
        <v>542</v>
      </c>
      <c r="D33" t="s">
        <v>534</v>
      </c>
      <c r="E33" t="s">
        <v>543</v>
      </c>
      <c r="F33">
        <v>2.9987165493168901</v>
      </c>
      <c r="G33">
        <v>7.5567657042785605E-2</v>
      </c>
      <c r="H33">
        <v>6.5971764084971603E-3</v>
      </c>
      <c r="I33">
        <v>8.3191495512068404E-4</v>
      </c>
      <c r="J33">
        <v>0.33775822794753002</v>
      </c>
      <c r="K33" s="42">
        <v>3.3104588739787198E-10</v>
      </c>
      <c r="L33">
        <v>5.4691734366476702E-5</v>
      </c>
      <c r="N33" t="s">
        <v>544</v>
      </c>
    </row>
    <row r="34" spans="1:18" x14ac:dyDescent="0.3">
      <c r="A34" s="70" t="s">
        <v>532</v>
      </c>
      <c r="B34" s="15" t="s">
        <v>533</v>
      </c>
      <c r="C34" s="15" t="s">
        <v>542</v>
      </c>
      <c r="D34" t="s">
        <v>536</v>
      </c>
      <c r="E34" t="s">
        <v>545</v>
      </c>
      <c r="F34">
        <v>3.43744199316636</v>
      </c>
      <c r="G34">
        <v>3.1968210536447099E-2</v>
      </c>
      <c r="H34">
        <v>1.7187209965831801E-3</v>
      </c>
      <c r="I34">
        <v>5.3124997988455601E-3</v>
      </c>
      <c r="J34">
        <v>0.31624466337130502</v>
      </c>
      <c r="K34" s="42">
        <v>3.6158592458834303E-11</v>
      </c>
      <c r="L34">
        <v>2.0897792027420699E-4</v>
      </c>
      <c r="N34" t="s">
        <v>546</v>
      </c>
    </row>
    <row r="36" spans="1:18" x14ac:dyDescent="0.3">
      <c r="A36" s="412" t="s">
        <v>537</v>
      </c>
      <c r="B36" s="413" t="s">
        <v>373</v>
      </c>
      <c r="C36" s="413" t="s">
        <v>547</v>
      </c>
      <c r="D36" s="413" t="s">
        <v>538</v>
      </c>
      <c r="E36" s="413"/>
      <c r="F36" s="414">
        <f>$C$40*AVERAGE(F33:F34)/$C$39</f>
        <v>2.5509164954964105</v>
      </c>
      <c r="G36" s="414">
        <f t="shared" ref="G36:L36" si="4">$C$40*AVERAGE(G33:G34)/$C$39</f>
        <v>4.2620923125915401E-2</v>
      </c>
      <c r="H36" s="415">
        <f t="shared" si="4"/>
        <v>3.2959349471355006E-3</v>
      </c>
      <c r="I36" s="415">
        <f t="shared" si="4"/>
        <v>2.435286335413451E-3</v>
      </c>
      <c r="J36" s="414">
        <f t="shared" si="4"/>
        <v>0.25920846302270906</v>
      </c>
      <c r="K36" s="416">
        <f t="shared" si="4"/>
        <v>1.4553836091881654E-10</v>
      </c>
      <c r="L36" s="416">
        <f t="shared" si="4"/>
        <v>1.0450321677831977E-4</v>
      </c>
    </row>
    <row r="38" spans="1:18" x14ac:dyDescent="0.3">
      <c r="A38" s="106" t="s">
        <v>548</v>
      </c>
      <c r="B38" s="106"/>
      <c r="C38" s="106"/>
      <c r="D38" s="106"/>
      <c r="E38" s="106"/>
      <c r="F38" s="106"/>
      <c r="G38" s="106"/>
      <c r="H38" s="106"/>
      <c r="I38" s="106"/>
      <c r="J38" s="106"/>
      <c r="K38" s="106"/>
      <c r="L38" s="106"/>
      <c r="M38" s="106"/>
      <c r="N38" s="106"/>
      <c r="O38" s="106"/>
      <c r="P38" s="106"/>
    </row>
    <row r="39" spans="1:18" x14ac:dyDescent="0.3">
      <c r="A39" t="s">
        <v>549</v>
      </c>
      <c r="C39">
        <v>0.82</v>
      </c>
      <c r="R39" t="s">
        <v>550</v>
      </c>
    </row>
    <row r="40" spans="1:18" x14ac:dyDescent="0.3">
      <c r="A40" t="s">
        <v>551</v>
      </c>
      <c r="C40">
        <v>0.65</v>
      </c>
      <c r="R40" t="s">
        <v>550</v>
      </c>
    </row>
    <row r="42" spans="1:18" x14ac:dyDescent="0.3">
      <c r="A42" t="s">
        <v>552</v>
      </c>
    </row>
    <row r="43" spans="1:18" x14ac:dyDescent="0.3">
      <c r="A43" t="s">
        <v>553</v>
      </c>
      <c r="C43">
        <v>0.16600000000000001</v>
      </c>
      <c r="D43" t="s">
        <v>554</v>
      </c>
      <c r="R43" t="s">
        <v>555</v>
      </c>
    </row>
    <row r="44" spans="1:18" x14ac:dyDescent="0.3">
      <c r="A44" t="s">
        <v>556</v>
      </c>
      <c r="C44">
        <v>0.97299999999999998</v>
      </c>
      <c r="D44" t="s">
        <v>554</v>
      </c>
      <c r="R44" t="s">
        <v>555</v>
      </c>
    </row>
    <row r="46" spans="1:18" x14ac:dyDescent="0.3">
      <c r="A46" t="s">
        <v>557</v>
      </c>
      <c r="R46" t="s">
        <v>558</v>
      </c>
    </row>
    <row r="49" spans="1:18" ht="18" x14ac:dyDescent="0.35">
      <c r="A49" s="239" t="s">
        <v>559</v>
      </c>
      <c r="B49" s="106"/>
      <c r="C49" s="106"/>
      <c r="D49" s="106"/>
      <c r="E49" s="106"/>
      <c r="F49" s="106"/>
      <c r="G49" s="106"/>
      <c r="H49" s="106"/>
      <c r="I49" s="106"/>
      <c r="J49" s="106"/>
      <c r="K49" s="106"/>
      <c r="L49" s="106"/>
      <c r="M49" s="106"/>
      <c r="N49" s="106"/>
      <c r="O49" s="106"/>
      <c r="P49" s="106"/>
    </row>
    <row r="51" spans="1:18" ht="18" x14ac:dyDescent="0.35">
      <c r="A51" s="1" t="s">
        <v>530</v>
      </c>
    </row>
    <row r="53" spans="1:18" x14ac:dyDescent="0.3">
      <c r="A53" s="240" t="s">
        <v>355</v>
      </c>
      <c r="B53" s="241"/>
      <c r="C53" s="241"/>
      <c r="D53" s="241"/>
      <c r="E53" s="242" t="s">
        <v>82</v>
      </c>
      <c r="F53" s="242" t="s">
        <v>83</v>
      </c>
      <c r="G53" s="243"/>
      <c r="H53" s="242" t="s">
        <v>84</v>
      </c>
      <c r="I53" s="244"/>
      <c r="J53" s="245" t="s">
        <v>85</v>
      </c>
      <c r="K53" s="244"/>
      <c r="L53" s="244"/>
      <c r="M53" s="244"/>
      <c r="N53" s="245" t="s">
        <v>86</v>
      </c>
      <c r="O53" s="245" t="s">
        <v>87</v>
      </c>
      <c r="P53" s="245" t="s">
        <v>88</v>
      </c>
    </row>
    <row r="54" spans="1:18" ht="43.2" x14ac:dyDescent="0.3">
      <c r="A54" s="246" t="s">
        <v>44</v>
      </c>
      <c r="B54" s="246" t="s">
        <v>355</v>
      </c>
      <c r="C54" s="246" t="s">
        <v>93</v>
      </c>
      <c r="D54" s="247" t="s">
        <v>438</v>
      </c>
      <c r="E54" s="248"/>
      <c r="F54" s="46" t="s">
        <v>8</v>
      </c>
      <c r="G54" s="46" t="s">
        <v>9</v>
      </c>
      <c r="H54" s="46" t="s">
        <v>95</v>
      </c>
      <c r="I54" s="46" t="s">
        <v>358</v>
      </c>
      <c r="J54" s="46" t="s">
        <v>97</v>
      </c>
      <c r="K54" s="46" t="s">
        <v>98</v>
      </c>
      <c r="L54" s="46" t="s">
        <v>99</v>
      </c>
      <c r="M54" s="46" t="s">
        <v>100</v>
      </c>
      <c r="N54" s="46" t="s">
        <v>101</v>
      </c>
      <c r="O54" s="46"/>
      <c r="P54" s="46"/>
      <c r="R54" s="249" t="s">
        <v>531</v>
      </c>
    </row>
    <row r="55" spans="1:18" x14ac:dyDescent="0.3">
      <c r="A55" t="s">
        <v>560</v>
      </c>
      <c r="B55" t="s">
        <v>561</v>
      </c>
      <c r="C55" t="s">
        <v>113</v>
      </c>
      <c r="D55" t="s">
        <v>28</v>
      </c>
      <c r="E55" s="4">
        <f t="shared" ref="E55:E59" si="5">SUM(F55:P55)</f>
        <v>1.6947107071173246</v>
      </c>
      <c r="F55" s="4">
        <v>0.54718153809761028</v>
      </c>
      <c r="G55" s="4">
        <v>3.01313E-2</v>
      </c>
      <c r="H55" s="4">
        <v>0.93617948957863406</v>
      </c>
      <c r="I55" s="4">
        <v>6.0825760565840097E-2</v>
      </c>
      <c r="J55" s="4">
        <v>4.9915761667236082E-2</v>
      </c>
      <c r="K55" s="4">
        <v>0</v>
      </c>
      <c r="L55" s="4">
        <v>1.0835356499705141E-3</v>
      </c>
      <c r="M55" s="4">
        <v>6.9393321558033794E-2</v>
      </c>
      <c r="N55" s="4">
        <v>0</v>
      </c>
      <c r="O55" s="4">
        <v>0</v>
      </c>
      <c r="P55" s="4">
        <v>0</v>
      </c>
      <c r="R55" s="119"/>
    </row>
    <row r="56" spans="1:18" x14ac:dyDescent="0.3">
      <c r="A56" t="s">
        <v>560</v>
      </c>
      <c r="B56" t="s">
        <v>561</v>
      </c>
      <c r="C56" t="s">
        <v>109</v>
      </c>
      <c r="D56" t="s">
        <v>28</v>
      </c>
      <c r="E56" s="4">
        <f t="shared" si="5"/>
        <v>0.47425566700327737</v>
      </c>
      <c r="F56" s="4">
        <v>0.32956752885768148</v>
      </c>
      <c r="G56" s="4">
        <v>2.7E-2</v>
      </c>
      <c r="H56" s="4"/>
      <c r="I56" s="4"/>
      <c r="J56" s="4">
        <v>4.891131826833911E-2</v>
      </c>
      <c r="K56" s="4"/>
      <c r="L56" s="4">
        <v>9.7536596990677009E-4</v>
      </c>
      <c r="M56" s="4">
        <v>6.7801453907350012E-2</v>
      </c>
      <c r="N56" s="5"/>
      <c r="O56" s="4"/>
      <c r="P56" s="4"/>
    </row>
    <row r="57" spans="1:18" x14ac:dyDescent="0.3">
      <c r="A57" t="s">
        <v>560</v>
      </c>
      <c r="B57" t="s">
        <v>561</v>
      </c>
      <c r="C57" t="s">
        <v>110</v>
      </c>
      <c r="D57" t="s">
        <v>28</v>
      </c>
      <c r="E57" s="4">
        <f t="shared" si="5"/>
        <v>7.8066436125071416E-4</v>
      </c>
      <c r="F57" s="33">
        <v>6.3024269760943272E-4</v>
      </c>
      <c r="G57" s="33">
        <v>9.5000000000000005E-5</v>
      </c>
      <c r="H57" s="33"/>
      <c r="I57" s="33"/>
      <c r="J57" s="33">
        <v>2.1666064717653378E-5</v>
      </c>
      <c r="K57" s="33"/>
      <c r="L57" s="33">
        <v>3.2620746600000001E-6</v>
      </c>
      <c r="M57" s="33">
        <v>3.0493524263628008E-5</v>
      </c>
      <c r="N57" s="33"/>
      <c r="O57" s="33"/>
      <c r="P57" s="33"/>
    </row>
    <row r="58" spans="1:18" x14ac:dyDescent="0.3">
      <c r="A58" t="s">
        <v>560</v>
      </c>
      <c r="B58" t="s">
        <v>561</v>
      </c>
      <c r="C58" t="s">
        <v>440</v>
      </c>
      <c r="D58" t="s">
        <v>28</v>
      </c>
      <c r="E58" s="4">
        <f t="shared" si="5"/>
        <v>0</v>
      </c>
      <c r="F58" s="33"/>
      <c r="G58" s="33"/>
      <c r="H58" s="33"/>
      <c r="I58" s="33"/>
      <c r="J58" s="33"/>
      <c r="K58" s="33"/>
      <c r="L58" s="33"/>
      <c r="M58" s="33"/>
      <c r="N58" s="33"/>
      <c r="O58" s="33"/>
      <c r="P58" s="33"/>
    </row>
    <row r="59" spans="1:18" x14ac:dyDescent="0.3">
      <c r="A59" t="s">
        <v>560</v>
      </c>
      <c r="B59" t="s">
        <v>561</v>
      </c>
      <c r="C59" t="s">
        <v>112</v>
      </c>
      <c r="D59" t="s">
        <v>28</v>
      </c>
      <c r="E59" s="4">
        <f t="shared" si="5"/>
        <v>3.1841368433279966E-3</v>
      </c>
      <c r="F59" s="33">
        <v>7.2832518993101725E-4</v>
      </c>
      <c r="G59" s="33">
        <v>1.1000000000000001E-6</v>
      </c>
      <c r="H59" s="33">
        <v>2.2280498375765604E-3</v>
      </c>
      <c r="I59" s="33">
        <v>2.2280498375765604E-4</v>
      </c>
      <c r="J59" s="33">
        <v>1.314266191615013E-6</v>
      </c>
      <c r="K59" s="33"/>
      <c r="L59" s="33">
        <v>4.014598972799999E-8</v>
      </c>
      <c r="M59" s="33">
        <v>2.50241988142E-6</v>
      </c>
      <c r="N59" s="33"/>
      <c r="O59" s="33"/>
      <c r="P59" s="33"/>
    </row>
    <row r="60" spans="1:18" x14ac:dyDescent="0.3">
      <c r="E60" s="4"/>
      <c r="F60" s="4"/>
      <c r="G60" s="4"/>
      <c r="H60" s="4"/>
      <c r="I60" s="4"/>
      <c r="J60" s="4"/>
      <c r="K60" s="4"/>
      <c r="L60" s="4"/>
      <c r="M60" s="4"/>
      <c r="N60" s="4"/>
      <c r="O60" s="4"/>
      <c r="P60" s="4"/>
    </row>
    <row r="61" spans="1:18" x14ac:dyDescent="0.3">
      <c r="A61" t="s">
        <v>560</v>
      </c>
      <c r="B61" t="s">
        <v>561</v>
      </c>
      <c r="C61" t="s">
        <v>113</v>
      </c>
      <c r="D61" t="s">
        <v>25</v>
      </c>
      <c r="E61" s="4">
        <v>1.7006813867746986</v>
      </c>
      <c r="F61" s="4">
        <v>0.54718153809761017</v>
      </c>
      <c r="G61" s="4">
        <v>3.01313E-2</v>
      </c>
      <c r="H61" s="4">
        <v>0.93617948957863384</v>
      </c>
      <c r="I61" s="4">
        <v>6.082576056584009E-2</v>
      </c>
      <c r="J61" s="4">
        <v>4.8839231914042686E-2</v>
      </c>
      <c r="K61" s="4">
        <v>0</v>
      </c>
      <c r="L61" s="4">
        <v>1.6669779230315599E-4</v>
      </c>
      <c r="M61" s="4">
        <v>7.735736882626848E-2</v>
      </c>
      <c r="N61" s="4">
        <v>0</v>
      </c>
      <c r="O61" s="4">
        <v>0</v>
      </c>
      <c r="P61" s="4">
        <v>0</v>
      </c>
      <c r="R61" s="119"/>
    </row>
    <row r="62" spans="1:18" x14ac:dyDescent="0.3">
      <c r="A62" t="s">
        <v>560</v>
      </c>
      <c r="B62" t="s">
        <v>561</v>
      </c>
      <c r="C62" t="s">
        <v>109</v>
      </c>
      <c r="D62" t="s">
        <v>25</v>
      </c>
      <c r="E62" s="4">
        <f t="shared" ref="E62:E65" si="6">SUM(F62:P62)</f>
        <v>0.47990330436934509</v>
      </c>
      <c r="F62" s="4">
        <v>0.32956752885768148</v>
      </c>
      <c r="G62" s="4">
        <v>2.7E-2</v>
      </c>
      <c r="H62" s="4"/>
      <c r="I62" s="4"/>
      <c r="J62" s="4">
        <v>4.7856451275928968E-2</v>
      </c>
      <c r="K62" s="4"/>
      <c r="L62" s="4">
        <v>1.5005630306258E-4</v>
      </c>
      <c r="M62" s="4">
        <v>7.5329267932672014E-2</v>
      </c>
      <c r="N62" s="5"/>
      <c r="O62" s="4"/>
      <c r="P62" s="4"/>
    </row>
    <row r="63" spans="1:18" x14ac:dyDescent="0.3">
      <c r="A63" t="s">
        <v>560</v>
      </c>
      <c r="B63" t="s">
        <v>561</v>
      </c>
      <c r="C63" t="s">
        <v>110</v>
      </c>
      <c r="D63" t="s">
        <v>25</v>
      </c>
      <c r="E63" s="4">
        <f t="shared" si="6"/>
        <v>7.8976797080013996E-4</v>
      </c>
      <c r="F63" s="251">
        <v>6.302426976094325E-4</v>
      </c>
      <c r="G63" s="251">
        <v>9.5000000000000005E-5</v>
      </c>
      <c r="H63" s="251"/>
      <c r="I63" s="251"/>
      <c r="J63" s="251">
        <v>2.1198794209819431E-5</v>
      </c>
      <c r="K63" s="251"/>
      <c r="L63" s="251">
        <v>5.0185763999999998E-7</v>
      </c>
      <c r="M63" s="251">
        <v>4.2824621340888011E-5</v>
      </c>
      <c r="N63" s="251"/>
      <c r="O63" s="251"/>
      <c r="P63" s="251"/>
    </row>
    <row r="64" spans="1:18" x14ac:dyDescent="0.3">
      <c r="A64" t="s">
        <v>560</v>
      </c>
      <c r="B64" t="s">
        <v>561</v>
      </c>
      <c r="C64" t="s">
        <v>440</v>
      </c>
      <c r="D64" t="s">
        <v>25</v>
      </c>
      <c r="E64" s="4">
        <f t="shared" si="6"/>
        <v>0</v>
      </c>
      <c r="F64" s="251"/>
      <c r="G64" s="251"/>
      <c r="H64" s="251"/>
      <c r="I64" s="251"/>
      <c r="J64" s="251"/>
      <c r="K64" s="251"/>
      <c r="L64" s="251"/>
      <c r="M64" s="251"/>
      <c r="N64" s="251"/>
      <c r="O64" s="251"/>
      <c r="P64" s="251"/>
    </row>
    <row r="65" spans="1:18" x14ac:dyDescent="0.3">
      <c r="A65" t="s">
        <v>560</v>
      </c>
      <c r="B65" t="s">
        <v>561</v>
      </c>
      <c r="C65" t="s">
        <v>112</v>
      </c>
      <c r="D65" t="s">
        <v>25</v>
      </c>
      <c r="E65" s="4">
        <f t="shared" si="6"/>
        <v>3.1843264210815983E-3</v>
      </c>
      <c r="F65" s="251">
        <v>7.2832518993101714E-4</v>
      </c>
      <c r="G65" s="251">
        <v>1.1000000000000001E-6</v>
      </c>
      <c r="H65" s="251">
        <v>2.2280498375765599E-3</v>
      </c>
      <c r="I65" s="251">
        <v>2.2280498375765602E-4</v>
      </c>
      <c r="J65" s="251">
        <v>1.2859215042530965E-6</v>
      </c>
      <c r="K65" s="251"/>
      <c r="L65" s="251">
        <v>6.1763061119999986E-9</v>
      </c>
      <c r="M65" s="251">
        <v>2.7543120060000002E-6</v>
      </c>
      <c r="N65" s="251"/>
      <c r="O65" s="251"/>
      <c r="P65" s="251"/>
    </row>
    <row r="66" spans="1:18" x14ac:dyDescent="0.3">
      <c r="E66" s="4"/>
      <c r="F66" s="4"/>
      <c r="G66" s="4"/>
      <c r="H66" s="4"/>
      <c r="I66" s="4"/>
      <c r="J66" s="4"/>
      <c r="K66" s="4"/>
      <c r="L66" s="4"/>
      <c r="M66" s="4"/>
      <c r="N66" s="4"/>
      <c r="O66" s="4"/>
      <c r="P66" s="4"/>
    </row>
    <row r="67" spans="1:18" x14ac:dyDescent="0.3">
      <c r="A67" t="s">
        <v>560</v>
      </c>
      <c r="B67" t="s">
        <v>561</v>
      </c>
      <c r="C67" t="s">
        <v>113</v>
      </c>
      <c r="D67" t="s">
        <v>22</v>
      </c>
      <c r="E67" s="4">
        <v>1.7203907895677788</v>
      </c>
      <c r="F67" s="4">
        <v>0.54718153809761028</v>
      </c>
      <c r="G67" s="4">
        <v>3.01313E-2</v>
      </c>
      <c r="H67" s="4">
        <v>0.93617948957863417</v>
      </c>
      <c r="I67" s="4">
        <v>6.0825760565840117E-2</v>
      </c>
      <c r="J67" s="4">
        <v>5.7818585001554686E-2</v>
      </c>
      <c r="K67" s="4">
        <v>0</v>
      </c>
      <c r="L67" s="4">
        <v>8.3348896151578009E-5</v>
      </c>
      <c r="M67" s="4">
        <v>8.8170767427988142E-2</v>
      </c>
      <c r="N67" s="4"/>
      <c r="O67" s="4">
        <v>0</v>
      </c>
      <c r="P67" s="4">
        <v>0</v>
      </c>
      <c r="R67" s="119"/>
    </row>
    <row r="68" spans="1:18" x14ac:dyDescent="0.3">
      <c r="A68" t="s">
        <v>560</v>
      </c>
      <c r="B68" t="s">
        <v>561</v>
      </c>
      <c r="C68" t="s">
        <v>109</v>
      </c>
      <c r="D68" t="s">
        <v>22</v>
      </c>
      <c r="E68" s="4">
        <f t="shared" ref="E68:E71" si="7">SUM(F68:P68)</f>
        <v>0.49886589312660717</v>
      </c>
      <c r="F68" s="4">
        <v>0.32956752885768148</v>
      </c>
      <c r="G68" s="4">
        <v>2.7E-2</v>
      </c>
      <c r="H68" s="4"/>
      <c r="I68" s="4"/>
      <c r="J68" s="4">
        <v>5.6655114905164373E-2</v>
      </c>
      <c r="K68" s="4"/>
      <c r="L68" s="4">
        <v>7.5028151531290012E-5</v>
      </c>
      <c r="M68" s="4">
        <v>8.5568221212230011E-2</v>
      </c>
      <c r="N68" s="5"/>
      <c r="O68" s="4"/>
      <c r="P68" s="4"/>
    </row>
    <row r="69" spans="1:18" x14ac:dyDescent="0.3">
      <c r="A69" t="s">
        <v>560</v>
      </c>
      <c r="B69" t="s">
        <v>561</v>
      </c>
      <c r="C69" t="s">
        <v>110</v>
      </c>
      <c r="D69" t="s">
        <v>22</v>
      </c>
      <c r="E69" s="4">
        <f t="shared" si="7"/>
        <v>8.1326994831193466E-4</v>
      </c>
      <c r="F69" s="4">
        <v>6.3024269760943261E-4</v>
      </c>
      <c r="G69" s="4">
        <v>9.5000000000000005E-5</v>
      </c>
      <c r="H69" s="4"/>
      <c r="I69" s="4"/>
      <c r="J69" s="4">
        <v>2.5096305509229163E-5</v>
      </c>
      <c r="K69" s="4"/>
      <c r="L69" s="4">
        <v>2.5092882000000005E-7</v>
      </c>
      <c r="M69" s="4">
        <v>6.2680016373272817E-5</v>
      </c>
      <c r="N69" s="4"/>
      <c r="O69" s="4"/>
      <c r="P69" s="4"/>
    </row>
    <row r="70" spans="1:18" x14ac:dyDescent="0.3">
      <c r="A70" t="s">
        <v>560</v>
      </c>
      <c r="B70" t="s">
        <v>561</v>
      </c>
      <c r="C70" t="s">
        <v>440</v>
      </c>
      <c r="D70" t="s">
        <v>22</v>
      </c>
      <c r="E70" s="4">
        <f t="shared" si="7"/>
        <v>0</v>
      </c>
      <c r="F70" s="4"/>
      <c r="G70" s="4"/>
      <c r="H70" s="4"/>
      <c r="I70" s="4"/>
      <c r="J70" s="4"/>
      <c r="K70" s="4"/>
      <c r="L70" s="4"/>
      <c r="M70" s="4"/>
      <c r="N70" s="4"/>
      <c r="O70" s="4"/>
      <c r="P70" s="4"/>
    </row>
    <row r="71" spans="1:18" x14ac:dyDescent="0.3">
      <c r="A71" t="s">
        <v>560</v>
      </c>
      <c r="B71" t="s">
        <v>561</v>
      </c>
      <c r="C71" t="s">
        <v>112</v>
      </c>
      <c r="D71" t="s">
        <v>22</v>
      </c>
      <c r="E71" s="4">
        <f t="shared" si="7"/>
        <v>3.1844965863049202E-3</v>
      </c>
      <c r="F71" s="4">
        <v>7.2832518993101703E-4</v>
      </c>
      <c r="G71" s="4">
        <v>1.1000000000000001E-6</v>
      </c>
      <c r="H71" s="4">
        <v>2.2280498375765608E-3</v>
      </c>
      <c r="I71" s="4">
        <v>2.228049837576561E-4</v>
      </c>
      <c r="J71" s="4">
        <v>1.5223450264296012E-6</v>
      </c>
      <c r="K71" s="4"/>
      <c r="L71" s="4">
        <v>3.0881530559999997E-9</v>
      </c>
      <c r="M71" s="4">
        <v>2.6911418602000003E-6</v>
      </c>
      <c r="N71" s="4"/>
      <c r="O71" s="4"/>
      <c r="P71" s="4"/>
    </row>
    <row r="72" spans="1:18" x14ac:dyDescent="0.3">
      <c r="E72" s="4"/>
      <c r="F72" s="4"/>
      <c r="G72" s="4"/>
      <c r="H72" s="4"/>
      <c r="I72" s="4"/>
      <c r="J72" s="4"/>
      <c r="K72" s="4"/>
      <c r="L72" s="4"/>
      <c r="M72" s="4"/>
      <c r="N72" s="4"/>
      <c r="O72" s="4"/>
      <c r="P72" s="4"/>
    </row>
    <row r="73" spans="1:18" x14ac:dyDescent="0.3">
      <c r="A73" t="s">
        <v>562</v>
      </c>
      <c r="B73" t="s">
        <v>559</v>
      </c>
      <c r="C73" t="s">
        <v>113</v>
      </c>
      <c r="D73" t="s">
        <v>563</v>
      </c>
      <c r="E73" s="4">
        <v>0.86957649487402422</v>
      </c>
      <c r="F73" s="4">
        <v>0.26415660459884638</v>
      </c>
      <c r="G73" s="4">
        <v>1.454614482758621E-2</v>
      </c>
      <c r="H73" s="4">
        <v>0.45194871910692686</v>
      </c>
      <c r="I73" s="4">
        <v>2.9364160273164189E-2</v>
      </c>
      <c r="J73" s="4">
        <v>2.5195748277697338E-2</v>
      </c>
      <c r="K73" s="4"/>
      <c r="L73" s="4">
        <v>2.1459945675808594E-4</v>
      </c>
      <c r="M73" s="4">
        <v>3.7803452981288115E-2</v>
      </c>
      <c r="N73" s="4"/>
      <c r="O73" s="4">
        <v>2.9298483418736934E-2</v>
      </c>
      <c r="P73" s="4">
        <v>1.7048581933019974E-2</v>
      </c>
    </row>
    <row r="74" spans="1:18" x14ac:dyDescent="0.3">
      <c r="A74" s="410" t="s">
        <v>562</v>
      </c>
      <c r="B74" s="403" t="s">
        <v>559</v>
      </c>
      <c r="C74" s="403" t="s">
        <v>109</v>
      </c>
      <c r="D74" s="403" t="s">
        <v>563</v>
      </c>
      <c r="E74" s="402">
        <f>SUM(F74:P74)</f>
        <v>0.27628755742228495</v>
      </c>
      <c r="F74" s="402">
        <f>$C$92*(AVERAGE(F56,F62,F68))/$C$91</f>
        <v>0.15910156565543246</v>
      </c>
      <c r="G74" s="402">
        <f>$C$92*(AVERAGE(G56,G62,G68))/$C$91</f>
        <v>1.3034482758620692E-2</v>
      </c>
      <c r="H74" s="402"/>
      <c r="I74" s="402"/>
      <c r="J74" s="402">
        <f>$C$92*(AVERAGE(J56,J62,J68))/$C$91</f>
        <v>2.4688740026345454E-2</v>
      </c>
      <c r="K74" s="402"/>
      <c r="L74" s="402">
        <f>$C$92*(AVERAGE(L56,L62,L68))/$C$91</f>
        <v>1.931759303794134E-4</v>
      </c>
      <c r="M74" s="402">
        <f>$C$92*(AVERAGE(M56,M62,M68))/$C$91</f>
        <v>3.6802128767029069E-2</v>
      </c>
      <c r="N74" s="402"/>
      <c r="O74" s="402">
        <f>C92*(C95*AVERAGE(EF_el_CO2_FR,EF_el_CO2_DE,EF_el_CO2_PL)+C96*EF_biofuels_CO2)</f>
        <v>2.6267464284477883E-2</v>
      </c>
      <c r="P74" s="411">
        <v>1.6199999999999999E-2</v>
      </c>
      <c r="R74" t="s">
        <v>564</v>
      </c>
    </row>
    <row r="75" spans="1:18" x14ac:dyDescent="0.3">
      <c r="A75" s="179" t="s">
        <v>562</v>
      </c>
      <c r="B75" t="s">
        <v>559</v>
      </c>
      <c r="C75" t="s">
        <v>110</v>
      </c>
      <c r="D75" t="s">
        <v>563</v>
      </c>
      <c r="E75" s="251">
        <f>SUM(F75:P75)</f>
        <v>4.6478527325651394E-4</v>
      </c>
      <c r="F75" s="251">
        <f>$C$92*(AVERAGE(F57,F63,F69))/$C$91</f>
        <v>3.0425509539765719E-4</v>
      </c>
      <c r="G75" s="251">
        <f>$C$92*(AVERAGE(G57,G63,G69))/$C$91</f>
        <v>4.5862068965517246E-5</v>
      </c>
      <c r="H75" s="251"/>
      <c r="I75" s="251"/>
      <c r="J75" s="251">
        <f>$C$92*(AVERAGE(J57,J63,J69))/$C$91</f>
        <v>1.0936279334641699E-5</v>
      </c>
      <c r="K75" s="251"/>
      <c r="L75" s="251">
        <f>$C$92*(AVERAGE(L57,L63,L69))/$C$91</f>
        <v>6.4606960551724142E-7</v>
      </c>
      <c r="M75" s="251">
        <f>$C$92*(AVERAGE(M57,M63,M69))/$C$91</f>
        <v>2.1884761697575221E-5</v>
      </c>
      <c r="N75" s="251"/>
      <c r="O75" s="251">
        <f>C92*(C95*AVERAGE(EF_el_CH4_FR,EF_el_CH4_DE,EF_el_CH4_PL)+C96*EF_biofuel_CH4)</f>
        <v>5.7027085212127035E-5</v>
      </c>
      <c r="P75" s="252">
        <f>0.556/1000/23</f>
        <v>2.4173913043478263E-5</v>
      </c>
      <c r="R75" t="s">
        <v>565</v>
      </c>
    </row>
    <row r="76" spans="1:18" x14ac:dyDescent="0.3">
      <c r="A76" s="179" t="s">
        <v>562</v>
      </c>
      <c r="B76" t="s">
        <v>559</v>
      </c>
      <c r="C76" t="s">
        <v>440</v>
      </c>
      <c r="D76" t="s">
        <v>563</v>
      </c>
      <c r="E76" s="251"/>
      <c r="F76" s="251"/>
      <c r="G76" s="251"/>
      <c r="H76" s="251"/>
      <c r="I76" s="251"/>
      <c r="J76" s="251"/>
      <c r="K76" s="251"/>
      <c r="L76" s="251"/>
      <c r="M76" s="251"/>
      <c r="N76" s="251"/>
      <c r="O76" s="251"/>
      <c r="P76" s="252"/>
    </row>
    <row r="77" spans="1:18" x14ac:dyDescent="0.3">
      <c r="A77" s="211" t="s">
        <v>562</v>
      </c>
      <c r="B77" s="212" t="s">
        <v>559</v>
      </c>
      <c r="C77" s="212" t="s">
        <v>112</v>
      </c>
      <c r="D77" s="212" t="s">
        <v>563</v>
      </c>
      <c r="E77" s="253">
        <f>SUM(F77:P77)</f>
        <v>1.5426052012212825E-3</v>
      </c>
      <c r="F77" s="253">
        <f>$C$92*(AVERAGE(F59,F65,F71))/$C$91</f>
        <v>3.5160526410462907E-4</v>
      </c>
      <c r="G77" s="253">
        <f>$C$92*(AVERAGE(G59,G65,G71))/$C$91</f>
        <v>5.3103448275862083E-7</v>
      </c>
      <c r="H77" s="253">
        <f>$C$92*(AVERAGE(H59,H65,H71))/$C$91</f>
        <v>1.0756102664162708E-3</v>
      </c>
      <c r="I77" s="253">
        <f>$C$92*(AVERAGE(I59,I65,I71))/$C$91</f>
        <v>1.0756102664162706E-4</v>
      </c>
      <c r="J77" s="253">
        <f>$C$92*(AVERAGE(J59,J65,J71))/$C$91</f>
        <v>6.6339607025480414E-7</v>
      </c>
      <c r="K77" s="253"/>
      <c r="L77" s="253">
        <f>$C$92*(AVERAGE(L59,L65,L71))/$C$91</f>
        <v>7.9511067188965511E-9</v>
      </c>
      <c r="M77" s="253">
        <f>$C$92*(AVERAGE(M59,M65,M71))/$C$91</f>
        <v>1.2789681892721844E-6</v>
      </c>
      <c r="N77" s="253"/>
      <c r="O77" s="253">
        <f>C92*(C95*AVERAGE(EF_el_N2O_FR,EF_el_N2O_DE,EF_el_N2O_PL)+C96*EF_biofuel_N2O)</f>
        <v>4.8776996151562902E-6</v>
      </c>
      <c r="P77" s="254">
        <f>0.139/1000/296</f>
        <v>4.6959459459459463E-7</v>
      </c>
      <c r="R77" t="s">
        <v>565</v>
      </c>
    </row>
    <row r="80" spans="1:18" ht="18" x14ac:dyDescent="0.35">
      <c r="A80" s="1" t="s">
        <v>541</v>
      </c>
    </row>
    <row r="82" spans="1:18" x14ac:dyDescent="0.3">
      <c r="A82" s="143" t="s">
        <v>355</v>
      </c>
      <c r="B82" s="144"/>
      <c r="C82" s="144"/>
      <c r="D82" s="144"/>
      <c r="E82" s="144"/>
      <c r="F82" s="145" t="s">
        <v>34</v>
      </c>
      <c r="G82" s="145" t="s">
        <v>35</v>
      </c>
      <c r="H82" s="145" t="s">
        <v>36</v>
      </c>
      <c r="I82" s="145" t="s">
        <v>37</v>
      </c>
      <c r="J82" s="146" t="s">
        <v>38</v>
      </c>
      <c r="K82" s="146" t="s">
        <v>39</v>
      </c>
      <c r="L82" s="146" t="s">
        <v>40</v>
      </c>
      <c r="M82" s="255"/>
      <c r="N82" s="256"/>
      <c r="O82" s="256"/>
      <c r="P82" s="257"/>
    </row>
    <row r="83" spans="1:18" ht="43.2" x14ac:dyDescent="0.3">
      <c r="A83" s="148" t="s">
        <v>44</v>
      </c>
      <c r="B83" s="148" t="s">
        <v>355</v>
      </c>
      <c r="C83" s="148" t="s">
        <v>357</v>
      </c>
      <c r="D83" s="148" t="s">
        <v>47</v>
      </c>
      <c r="E83" s="136" t="s">
        <v>48</v>
      </c>
      <c r="F83" s="152" t="s">
        <v>55</v>
      </c>
      <c r="G83" s="152" t="s">
        <v>384</v>
      </c>
      <c r="H83" s="152" t="s">
        <v>385</v>
      </c>
      <c r="I83" s="153" t="s">
        <v>58</v>
      </c>
      <c r="J83" s="154" t="s">
        <v>59</v>
      </c>
      <c r="K83" s="155" t="s">
        <v>60</v>
      </c>
      <c r="L83" s="155" t="s">
        <v>61</v>
      </c>
      <c r="M83" s="256"/>
    </row>
    <row r="84" spans="1:18" x14ac:dyDescent="0.3">
      <c r="A84" s="179" t="s">
        <v>562</v>
      </c>
      <c r="B84" t="s">
        <v>561</v>
      </c>
      <c r="C84" s="15" t="s">
        <v>547</v>
      </c>
      <c r="D84" t="s">
        <v>28</v>
      </c>
      <c r="E84" t="s">
        <v>67</v>
      </c>
      <c r="F84">
        <v>3.05041729708624</v>
      </c>
      <c r="G84">
        <v>4.7160731472569703E-2</v>
      </c>
      <c r="H84">
        <v>5.13314084055181E-3</v>
      </c>
      <c r="I84">
        <v>5.0398432162958003E-3</v>
      </c>
      <c r="J84">
        <v>0.66988842289432105</v>
      </c>
      <c r="K84" s="42">
        <v>3.6670410199158097E-11</v>
      </c>
      <c r="L84">
        <v>2.86711793285263E-3</v>
      </c>
      <c r="N84" t="s">
        <v>544</v>
      </c>
    </row>
    <row r="85" spans="1:18" x14ac:dyDescent="0.3">
      <c r="A85" s="179" t="s">
        <v>562</v>
      </c>
      <c r="B85" t="s">
        <v>561</v>
      </c>
      <c r="C85" s="15" t="s">
        <v>547</v>
      </c>
      <c r="D85" t="s">
        <v>25</v>
      </c>
      <c r="E85" t="s">
        <v>68</v>
      </c>
      <c r="F85">
        <v>2.9846291598268899</v>
      </c>
      <c r="G85">
        <v>4.7160731472569703E-2</v>
      </c>
      <c r="H85">
        <v>5.13314084055181E-3</v>
      </c>
      <c r="I85">
        <v>0</v>
      </c>
      <c r="J85">
        <v>0.49457909998667898</v>
      </c>
      <c r="K85" s="42">
        <v>2.7374708977573999E-11</v>
      </c>
      <c r="L85">
        <v>2.86711793285263E-3</v>
      </c>
      <c r="N85" t="s">
        <v>546</v>
      </c>
    </row>
    <row r="86" spans="1:18" x14ac:dyDescent="0.3">
      <c r="A86" s="179" t="s">
        <v>562</v>
      </c>
      <c r="B86" t="s">
        <v>561</v>
      </c>
      <c r="C86" s="15" t="s">
        <v>547</v>
      </c>
      <c r="D86" t="s">
        <v>22</v>
      </c>
      <c r="E86" t="s">
        <v>73</v>
      </c>
      <c r="F86">
        <v>3.5333691381405901</v>
      </c>
      <c r="G86">
        <v>4.7160731472569703E-2</v>
      </c>
      <c r="H86">
        <v>5.13314084055181E-3</v>
      </c>
      <c r="I86">
        <v>0</v>
      </c>
      <c r="J86">
        <v>0.66057946682741997</v>
      </c>
      <c r="K86" s="42">
        <v>1.40747179424791E-11</v>
      </c>
      <c r="L86">
        <v>2.86711793285263E-3</v>
      </c>
    </row>
    <row r="88" spans="1:18" x14ac:dyDescent="0.3">
      <c r="A88" s="417" t="s">
        <v>562</v>
      </c>
      <c r="B88" s="413" t="s">
        <v>559</v>
      </c>
      <c r="C88" s="413" t="s">
        <v>547</v>
      </c>
      <c r="D88" s="413" t="s">
        <v>563</v>
      </c>
      <c r="E88" s="413"/>
      <c r="F88" s="414">
        <f>$C$92*AVERAGE(F84:F86)/$C$91</f>
        <v>1.5397450382845068</v>
      </c>
      <c r="G88" s="414">
        <f t="shared" ref="G88:L88" si="8">$C$92*AVERAGE(G84:G86)/$C$91</f>
        <v>2.276724967641296E-2</v>
      </c>
      <c r="H88" s="415">
        <f t="shared" si="8"/>
        <v>2.4780679919905292E-3</v>
      </c>
      <c r="I88" s="415">
        <f t="shared" si="8"/>
        <v>8.1100925319702543E-4</v>
      </c>
      <c r="J88" s="414">
        <f t="shared" si="8"/>
        <v>0.29368572248181479</v>
      </c>
      <c r="K88" s="416">
        <f t="shared" si="8"/>
        <v>1.2571008272056975E-11</v>
      </c>
      <c r="L88" s="416">
        <f t="shared" si="8"/>
        <v>1.3841258986185109E-3</v>
      </c>
    </row>
    <row r="90" spans="1:18" x14ac:dyDescent="0.3">
      <c r="A90" s="106" t="s">
        <v>566</v>
      </c>
      <c r="B90" s="106"/>
      <c r="C90" s="106"/>
      <c r="D90" s="106"/>
      <c r="E90" s="106"/>
      <c r="F90" s="106"/>
      <c r="G90" s="106"/>
      <c r="H90" s="106"/>
      <c r="I90" s="106"/>
      <c r="J90" s="106"/>
      <c r="K90" s="106"/>
      <c r="L90" s="106"/>
      <c r="M90" s="106"/>
      <c r="N90" s="106"/>
      <c r="O90" s="106"/>
      <c r="P90" s="106"/>
    </row>
    <row r="91" spans="1:18" x14ac:dyDescent="0.3">
      <c r="A91" t="s">
        <v>567</v>
      </c>
      <c r="C91">
        <v>0.57999999999999996</v>
      </c>
      <c r="R91" t="s">
        <v>555</v>
      </c>
    </row>
    <row r="92" spans="1:18" x14ac:dyDescent="0.3">
      <c r="A92" t="s">
        <v>551</v>
      </c>
      <c r="C92">
        <v>0.28000000000000003</v>
      </c>
      <c r="R92" t="s">
        <v>555</v>
      </c>
    </row>
    <row r="94" spans="1:18" x14ac:dyDescent="0.3">
      <c r="A94" t="s">
        <v>552</v>
      </c>
    </row>
    <row r="95" spans="1:18" x14ac:dyDescent="0.3">
      <c r="A95" t="s">
        <v>553</v>
      </c>
      <c r="C95">
        <v>0.16600000000000001</v>
      </c>
      <c r="D95" t="s">
        <v>554</v>
      </c>
      <c r="R95" t="s">
        <v>568</v>
      </c>
    </row>
    <row r="96" spans="1:18" x14ac:dyDescent="0.3">
      <c r="A96" t="s">
        <v>556</v>
      </c>
      <c r="C96">
        <v>0.97299999999999998</v>
      </c>
      <c r="D96" t="s">
        <v>554</v>
      </c>
      <c r="R96" t="s">
        <v>555</v>
      </c>
    </row>
    <row r="98" spans="1:18" x14ac:dyDescent="0.3">
      <c r="A98" t="s">
        <v>569</v>
      </c>
      <c r="R98" t="s">
        <v>570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sheetPr>
  <dimension ref="A2:A7"/>
  <sheetViews>
    <sheetView workbookViewId="0">
      <selection activeCell="G9" sqref="G9"/>
    </sheetView>
  </sheetViews>
  <sheetFormatPr defaultColWidth="8.6640625" defaultRowHeight="14.4" x14ac:dyDescent="0.3"/>
  <sheetData>
    <row r="2" spans="1:1" ht="21" x14ac:dyDescent="0.4">
      <c r="A2" s="2" t="s">
        <v>571</v>
      </c>
    </row>
    <row r="4" spans="1:1" x14ac:dyDescent="0.3">
      <c r="A4" t="s">
        <v>572</v>
      </c>
    </row>
    <row r="5" spans="1:1" x14ac:dyDescent="0.3">
      <c r="A5" t="s">
        <v>573</v>
      </c>
    </row>
    <row r="6" spans="1:1" x14ac:dyDescent="0.3">
      <c r="A6" t="s">
        <v>574</v>
      </c>
    </row>
    <row r="7" spans="1:1" x14ac:dyDescent="0.3">
      <c r="A7" t="s">
        <v>575</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2.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customXml/itemProps3.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151</vt:i4>
      </vt:variant>
    </vt:vector>
  </HeadingPairs>
  <TitlesOfParts>
    <vt:vector size="168" baseType="lpstr">
      <vt:lpstr>README</vt:lpstr>
      <vt:lpstr>Figures</vt:lpstr>
      <vt:lpstr>Footprints, results per kg</vt:lpstr>
      <vt:lpstr>GHG detailed, results per kg</vt:lpstr>
      <vt:lpstr>Production</vt:lpstr>
      <vt:lpstr>Parameters, country spec</vt:lpstr>
      <vt:lpstr>Manure</vt:lpstr>
      <vt:lpstr>CO2 per kg feed</vt:lpstr>
      <vt:lpstr>CH4 per kg feed</vt:lpstr>
      <vt:lpstr>N2O per kg feed</vt:lpstr>
      <vt:lpstr>EFP per kg feed</vt:lpstr>
      <vt:lpstr>Parameters, general</vt:lpstr>
      <vt:lpstr>Forage crops, CF</vt:lpstr>
      <vt:lpstr>Forage crops, footprints</vt:lpstr>
      <vt:lpstr>Forage, input data per ha</vt:lpstr>
      <vt:lpstr>Off-farm feed</vt:lpstr>
      <vt:lpstr>References</vt:lpstr>
      <vt:lpstr>CF_GWP_CH4_biog</vt:lpstr>
      <vt:lpstr>CF_GWP_CH4_biogenic</vt:lpstr>
      <vt:lpstr>CF_GWP_CH4_fossil</vt:lpstr>
      <vt:lpstr>CF_GWP_N2O</vt:lpstr>
      <vt:lpstr>'Forage crops, CF'!Crop_data</vt:lpstr>
      <vt:lpstr>Crop_data</vt:lpstr>
      <vt:lpstr>'Forage crops, CF'!Crop_data_codes</vt:lpstr>
      <vt:lpstr>Crop_data_codes</vt:lpstr>
      <vt:lpstr>EF_biofuel_CH4</vt:lpstr>
      <vt:lpstr>EF_biofuel_N2O</vt:lpstr>
      <vt:lpstr>EF_biofuels_CO2</vt:lpstr>
      <vt:lpstr>EF_capital_goods_CH4</vt:lpstr>
      <vt:lpstr>EF_capital_goods_CO2</vt:lpstr>
      <vt:lpstr>EF_capital_goods_N2O</vt:lpstr>
      <vt:lpstr>EF_diesel_CH4</vt:lpstr>
      <vt:lpstr>EF_diesel_CO2</vt:lpstr>
      <vt:lpstr>EF_diesel_N2O</vt:lpstr>
      <vt:lpstr>EF_el_CH4_DE</vt:lpstr>
      <vt:lpstr>EF_el_CH4_ES</vt:lpstr>
      <vt:lpstr>EF_el_CH4_FR</vt:lpstr>
      <vt:lpstr>EF_el_CH4_GR</vt:lpstr>
      <vt:lpstr>EF_el_CH4_HU</vt:lpstr>
      <vt:lpstr>EF_el_CH4_IT</vt:lpstr>
      <vt:lpstr>EF_el_CH4_NL</vt:lpstr>
      <vt:lpstr>EF_el_CH4_PL</vt:lpstr>
      <vt:lpstr>EF_el_CH4_SE</vt:lpstr>
      <vt:lpstr>EF_el_CO2_DE</vt:lpstr>
      <vt:lpstr>EF_el_CO2_ES</vt:lpstr>
      <vt:lpstr>EF_el_CO2_FR</vt:lpstr>
      <vt:lpstr>EF_el_CO2_GR</vt:lpstr>
      <vt:lpstr>EF_el_CO2_HU</vt:lpstr>
      <vt:lpstr>EF_el_CO2_IT</vt:lpstr>
      <vt:lpstr>EF_el_CO2_NL</vt:lpstr>
      <vt:lpstr>EF_el_CO2_PL</vt:lpstr>
      <vt:lpstr>EF_el_CO2_SE</vt:lpstr>
      <vt:lpstr>EF_el_N2O_DE</vt:lpstr>
      <vt:lpstr>EF_el_N2O_ES</vt:lpstr>
      <vt:lpstr>EF_el_N2O_FR</vt:lpstr>
      <vt:lpstr>EF_el_N2O_GR</vt:lpstr>
      <vt:lpstr>EF_el_N2O_HU</vt:lpstr>
      <vt:lpstr>EF_el_N2O_IT</vt:lpstr>
      <vt:lpstr>EF_el_N2O_NL</vt:lpstr>
      <vt:lpstr>EF_el_N2O_PL</vt:lpstr>
      <vt:lpstr>EF_el_N2O_SE</vt:lpstr>
      <vt:lpstr>EF_electricity</vt:lpstr>
      <vt:lpstr>EF_ent_ferm_DE</vt:lpstr>
      <vt:lpstr>EF_ent_ferm_ES</vt:lpstr>
      <vt:lpstr>EF_ent_ferm_FR</vt:lpstr>
      <vt:lpstr>EF_ent_ferm_GR</vt:lpstr>
      <vt:lpstr>EF_ent_ferm_HU</vt:lpstr>
      <vt:lpstr>EF_ent_ferm_IT</vt:lpstr>
      <vt:lpstr>EF_ent_ferm_NL</vt:lpstr>
      <vt:lpstr>EF_ent_ferm_PL</vt:lpstr>
      <vt:lpstr>EF_ent_ferm_SE</vt:lpstr>
      <vt:lpstr>EF_GWP_CH4_biog</vt:lpstr>
      <vt:lpstr>EF_indirect_N2O_DE</vt:lpstr>
      <vt:lpstr>EF_indirect_N2O_ES</vt:lpstr>
      <vt:lpstr>EF_indirect_N2O_FR</vt:lpstr>
      <vt:lpstr>EF_indirect_N2O_GR</vt:lpstr>
      <vt:lpstr>EF_indirect_N2O_HU</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EF_N2O_diff_DE</vt:lpstr>
      <vt:lpstr>EF_N2O_diff_ES</vt:lpstr>
      <vt:lpstr>EF_N2O_diff_FR</vt:lpstr>
      <vt:lpstr>EF_N2O_diff_GR</vt:lpstr>
      <vt:lpstr>EF_N2O_diff_HU</vt:lpstr>
      <vt:lpstr>EF_N2O_diff_IT</vt:lpstr>
      <vt:lpstr>EF_N2O_diff_NL</vt:lpstr>
      <vt:lpstr>EF_N2O_diff_PL</vt:lpstr>
      <vt:lpstr>EF_N2O_diff_SE</vt:lpstr>
      <vt:lpstr>EF_NH3</vt:lpstr>
      <vt:lpstr>EF_oil_CH4</vt:lpstr>
      <vt:lpstr>EF_oil_CO2</vt:lpstr>
      <vt:lpstr>EF_oil_N2O</vt:lpstr>
      <vt:lpstr>Energy_slaughter_el_DE</vt:lpstr>
      <vt:lpstr>Energy_slaughter_el_ES</vt:lpstr>
      <vt:lpstr>Energy_slaughter_el_FR</vt:lpstr>
      <vt:lpstr>Energy_slaughter_el_GR</vt:lpstr>
      <vt:lpstr>Energy_slaughter_el_HU</vt:lpstr>
      <vt:lpstr>Energy_slaughter_el_IT</vt:lpstr>
      <vt:lpstr>Energy_slaughter_el_NL</vt:lpstr>
      <vt:lpstr>Energy_slaughter_el_PL</vt:lpstr>
      <vt:lpstr>Energy_slaughter_el_SE</vt:lpstr>
      <vt:lpstr>Energy_slaughter_oil_DE</vt:lpstr>
      <vt:lpstr>Energy_slaughter_oil_ES</vt:lpstr>
      <vt:lpstr>Energy_slaughter_oil_FR</vt:lpstr>
      <vt:lpstr>Energy_slaughter_oil_GR</vt:lpstr>
      <vt:lpstr>Energy_slaughter_oil_HU</vt:lpstr>
      <vt:lpstr>Energy_slaughter_oil_IT</vt:lpstr>
      <vt:lpstr>Energy_slaughter_oil_NL</vt:lpstr>
      <vt:lpstr>Energy_slaughter_oil_PL</vt:lpstr>
      <vt:lpstr>Energy_slaughter_oil_SE</vt:lpstr>
      <vt:lpstr>Excreted_N_after_losses_DE</vt:lpstr>
      <vt:lpstr>Excreted_N_after_losses_ES</vt:lpstr>
      <vt:lpstr>Excreted_N_after_losses_FR</vt:lpstr>
      <vt:lpstr>Excreted_N_after_losses_GR</vt:lpstr>
      <vt:lpstr>Excreted_N_after_losses_HU</vt:lpstr>
      <vt:lpstr>Excreted_N_after_losses_IT</vt:lpstr>
      <vt:lpstr>Excreted_N_after_losses_NL</vt:lpstr>
      <vt:lpstr>Excreted_N_after_losses_PL</vt:lpstr>
      <vt:lpstr>Excreted_N_after_losses_SE</vt:lpstr>
      <vt:lpstr>Frac_AN_DE</vt:lpstr>
      <vt:lpstr>Frac_AN_ES</vt:lpstr>
      <vt:lpstr>Frac_AN_FR</vt:lpstr>
      <vt:lpstr>Frac_AN_GR</vt:lpstr>
      <vt:lpstr>Frac_AN_HU</vt:lpstr>
      <vt:lpstr>Frac_AN_IT</vt:lpstr>
      <vt:lpstr>Frac_AN_NL</vt:lpstr>
      <vt:lpstr>Frac_AN_PL</vt:lpstr>
      <vt:lpstr>Frac_AN_SE</vt:lpstr>
      <vt:lpstr>Frac_BAT_DE</vt:lpstr>
      <vt:lpstr>Frac_BAT_ES</vt:lpstr>
      <vt:lpstr>Frac_BAT_FR</vt:lpstr>
      <vt:lpstr>Frac_BAT_GR</vt:lpstr>
      <vt:lpstr>Frac_BAT_HU</vt:lpstr>
      <vt:lpstr>Frac_BAT_IT</vt:lpstr>
      <vt:lpstr>Frac_BAT_NL</vt:lpstr>
      <vt:lpstr>Frac_BAT_PL</vt:lpstr>
      <vt:lpstr>Frac_BAT_SE</vt:lpstr>
      <vt:lpstr>GRAT</vt:lpstr>
      <vt:lpstr>Heating_value_diesel</vt:lpstr>
      <vt:lpstr>Manure_repl_factor_DE</vt:lpstr>
      <vt:lpstr>Manure_repl_factor_ES</vt:lpstr>
      <vt:lpstr>Manure_repl_factor_FR</vt:lpstr>
      <vt:lpstr>Manure_repl_factor_GR</vt:lpstr>
      <vt:lpstr>Manure_repl_factor_HU</vt:lpstr>
      <vt:lpstr>Manure_repl_factor_IT</vt:lpstr>
      <vt:lpstr>Manure_repl_factor_NL</vt:lpstr>
      <vt:lpstr>Manure_repl_factor_PL</vt:lpstr>
      <vt:lpstr>Manure_repl_factor_SE</vt:lpstr>
      <vt:lpstr>N_leak_deni_factor</vt:lpstr>
      <vt:lpstr>N_to_NH3</vt:lpstr>
      <vt:lpstr>No_species</vt:lpstr>
      <vt:lpstr>Water_stables_DE</vt:lpstr>
      <vt:lpstr>Water_stables_ES</vt:lpstr>
      <vt:lpstr>Water_stables_FR</vt:lpstr>
      <vt:lpstr>Water_stables_GR</vt:lpstr>
      <vt:lpstr>Water_stables_HU</vt:lpstr>
      <vt:lpstr>Water_stables_IT</vt:lpstr>
      <vt:lpstr>Water_stables_NL</vt:lpstr>
      <vt:lpstr>Water_stables_PL</vt:lpstr>
      <vt:lpstr>Water_stables_SE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Elin Röös</dc:creator>
  <cp:keywords/>
  <dc:description/>
  <cp:lastModifiedBy>Elin Röös</cp:lastModifiedBy>
  <cp:revision/>
  <dcterms:created xsi:type="dcterms:W3CDTF">2015-06-05T18:19:34Z</dcterms:created>
  <dcterms:modified xsi:type="dcterms:W3CDTF">2024-11-04T15:03:06Z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